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pivotTables/pivotTable15.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0.xml" ContentType="application/vnd.openxmlformats-officedocument.drawingml.chart+xml"/>
  <Override PartName="/xl/charts/chart11.xml" ContentType="application/vnd.openxmlformats-officedocument.drawingml.chart+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4.xml" ContentType="application/vnd.openxmlformats-officedocument.drawingml.chartshapes+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6.xml" ContentType="application/vnd.openxmlformats-officedocument.drawingml.chartshapes+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fileSharing readOnlyRecommended="1" userName="ASUS" reservationPassword="C6E1"/>
  <workbookPr hidePivotFieldList="1"/>
  <bookViews>
    <workbookView xWindow="240" yWindow="15" windowWidth="16095" windowHeight="9660" activeTab="2"/>
  </bookViews>
  <sheets>
    <sheet name="Fashion_Data" sheetId="1" r:id="rId1"/>
    <sheet name="Table" sheetId="11" r:id="rId2"/>
    <sheet name="raw data" sheetId="2" r:id="rId3"/>
    <sheet name="Pivot Table 0" sheetId="4" r:id="rId4"/>
    <sheet name="Pivot Tabel 1" sheetId="12" r:id="rId5"/>
    <sheet name="Pivot Table 2" sheetId="6" r:id="rId6"/>
    <sheet name="Dashboard" sheetId="9" r:id="rId7"/>
  </sheets>
  <definedNames>
    <definedName name="Slicer_brand">#N/A</definedName>
    <definedName name="Slicer_category">#N/A</definedName>
  </definedNames>
  <calcPr calcId="144525"/>
  <pivotCaches>
    <pivotCache cacheId="24" r:id="rId8"/>
    <pivotCache cacheId="25" r:id="rId9"/>
    <pivotCache cacheId="26" r:id="rId10"/>
    <pivotCache cacheId="2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4" i="12" l="1"/>
  <c r="D34" i="12"/>
  <c r="P31" i="6"/>
  <c r="P33" i="6"/>
  <c r="P39" i="6"/>
  <c r="P45" i="6"/>
  <c r="R50" i="6"/>
  <c r="R49" i="6"/>
  <c r="R48" i="6"/>
  <c r="R47" i="6"/>
  <c r="R46" i="6"/>
  <c r="R45" i="6"/>
  <c r="R44" i="6"/>
  <c r="R43" i="6"/>
  <c r="R42" i="6"/>
  <c r="R41" i="6"/>
  <c r="R40" i="6"/>
  <c r="R39" i="6"/>
  <c r="R38" i="6"/>
  <c r="R37" i="6"/>
  <c r="R36" i="6"/>
  <c r="R35" i="6"/>
  <c r="R34" i="6"/>
  <c r="R33" i="6"/>
  <c r="R32" i="6"/>
  <c r="R31" i="6"/>
  <c r="F36" i="12"/>
  <c r="E37" i="12"/>
  <c r="E36" i="12"/>
  <c r="E35" i="12"/>
  <c r="D37" i="12"/>
  <c r="D36" i="12"/>
  <c r="D35" i="12"/>
  <c r="T12" i="6"/>
  <c r="AA12" i="6"/>
  <c r="Z12" i="6"/>
  <c r="Y12" i="6"/>
  <c r="S12" i="6"/>
  <c r="AA15" i="6"/>
  <c r="AA14" i="6"/>
  <c r="T11" i="6"/>
  <c r="T10" i="6"/>
  <c r="S11" i="6"/>
  <c r="S10" i="6"/>
  <c r="AA10" i="6"/>
  <c r="Z10" i="6"/>
  <c r="Y10" i="6"/>
  <c r="X10" i="6"/>
  <c r="X11" i="6"/>
  <c r="Y11" i="6"/>
  <c r="X12" i="6"/>
  <c r="AA19" i="6"/>
  <c r="AA18" i="6"/>
  <c r="Z18" i="6"/>
  <c r="AA27" i="6"/>
  <c r="AA26" i="6"/>
  <c r="AA25" i="6"/>
  <c r="AA24" i="6"/>
  <c r="AA23" i="6"/>
  <c r="AA22" i="6"/>
  <c r="AA21" i="6"/>
  <c r="AA20" i="6"/>
  <c r="AA17" i="6"/>
  <c r="AA16" i="6"/>
  <c r="AA11" i="6"/>
  <c r="Z11" i="6"/>
  <c r="V6" i="6"/>
  <c r="V7" i="6"/>
  <c r="T7" i="6"/>
  <c r="U7" i="6"/>
  <c r="S7" i="6"/>
  <c r="S6" i="6"/>
  <c r="U6" i="6"/>
  <c r="T6" i="6"/>
  <c r="M17" i="6"/>
  <c r="M18" i="6"/>
  <c r="M19" i="6"/>
  <c r="M20" i="6"/>
  <c r="M21" i="6"/>
  <c r="M22" i="6"/>
  <c r="G26" i="6"/>
  <c r="G28" i="6"/>
  <c r="AB16" i="6" l="1"/>
  <c r="AB20" i="6"/>
  <c r="AB22" i="6"/>
  <c r="AB26" i="6"/>
  <c r="AB18" i="6"/>
  <c r="AB24" i="6"/>
  <c r="AB14" i="6"/>
  <c r="I24" i="12"/>
  <c r="H24" i="12"/>
  <c r="G24" i="12"/>
  <c r="C30" i="12"/>
  <c r="AH58" i="4"/>
  <c r="R4" i="12"/>
  <c r="I20" i="12"/>
  <c r="I19" i="12"/>
  <c r="I18" i="12"/>
  <c r="I17" i="12"/>
  <c r="I16" i="12"/>
  <c r="I15" i="12"/>
  <c r="I7" i="12"/>
  <c r="I8" i="12"/>
  <c r="I9" i="12"/>
  <c r="I10" i="12"/>
  <c r="I6" i="12"/>
  <c r="I5" i="12"/>
  <c r="J24" i="12"/>
  <c r="AB73" i="4"/>
  <c r="K24" i="12"/>
  <c r="Y36" i="4"/>
  <c r="G9" i="6" l="1"/>
  <c r="B87" i="9" l="1"/>
  <c r="B83" i="6"/>
  <c r="H99" i="6"/>
  <c r="H100" i="6"/>
  <c r="H101" i="6"/>
  <c r="H102" i="6"/>
  <c r="H103" i="6"/>
  <c r="H104" i="6"/>
  <c r="H105" i="6"/>
  <c r="H98" i="6"/>
  <c r="B84" i="9" l="1"/>
  <c r="B78" i="9"/>
  <c r="AA57" i="9"/>
  <c r="K121" i="6"/>
  <c r="S89" i="6"/>
  <c r="S88" i="6"/>
  <c r="S87" i="6"/>
  <c r="S86" i="6"/>
  <c r="S85" i="6"/>
  <c r="S84" i="6"/>
  <c r="S83" i="6"/>
  <c r="S82" i="6"/>
  <c r="S81" i="6"/>
  <c r="S80" i="6"/>
  <c r="S79" i="6"/>
  <c r="K59" i="6"/>
  <c r="K58" i="6"/>
  <c r="K57" i="6"/>
  <c r="K56" i="6"/>
  <c r="K55" i="6"/>
  <c r="K54" i="6"/>
  <c r="H57" i="6"/>
  <c r="H56" i="6"/>
  <c r="H55" i="6"/>
  <c r="H54" i="6"/>
  <c r="M50" i="6"/>
  <c r="M49" i="6"/>
  <c r="M48" i="6"/>
  <c r="M47" i="6"/>
  <c r="M46" i="6"/>
  <c r="M45" i="6"/>
  <c r="K45" i="6"/>
  <c r="J45" i="6"/>
  <c r="M44" i="6"/>
  <c r="M43" i="6"/>
  <c r="M42" i="6"/>
  <c r="M41" i="6"/>
  <c r="M40" i="6"/>
  <c r="M39" i="6"/>
  <c r="K39" i="6"/>
  <c r="J39" i="6"/>
  <c r="M38" i="6"/>
  <c r="M37" i="6"/>
  <c r="M36" i="6"/>
  <c r="M35" i="6"/>
  <c r="M34" i="6"/>
  <c r="M33" i="6"/>
  <c r="K33" i="6"/>
  <c r="J33" i="6"/>
  <c r="M32" i="6"/>
  <c r="M31" i="6"/>
  <c r="K31" i="6"/>
  <c r="J31" i="6"/>
  <c r="L22" i="6"/>
  <c r="L21" i="6"/>
  <c r="L20" i="6"/>
  <c r="L19" i="6"/>
  <c r="L18" i="6"/>
  <c r="Q17" i="6"/>
  <c r="L17" i="6"/>
  <c r="G11" i="6"/>
  <c r="G7" i="6"/>
  <c r="G2" i="6"/>
  <c r="R2177" i="2"/>
  <c r="Q2177" i="2"/>
  <c r="P2177" i="2"/>
  <c r="O2177" i="2"/>
  <c r="R2176" i="2"/>
  <c r="Q2176" i="2"/>
  <c r="P2176" i="2"/>
  <c r="O2176" i="2"/>
  <c r="R2175" i="2"/>
  <c r="Q2175" i="2"/>
  <c r="P2175" i="2"/>
  <c r="O2175" i="2"/>
  <c r="R2174" i="2"/>
  <c r="Q2174" i="2"/>
  <c r="P2174" i="2"/>
  <c r="O2174" i="2"/>
  <c r="R2173" i="2"/>
  <c r="Q2173" i="2"/>
  <c r="P2173" i="2"/>
  <c r="O2173" i="2"/>
  <c r="R2172" i="2"/>
  <c r="Q2172" i="2"/>
  <c r="P2172" i="2"/>
  <c r="O2172" i="2"/>
  <c r="R2171" i="2"/>
  <c r="Q2171" i="2"/>
  <c r="P2171" i="2"/>
  <c r="O2171" i="2"/>
  <c r="R2170" i="2"/>
  <c r="Q2170" i="2"/>
  <c r="P2170" i="2"/>
  <c r="O2170" i="2"/>
  <c r="R2169" i="2"/>
  <c r="Q2169" i="2"/>
  <c r="P2169" i="2"/>
  <c r="O2169" i="2"/>
  <c r="R2168" i="2"/>
  <c r="Q2168" i="2"/>
  <c r="P2168" i="2"/>
  <c r="O2168" i="2"/>
  <c r="R2167" i="2"/>
  <c r="Q2167" i="2"/>
  <c r="P2167" i="2"/>
  <c r="O2167" i="2"/>
  <c r="R2166" i="2"/>
  <c r="Q2166" i="2"/>
  <c r="P2166" i="2"/>
  <c r="O2166" i="2"/>
  <c r="R2165" i="2"/>
  <c r="Q2165" i="2"/>
  <c r="P2165" i="2"/>
  <c r="O2165" i="2"/>
  <c r="R2164" i="2"/>
  <c r="Q2164" i="2"/>
  <c r="P2164" i="2"/>
  <c r="O2164" i="2"/>
  <c r="R2163" i="2"/>
  <c r="Q2163" i="2"/>
  <c r="P2163" i="2"/>
  <c r="O2163" i="2"/>
  <c r="R2162" i="2"/>
  <c r="Q2162" i="2"/>
  <c r="P2162" i="2"/>
  <c r="O2162" i="2"/>
  <c r="R2161" i="2"/>
  <c r="Q2161" i="2"/>
  <c r="P2161" i="2"/>
  <c r="O2161" i="2"/>
  <c r="R2160" i="2"/>
  <c r="Q2160" i="2"/>
  <c r="P2160" i="2"/>
  <c r="O2160" i="2"/>
  <c r="R2159" i="2"/>
  <c r="Q2159" i="2"/>
  <c r="P2159" i="2"/>
  <c r="O2159" i="2"/>
  <c r="R2158" i="2"/>
  <c r="Q2158" i="2"/>
  <c r="P2158" i="2"/>
  <c r="O2158" i="2"/>
  <c r="R2157" i="2"/>
  <c r="Q2157" i="2"/>
  <c r="P2157" i="2"/>
  <c r="O2157" i="2"/>
  <c r="R2156" i="2"/>
  <c r="Q2156" i="2"/>
  <c r="P2156" i="2"/>
  <c r="O2156" i="2"/>
  <c r="R2155" i="2"/>
  <c r="Q2155" i="2"/>
  <c r="P2155" i="2"/>
  <c r="O2155" i="2"/>
  <c r="R2154" i="2"/>
  <c r="Q2154" i="2"/>
  <c r="P2154" i="2"/>
  <c r="O2154" i="2"/>
  <c r="R2153" i="2"/>
  <c r="Q2153" i="2"/>
  <c r="P2153" i="2"/>
  <c r="O2153" i="2"/>
  <c r="R2152" i="2"/>
  <c r="Q2152" i="2"/>
  <c r="P2152" i="2"/>
  <c r="O2152" i="2"/>
  <c r="R2151" i="2"/>
  <c r="Q2151" i="2"/>
  <c r="P2151" i="2"/>
  <c r="O2151" i="2"/>
  <c r="R2150" i="2"/>
  <c r="Q2150" i="2"/>
  <c r="P2150" i="2"/>
  <c r="O2150" i="2"/>
  <c r="R2149" i="2"/>
  <c r="Q2149" i="2"/>
  <c r="P2149" i="2"/>
  <c r="O2149" i="2"/>
  <c r="R2148" i="2"/>
  <c r="Q2148" i="2"/>
  <c r="P2148" i="2"/>
  <c r="O2148" i="2"/>
  <c r="R2147" i="2"/>
  <c r="Q2147" i="2"/>
  <c r="P2147" i="2"/>
  <c r="O2147" i="2"/>
  <c r="R2146" i="2"/>
  <c r="Q2146" i="2"/>
  <c r="P2146" i="2"/>
  <c r="O2146" i="2"/>
  <c r="R2145" i="2"/>
  <c r="Q2145" i="2"/>
  <c r="P2145" i="2"/>
  <c r="O2145" i="2"/>
  <c r="R2144" i="2"/>
  <c r="Q2144" i="2"/>
  <c r="P2144" i="2"/>
  <c r="O2144" i="2"/>
  <c r="R2143" i="2"/>
  <c r="Q2143" i="2"/>
  <c r="P2143" i="2"/>
  <c r="O2143" i="2"/>
  <c r="R2142" i="2"/>
  <c r="Q2142" i="2"/>
  <c r="P2142" i="2"/>
  <c r="O2142" i="2"/>
  <c r="R2141" i="2"/>
  <c r="Q2141" i="2"/>
  <c r="P2141" i="2"/>
  <c r="O2141" i="2"/>
  <c r="R2140" i="2"/>
  <c r="Q2140" i="2"/>
  <c r="P2140" i="2"/>
  <c r="O2140" i="2"/>
  <c r="R2139" i="2"/>
  <c r="Q2139" i="2"/>
  <c r="P2139" i="2"/>
  <c r="O2139" i="2"/>
  <c r="R2138" i="2"/>
  <c r="Q2138" i="2"/>
  <c r="P2138" i="2"/>
  <c r="O2138" i="2"/>
  <c r="R2137" i="2"/>
  <c r="Q2137" i="2"/>
  <c r="P2137" i="2"/>
  <c r="O2137" i="2"/>
  <c r="R2136" i="2"/>
  <c r="Q2136" i="2"/>
  <c r="P2136" i="2"/>
  <c r="O2136" i="2"/>
  <c r="R2135" i="2"/>
  <c r="Q2135" i="2"/>
  <c r="P2135" i="2"/>
  <c r="O2135" i="2"/>
  <c r="R2134" i="2"/>
  <c r="Q2134" i="2"/>
  <c r="P2134" i="2"/>
  <c r="O2134" i="2"/>
  <c r="R2133" i="2"/>
  <c r="Q2133" i="2"/>
  <c r="P2133" i="2"/>
  <c r="O2133" i="2"/>
  <c r="R2132" i="2"/>
  <c r="Q2132" i="2"/>
  <c r="P2132" i="2"/>
  <c r="O2132" i="2"/>
  <c r="R2131" i="2"/>
  <c r="Q2131" i="2"/>
  <c r="P2131" i="2"/>
  <c r="O2131" i="2"/>
  <c r="R2130" i="2"/>
  <c r="Q2130" i="2"/>
  <c r="P2130" i="2"/>
  <c r="O2130" i="2"/>
  <c r="R2129" i="2"/>
  <c r="Q2129" i="2"/>
  <c r="P2129" i="2"/>
  <c r="O2129" i="2"/>
  <c r="R2128" i="2"/>
  <c r="Q2128" i="2"/>
  <c r="P2128" i="2"/>
  <c r="O2128" i="2"/>
  <c r="R2127" i="2"/>
  <c r="Q2127" i="2"/>
  <c r="P2127" i="2"/>
  <c r="O2127" i="2"/>
  <c r="R2126" i="2"/>
  <c r="Q2126" i="2"/>
  <c r="P2126" i="2"/>
  <c r="O2126" i="2"/>
  <c r="R2125" i="2"/>
  <c r="Q2125" i="2"/>
  <c r="P2125" i="2"/>
  <c r="O2125" i="2"/>
  <c r="R2124" i="2"/>
  <c r="Q2124" i="2"/>
  <c r="P2124" i="2"/>
  <c r="O2124" i="2"/>
  <c r="R2123" i="2"/>
  <c r="Q2123" i="2"/>
  <c r="P2123" i="2"/>
  <c r="O2123" i="2"/>
  <c r="R2122" i="2"/>
  <c r="Q2122" i="2"/>
  <c r="P2122" i="2"/>
  <c r="O2122" i="2"/>
  <c r="R2121" i="2"/>
  <c r="Q2121" i="2"/>
  <c r="P2121" i="2"/>
  <c r="O2121" i="2"/>
  <c r="R2120" i="2"/>
  <c r="Q2120" i="2"/>
  <c r="P2120" i="2"/>
  <c r="O2120" i="2"/>
  <c r="R2119" i="2"/>
  <c r="Q2119" i="2"/>
  <c r="P2119" i="2"/>
  <c r="O2119" i="2"/>
  <c r="R2118" i="2"/>
  <c r="Q2118" i="2"/>
  <c r="P2118" i="2"/>
  <c r="O2118" i="2"/>
  <c r="R2117" i="2"/>
  <c r="Q2117" i="2"/>
  <c r="P2117" i="2"/>
  <c r="O2117" i="2"/>
  <c r="R2116" i="2"/>
  <c r="Q2116" i="2"/>
  <c r="P2116" i="2"/>
  <c r="O2116" i="2"/>
  <c r="R2115" i="2"/>
  <c r="Q2115" i="2"/>
  <c r="P2115" i="2"/>
  <c r="O2115" i="2"/>
  <c r="R2114" i="2"/>
  <c r="Q2114" i="2"/>
  <c r="P2114" i="2"/>
  <c r="O2114" i="2"/>
  <c r="R2113" i="2"/>
  <c r="Q2113" i="2"/>
  <c r="P2113" i="2"/>
  <c r="O2113" i="2"/>
  <c r="R2112" i="2"/>
  <c r="Q2112" i="2"/>
  <c r="P2112" i="2"/>
  <c r="O2112" i="2"/>
  <c r="R2111" i="2"/>
  <c r="Q2111" i="2"/>
  <c r="P2111" i="2"/>
  <c r="O2111" i="2"/>
  <c r="R2110" i="2"/>
  <c r="Q2110" i="2"/>
  <c r="P2110" i="2"/>
  <c r="O2110" i="2"/>
  <c r="R2109" i="2"/>
  <c r="Q2109" i="2"/>
  <c r="P2109" i="2"/>
  <c r="O2109" i="2"/>
  <c r="R2108" i="2"/>
  <c r="Q2108" i="2"/>
  <c r="P2108" i="2"/>
  <c r="O2108" i="2"/>
  <c r="R2107" i="2"/>
  <c r="Q2107" i="2"/>
  <c r="P2107" i="2"/>
  <c r="O2107" i="2"/>
  <c r="R2106" i="2"/>
  <c r="Q2106" i="2"/>
  <c r="P2106" i="2"/>
  <c r="O2106" i="2"/>
  <c r="R2105" i="2"/>
  <c r="Q2105" i="2"/>
  <c r="P2105" i="2"/>
  <c r="O2105" i="2"/>
  <c r="R2104" i="2"/>
  <c r="Q2104" i="2"/>
  <c r="P2104" i="2"/>
  <c r="O2104" i="2"/>
  <c r="R2103" i="2"/>
  <c r="Q2103" i="2"/>
  <c r="P2103" i="2"/>
  <c r="O2103" i="2"/>
  <c r="R2102" i="2"/>
  <c r="Q2102" i="2"/>
  <c r="P2102" i="2"/>
  <c r="O2102" i="2"/>
  <c r="R2101" i="2"/>
  <c r="Q2101" i="2"/>
  <c r="P2101" i="2"/>
  <c r="O2101" i="2"/>
  <c r="R2100" i="2"/>
  <c r="Q2100" i="2"/>
  <c r="P2100" i="2"/>
  <c r="O2100" i="2"/>
  <c r="R2099" i="2"/>
  <c r="Q2099" i="2"/>
  <c r="P2099" i="2"/>
  <c r="O2099" i="2"/>
  <c r="R2098" i="2"/>
  <c r="Q2098" i="2"/>
  <c r="P2098" i="2"/>
  <c r="O2098" i="2"/>
  <c r="R2097" i="2"/>
  <c r="Q2097" i="2"/>
  <c r="P2097" i="2"/>
  <c r="O2097" i="2"/>
  <c r="R2096" i="2"/>
  <c r="Q2096" i="2"/>
  <c r="P2096" i="2"/>
  <c r="O2096" i="2"/>
  <c r="R2095" i="2"/>
  <c r="Q2095" i="2"/>
  <c r="P2095" i="2"/>
  <c r="O2095" i="2"/>
  <c r="R2094" i="2"/>
  <c r="Q2094" i="2"/>
  <c r="P2094" i="2"/>
  <c r="O2094" i="2"/>
  <c r="R2093" i="2"/>
  <c r="Q2093" i="2"/>
  <c r="P2093" i="2"/>
  <c r="O2093" i="2"/>
  <c r="R2092" i="2"/>
  <c r="Q2092" i="2"/>
  <c r="P2092" i="2"/>
  <c r="O2092" i="2"/>
  <c r="R2091" i="2"/>
  <c r="Q2091" i="2"/>
  <c r="P2091" i="2"/>
  <c r="O2091" i="2"/>
  <c r="R2090" i="2"/>
  <c r="Q2090" i="2"/>
  <c r="P2090" i="2"/>
  <c r="O2090" i="2"/>
  <c r="R2089" i="2"/>
  <c r="Q2089" i="2"/>
  <c r="P2089" i="2"/>
  <c r="O2089" i="2"/>
  <c r="R2088" i="2"/>
  <c r="Q2088" i="2"/>
  <c r="P2088" i="2"/>
  <c r="O2088" i="2"/>
  <c r="R2087" i="2"/>
  <c r="Q2087" i="2"/>
  <c r="P2087" i="2"/>
  <c r="O2087" i="2"/>
  <c r="R2086" i="2"/>
  <c r="Q2086" i="2"/>
  <c r="P2086" i="2"/>
  <c r="O2086" i="2"/>
  <c r="R2085" i="2"/>
  <c r="Q2085" i="2"/>
  <c r="P2085" i="2"/>
  <c r="O2085" i="2"/>
  <c r="R2084" i="2"/>
  <c r="Q2084" i="2"/>
  <c r="P2084" i="2"/>
  <c r="O2084" i="2"/>
  <c r="R2083" i="2"/>
  <c r="Q2083" i="2"/>
  <c r="P2083" i="2"/>
  <c r="O2083" i="2"/>
  <c r="R2082" i="2"/>
  <c r="Q2082" i="2"/>
  <c r="P2082" i="2"/>
  <c r="O2082" i="2"/>
  <c r="R2081" i="2"/>
  <c r="Q2081" i="2"/>
  <c r="P2081" i="2"/>
  <c r="O2081" i="2"/>
  <c r="R2080" i="2"/>
  <c r="Q2080" i="2"/>
  <c r="P2080" i="2"/>
  <c r="O2080" i="2"/>
  <c r="R2079" i="2"/>
  <c r="Q2079" i="2"/>
  <c r="P2079" i="2"/>
  <c r="O2079" i="2"/>
  <c r="R2078" i="2"/>
  <c r="Q2078" i="2"/>
  <c r="P2078" i="2"/>
  <c r="O2078" i="2"/>
  <c r="R2077" i="2"/>
  <c r="Q2077" i="2"/>
  <c r="P2077" i="2"/>
  <c r="O2077" i="2"/>
  <c r="R2076" i="2"/>
  <c r="Q2076" i="2"/>
  <c r="P2076" i="2"/>
  <c r="O2076" i="2"/>
  <c r="R2075" i="2"/>
  <c r="Q2075" i="2"/>
  <c r="P2075" i="2"/>
  <c r="O2075" i="2"/>
  <c r="R2074" i="2"/>
  <c r="Q2074" i="2"/>
  <c r="P2074" i="2"/>
  <c r="O2074" i="2"/>
  <c r="R2073" i="2"/>
  <c r="Q2073" i="2"/>
  <c r="P2073" i="2"/>
  <c r="O2073" i="2"/>
  <c r="R2072" i="2"/>
  <c r="Q2072" i="2"/>
  <c r="P2072" i="2"/>
  <c r="O2072" i="2"/>
  <c r="R2071" i="2"/>
  <c r="Q2071" i="2"/>
  <c r="P2071" i="2"/>
  <c r="O2071" i="2"/>
  <c r="R2070" i="2"/>
  <c r="Q2070" i="2"/>
  <c r="P2070" i="2"/>
  <c r="O2070" i="2"/>
  <c r="R2069" i="2"/>
  <c r="Q2069" i="2"/>
  <c r="P2069" i="2"/>
  <c r="O2069" i="2"/>
  <c r="R2068" i="2"/>
  <c r="Q2068" i="2"/>
  <c r="P2068" i="2"/>
  <c r="O2068" i="2"/>
  <c r="R2067" i="2"/>
  <c r="Q2067" i="2"/>
  <c r="P2067" i="2"/>
  <c r="O2067" i="2"/>
  <c r="R2066" i="2"/>
  <c r="Q2066" i="2"/>
  <c r="P2066" i="2"/>
  <c r="O2066" i="2"/>
  <c r="R2065" i="2"/>
  <c r="Q2065" i="2"/>
  <c r="P2065" i="2"/>
  <c r="O2065" i="2"/>
  <c r="R2064" i="2"/>
  <c r="Q2064" i="2"/>
  <c r="P2064" i="2"/>
  <c r="O2064" i="2"/>
  <c r="R2063" i="2"/>
  <c r="Q2063" i="2"/>
  <c r="P2063" i="2"/>
  <c r="O2063" i="2"/>
  <c r="R2062" i="2"/>
  <c r="Q2062" i="2"/>
  <c r="P2062" i="2"/>
  <c r="O2062" i="2"/>
  <c r="R2061" i="2"/>
  <c r="Q2061" i="2"/>
  <c r="P2061" i="2"/>
  <c r="O2061" i="2"/>
  <c r="R2060" i="2"/>
  <c r="Q2060" i="2"/>
  <c r="P2060" i="2"/>
  <c r="O2060" i="2"/>
  <c r="R2059" i="2"/>
  <c r="Q2059" i="2"/>
  <c r="P2059" i="2"/>
  <c r="O2059" i="2"/>
  <c r="R2058" i="2"/>
  <c r="Q2058" i="2"/>
  <c r="P2058" i="2"/>
  <c r="O2058" i="2"/>
  <c r="R2057" i="2"/>
  <c r="Q2057" i="2"/>
  <c r="P2057" i="2"/>
  <c r="O2057" i="2"/>
  <c r="R2056" i="2"/>
  <c r="Q2056" i="2"/>
  <c r="P2056" i="2"/>
  <c r="O2056" i="2"/>
  <c r="R2055" i="2"/>
  <c r="Q2055" i="2"/>
  <c r="P2055" i="2"/>
  <c r="O2055" i="2"/>
  <c r="R2054" i="2"/>
  <c r="Q2054" i="2"/>
  <c r="P2054" i="2"/>
  <c r="O2054" i="2"/>
  <c r="R2053" i="2"/>
  <c r="Q2053" i="2"/>
  <c r="P2053" i="2"/>
  <c r="O2053" i="2"/>
  <c r="R2052" i="2"/>
  <c r="Q2052" i="2"/>
  <c r="P2052" i="2"/>
  <c r="O2052" i="2"/>
  <c r="R2051" i="2"/>
  <c r="Q2051" i="2"/>
  <c r="P2051" i="2"/>
  <c r="O2051" i="2"/>
  <c r="R2050" i="2"/>
  <c r="Q2050" i="2"/>
  <c r="P2050" i="2"/>
  <c r="O2050" i="2"/>
  <c r="R2049" i="2"/>
  <c r="Q2049" i="2"/>
  <c r="P2049" i="2"/>
  <c r="O2049" i="2"/>
  <c r="R2048" i="2"/>
  <c r="Q2048" i="2"/>
  <c r="P2048" i="2"/>
  <c r="O2048" i="2"/>
  <c r="R2047" i="2"/>
  <c r="Q2047" i="2"/>
  <c r="P2047" i="2"/>
  <c r="O2047" i="2"/>
  <c r="R2046" i="2"/>
  <c r="Q2046" i="2"/>
  <c r="P2046" i="2"/>
  <c r="O2046" i="2"/>
  <c r="R2045" i="2"/>
  <c r="Q2045" i="2"/>
  <c r="P2045" i="2"/>
  <c r="O2045" i="2"/>
  <c r="R2044" i="2"/>
  <c r="Q2044" i="2"/>
  <c r="P2044" i="2"/>
  <c r="O2044" i="2"/>
  <c r="R2043" i="2"/>
  <c r="Q2043" i="2"/>
  <c r="P2043" i="2"/>
  <c r="O2043" i="2"/>
  <c r="R2042" i="2"/>
  <c r="Q2042" i="2"/>
  <c r="P2042" i="2"/>
  <c r="O2042" i="2"/>
  <c r="R2041" i="2"/>
  <c r="Q2041" i="2"/>
  <c r="P2041" i="2"/>
  <c r="O2041" i="2"/>
  <c r="R2040" i="2"/>
  <c r="Q2040" i="2"/>
  <c r="P2040" i="2"/>
  <c r="O2040" i="2"/>
  <c r="R2039" i="2"/>
  <c r="Q2039" i="2"/>
  <c r="P2039" i="2"/>
  <c r="O2039" i="2"/>
  <c r="R2038" i="2"/>
  <c r="Q2038" i="2"/>
  <c r="P2038" i="2"/>
  <c r="O2038" i="2"/>
  <c r="R2037" i="2"/>
  <c r="Q2037" i="2"/>
  <c r="P2037" i="2"/>
  <c r="O2037" i="2"/>
  <c r="R2036" i="2"/>
  <c r="Q2036" i="2"/>
  <c r="P2036" i="2"/>
  <c r="O2036" i="2"/>
  <c r="R2035" i="2"/>
  <c r="Q2035" i="2"/>
  <c r="P2035" i="2"/>
  <c r="O2035" i="2"/>
  <c r="R2034" i="2"/>
  <c r="Q2034" i="2"/>
  <c r="P2034" i="2"/>
  <c r="O2034" i="2"/>
  <c r="R2033" i="2"/>
  <c r="Q2033" i="2"/>
  <c r="P2033" i="2"/>
  <c r="O2033" i="2"/>
  <c r="R2032" i="2"/>
  <c r="Q2032" i="2"/>
  <c r="P2032" i="2"/>
  <c r="O2032" i="2"/>
  <c r="R2031" i="2"/>
  <c r="Q2031" i="2"/>
  <c r="P2031" i="2"/>
  <c r="O2031" i="2"/>
  <c r="R2030" i="2"/>
  <c r="Q2030" i="2"/>
  <c r="P2030" i="2"/>
  <c r="O2030" i="2"/>
  <c r="R2029" i="2"/>
  <c r="Q2029" i="2"/>
  <c r="P2029" i="2"/>
  <c r="O2029" i="2"/>
  <c r="R2028" i="2"/>
  <c r="Q2028" i="2"/>
  <c r="P2028" i="2"/>
  <c r="O2028" i="2"/>
  <c r="R2027" i="2"/>
  <c r="Q2027" i="2"/>
  <c r="P2027" i="2"/>
  <c r="O2027" i="2"/>
  <c r="R2026" i="2"/>
  <c r="Q2026" i="2"/>
  <c r="P2026" i="2"/>
  <c r="O2026" i="2"/>
  <c r="R2025" i="2"/>
  <c r="Q2025" i="2"/>
  <c r="P2025" i="2"/>
  <c r="O2025" i="2"/>
  <c r="R2024" i="2"/>
  <c r="Q2024" i="2"/>
  <c r="P2024" i="2"/>
  <c r="O2024" i="2"/>
  <c r="R2023" i="2"/>
  <c r="Q2023" i="2"/>
  <c r="P2023" i="2"/>
  <c r="O2023" i="2"/>
  <c r="R2022" i="2"/>
  <c r="Q2022" i="2"/>
  <c r="P2022" i="2"/>
  <c r="O2022" i="2"/>
  <c r="R2021" i="2"/>
  <c r="Q2021" i="2"/>
  <c r="P2021" i="2"/>
  <c r="O2021" i="2"/>
  <c r="R2020" i="2"/>
  <c r="Q2020" i="2"/>
  <c r="P2020" i="2"/>
  <c r="O2020" i="2"/>
  <c r="R2019" i="2"/>
  <c r="Q2019" i="2"/>
  <c r="P2019" i="2"/>
  <c r="O2019" i="2"/>
  <c r="R2018" i="2"/>
  <c r="Q2018" i="2"/>
  <c r="P2018" i="2"/>
  <c r="O2018" i="2"/>
  <c r="R2017" i="2"/>
  <c r="Q2017" i="2"/>
  <c r="P2017" i="2"/>
  <c r="O2017" i="2"/>
  <c r="R2016" i="2"/>
  <c r="Q2016" i="2"/>
  <c r="P2016" i="2"/>
  <c r="O2016" i="2"/>
  <c r="R2015" i="2"/>
  <c r="Q2015" i="2"/>
  <c r="P2015" i="2"/>
  <c r="O2015" i="2"/>
  <c r="R2014" i="2"/>
  <c r="Q2014" i="2"/>
  <c r="P2014" i="2"/>
  <c r="O2014" i="2"/>
  <c r="R2013" i="2"/>
  <c r="Q2013" i="2"/>
  <c r="P2013" i="2"/>
  <c r="O2013" i="2"/>
  <c r="R2012" i="2"/>
  <c r="Q2012" i="2"/>
  <c r="P2012" i="2"/>
  <c r="O2012" i="2"/>
  <c r="R2011" i="2"/>
  <c r="Q2011" i="2"/>
  <c r="P2011" i="2"/>
  <c r="O2011" i="2"/>
  <c r="R2010" i="2"/>
  <c r="Q2010" i="2"/>
  <c r="P2010" i="2"/>
  <c r="O2010" i="2"/>
  <c r="R2009" i="2"/>
  <c r="Q2009" i="2"/>
  <c r="P2009" i="2"/>
  <c r="O2009" i="2"/>
  <c r="R2008" i="2"/>
  <c r="Q2008" i="2"/>
  <c r="P2008" i="2"/>
  <c r="O2008" i="2"/>
  <c r="R2007" i="2"/>
  <c r="Q2007" i="2"/>
  <c r="P2007" i="2"/>
  <c r="O2007" i="2"/>
  <c r="R2006" i="2"/>
  <c r="Q2006" i="2"/>
  <c r="P2006" i="2"/>
  <c r="O2006" i="2"/>
  <c r="R2005" i="2"/>
  <c r="Q2005" i="2"/>
  <c r="P2005" i="2"/>
  <c r="O2005" i="2"/>
  <c r="R2004" i="2"/>
  <c r="Q2004" i="2"/>
  <c r="P2004" i="2"/>
  <c r="O2004" i="2"/>
  <c r="R2003" i="2"/>
  <c r="Q2003" i="2"/>
  <c r="P2003" i="2"/>
  <c r="O2003" i="2"/>
  <c r="R2002" i="2"/>
  <c r="Q2002" i="2"/>
  <c r="P2002" i="2"/>
  <c r="O2002" i="2"/>
  <c r="R2001" i="2"/>
  <c r="Q2001" i="2"/>
  <c r="P2001" i="2"/>
  <c r="O2001" i="2"/>
  <c r="R2000" i="2"/>
  <c r="Q2000" i="2"/>
  <c r="P2000" i="2"/>
  <c r="O2000" i="2"/>
  <c r="R1999" i="2"/>
  <c r="Q1999" i="2"/>
  <c r="P1999" i="2"/>
  <c r="O1999" i="2"/>
  <c r="R1998" i="2"/>
  <c r="Q1998" i="2"/>
  <c r="P1998" i="2"/>
  <c r="O1998" i="2"/>
  <c r="R1997" i="2"/>
  <c r="Q1997" i="2"/>
  <c r="P1997" i="2"/>
  <c r="O1997" i="2"/>
  <c r="R1996" i="2"/>
  <c r="Q1996" i="2"/>
  <c r="P1996" i="2"/>
  <c r="O1996" i="2"/>
  <c r="R1995" i="2"/>
  <c r="Q1995" i="2"/>
  <c r="P1995" i="2"/>
  <c r="O1995" i="2"/>
  <c r="R1994" i="2"/>
  <c r="Q1994" i="2"/>
  <c r="P1994" i="2"/>
  <c r="O1994" i="2"/>
  <c r="R1993" i="2"/>
  <c r="Q1993" i="2"/>
  <c r="P1993" i="2"/>
  <c r="O1993" i="2"/>
  <c r="R1992" i="2"/>
  <c r="Q1992" i="2"/>
  <c r="P1992" i="2"/>
  <c r="O1992" i="2"/>
  <c r="R1991" i="2"/>
  <c r="Q1991" i="2"/>
  <c r="P1991" i="2"/>
  <c r="O1991" i="2"/>
  <c r="R1990" i="2"/>
  <c r="Q1990" i="2"/>
  <c r="P1990" i="2"/>
  <c r="O1990" i="2"/>
  <c r="R1989" i="2"/>
  <c r="Q1989" i="2"/>
  <c r="P1989" i="2"/>
  <c r="O1989" i="2"/>
  <c r="R1988" i="2"/>
  <c r="Q1988" i="2"/>
  <c r="P1988" i="2"/>
  <c r="O1988" i="2"/>
  <c r="R1987" i="2"/>
  <c r="Q1987" i="2"/>
  <c r="P1987" i="2"/>
  <c r="O1987" i="2"/>
  <c r="R1986" i="2"/>
  <c r="Q1986" i="2"/>
  <c r="P1986" i="2"/>
  <c r="O1986" i="2"/>
  <c r="R1985" i="2"/>
  <c r="Q1985" i="2"/>
  <c r="P1985" i="2"/>
  <c r="O1985" i="2"/>
  <c r="R1984" i="2"/>
  <c r="Q1984" i="2"/>
  <c r="P1984" i="2"/>
  <c r="O1984" i="2"/>
  <c r="R1983" i="2"/>
  <c r="Q1983" i="2"/>
  <c r="P1983" i="2"/>
  <c r="O1983" i="2"/>
  <c r="R1982" i="2"/>
  <c r="Q1982" i="2"/>
  <c r="P1982" i="2"/>
  <c r="O1982" i="2"/>
  <c r="R1981" i="2"/>
  <c r="Q1981" i="2"/>
  <c r="P1981" i="2"/>
  <c r="O1981" i="2"/>
  <c r="R1980" i="2"/>
  <c r="Q1980" i="2"/>
  <c r="P1980" i="2"/>
  <c r="O1980" i="2"/>
  <c r="R1979" i="2"/>
  <c r="Q1979" i="2"/>
  <c r="P1979" i="2"/>
  <c r="O1979" i="2"/>
  <c r="R1978" i="2"/>
  <c r="Q1978" i="2"/>
  <c r="P1978" i="2"/>
  <c r="O1978" i="2"/>
  <c r="R1977" i="2"/>
  <c r="Q1977" i="2"/>
  <c r="P1977" i="2"/>
  <c r="O1977" i="2"/>
  <c r="R1976" i="2"/>
  <c r="Q1976" i="2"/>
  <c r="P1976" i="2"/>
  <c r="O1976" i="2"/>
  <c r="R1975" i="2"/>
  <c r="Q1975" i="2"/>
  <c r="P1975" i="2"/>
  <c r="O1975" i="2"/>
  <c r="R1974" i="2"/>
  <c r="Q1974" i="2"/>
  <c r="P1974" i="2"/>
  <c r="O1974" i="2"/>
  <c r="R1973" i="2"/>
  <c r="Q1973" i="2"/>
  <c r="P1973" i="2"/>
  <c r="O1973" i="2"/>
  <c r="R1972" i="2"/>
  <c r="Q1972" i="2"/>
  <c r="P1972" i="2"/>
  <c r="O1972" i="2"/>
  <c r="R1971" i="2"/>
  <c r="Q1971" i="2"/>
  <c r="P1971" i="2"/>
  <c r="O1971" i="2"/>
  <c r="R1970" i="2"/>
  <c r="Q1970" i="2"/>
  <c r="P1970" i="2"/>
  <c r="O1970" i="2"/>
  <c r="R1969" i="2"/>
  <c r="Q1969" i="2"/>
  <c r="P1969" i="2"/>
  <c r="O1969" i="2"/>
  <c r="R1968" i="2"/>
  <c r="Q1968" i="2"/>
  <c r="P1968" i="2"/>
  <c r="O1968" i="2"/>
  <c r="R1967" i="2"/>
  <c r="Q1967" i="2"/>
  <c r="P1967" i="2"/>
  <c r="O1967" i="2"/>
  <c r="R1966" i="2"/>
  <c r="Q1966" i="2"/>
  <c r="P1966" i="2"/>
  <c r="O1966" i="2"/>
  <c r="R1965" i="2"/>
  <c r="Q1965" i="2"/>
  <c r="P1965" i="2"/>
  <c r="O1965" i="2"/>
  <c r="R1964" i="2"/>
  <c r="Q1964" i="2"/>
  <c r="P1964" i="2"/>
  <c r="O1964" i="2"/>
  <c r="R1963" i="2"/>
  <c r="Q1963" i="2"/>
  <c r="P1963" i="2"/>
  <c r="O1963" i="2"/>
  <c r="R1962" i="2"/>
  <c r="Q1962" i="2"/>
  <c r="P1962" i="2"/>
  <c r="O1962" i="2"/>
  <c r="R1961" i="2"/>
  <c r="Q1961" i="2"/>
  <c r="P1961" i="2"/>
  <c r="O1961" i="2"/>
  <c r="R1960" i="2"/>
  <c r="Q1960" i="2"/>
  <c r="P1960" i="2"/>
  <c r="O1960" i="2"/>
  <c r="R1959" i="2"/>
  <c r="Q1959" i="2"/>
  <c r="P1959" i="2"/>
  <c r="O1959" i="2"/>
  <c r="R1958" i="2"/>
  <c r="Q1958" i="2"/>
  <c r="P1958" i="2"/>
  <c r="O1958" i="2"/>
  <c r="R1957" i="2"/>
  <c r="Q1957" i="2"/>
  <c r="P1957" i="2"/>
  <c r="O1957" i="2"/>
  <c r="R1956" i="2"/>
  <c r="Q1956" i="2"/>
  <c r="P1956" i="2"/>
  <c r="O1956" i="2"/>
  <c r="R1955" i="2"/>
  <c r="Q1955" i="2"/>
  <c r="P1955" i="2"/>
  <c r="O1955" i="2"/>
  <c r="R1954" i="2"/>
  <c r="Q1954" i="2"/>
  <c r="P1954" i="2"/>
  <c r="O1954" i="2"/>
  <c r="R1953" i="2"/>
  <c r="Q1953" i="2"/>
  <c r="P1953" i="2"/>
  <c r="O1953" i="2"/>
  <c r="R1952" i="2"/>
  <c r="Q1952" i="2"/>
  <c r="P1952" i="2"/>
  <c r="O1952" i="2"/>
  <c r="R1951" i="2"/>
  <c r="Q1951" i="2"/>
  <c r="P1951" i="2"/>
  <c r="O1951" i="2"/>
  <c r="R1950" i="2"/>
  <c r="Q1950" i="2"/>
  <c r="P1950" i="2"/>
  <c r="O1950" i="2"/>
  <c r="R1949" i="2"/>
  <c r="Q1949" i="2"/>
  <c r="P1949" i="2"/>
  <c r="O1949" i="2"/>
  <c r="R1948" i="2"/>
  <c r="Q1948" i="2"/>
  <c r="P1948" i="2"/>
  <c r="O1948" i="2"/>
  <c r="R1947" i="2"/>
  <c r="Q1947" i="2"/>
  <c r="P1947" i="2"/>
  <c r="O1947" i="2"/>
  <c r="R1946" i="2"/>
  <c r="Q1946" i="2"/>
  <c r="P1946" i="2"/>
  <c r="O1946" i="2"/>
  <c r="R1945" i="2"/>
  <c r="Q1945" i="2"/>
  <c r="P1945" i="2"/>
  <c r="O1945" i="2"/>
  <c r="R1944" i="2"/>
  <c r="Q1944" i="2"/>
  <c r="P1944" i="2"/>
  <c r="O1944" i="2"/>
  <c r="R1943" i="2"/>
  <c r="Q1943" i="2"/>
  <c r="P1943" i="2"/>
  <c r="O1943" i="2"/>
  <c r="R1942" i="2"/>
  <c r="Q1942" i="2"/>
  <c r="P1942" i="2"/>
  <c r="O1942" i="2"/>
  <c r="R1941" i="2"/>
  <c r="Q1941" i="2"/>
  <c r="P1941" i="2"/>
  <c r="O1941" i="2"/>
  <c r="R1940" i="2"/>
  <c r="Q1940" i="2"/>
  <c r="P1940" i="2"/>
  <c r="O1940" i="2"/>
  <c r="R1939" i="2"/>
  <c r="Q1939" i="2"/>
  <c r="P1939" i="2"/>
  <c r="O1939" i="2"/>
  <c r="R1938" i="2"/>
  <c r="Q1938" i="2"/>
  <c r="P1938" i="2"/>
  <c r="O1938" i="2"/>
  <c r="R1937" i="2"/>
  <c r="Q1937" i="2"/>
  <c r="P1937" i="2"/>
  <c r="O1937" i="2"/>
  <c r="R1936" i="2"/>
  <c r="Q1936" i="2"/>
  <c r="P1936" i="2"/>
  <c r="O1936" i="2"/>
  <c r="R1935" i="2"/>
  <c r="Q1935" i="2"/>
  <c r="P1935" i="2"/>
  <c r="O1935" i="2"/>
  <c r="R1934" i="2"/>
  <c r="Q1934" i="2"/>
  <c r="P1934" i="2"/>
  <c r="O1934" i="2"/>
  <c r="R1933" i="2"/>
  <c r="Q1933" i="2"/>
  <c r="P1933" i="2"/>
  <c r="O1933" i="2"/>
  <c r="R1932" i="2"/>
  <c r="Q1932" i="2"/>
  <c r="P1932" i="2"/>
  <c r="O1932" i="2"/>
  <c r="R1931" i="2"/>
  <c r="Q1931" i="2"/>
  <c r="P1931" i="2"/>
  <c r="O1931" i="2"/>
  <c r="R1930" i="2"/>
  <c r="Q1930" i="2"/>
  <c r="P1930" i="2"/>
  <c r="O1930" i="2"/>
  <c r="R1929" i="2"/>
  <c r="Q1929" i="2"/>
  <c r="P1929" i="2"/>
  <c r="O1929" i="2"/>
  <c r="R1928" i="2"/>
  <c r="Q1928" i="2"/>
  <c r="P1928" i="2"/>
  <c r="O1928" i="2"/>
  <c r="R1927" i="2"/>
  <c r="Q1927" i="2"/>
  <c r="P1927" i="2"/>
  <c r="O1927" i="2"/>
  <c r="R1926" i="2"/>
  <c r="Q1926" i="2"/>
  <c r="P1926" i="2"/>
  <c r="O1926" i="2"/>
  <c r="R1925" i="2"/>
  <c r="Q1925" i="2"/>
  <c r="P1925" i="2"/>
  <c r="O1925" i="2"/>
  <c r="R1924" i="2"/>
  <c r="Q1924" i="2"/>
  <c r="P1924" i="2"/>
  <c r="O1924" i="2"/>
  <c r="R1923" i="2"/>
  <c r="Q1923" i="2"/>
  <c r="P1923" i="2"/>
  <c r="O1923" i="2"/>
  <c r="R1922" i="2"/>
  <c r="Q1922" i="2"/>
  <c r="P1922" i="2"/>
  <c r="O1922" i="2"/>
  <c r="R1921" i="2"/>
  <c r="Q1921" i="2"/>
  <c r="P1921" i="2"/>
  <c r="O1921" i="2"/>
  <c r="R1920" i="2"/>
  <c r="Q1920" i="2"/>
  <c r="P1920" i="2"/>
  <c r="O1920" i="2"/>
  <c r="R1919" i="2"/>
  <c r="Q1919" i="2"/>
  <c r="P1919" i="2"/>
  <c r="O1919" i="2"/>
  <c r="R1918" i="2"/>
  <c r="Q1918" i="2"/>
  <c r="P1918" i="2"/>
  <c r="O1918" i="2"/>
  <c r="R1917" i="2"/>
  <c r="Q1917" i="2"/>
  <c r="P1917" i="2"/>
  <c r="O1917" i="2"/>
  <c r="R1916" i="2"/>
  <c r="Q1916" i="2"/>
  <c r="P1916" i="2"/>
  <c r="O1916" i="2"/>
  <c r="R1915" i="2"/>
  <c r="Q1915" i="2"/>
  <c r="P1915" i="2"/>
  <c r="O1915" i="2"/>
  <c r="R1914" i="2"/>
  <c r="Q1914" i="2"/>
  <c r="P1914" i="2"/>
  <c r="O1914" i="2"/>
  <c r="R1913" i="2"/>
  <c r="Q1913" i="2"/>
  <c r="P1913" i="2"/>
  <c r="O1913" i="2"/>
  <c r="R1912" i="2"/>
  <c r="Q1912" i="2"/>
  <c r="P1912" i="2"/>
  <c r="O1912" i="2"/>
  <c r="R1911" i="2"/>
  <c r="Q1911" i="2"/>
  <c r="P1911" i="2"/>
  <c r="O1911" i="2"/>
  <c r="R1910" i="2"/>
  <c r="Q1910" i="2"/>
  <c r="P1910" i="2"/>
  <c r="O1910" i="2"/>
  <c r="R1909" i="2"/>
  <c r="Q1909" i="2"/>
  <c r="P1909" i="2"/>
  <c r="O1909" i="2"/>
  <c r="R1908" i="2"/>
  <c r="Q1908" i="2"/>
  <c r="P1908" i="2"/>
  <c r="O1908" i="2"/>
  <c r="R1907" i="2"/>
  <c r="Q1907" i="2"/>
  <c r="P1907" i="2"/>
  <c r="O1907" i="2"/>
  <c r="R1906" i="2"/>
  <c r="Q1906" i="2"/>
  <c r="P1906" i="2"/>
  <c r="O1906" i="2"/>
  <c r="R1905" i="2"/>
  <c r="Q1905" i="2"/>
  <c r="P1905" i="2"/>
  <c r="O1905" i="2"/>
  <c r="R1904" i="2"/>
  <c r="Q1904" i="2"/>
  <c r="P1904" i="2"/>
  <c r="O1904" i="2"/>
  <c r="R1903" i="2"/>
  <c r="Q1903" i="2"/>
  <c r="P1903" i="2"/>
  <c r="O1903" i="2"/>
  <c r="R1902" i="2"/>
  <c r="Q1902" i="2"/>
  <c r="P1902" i="2"/>
  <c r="O1902" i="2"/>
  <c r="R1901" i="2"/>
  <c r="Q1901" i="2"/>
  <c r="P1901" i="2"/>
  <c r="O1901" i="2"/>
  <c r="R1900" i="2"/>
  <c r="Q1900" i="2"/>
  <c r="P1900" i="2"/>
  <c r="O1900" i="2"/>
  <c r="R1899" i="2"/>
  <c r="Q1899" i="2"/>
  <c r="P1899" i="2"/>
  <c r="O1899" i="2"/>
  <c r="R1898" i="2"/>
  <c r="Q1898" i="2"/>
  <c r="P1898" i="2"/>
  <c r="O1898" i="2"/>
  <c r="R1897" i="2"/>
  <c r="Q1897" i="2"/>
  <c r="P1897" i="2"/>
  <c r="O1897" i="2"/>
  <c r="R1896" i="2"/>
  <c r="Q1896" i="2"/>
  <c r="P1896" i="2"/>
  <c r="O1896" i="2"/>
  <c r="R1895" i="2"/>
  <c r="Q1895" i="2"/>
  <c r="P1895" i="2"/>
  <c r="O1895" i="2"/>
  <c r="R1894" i="2"/>
  <c r="Q1894" i="2"/>
  <c r="P1894" i="2"/>
  <c r="O1894" i="2"/>
  <c r="R1893" i="2"/>
  <c r="Q1893" i="2"/>
  <c r="P1893" i="2"/>
  <c r="O1893" i="2"/>
  <c r="R1892" i="2"/>
  <c r="Q1892" i="2"/>
  <c r="P1892" i="2"/>
  <c r="O1892" i="2"/>
  <c r="R1891" i="2"/>
  <c r="Q1891" i="2"/>
  <c r="P1891" i="2"/>
  <c r="O1891" i="2"/>
  <c r="R1890" i="2"/>
  <c r="Q1890" i="2"/>
  <c r="P1890" i="2"/>
  <c r="O1890" i="2"/>
  <c r="R1889" i="2"/>
  <c r="Q1889" i="2"/>
  <c r="P1889" i="2"/>
  <c r="O1889" i="2"/>
  <c r="R1888" i="2"/>
  <c r="Q1888" i="2"/>
  <c r="P1888" i="2"/>
  <c r="O1888" i="2"/>
  <c r="R1887" i="2"/>
  <c r="Q1887" i="2"/>
  <c r="P1887" i="2"/>
  <c r="O1887" i="2"/>
  <c r="R1886" i="2"/>
  <c r="Q1886" i="2"/>
  <c r="P1886" i="2"/>
  <c r="O1886" i="2"/>
  <c r="R1885" i="2"/>
  <c r="Q1885" i="2"/>
  <c r="P1885" i="2"/>
  <c r="O1885" i="2"/>
  <c r="R1884" i="2"/>
  <c r="Q1884" i="2"/>
  <c r="P1884" i="2"/>
  <c r="O1884" i="2"/>
  <c r="R1883" i="2"/>
  <c r="Q1883" i="2"/>
  <c r="P1883" i="2"/>
  <c r="O1883" i="2"/>
  <c r="R1882" i="2"/>
  <c r="Q1882" i="2"/>
  <c r="P1882" i="2"/>
  <c r="O1882" i="2"/>
  <c r="R1881" i="2"/>
  <c r="Q1881" i="2"/>
  <c r="P1881" i="2"/>
  <c r="O1881" i="2"/>
  <c r="R1880" i="2"/>
  <c r="Q1880" i="2"/>
  <c r="P1880" i="2"/>
  <c r="O1880" i="2"/>
  <c r="R1879" i="2"/>
  <c r="Q1879" i="2"/>
  <c r="P1879" i="2"/>
  <c r="O1879" i="2"/>
  <c r="R1878" i="2"/>
  <c r="Q1878" i="2"/>
  <c r="P1878" i="2"/>
  <c r="O1878" i="2"/>
  <c r="R1877" i="2"/>
  <c r="Q1877" i="2"/>
  <c r="P1877" i="2"/>
  <c r="O1877" i="2"/>
  <c r="R1876" i="2"/>
  <c r="Q1876" i="2"/>
  <c r="P1876" i="2"/>
  <c r="O1876" i="2"/>
  <c r="R1875" i="2"/>
  <c r="Q1875" i="2"/>
  <c r="P1875" i="2"/>
  <c r="O1875" i="2"/>
  <c r="R1874" i="2"/>
  <c r="Q1874" i="2"/>
  <c r="P1874" i="2"/>
  <c r="O1874" i="2"/>
  <c r="R1873" i="2"/>
  <c r="Q1873" i="2"/>
  <c r="P1873" i="2"/>
  <c r="O1873" i="2"/>
  <c r="R1872" i="2"/>
  <c r="Q1872" i="2"/>
  <c r="P1872" i="2"/>
  <c r="O1872" i="2"/>
  <c r="R1871" i="2"/>
  <c r="Q1871" i="2"/>
  <c r="P1871" i="2"/>
  <c r="O1871" i="2"/>
  <c r="R1870" i="2"/>
  <c r="Q1870" i="2"/>
  <c r="P1870" i="2"/>
  <c r="O1870" i="2"/>
  <c r="R1869" i="2"/>
  <c r="Q1869" i="2"/>
  <c r="P1869" i="2"/>
  <c r="O1869" i="2"/>
  <c r="R1868" i="2"/>
  <c r="Q1868" i="2"/>
  <c r="P1868" i="2"/>
  <c r="O1868" i="2"/>
  <c r="R1867" i="2"/>
  <c r="Q1867" i="2"/>
  <c r="P1867" i="2"/>
  <c r="O1867" i="2"/>
  <c r="R1866" i="2"/>
  <c r="Q1866" i="2"/>
  <c r="P1866" i="2"/>
  <c r="O1866" i="2"/>
  <c r="R1865" i="2"/>
  <c r="Q1865" i="2"/>
  <c r="P1865" i="2"/>
  <c r="O1865" i="2"/>
  <c r="R1864" i="2"/>
  <c r="Q1864" i="2"/>
  <c r="P1864" i="2"/>
  <c r="O1864" i="2"/>
  <c r="R1863" i="2"/>
  <c r="Q1863" i="2"/>
  <c r="P1863" i="2"/>
  <c r="O1863" i="2"/>
  <c r="R1862" i="2"/>
  <c r="Q1862" i="2"/>
  <c r="P1862" i="2"/>
  <c r="O1862" i="2"/>
  <c r="R1861" i="2"/>
  <c r="Q1861" i="2"/>
  <c r="P1861" i="2"/>
  <c r="O1861" i="2"/>
  <c r="R1860" i="2"/>
  <c r="Q1860" i="2"/>
  <c r="P1860" i="2"/>
  <c r="O1860" i="2"/>
  <c r="R1859" i="2"/>
  <c r="Q1859" i="2"/>
  <c r="P1859" i="2"/>
  <c r="O1859" i="2"/>
  <c r="R1858" i="2"/>
  <c r="Q1858" i="2"/>
  <c r="P1858" i="2"/>
  <c r="O1858" i="2"/>
  <c r="R1857" i="2"/>
  <c r="Q1857" i="2"/>
  <c r="P1857" i="2"/>
  <c r="O1857" i="2"/>
  <c r="R1856" i="2"/>
  <c r="Q1856" i="2"/>
  <c r="P1856" i="2"/>
  <c r="O1856" i="2"/>
  <c r="R1855" i="2"/>
  <c r="Q1855" i="2"/>
  <c r="P1855" i="2"/>
  <c r="O1855" i="2"/>
  <c r="R1854" i="2"/>
  <c r="Q1854" i="2"/>
  <c r="P1854" i="2"/>
  <c r="O1854" i="2"/>
  <c r="R1853" i="2"/>
  <c r="Q1853" i="2"/>
  <c r="P1853" i="2"/>
  <c r="O1853" i="2"/>
  <c r="R1852" i="2"/>
  <c r="Q1852" i="2"/>
  <c r="P1852" i="2"/>
  <c r="O1852" i="2"/>
  <c r="R1851" i="2"/>
  <c r="Q1851" i="2"/>
  <c r="P1851" i="2"/>
  <c r="O1851" i="2"/>
  <c r="R1850" i="2"/>
  <c r="Q1850" i="2"/>
  <c r="P1850" i="2"/>
  <c r="O1850" i="2"/>
  <c r="R1849" i="2"/>
  <c r="Q1849" i="2"/>
  <c r="P1849" i="2"/>
  <c r="O1849" i="2"/>
  <c r="R1848" i="2"/>
  <c r="Q1848" i="2"/>
  <c r="P1848" i="2"/>
  <c r="O1848" i="2"/>
  <c r="R1847" i="2"/>
  <c r="Q1847" i="2"/>
  <c r="P1847" i="2"/>
  <c r="O1847" i="2"/>
  <c r="R1846" i="2"/>
  <c r="Q1846" i="2"/>
  <c r="P1846" i="2"/>
  <c r="O1846" i="2"/>
  <c r="R1845" i="2"/>
  <c r="Q1845" i="2"/>
  <c r="P1845" i="2"/>
  <c r="O1845" i="2"/>
  <c r="R1844" i="2"/>
  <c r="Q1844" i="2"/>
  <c r="P1844" i="2"/>
  <c r="O1844" i="2"/>
  <c r="R1843" i="2"/>
  <c r="Q1843" i="2"/>
  <c r="P1843" i="2"/>
  <c r="O1843" i="2"/>
  <c r="R1842" i="2"/>
  <c r="Q1842" i="2"/>
  <c r="P1842" i="2"/>
  <c r="O1842" i="2"/>
  <c r="R1841" i="2"/>
  <c r="Q1841" i="2"/>
  <c r="P1841" i="2"/>
  <c r="O1841" i="2"/>
  <c r="R1840" i="2"/>
  <c r="Q1840" i="2"/>
  <c r="P1840" i="2"/>
  <c r="O1840" i="2"/>
  <c r="R1839" i="2"/>
  <c r="Q1839" i="2"/>
  <c r="P1839" i="2"/>
  <c r="O1839" i="2"/>
  <c r="R1838" i="2"/>
  <c r="Q1838" i="2"/>
  <c r="P1838" i="2"/>
  <c r="O1838" i="2"/>
  <c r="R1837" i="2"/>
  <c r="Q1837" i="2"/>
  <c r="P1837" i="2"/>
  <c r="O1837" i="2"/>
  <c r="R1836" i="2"/>
  <c r="Q1836" i="2"/>
  <c r="P1836" i="2"/>
  <c r="O1836" i="2"/>
  <c r="R1835" i="2"/>
  <c r="Q1835" i="2"/>
  <c r="P1835" i="2"/>
  <c r="O1835" i="2"/>
  <c r="R1834" i="2"/>
  <c r="Q1834" i="2"/>
  <c r="P1834" i="2"/>
  <c r="O1834" i="2"/>
  <c r="R1833" i="2"/>
  <c r="Q1833" i="2"/>
  <c r="P1833" i="2"/>
  <c r="O1833" i="2"/>
  <c r="R1832" i="2"/>
  <c r="Q1832" i="2"/>
  <c r="P1832" i="2"/>
  <c r="O1832" i="2"/>
  <c r="R1831" i="2"/>
  <c r="Q1831" i="2"/>
  <c r="P1831" i="2"/>
  <c r="O1831" i="2"/>
  <c r="R1830" i="2"/>
  <c r="Q1830" i="2"/>
  <c r="P1830" i="2"/>
  <c r="O1830" i="2"/>
  <c r="R1829" i="2"/>
  <c r="Q1829" i="2"/>
  <c r="P1829" i="2"/>
  <c r="O1829" i="2"/>
  <c r="R1828" i="2"/>
  <c r="Q1828" i="2"/>
  <c r="P1828" i="2"/>
  <c r="O1828" i="2"/>
  <c r="R1827" i="2"/>
  <c r="Q1827" i="2"/>
  <c r="P1827" i="2"/>
  <c r="O1827" i="2"/>
  <c r="R1826" i="2"/>
  <c r="Q1826" i="2"/>
  <c r="P1826" i="2"/>
  <c r="O1826" i="2"/>
  <c r="R1825" i="2"/>
  <c r="Q1825" i="2"/>
  <c r="P1825" i="2"/>
  <c r="O1825" i="2"/>
  <c r="R1824" i="2"/>
  <c r="Q1824" i="2"/>
  <c r="P1824" i="2"/>
  <c r="O1824" i="2"/>
  <c r="R1823" i="2"/>
  <c r="Q1823" i="2"/>
  <c r="P1823" i="2"/>
  <c r="O1823" i="2"/>
  <c r="R1822" i="2"/>
  <c r="Q1822" i="2"/>
  <c r="P1822" i="2"/>
  <c r="O1822" i="2"/>
  <c r="R1821" i="2"/>
  <c r="Q1821" i="2"/>
  <c r="P1821" i="2"/>
  <c r="O1821" i="2"/>
  <c r="R1820" i="2"/>
  <c r="Q1820" i="2"/>
  <c r="P1820" i="2"/>
  <c r="O1820" i="2"/>
  <c r="R1819" i="2"/>
  <c r="Q1819" i="2"/>
  <c r="P1819" i="2"/>
  <c r="O1819" i="2"/>
  <c r="R1818" i="2"/>
  <c r="Q1818" i="2"/>
  <c r="P1818" i="2"/>
  <c r="O1818" i="2"/>
  <c r="R1817" i="2"/>
  <c r="Q1817" i="2"/>
  <c r="P1817" i="2"/>
  <c r="O1817" i="2"/>
  <c r="R1816" i="2"/>
  <c r="Q1816" i="2"/>
  <c r="P1816" i="2"/>
  <c r="O1816" i="2"/>
  <c r="R1815" i="2"/>
  <c r="Q1815" i="2"/>
  <c r="P1815" i="2"/>
  <c r="O1815" i="2"/>
  <c r="R1814" i="2"/>
  <c r="Q1814" i="2"/>
  <c r="P1814" i="2"/>
  <c r="O1814" i="2"/>
  <c r="R1813" i="2"/>
  <c r="Q1813" i="2"/>
  <c r="P1813" i="2"/>
  <c r="O1813" i="2"/>
  <c r="R1812" i="2"/>
  <c r="Q1812" i="2"/>
  <c r="P1812" i="2"/>
  <c r="O1812" i="2"/>
  <c r="R1811" i="2"/>
  <c r="Q1811" i="2"/>
  <c r="P1811" i="2"/>
  <c r="O1811" i="2"/>
  <c r="R1810" i="2"/>
  <c r="Q1810" i="2"/>
  <c r="P1810" i="2"/>
  <c r="O1810" i="2"/>
  <c r="R1809" i="2"/>
  <c r="Q1809" i="2"/>
  <c r="P1809" i="2"/>
  <c r="O1809" i="2"/>
  <c r="R1808" i="2"/>
  <c r="Q1808" i="2"/>
  <c r="P1808" i="2"/>
  <c r="O1808" i="2"/>
  <c r="R1807" i="2"/>
  <c r="Q1807" i="2"/>
  <c r="P1807" i="2"/>
  <c r="O1807" i="2"/>
  <c r="R1806" i="2"/>
  <c r="Q1806" i="2"/>
  <c r="P1806" i="2"/>
  <c r="O1806" i="2"/>
  <c r="R1805" i="2"/>
  <c r="Q1805" i="2"/>
  <c r="P1805" i="2"/>
  <c r="O1805" i="2"/>
  <c r="R1804" i="2"/>
  <c r="Q1804" i="2"/>
  <c r="P1804" i="2"/>
  <c r="O1804" i="2"/>
  <c r="R1803" i="2"/>
  <c r="Q1803" i="2"/>
  <c r="P1803" i="2"/>
  <c r="O1803" i="2"/>
  <c r="R1802" i="2"/>
  <c r="Q1802" i="2"/>
  <c r="P1802" i="2"/>
  <c r="O1802" i="2"/>
  <c r="R1801" i="2"/>
  <c r="Q1801" i="2"/>
  <c r="P1801" i="2"/>
  <c r="O1801" i="2"/>
  <c r="R1800" i="2"/>
  <c r="Q1800" i="2"/>
  <c r="P1800" i="2"/>
  <c r="O1800" i="2"/>
  <c r="R1799" i="2"/>
  <c r="Q1799" i="2"/>
  <c r="P1799" i="2"/>
  <c r="O1799" i="2"/>
  <c r="R1798" i="2"/>
  <c r="Q1798" i="2"/>
  <c r="P1798" i="2"/>
  <c r="O1798" i="2"/>
  <c r="R1797" i="2"/>
  <c r="Q1797" i="2"/>
  <c r="P1797" i="2"/>
  <c r="O1797" i="2"/>
  <c r="R1796" i="2"/>
  <c r="Q1796" i="2"/>
  <c r="P1796" i="2"/>
  <c r="O1796" i="2"/>
  <c r="R1795" i="2"/>
  <c r="Q1795" i="2"/>
  <c r="P1795" i="2"/>
  <c r="O1795" i="2"/>
  <c r="R1794" i="2"/>
  <c r="Q1794" i="2"/>
  <c r="P1794" i="2"/>
  <c r="O1794" i="2"/>
  <c r="R1793" i="2"/>
  <c r="Q1793" i="2"/>
  <c r="P1793" i="2"/>
  <c r="O1793" i="2"/>
  <c r="R1792" i="2"/>
  <c r="Q1792" i="2"/>
  <c r="P1792" i="2"/>
  <c r="O1792" i="2"/>
  <c r="R1791" i="2"/>
  <c r="Q1791" i="2"/>
  <c r="P1791" i="2"/>
  <c r="O1791" i="2"/>
  <c r="R1790" i="2"/>
  <c r="Q1790" i="2"/>
  <c r="P1790" i="2"/>
  <c r="O1790" i="2"/>
  <c r="R1789" i="2"/>
  <c r="Q1789" i="2"/>
  <c r="P1789" i="2"/>
  <c r="O1789" i="2"/>
  <c r="R1788" i="2"/>
  <c r="Q1788" i="2"/>
  <c r="P1788" i="2"/>
  <c r="O1788" i="2"/>
  <c r="R1787" i="2"/>
  <c r="Q1787" i="2"/>
  <c r="P1787" i="2"/>
  <c r="O1787" i="2"/>
  <c r="R1786" i="2"/>
  <c r="Q1786" i="2"/>
  <c r="P1786" i="2"/>
  <c r="O1786" i="2"/>
  <c r="R1785" i="2"/>
  <c r="Q1785" i="2"/>
  <c r="P1785" i="2"/>
  <c r="O1785" i="2"/>
  <c r="R1784" i="2"/>
  <c r="Q1784" i="2"/>
  <c r="P1784" i="2"/>
  <c r="O1784" i="2"/>
  <c r="R1783" i="2"/>
  <c r="Q1783" i="2"/>
  <c r="P1783" i="2"/>
  <c r="O1783" i="2"/>
  <c r="R1782" i="2"/>
  <c r="Q1782" i="2"/>
  <c r="P1782" i="2"/>
  <c r="O1782" i="2"/>
  <c r="R1781" i="2"/>
  <c r="Q1781" i="2"/>
  <c r="P1781" i="2"/>
  <c r="O1781" i="2"/>
  <c r="R1780" i="2"/>
  <c r="Q1780" i="2"/>
  <c r="P1780" i="2"/>
  <c r="O1780" i="2"/>
  <c r="R1779" i="2"/>
  <c r="Q1779" i="2"/>
  <c r="P1779" i="2"/>
  <c r="O1779" i="2"/>
  <c r="R1778" i="2"/>
  <c r="Q1778" i="2"/>
  <c r="P1778" i="2"/>
  <c r="O1778" i="2"/>
  <c r="R1777" i="2"/>
  <c r="Q1777" i="2"/>
  <c r="P1777" i="2"/>
  <c r="O1777" i="2"/>
  <c r="R1776" i="2"/>
  <c r="Q1776" i="2"/>
  <c r="P1776" i="2"/>
  <c r="O1776" i="2"/>
  <c r="R1775" i="2"/>
  <c r="Q1775" i="2"/>
  <c r="P1775" i="2"/>
  <c r="O1775" i="2"/>
  <c r="R1774" i="2"/>
  <c r="Q1774" i="2"/>
  <c r="P1774" i="2"/>
  <c r="O1774" i="2"/>
  <c r="R1773" i="2"/>
  <c r="Q1773" i="2"/>
  <c r="P1773" i="2"/>
  <c r="O1773" i="2"/>
  <c r="R1772" i="2"/>
  <c r="Q1772" i="2"/>
  <c r="P1772" i="2"/>
  <c r="O1772" i="2"/>
  <c r="R1771" i="2"/>
  <c r="Q1771" i="2"/>
  <c r="P1771" i="2"/>
  <c r="O1771" i="2"/>
  <c r="R1770" i="2"/>
  <c r="Q1770" i="2"/>
  <c r="P1770" i="2"/>
  <c r="O1770" i="2"/>
  <c r="R1769" i="2"/>
  <c r="Q1769" i="2"/>
  <c r="P1769" i="2"/>
  <c r="O1769" i="2"/>
  <c r="R1768" i="2"/>
  <c r="Q1768" i="2"/>
  <c r="P1768" i="2"/>
  <c r="O1768" i="2"/>
  <c r="R1767" i="2"/>
  <c r="Q1767" i="2"/>
  <c r="P1767" i="2"/>
  <c r="O1767" i="2"/>
  <c r="R1766" i="2"/>
  <c r="Q1766" i="2"/>
  <c r="P1766" i="2"/>
  <c r="O1766" i="2"/>
  <c r="R1765" i="2"/>
  <c r="Q1765" i="2"/>
  <c r="P1765" i="2"/>
  <c r="O1765" i="2"/>
  <c r="R1764" i="2"/>
  <c r="Q1764" i="2"/>
  <c r="P1764" i="2"/>
  <c r="O1764" i="2"/>
  <c r="R1763" i="2"/>
  <c r="Q1763" i="2"/>
  <c r="P1763" i="2"/>
  <c r="O1763" i="2"/>
  <c r="R1762" i="2"/>
  <c r="Q1762" i="2"/>
  <c r="P1762" i="2"/>
  <c r="O1762" i="2"/>
  <c r="R1761" i="2"/>
  <c r="Q1761" i="2"/>
  <c r="P1761" i="2"/>
  <c r="O1761" i="2"/>
  <c r="R1760" i="2"/>
  <c r="Q1760" i="2"/>
  <c r="P1760" i="2"/>
  <c r="O1760" i="2"/>
  <c r="R1759" i="2"/>
  <c r="Q1759" i="2"/>
  <c r="P1759" i="2"/>
  <c r="O1759" i="2"/>
  <c r="R1758" i="2"/>
  <c r="Q1758" i="2"/>
  <c r="P1758" i="2"/>
  <c r="O1758" i="2"/>
  <c r="R1757" i="2"/>
  <c r="Q1757" i="2"/>
  <c r="P1757" i="2"/>
  <c r="O1757" i="2"/>
  <c r="R1756" i="2"/>
  <c r="Q1756" i="2"/>
  <c r="P1756" i="2"/>
  <c r="O1756" i="2"/>
  <c r="R1755" i="2"/>
  <c r="Q1755" i="2"/>
  <c r="P1755" i="2"/>
  <c r="O1755" i="2"/>
  <c r="R1754" i="2"/>
  <c r="Q1754" i="2"/>
  <c r="P1754" i="2"/>
  <c r="O1754" i="2"/>
  <c r="R1753" i="2"/>
  <c r="Q1753" i="2"/>
  <c r="P1753" i="2"/>
  <c r="O1753" i="2"/>
  <c r="R1752" i="2"/>
  <c r="Q1752" i="2"/>
  <c r="P1752" i="2"/>
  <c r="O1752" i="2"/>
  <c r="R1751" i="2"/>
  <c r="Q1751" i="2"/>
  <c r="P1751" i="2"/>
  <c r="O1751" i="2"/>
  <c r="R1750" i="2"/>
  <c r="Q1750" i="2"/>
  <c r="P1750" i="2"/>
  <c r="O1750" i="2"/>
  <c r="R1749" i="2"/>
  <c r="Q1749" i="2"/>
  <c r="P1749" i="2"/>
  <c r="O1749" i="2"/>
  <c r="R1748" i="2"/>
  <c r="Q1748" i="2"/>
  <c r="P1748" i="2"/>
  <c r="O1748" i="2"/>
  <c r="R1747" i="2"/>
  <c r="Q1747" i="2"/>
  <c r="P1747" i="2"/>
  <c r="O1747" i="2"/>
  <c r="R1746" i="2"/>
  <c r="Q1746" i="2"/>
  <c r="P1746" i="2"/>
  <c r="O1746" i="2"/>
  <c r="R1745" i="2"/>
  <c r="Q1745" i="2"/>
  <c r="P1745" i="2"/>
  <c r="O1745" i="2"/>
  <c r="R1744" i="2"/>
  <c r="Q1744" i="2"/>
  <c r="P1744" i="2"/>
  <c r="O1744" i="2"/>
  <c r="R1743" i="2"/>
  <c r="Q1743" i="2"/>
  <c r="P1743" i="2"/>
  <c r="O1743" i="2"/>
  <c r="R1742" i="2"/>
  <c r="Q1742" i="2"/>
  <c r="P1742" i="2"/>
  <c r="O1742" i="2"/>
  <c r="R1741" i="2"/>
  <c r="Q1741" i="2"/>
  <c r="P1741" i="2"/>
  <c r="O1741" i="2"/>
  <c r="R1740" i="2"/>
  <c r="Q1740" i="2"/>
  <c r="P1740" i="2"/>
  <c r="O1740" i="2"/>
  <c r="R1739" i="2"/>
  <c r="Q1739" i="2"/>
  <c r="P1739" i="2"/>
  <c r="O1739" i="2"/>
  <c r="R1738" i="2"/>
  <c r="Q1738" i="2"/>
  <c r="P1738" i="2"/>
  <c r="O1738" i="2"/>
  <c r="R1737" i="2"/>
  <c r="Q1737" i="2"/>
  <c r="P1737" i="2"/>
  <c r="O1737" i="2"/>
  <c r="R1736" i="2"/>
  <c r="Q1736" i="2"/>
  <c r="P1736" i="2"/>
  <c r="O1736" i="2"/>
  <c r="R1735" i="2"/>
  <c r="Q1735" i="2"/>
  <c r="P1735" i="2"/>
  <c r="O1735" i="2"/>
  <c r="R1734" i="2"/>
  <c r="Q1734" i="2"/>
  <c r="P1734" i="2"/>
  <c r="O1734" i="2"/>
  <c r="R1733" i="2"/>
  <c r="Q1733" i="2"/>
  <c r="P1733" i="2"/>
  <c r="O1733" i="2"/>
  <c r="R1732" i="2"/>
  <c r="Q1732" i="2"/>
  <c r="P1732" i="2"/>
  <c r="O1732" i="2"/>
  <c r="R1731" i="2"/>
  <c r="Q1731" i="2"/>
  <c r="P1731" i="2"/>
  <c r="O1731" i="2"/>
  <c r="R1730" i="2"/>
  <c r="Q1730" i="2"/>
  <c r="P1730" i="2"/>
  <c r="O1730" i="2"/>
  <c r="R1729" i="2"/>
  <c r="Q1729" i="2"/>
  <c r="P1729" i="2"/>
  <c r="O1729" i="2"/>
  <c r="R1728" i="2"/>
  <c r="Q1728" i="2"/>
  <c r="P1728" i="2"/>
  <c r="O1728" i="2"/>
  <c r="R1727" i="2"/>
  <c r="Q1727" i="2"/>
  <c r="P1727" i="2"/>
  <c r="O1727" i="2"/>
  <c r="R1726" i="2"/>
  <c r="Q1726" i="2"/>
  <c r="P1726" i="2"/>
  <c r="O1726" i="2"/>
  <c r="R1725" i="2"/>
  <c r="Q1725" i="2"/>
  <c r="P1725" i="2"/>
  <c r="O1725" i="2"/>
  <c r="R1724" i="2"/>
  <c r="Q1724" i="2"/>
  <c r="P1724" i="2"/>
  <c r="O1724" i="2"/>
  <c r="R1723" i="2"/>
  <c r="Q1723" i="2"/>
  <c r="P1723" i="2"/>
  <c r="O1723" i="2"/>
  <c r="R1722" i="2"/>
  <c r="Q1722" i="2"/>
  <c r="P1722" i="2"/>
  <c r="O1722" i="2"/>
  <c r="R1721" i="2"/>
  <c r="Q1721" i="2"/>
  <c r="P1721" i="2"/>
  <c r="O1721" i="2"/>
  <c r="R1720" i="2"/>
  <c r="Q1720" i="2"/>
  <c r="P1720" i="2"/>
  <c r="O1720" i="2"/>
  <c r="R1719" i="2"/>
  <c r="Q1719" i="2"/>
  <c r="P1719" i="2"/>
  <c r="O1719" i="2"/>
  <c r="R1718" i="2"/>
  <c r="Q1718" i="2"/>
  <c r="P1718" i="2"/>
  <c r="O1718" i="2"/>
  <c r="R1717" i="2"/>
  <c r="Q1717" i="2"/>
  <c r="P1717" i="2"/>
  <c r="O1717" i="2"/>
  <c r="R1716" i="2"/>
  <c r="Q1716" i="2"/>
  <c r="P1716" i="2"/>
  <c r="O1716" i="2"/>
  <c r="R1715" i="2"/>
  <c r="Q1715" i="2"/>
  <c r="P1715" i="2"/>
  <c r="O1715" i="2"/>
  <c r="R1714" i="2"/>
  <c r="Q1714" i="2"/>
  <c r="P1714" i="2"/>
  <c r="O1714" i="2"/>
  <c r="R1713" i="2"/>
  <c r="Q1713" i="2"/>
  <c r="P1713" i="2"/>
  <c r="O1713" i="2"/>
  <c r="R1712" i="2"/>
  <c r="Q1712" i="2"/>
  <c r="P1712" i="2"/>
  <c r="O1712" i="2"/>
  <c r="R1711" i="2"/>
  <c r="Q1711" i="2"/>
  <c r="P1711" i="2"/>
  <c r="O1711" i="2"/>
  <c r="R1710" i="2"/>
  <c r="Q1710" i="2"/>
  <c r="P1710" i="2"/>
  <c r="O1710" i="2"/>
  <c r="R1709" i="2"/>
  <c r="Q1709" i="2"/>
  <c r="P1709" i="2"/>
  <c r="O1709" i="2"/>
  <c r="R1708" i="2"/>
  <c r="Q1708" i="2"/>
  <c r="P1708" i="2"/>
  <c r="O1708" i="2"/>
  <c r="R1707" i="2"/>
  <c r="Q1707" i="2"/>
  <c r="P1707" i="2"/>
  <c r="O1707" i="2"/>
  <c r="R1706" i="2"/>
  <c r="Q1706" i="2"/>
  <c r="P1706" i="2"/>
  <c r="O1706" i="2"/>
  <c r="R1705" i="2"/>
  <c r="Q1705" i="2"/>
  <c r="P1705" i="2"/>
  <c r="O1705" i="2"/>
  <c r="R1704" i="2"/>
  <c r="Q1704" i="2"/>
  <c r="P1704" i="2"/>
  <c r="O1704" i="2"/>
  <c r="R1703" i="2"/>
  <c r="Q1703" i="2"/>
  <c r="P1703" i="2"/>
  <c r="O1703" i="2"/>
  <c r="R1702" i="2"/>
  <c r="Q1702" i="2"/>
  <c r="P1702" i="2"/>
  <c r="O1702" i="2"/>
  <c r="R1701" i="2"/>
  <c r="Q1701" i="2"/>
  <c r="P1701" i="2"/>
  <c r="O1701" i="2"/>
  <c r="R1700" i="2"/>
  <c r="Q1700" i="2"/>
  <c r="P1700" i="2"/>
  <c r="O1700" i="2"/>
  <c r="R1699" i="2"/>
  <c r="Q1699" i="2"/>
  <c r="P1699" i="2"/>
  <c r="O1699" i="2"/>
  <c r="R1698" i="2"/>
  <c r="Q1698" i="2"/>
  <c r="P1698" i="2"/>
  <c r="O1698" i="2"/>
  <c r="R1697" i="2"/>
  <c r="Q1697" i="2"/>
  <c r="P1697" i="2"/>
  <c r="O1697" i="2"/>
  <c r="R1696" i="2"/>
  <c r="Q1696" i="2"/>
  <c r="P1696" i="2"/>
  <c r="O1696" i="2"/>
  <c r="R1695" i="2"/>
  <c r="Q1695" i="2"/>
  <c r="P1695" i="2"/>
  <c r="O1695" i="2"/>
  <c r="R1694" i="2"/>
  <c r="Q1694" i="2"/>
  <c r="P1694" i="2"/>
  <c r="O1694" i="2"/>
  <c r="R1693" i="2"/>
  <c r="Q1693" i="2"/>
  <c r="P1693" i="2"/>
  <c r="O1693" i="2"/>
  <c r="R1692" i="2"/>
  <c r="Q1692" i="2"/>
  <c r="P1692" i="2"/>
  <c r="O1692" i="2"/>
  <c r="R1691" i="2"/>
  <c r="Q1691" i="2"/>
  <c r="P1691" i="2"/>
  <c r="O1691" i="2"/>
  <c r="R1690" i="2"/>
  <c r="Q1690" i="2"/>
  <c r="P1690" i="2"/>
  <c r="O1690" i="2"/>
  <c r="R1689" i="2"/>
  <c r="Q1689" i="2"/>
  <c r="P1689" i="2"/>
  <c r="O1689" i="2"/>
  <c r="R1688" i="2"/>
  <c r="Q1688" i="2"/>
  <c r="P1688" i="2"/>
  <c r="O1688" i="2"/>
  <c r="R1687" i="2"/>
  <c r="Q1687" i="2"/>
  <c r="P1687" i="2"/>
  <c r="O1687" i="2"/>
  <c r="R1686" i="2"/>
  <c r="Q1686" i="2"/>
  <c r="P1686" i="2"/>
  <c r="O1686" i="2"/>
  <c r="R1685" i="2"/>
  <c r="Q1685" i="2"/>
  <c r="P1685" i="2"/>
  <c r="O1685" i="2"/>
  <c r="R1684" i="2"/>
  <c r="Q1684" i="2"/>
  <c r="P1684" i="2"/>
  <c r="O1684" i="2"/>
  <c r="R1683" i="2"/>
  <c r="Q1683" i="2"/>
  <c r="P1683" i="2"/>
  <c r="O1683" i="2"/>
  <c r="R1682" i="2"/>
  <c r="Q1682" i="2"/>
  <c r="P1682" i="2"/>
  <c r="O1682" i="2"/>
  <c r="R1681" i="2"/>
  <c r="Q1681" i="2"/>
  <c r="P1681" i="2"/>
  <c r="O1681" i="2"/>
  <c r="R1680" i="2"/>
  <c r="Q1680" i="2"/>
  <c r="P1680" i="2"/>
  <c r="O1680" i="2"/>
  <c r="R1679" i="2"/>
  <c r="Q1679" i="2"/>
  <c r="P1679" i="2"/>
  <c r="O1679" i="2"/>
  <c r="R1678" i="2"/>
  <c r="Q1678" i="2"/>
  <c r="P1678" i="2"/>
  <c r="O1678" i="2"/>
  <c r="R1677" i="2"/>
  <c r="Q1677" i="2"/>
  <c r="P1677" i="2"/>
  <c r="O1677" i="2"/>
  <c r="R1676" i="2"/>
  <c r="Q1676" i="2"/>
  <c r="P1676" i="2"/>
  <c r="O1676" i="2"/>
  <c r="R1675" i="2"/>
  <c r="Q1675" i="2"/>
  <c r="P1675" i="2"/>
  <c r="O1675" i="2"/>
  <c r="R1674" i="2"/>
  <c r="Q1674" i="2"/>
  <c r="P1674" i="2"/>
  <c r="O1674" i="2"/>
  <c r="R1673" i="2"/>
  <c r="Q1673" i="2"/>
  <c r="P1673" i="2"/>
  <c r="O1673" i="2"/>
  <c r="R1672" i="2"/>
  <c r="Q1672" i="2"/>
  <c r="P1672" i="2"/>
  <c r="O1672" i="2"/>
  <c r="R1671" i="2"/>
  <c r="Q1671" i="2"/>
  <c r="P1671" i="2"/>
  <c r="O1671" i="2"/>
  <c r="R1670" i="2"/>
  <c r="Q1670" i="2"/>
  <c r="P1670" i="2"/>
  <c r="O1670" i="2"/>
  <c r="R1669" i="2"/>
  <c r="Q1669" i="2"/>
  <c r="P1669" i="2"/>
  <c r="O1669" i="2"/>
  <c r="R1668" i="2"/>
  <c r="Q1668" i="2"/>
  <c r="P1668" i="2"/>
  <c r="O1668" i="2"/>
  <c r="R1667" i="2"/>
  <c r="Q1667" i="2"/>
  <c r="P1667" i="2"/>
  <c r="O1667" i="2"/>
  <c r="R1666" i="2"/>
  <c r="Q1666" i="2"/>
  <c r="P1666" i="2"/>
  <c r="O1666" i="2"/>
  <c r="R1665" i="2"/>
  <c r="Q1665" i="2"/>
  <c r="P1665" i="2"/>
  <c r="O1665" i="2"/>
  <c r="R1664" i="2"/>
  <c r="Q1664" i="2"/>
  <c r="P1664" i="2"/>
  <c r="O1664" i="2"/>
  <c r="R1663" i="2"/>
  <c r="Q1663" i="2"/>
  <c r="P1663" i="2"/>
  <c r="O1663" i="2"/>
  <c r="R1662" i="2"/>
  <c r="Q1662" i="2"/>
  <c r="P1662" i="2"/>
  <c r="O1662" i="2"/>
  <c r="R1661" i="2"/>
  <c r="Q1661" i="2"/>
  <c r="P1661" i="2"/>
  <c r="O1661" i="2"/>
  <c r="R1660" i="2"/>
  <c r="Q1660" i="2"/>
  <c r="P1660" i="2"/>
  <c r="O1660" i="2"/>
  <c r="R1659" i="2"/>
  <c r="Q1659" i="2"/>
  <c r="P1659" i="2"/>
  <c r="O1659" i="2"/>
  <c r="R1658" i="2"/>
  <c r="Q1658" i="2"/>
  <c r="P1658" i="2"/>
  <c r="O1658" i="2"/>
  <c r="R1657" i="2"/>
  <c r="Q1657" i="2"/>
  <c r="P1657" i="2"/>
  <c r="O1657" i="2"/>
  <c r="R1656" i="2"/>
  <c r="Q1656" i="2"/>
  <c r="P1656" i="2"/>
  <c r="O1656" i="2"/>
  <c r="R1655" i="2"/>
  <c r="Q1655" i="2"/>
  <c r="P1655" i="2"/>
  <c r="O1655" i="2"/>
  <c r="R1654" i="2"/>
  <c r="Q1654" i="2"/>
  <c r="P1654" i="2"/>
  <c r="O1654" i="2"/>
  <c r="R1653" i="2"/>
  <c r="Q1653" i="2"/>
  <c r="P1653" i="2"/>
  <c r="O1653" i="2"/>
  <c r="R1652" i="2"/>
  <c r="Q1652" i="2"/>
  <c r="P1652" i="2"/>
  <c r="O1652" i="2"/>
  <c r="R1651" i="2"/>
  <c r="Q1651" i="2"/>
  <c r="P1651" i="2"/>
  <c r="O1651" i="2"/>
  <c r="R1650" i="2"/>
  <c r="Q1650" i="2"/>
  <c r="P1650" i="2"/>
  <c r="O1650" i="2"/>
  <c r="R1649" i="2"/>
  <c r="Q1649" i="2"/>
  <c r="P1649" i="2"/>
  <c r="O1649" i="2"/>
  <c r="R1648" i="2"/>
  <c r="Q1648" i="2"/>
  <c r="P1648" i="2"/>
  <c r="O1648" i="2"/>
  <c r="R1647" i="2"/>
  <c r="Q1647" i="2"/>
  <c r="P1647" i="2"/>
  <c r="O1647" i="2"/>
  <c r="R1646" i="2"/>
  <c r="Q1646" i="2"/>
  <c r="P1646" i="2"/>
  <c r="O1646" i="2"/>
  <c r="R1645" i="2"/>
  <c r="Q1645" i="2"/>
  <c r="P1645" i="2"/>
  <c r="O1645" i="2"/>
  <c r="R1644" i="2"/>
  <c r="Q1644" i="2"/>
  <c r="P1644" i="2"/>
  <c r="O1644" i="2"/>
  <c r="R1643" i="2"/>
  <c r="Q1643" i="2"/>
  <c r="P1643" i="2"/>
  <c r="O1643" i="2"/>
  <c r="R1642" i="2"/>
  <c r="Q1642" i="2"/>
  <c r="P1642" i="2"/>
  <c r="O1642" i="2"/>
  <c r="R1641" i="2"/>
  <c r="Q1641" i="2"/>
  <c r="P1641" i="2"/>
  <c r="O1641" i="2"/>
  <c r="R1640" i="2"/>
  <c r="Q1640" i="2"/>
  <c r="P1640" i="2"/>
  <c r="O1640" i="2"/>
  <c r="R1639" i="2"/>
  <c r="Q1639" i="2"/>
  <c r="P1639" i="2"/>
  <c r="O1639" i="2"/>
  <c r="R1638" i="2"/>
  <c r="Q1638" i="2"/>
  <c r="P1638" i="2"/>
  <c r="O1638" i="2"/>
  <c r="R1637" i="2"/>
  <c r="Q1637" i="2"/>
  <c r="P1637" i="2"/>
  <c r="O1637" i="2"/>
  <c r="R1636" i="2"/>
  <c r="Q1636" i="2"/>
  <c r="P1636" i="2"/>
  <c r="O1636" i="2"/>
  <c r="R1635" i="2"/>
  <c r="Q1635" i="2"/>
  <c r="P1635" i="2"/>
  <c r="O1635" i="2"/>
  <c r="R1634" i="2"/>
  <c r="Q1634" i="2"/>
  <c r="P1634" i="2"/>
  <c r="O1634" i="2"/>
  <c r="R1633" i="2"/>
  <c r="Q1633" i="2"/>
  <c r="P1633" i="2"/>
  <c r="O1633" i="2"/>
  <c r="R1632" i="2"/>
  <c r="Q1632" i="2"/>
  <c r="P1632" i="2"/>
  <c r="O1632" i="2"/>
  <c r="R1631" i="2"/>
  <c r="Q1631" i="2"/>
  <c r="P1631" i="2"/>
  <c r="O1631" i="2"/>
  <c r="R1630" i="2"/>
  <c r="Q1630" i="2"/>
  <c r="P1630" i="2"/>
  <c r="O1630" i="2"/>
  <c r="R1629" i="2"/>
  <c r="Q1629" i="2"/>
  <c r="P1629" i="2"/>
  <c r="O1629" i="2"/>
  <c r="R1628" i="2"/>
  <c r="Q1628" i="2"/>
  <c r="P1628" i="2"/>
  <c r="O1628" i="2"/>
  <c r="R1627" i="2"/>
  <c r="Q1627" i="2"/>
  <c r="P1627" i="2"/>
  <c r="O1627" i="2"/>
  <c r="R1626" i="2"/>
  <c r="Q1626" i="2"/>
  <c r="P1626" i="2"/>
  <c r="O1626" i="2"/>
  <c r="R1625" i="2"/>
  <c r="Q1625" i="2"/>
  <c r="P1625" i="2"/>
  <c r="O1625" i="2"/>
  <c r="R1624" i="2"/>
  <c r="Q1624" i="2"/>
  <c r="P1624" i="2"/>
  <c r="O1624" i="2"/>
  <c r="R1623" i="2"/>
  <c r="Q1623" i="2"/>
  <c r="P1623" i="2"/>
  <c r="O1623" i="2"/>
  <c r="R1622" i="2"/>
  <c r="Q1622" i="2"/>
  <c r="P1622" i="2"/>
  <c r="O1622" i="2"/>
  <c r="R1621" i="2"/>
  <c r="Q1621" i="2"/>
  <c r="P1621" i="2"/>
  <c r="O1621" i="2"/>
  <c r="R1620" i="2"/>
  <c r="Q1620" i="2"/>
  <c r="P1620" i="2"/>
  <c r="O1620" i="2"/>
  <c r="R1619" i="2"/>
  <c r="Q1619" i="2"/>
  <c r="P1619" i="2"/>
  <c r="O1619" i="2"/>
  <c r="R1618" i="2"/>
  <c r="Q1618" i="2"/>
  <c r="P1618" i="2"/>
  <c r="O1618" i="2"/>
  <c r="R1617" i="2"/>
  <c r="Q1617" i="2"/>
  <c r="P1617" i="2"/>
  <c r="O1617" i="2"/>
  <c r="R1616" i="2"/>
  <c r="Q1616" i="2"/>
  <c r="P1616" i="2"/>
  <c r="O1616" i="2"/>
  <c r="R1615" i="2"/>
  <c r="Q1615" i="2"/>
  <c r="P1615" i="2"/>
  <c r="O1615" i="2"/>
  <c r="R1614" i="2"/>
  <c r="Q1614" i="2"/>
  <c r="P1614" i="2"/>
  <c r="O1614" i="2"/>
  <c r="R1613" i="2"/>
  <c r="Q1613" i="2"/>
  <c r="P1613" i="2"/>
  <c r="O1613" i="2"/>
  <c r="R1612" i="2"/>
  <c r="Q1612" i="2"/>
  <c r="P1612" i="2"/>
  <c r="O1612" i="2"/>
  <c r="R1611" i="2"/>
  <c r="Q1611" i="2"/>
  <c r="P1611" i="2"/>
  <c r="O1611" i="2"/>
  <c r="R1610" i="2"/>
  <c r="Q1610" i="2"/>
  <c r="P1610" i="2"/>
  <c r="O1610" i="2"/>
  <c r="R1609" i="2"/>
  <c r="Q1609" i="2"/>
  <c r="P1609" i="2"/>
  <c r="O1609" i="2"/>
  <c r="R1608" i="2"/>
  <c r="Q1608" i="2"/>
  <c r="P1608" i="2"/>
  <c r="O1608" i="2"/>
  <c r="R1607" i="2"/>
  <c r="Q1607" i="2"/>
  <c r="P1607" i="2"/>
  <c r="O1607" i="2"/>
  <c r="R1606" i="2"/>
  <c r="Q1606" i="2"/>
  <c r="P1606" i="2"/>
  <c r="O1606" i="2"/>
  <c r="R1605" i="2"/>
  <c r="Q1605" i="2"/>
  <c r="P1605" i="2"/>
  <c r="O1605" i="2"/>
  <c r="R1604" i="2"/>
  <c r="Q1604" i="2"/>
  <c r="P1604" i="2"/>
  <c r="O1604" i="2"/>
  <c r="R1603" i="2"/>
  <c r="Q1603" i="2"/>
  <c r="P1603" i="2"/>
  <c r="O1603" i="2"/>
  <c r="R1602" i="2"/>
  <c r="Q1602" i="2"/>
  <c r="P1602" i="2"/>
  <c r="O1602" i="2"/>
  <c r="R1601" i="2"/>
  <c r="Q1601" i="2"/>
  <c r="P1601" i="2"/>
  <c r="O1601" i="2"/>
  <c r="R1600" i="2"/>
  <c r="Q1600" i="2"/>
  <c r="P1600" i="2"/>
  <c r="O1600" i="2"/>
  <c r="R1599" i="2"/>
  <c r="Q1599" i="2"/>
  <c r="P1599" i="2"/>
  <c r="O1599" i="2"/>
  <c r="R1598" i="2"/>
  <c r="Q1598" i="2"/>
  <c r="P1598" i="2"/>
  <c r="O1598" i="2"/>
  <c r="R1597" i="2"/>
  <c r="Q1597" i="2"/>
  <c r="P1597" i="2"/>
  <c r="O1597" i="2"/>
  <c r="R1596" i="2"/>
  <c r="Q1596" i="2"/>
  <c r="P1596" i="2"/>
  <c r="O1596" i="2"/>
  <c r="R1595" i="2"/>
  <c r="Q1595" i="2"/>
  <c r="P1595" i="2"/>
  <c r="O1595" i="2"/>
  <c r="R1594" i="2"/>
  <c r="Q1594" i="2"/>
  <c r="P1594" i="2"/>
  <c r="O1594" i="2"/>
  <c r="R1593" i="2"/>
  <c r="Q1593" i="2"/>
  <c r="P1593" i="2"/>
  <c r="O1593" i="2"/>
  <c r="R1592" i="2"/>
  <c r="Q1592" i="2"/>
  <c r="P1592" i="2"/>
  <c r="O1592" i="2"/>
  <c r="R1591" i="2"/>
  <c r="Q1591" i="2"/>
  <c r="P1591" i="2"/>
  <c r="O1591" i="2"/>
  <c r="R1590" i="2"/>
  <c r="Q1590" i="2"/>
  <c r="P1590" i="2"/>
  <c r="O1590" i="2"/>
  <c r="R1589" i="2"/>
  <c r="Q1589" i="2"/>
  <c r="P1589" i="2"/>
  <c r="O1589" i="2"/>
  <c r="R1588" i="2"/>
  <c r="Q1588" i="2"/>
  <c r="P1588" i="2"/>
  <c r="O1588" i="2"/>
  <c r="R1587" i="2"/>
  <c r="Q1587" i="2"/>
  <c r="P1587" i="2"/>
  <c r="O1587" i="2"/>
  <c r="R1586" i="2"/>
  <c r="Q1586" i="2"/>
  <c r="P1586" i="2"/>
  <c r="O1586" i="2"/>
  <c r="R1585" i="2"/>
  <c r="Q1585" i="2"/>
  <c r="P1585" i="2"/>
  <c r="O1585" i="2"/>
  <c r="R1584" i="2"/>
  <c r="Q1584" i="2"/>
  <c r="P1584" i="2"/>
  <c r="O1584" i="2"/>
  <c r="R1583" i="2"/>
  <c r="Q1583" i="2"/>
  <c r="P1583" i="2"/>
  <c r="O1583" i="2"/>
  <c r="R1582" i="2"/>
  <c r="Q1582" i="2"/>
  <c r="P1582" i="2"/>
  <c r="O1582" i="2"/>
  <c r="R1581" i="2"/>
  <c r="Q1581" i="2"/>
  <c r="P1581" i="2"/>
  <c r="O1581" i="2"/>
  <c r="R1580" i="2"/>
  <c r="Q1580" i="2"/>
  <c r="P1580" i="2"/>
  <c r="O1580" i="2"/>
  <c r="R1579" i="2"/>
  <c r="Q1579" i="2"/>
  <c r="P1579" i="2"/>
  <c r="O1579" i="2"/>
  <c r="R1578" i="2"/>
  <c r="Q1578" i="2"/>
  <c r="P1578" i="2"/>
  <c r="O1578" i="2"/>
  <c r="R1577" i="2"/>
  <c r="Q1577" i="2"/>
  <c r="P1577" i="2"/>
  <c r="O1577" i="2"/>
  <c r="R1576" i="2"/>
  <c r="Q1576" i="2"/>
  <c r="P1576" i="2"/>
  <c r="O1576" i="2"/>
  <c r="R1575" i="2"/>
  <c r="Q1575" i="2"/>
  <c r="P1575" i="2"/>
  <c r="O1575" i="2"/>
  <c r="R1574" i="2"/>
  <c r="Q1574" i="2"/>
  <c r="P1574" i="2"/>
  <c r="O1574" i="2"/>
  <c r="R1573" i="2"/>
  <c r="Q1573" i="2"/>
  <c r="P1573" i="2"/>
  <c r="O1573" i="2"/>
  <c r="R1572" i="2"/>
  <c r="Q1572" i="2"/>
  <c r="P1572" i="2"/>
  <c r="O1572" i="2"/>
  <c r="R1571" i="2"/>
  <c r="Q1571" i="2"/>
  <c r="P1571" i="2"/>
  <c r="O1571" i="2"/>
  <c r="R1570" i="2"/>
  <c r="Q1570" i="2"/>
  <c r="P1570" i="2"/>
  <c r="O1570" i="2"/>
  <c r="R1569" i="2"/>
  <c r="Q1569" i="2"/>
  <c r="P1569" i="2"/>
  <c r="O1569" i="2"/>
  <c r="R1568" i="2"/>
  <c r="Q1568" i="2"/>
  <c r="P1568" i="2"/>
  <c r="O1568" i="2"/>
  <c r="R1567" i="2"/>
  <c r="Q1567" i="2"/>
  <c r="P1567" i="2"/>
  <c r="O1567" i="2"/>
  <c r="R1566" i="2"/>
  <c r="Q1566" i="2"/>
  <c r="P1566" i="2"/>
  <c r="O1566" i="2"/>
  <c r="R1565" i="2"/>
  <c r="Q1565" i="2"/>
  <c r="P1565" i="2"/>
  <c r="O1565" i="2"/>
  <c r="R1564" i="2"/>
  <c r="Q1564" i="2"/>
  <c r="P1564" i="2"/>
  <c r="O1564" i="2"/>
  <c r="R1563" i="2"/>
  <c r="Q1563" i="2"/>
  <c r="P1563" i="2"/>
  <c r="O1563" i="2"/>
  <c r="R1562" i="2"/>
  <c r="Q1562" i="2"/>
  <c r="P1562" i="2"/>
  <c r="O1562" i="2"/>
  <c r="R1561" i="2"/>
  <c r="Q1561" i="2"/>
  <c r="P1561" i="2"/>
  <c r="O1561" i="2"/>
  <c r="R1560" i="2"/>
  <c r="Q1560" i="2"/>
  <c r="P1560" i="2"/>
  <c r="O1560" i="2"/>
  <c r="R1559" i="2"/>
  <c r="Q1559" i="2"/>
  <c r="P1559" i="2"/>
  <c r="O1559" i="2"/>
  <c r="R1558" i="2"/>
  <c r="Q1558" i="2"/>
  <c r="P1558" i="2"/>
  <c r="O1558" i="2"/>
  <c r="R1557" i="2"/>
  <c r="Q1557" i="2"/>
  <c r="P1557" i="2"/>
  <c r="O1557" i="2"/>
  <c r="R1556" i="2"/>
  <c r="Q1556" i="2"/>
  <c r="P1556" i="2"/>
  <c r="O1556" i="2"/>
  <c r="R1555" i="2"/>
  <c r="Q1555" i="2"/>
  <c r="P1555" i="2"/>
  <c r="O1555" i="2"/>
  <c r="R1554" i="2"/>
  <c r="Q1554" i="2"/>
  <c r="P1554" i="2"/>
  <c r="O1554" i="2"/>
  <c r="R1553" i="2"/>
  <c r="Q1553" i="2"/>
  <c r="P1553" i="2"/>
  <c r="O1553" i="2"/>
  <c r="R1552" i="2"/>
  <c r="Q1552" i="2"/>
  <c r="P1552" i="2"/>
  <c r="O1552" i="2"/>
  <c r="R1551" i="2"/>
  <c r="Q1551" i="2"/>
  <c r="P1551" i="2"/>
  <c r="O1551" i="2"/>
  <c r="R1550" i="2"/>
  <c r="Q1550" i="2"/>
  <c r="P1550" i="2"/>
  <c r="O1550" i="2"/>
  <c r="R1549" i="2"/>
  <c r="Q1549" i="2"/>
  <c r="P1549" i="2"/>
  <c r="O1549" i="2"/>
  <c r="R1548" i="2"/>
  <c r="Q1548" i="2"/>
  <c r="P1548" i="2"/>
  <c r="O1548" i="2"/>
  <c r="R1547" i="2"/>
  <c r="Q1547" i="2"/>
  <c r="P1547" i="2"/>
  <c r="O1547" i="2"/>
  <c r="R1546" i="2"/>
  <c r="Q1546" i="2"/>
  <c r="P1546" i="2"/>
  <c r="O1546" i="2"/>
  <c r="R1545" i="2"/>
  <c r="Q1545" i="2"/>
  <c r="P1545" i="2"/>
  <c r="O1545" i="2"/>
  <c r="R1544" i="2"/>
  <c r="Q1544" i="2"/>
  <c r="P1544" i="2"/>
  <c r="O1544" i="2"/>
  <c r="R1543" i="2"/>
  <c r="Q1543" i="2"/>
  <c r="P1543" i="2"/>
  <c r="O1543" i="2"/>
  <c r="R1542" i="2"/>
  <c r="Q1542" i="2"/>
  <c r="P1542" i="2"/>
  <c r="O1542" i="2"/>
  <c r="R1541" i="2"/>
  <c r="Q1541" i="2"/>
  <c r="P1541" i="2"/>
  <c r="O1541" i="2"/>
  <c r="R1540" i="2"/>
  <c r="Q1540" i="2"/>
  <c r="P1540" i="2"/>
  <c r="O1540" i="2"/>
  <c r="R1539" i="2"/>
  <c r="Q1539" i="2"/>
  <c r="P1539" i="2"/>
  <c r="O1539" i="2"/>
  <c r="R1538" i="2"/>
  <c r="Q1538" i="2"/>
  <c r="P1538" i="2"/>
  <c r="O1538" i="2"/>
  <c r="R1537" i="2"/>
  <c r="Q1537" i="2"/>
  <c r="P1537" i="2"/>
  <c r="O1537" i="2"/>
  <c r="R1536" i="2"/>
  <c r="Q1536" i="2"/>
  <c r="P1536" i="2"/>
  <c r="O1536" i="2"/>
  <c r="R1535" i="2"/>
  <c r="Q1535" i="2"/>
  <c r="P1535" i="2"/>
  <c r="O1535" i="2"/>
  <c r="R1534" i="2"/>
  <c r="Q1534" i="2"/>
  <c r="P1534" i="2"/>
  <c r="O1534" i="2"/>
  <c r="R1533" i="2"/>
  <c r="Q1533" i="2"/>
  <c r="P1533" i="2"/>
  <c r="O1533" i="2"/>
  <c r="R1532" i="2"/>
  <c r="Q1532" i="2"/>
  <c r="P1532" i="2"/>
  <c r="O1532" i="2"/>
  <c r="R1531" i="2"/>
  <c r="Q1531" i="2"/>
  <c r="P1531" i="2"/>
  <c r="O1531" i="2"/>
  <c r="R1530" i="2"/>
  <c r="Q1530" i="2"/>
  <c r="P1530" i="2"/>
  <c r="O1530" i="2"/>
  <c r="R1529" i="2"/>
  <c r="Q1529" i="2"/>
  <c r="P1529" i="2"/>
  <c r="O1529" i="2"/>
  <c r="R1528" i="2"/>
  <c r="Q1528" i="2"/>
  <c r="P1528" i="2"/>
  <c r="O1528" i="2"/>
  <c r="R1527" i="2"/>
  <c r="Q1527" i="2"/>
  <c r="P1527" i="2"/>
  <c r="O1527" i="2"/>
  <c r="R1526" i="2"/>
  <c r="Q1526" i="2"/>
  <c r="P1526" i="2"/>
  <c r="O1526" i="2"/>
  <c r="R1525" i="2"/>
  <c r="Q1525" i="2"/>
  <c r="P1525" i="2"/>
  <c r="O1525" i="2"/>
  <c r="R1524" i="2"/>
  <c r="Q1524" i="2"/>
  <c r="P1524" i="2"/>
  <c r="O1524" i="2"/>
  <c r="R1523" i="2"/>
  <c r="Q1523" i="2"/>
  <c r="P1523" i="2"/>
  <c r="O1523" i="2"/>
  <c r="R1522" i="2"/>
  <c r="Q1522" i="2"/>
  <c r="P1522" i="2"/>
  <c r="O1522" i="2"/>
  <c r="R1521" i="2"/>
  <c r="Q1521" i="2"/>
  <c r="P1521" i="2"/>
  <c r="O1521" i="2"/>
  <c r="R1520" i="2"/>
  <c r="Q1520" i="2"/>
  <c r="P1520" i="2"/>
  <c r="O1520" i="2"/>
  <c r="R1519" i="2"/>
  <c r="Q1519" i="2"/>
  <c r="P1519" i="2"/>
  <c r="O1519" i="2"/>
  <c r="R1518" i="2"/>
  <c r="Q1518" i="2"/>
  <c r="P1518" i="2"/>
  <c r="O1518" i="2"/>
  <c r="R1517" i="2"/>
  <c r="Q1517" i="2"/>
  <c r="P1517" i="2"/>
  <c r="O1517" i="2"/>
  <c r="R1516" i="2"/>
  <c r="Q1516" i="2"/>
  <c r="P1516" i="2"/>
  <c r="O1516" i="2"/>
  <c r="R1515" i="2"/>
  <c r="Q1515" i="2"/>
  <c r="P1515" i="2"/>
  <c r="O1515" i="2"/>
  <c r="R1514" i="2"/>
  <c r="Q1514" i="2"/>
  <c r="P1514" i="2"/>
  <c r="O1514" i="2"/>
  <c r="R1513" i="2"/>
  <c r="Q1513" i="2"/>
  <c r="P1513" i="2"/>
  <c r="O1513" i="2"/>
  <c r="R1512" i="2"/>
  <c r="Q1512" i="2"/>
  <c r="P1512" i="2"/>
  <c r="O1512" i="2"/>
  <c r="R1511" i="2"/>
  <c r="Q1511" i="2"/>
  <c r="P1511" i="2"/>
  <c r="O1511" i="2"/>
  <c r="R1510" i="2"/>
  <c r="Q1510" i="2"/>
  <c r="P1510" i="2"/>
  <c r="O1510" i="2"/>
  <c r="R1509" i="2"/>
  <c r="Q1509" i="2"/>
  <c r="P1509" i="2"/>
  <c r="O1509" i="2"/>
  <c r="R1508" i="2"/>
  <c r="Q1508" i="2"/>
  <c r="P1508" i="2"/>
  <c r="O1508" i="2"/>
  <c r="R1507" i="2"/>
  <c r="Q1507" i="2"/>
  <c r="P1507" i="2"/>
  <c r="O1507" i="2"/>
  <c r="R1506" i="2"/>
  <c r="Q1506" i="2"/>
  <c r="P1506" i="2"/>
  <c r="O1506" i="2"/>
  <c r="R1505" i="2"/>
  <c r="Q1505" i="2"/>
  <c r="P1505" i="2"/>
  <c r="O1505" i="2"/>
  <c r="R1504" i="2"/>
  <c r="Q1504" i="2"/>
  <c r="P1504" i="2"/>
  <c r="O1504" i="2"/>
  <c r="R1503" i="2"/>
  <c r="Q1503" i="2"/>
  <c r="P1503" i="2"/>
  <c r="O1503" i="2"/>
  <c r="R1502" i="2"/>
  <c r="Q1502" i="2"/>
  <c r="P1502" i="2"/>
  <c r="O1502" i="2"/>
  <c r="R1501" i="2"/>
  <c r="Q1501" i="2"/>
  <c r="P1501" i="2"/>
  <c r="O1501" i="2"/>
  <c r="R1500" i="2"/>
  <c r="Q1500" i="2"/>
  <c r="P1500" i="2"/>
  <c r="O1500" i="2"/>
  <c r="R1499" i="2"/>
  <c r="Q1499" i="2"/>
  <c r="P1499" i="2"/>
  <c r="O1499" i="2"/>
  <c r="R1498" i="2"/>
  <c r="Q1498" i="2"/>
  <c r="P1498" i="2"/>
  <c r="O1498" i="2"/>
  <c r="R1497" i="2"/>
  <c r="Q1497" i="2"/>
  <c r="P1497" i="2"/>
  <c r="O1497" i="2"/>
  <c r="R1496" i="2"/>
  <c r="Q1496" i="2"/>
  <c r="P1496" i="2"/>
  <c r="O1496" i="2"/>
  <c r="R1495" i="2"/>
  <c r="Q1495" i="2"/>
  <c r="P1495" i="2"/>
  <c r="O1495" i="2"/>
  <c r="R1494" i="2"/>
  <c r="Q1494" i="2"/>
  <c r="P1494" i="2"/>
  <c r="O1494" i="2"/>
  <c r="R1493" i="2"/>
  <c r="Q1493" i="2"/>
  <c r="P1493" i="2"/>
  <c r="O1493" i="2"/>
  <c r="R1492" i="2"/>
  <c r="Q1492" i="2"/>
  <c r="P1492" i="2"/>
  <c r="O1492" i="2"/>
  <c r="R1491" i="2"/>
  <c r="Q1491" i="2"/>
  <c r="P1491" i="2"/>
  <c r="O1491" i="2"/>
  <c r="R1490" i="2"/>
  <c r="Q1490" i="2"/>
  <c r="P1490" i="2"/>
  <c r="O1490" i="2"/>
  <c r="R1489" i="2"/>
  <c r="Q1489" i="2"/>
  <c r="P1489" i="2"/>
  <c r="O1489" i="2"/>
  <c r="R1488" i="2"/>
  <c r="Q1488" i="2"/>
  <c r="P1488" i="2"/>
  <c r="O1488" i="2"/>
  <c r="R1487" i="2"/>
  <c r="Q1487" i="2"/>
  <c r="P1487" i="2"/>
  <c r="O1487" i="2"/>
  <c r="R1486" i="2"/>
  <c r="Q1486" i="2"/>
  <c r="P1486" i="2"/>
  <c r="O1486" i="2"/>
  <c r="R1485" i="2"/>
  <c r="Q1485" i="2"/>
  <c r="P1485" i="2"/>
  <c r="O1485" i="2"/>
  <c r="R1484" i="2"/>
  <c r="Q1484" i="2"/>
  <c r="P1484" i="2"/>
  <c r="O1484" i="2"/>
  <c r="R1483" i="2"/>
  <c r="Q1483" i="2"/>
  <c r="P1483" i="2"/>
  <c r="O1483" i="2"/>
  <c r="R1482" i="2"/>
  <c r="Q1482" i="2"/>
  <c r="P1482" i="2"/>
  <c r="O1482" i="2"/>
  <c r="R1481" i="2"/>
  <c r="Q1481" i="2"/>
  <c r="P1481" i="2"/>
  <c r="O1481" i="2"/>
  <c r="R1480" i="2"/>
  <c r="Q1480" i="2"/>
  <c r="P1480" i="2"/>
  <c r="O1480" i="2"/>
  <c r="R1479" i="2"/>
  <c r="Q1479" i="2"/>
  <c r="P1479" i="2"/>
  <c r="O1479" i="2"/>
  <c r="R1478" i="2"/>
  <c r="Q1478" i="2"/>
  <c r="P1478" i="2"/>
  <c r="O1478" i="2"/>
  <c r="R1477" i="2"/>
  <c r="Q1477" i="2"/>
  <c r="P1477" i="2"/>
  <c r="O1477" i="2"/>
  <c r="R1476" i="2"/>
  <c r="Q1476" i="2"/>
  <c r="P1476" i="2"/>
  <c r="O1476" i="2"/>
  <c r="R1475" i="2"/>
  <c r="Q1475" i="2"/>
  <c r="P1475" i="2"/>
  <c r="O1475" i="2"/>
  <c r="R1474" i="2"/>
  <c r="Q1474" i="2"/>
  <c r="P1474" i="2"/>
  <c r="O1474" i="2"/>
  <c r="R1473" i="2"/>
  <c r="Q1473" i="2"/>
  <c r="P1473" i="2"/>
  <c r="O1473" i="2"/>
  <c r="R1472" i="2"/>
  <c r="Q1472" i="2"/>
  <c r="P1472" i="2"/>
  <c r="O1472" i="2"/>
  <c r="R1471" i="2"/>
  <c r="Q1471" i="2"/>
  <c r="P1471" i="2"/>
  <c r="O1471" i="2"/>
  <c r="R1470" i="2"/>
  <c r="Q1470" i="2"/>
  <c r="P1470" i="2"/>
  <c r="O1470" i="2"/>
  <c r="R1469" i="2"/>
  <c r="Q1469" i="2"/>
  <c r="P1469" i="2"/>
  <c r="O1469" i="2"/>
  <c r="R1468" i="2"/>
  <c r="Q1468" i="2"/>
  <c r="P1468" i="2"/>
  <c r="O1468" i="2"/>
  <c r="R1467" i="2"/>
  <c r="Q1467" i="2"/>
  <c r="P1467" i="2"/>
  <c r="O1467" i="2"/>
  <c r="R1466" i="2"/>
  <c r="Q1466" i="2"/>
  <c r="P1466" i="2"/>
  <c r="O1466" i="2"/>
  <c r="R1465" i="2"/>
  <c r="Q1465" i="2"/>
  <c r="P1465" i="2"/>
  <c r="O1465" i="2"/>
  <c r="R1464" i="2"/>
  <c r="Q1464" i="2"/>
  <c r="P1464" i="2"/>
  <c r="O1464" i="2"/>
  <c r="R1463" i="2"/>
  <c r="Q1463" i="2"/>
  <c r="P1463" i="2"/>
  <c r="O1463" i="2"/>
  <c r="R1462" i="2"/>
  <c r="Q1462" i="2"/>
  <c r="P1462" i="2"/>
  <c r="O1462" i="2"/>
  <c r="R1461" i="2"/>
  <c r="Q1461" i="2"/>
  <c r="P1461" i="2"/>
  <c r="O1461" i="2"/>
  <c r="R1460" i="2"/>
  <c r="Q1460" i="2"/>
  <c r="P1460" i="2"/>
  <c r="O1460" i="2"/>
  <c r="R1459" i="2"/>
  <c r="Q1459" i="2"/>
  <c r="P1459" i="2"/>
  <c r="O1459" i="2"/>
  <c r="R1458" i="2"/>
  <c r="Q1458" i="2"/>
  <c r="P1458" i="2"/>
  <c r="O1458" i="2"/>
  <c r="R1457" i="2"/>
  <c r="Q1457" i="2"/>
  <c r="P1457" i="2"/>
  <c r="O1457" i="2"/>
  <c r="R1456" i="2"/>
  <c r="Q1456" i="2"/>
  <c r="P1456" i="2"/>
  <c r="O1456" i="2"/>
  <c r="R1455" i="2"/>
  <c r="Q1455" i="2"/>
  <c r="P1455" i="2"/>
  <c r="O1455" i="2"/>
  <c r="R1454" i="2"/>
  <c r="Q1454" i="2"/>
  <c r="P1454" i="2"/>
  <c r="O1454" i="2"/>
  <c r="R1453" i="2"/>
  <c r="Q1453" i="2"/>
  <c r="P1453" i="2"/>
  <c r="O1453" i="2"/>
  <c r="R1452" i="2"/>
  <c r="Q1452" i="2"/>
  <c r="P1452" i="2"/>
  <c r="O1452" i="2"/>
  <c r="R1451" i="2"/>
  <c r="Q1451" i="2"/>
  <c r="P1451" i="2"/>
  <c r="O1451" i="2"/>
  <c r="R1450" i="2"/>
  <c r="Q1450" i="2"/>
  <c r="P1450" i="2"/>
  <c r="O1450" i="2"/>
  <c r="R1449" i="2"/>
  <c r="Q1449" i="2"/>
  <c r="P1449" i="2"/>
  <c r="O1449" i="2"/>
  <c r="R1448" i="2"/>
  <c r="Q1448" i="2"/>
  <c r="P1448" i="2"/>
  <c r="O1448" i="2"/>
  <c r="R1447" i="2"/>
  <c r="Q1447" i="2"/>
  <c r="P1447" i="2"/>
  <c r="O1447" i="2"/>
  <c r="R1446" i="2"/>
  <c r="Q1446" i="2"/>
  <c r="P1446" i="2"/>
  <c r="O1446" i="2"/>
  <c r="R1445" i="2"/>
  <c r="Q1445" i="2"/>
  <c r="P1445" i="2"/>
  <c r="O1445" i="2"/>
  <c r="R1444" i="2"/>
  <c r="Q1444" i="2"/>
  <c r="P1444" i="2"/>
  <c r="O1444" i="2"/>
  <c r="R1443" i="2"/>
  <c r="Q1443" i="2"/>
  <c r="P1443" i="2"/>
  <c r="O1443" i="2"/>
  <c r="R1442" i="2"/>
  <c r="Q1442" i="2"/>
  <c r="P1442" i="2"/>
  <c r="O1442" i="2"/>
  <c r="R1441" i="2"/>
  <c r="Q1441" i="2"/>
  <c r="P1441" i="2"/>
  <c r="O1441" i="2"/>
  <c r="R1440" i="2"/>
  <c r="Q1440" i="2"/>
  <c r="P1440" i="2"/>
  <c r="O1440" i="2"/>
  <c r="R1439" i="2"/>
  <c r="Q1439" i="2"/>
  <c r="P1439" i="2"/>
  <c r="O1439" i="2"/>
  <c r="R1438" i="2"/>
  <c r="Q1438" i="2"/>
  <c r="P1438" i="2"/>
  <c r="O1438" i="2"/>
  <c r="R1437" i="2"/>
  <c r="Q1437" i="2"/>
  <c r="P1437" i="2"/>
  <c r="O1437" i="2"/>
  <c r="R1436" i="2"/>
  <c r="Q1436" i="2"/>
  <c r="P1436" i="2"/>
  <c r="O1436" i="2"/>
  <c r="R1435" i="2"/>
  <c r="Q1435" i="2"/>
  <c r="P1435" i="2"/>
  <c r="O1435" i="2"/>
  <c r="R1434" i="2"/>
  <c r="Q1434" i="2"/>
  <c r="P1434" i="2"/>
  <c r="O1434" i="2"/>
  <c r="R1433" i="2"/>
  <c r="Q1433" i="2"/>
  <c r="P1433" i="2"/>
  <c r="O1433" i="2"/>
  <c r="R1432" i="2"/>
  <c r="Q1432" i="2"/>
  <c r="P1432" i="2"/>
  <c r="O1432" i="2"/>
  <c r="R1431" i="2"/>
  <c r="Q1431" i="2"/>
  <c r="P1431" i="2"/>
  <c r="O1431" i="2"/>
  <c r="R1430" i="2"/>
  <c r="Q1430" i="2"/>
  <c r="P1430" i="2"/>
  <c r="O1430" i="2"/>
  <c r="R1429" i="2"/>
  <c r="Q1429" i="2"/>
  <c r="P1429" i="2"/>
  <c r="O1429" i="2"/>
  <c r="R1428" i="2"/>
  <c r="Q1428" i="2"/>
  <c r="P1428" i="2"/>
  <c r="O1428" i="2"/>
  <c r="R1427" i="2"/>
  <c r="Q1427" i="2"/>
  <c r="P1427" i="2"/>
  <c r="O1427" i="2"/>
  <c r="R1426" i="2"/>
  <c r="Q1426" i="2"/>
  <c r="P1426" i="2"/>
  <c r="O1426" i="2"/>
  <c r="R1425" i="2"/>
  <c r="Q1425" i="2"/>
  <c r="P1425" i="2"/>
  <c r="O1425" i="2"/>
  <c r="R1424" i="2"/>
  <c r="Q1424" i="2"/>
  <c r="P1424" i="2"/>
  <c r="O1424" i="2"/>
  <c r="R1423" i="2"/>
  <c r="Q1423" i="2"/>
  <c r="P1423" i="2"/>
  <c r="O1423" i="2"/>
  <c r="R1422" i="2"/>
  <c r="Q1422" i="2"/>
  <c r="P1422" i="2"/>
  <c r="O1422" i="2"/>
  <c r="R1421" i="2"/>
  <c r="Q1421" i="2"/>
  <c r="P1421" i="2"/>
  <c r="O1421" i="2"/>
  <c r="R1420" i="2"/>
  <c r="Q1420" i="2"/>
  <c r="P1420" i="2"/>
  <c r="O1420" i="2"/>
  <c r="R1419" i="2"/>
  <c r="Q1419" i="2"/>
  <c r="P1419" i="2"/>
  <c r="O1419" i="2"/>
  <c r="R1418" i="2"/>
  <c r="Q1418" i="2"/>
  <c r="P1418" i="2"/>
  <c r="O1418" i="2"/>
  <c r="R1417" i="2"/>
  <c r="Q1417" i="2"/>
  <c r="P1417" i="2"/>
  <c r="O1417" i="2"/>
  <c r="R1416" i="2"/>
  <c r="Q1416" i="2"/>
  <c r="P1416" i="2"/>
  <c r="O1416" i="2"/>
  <c r="R1415" i="2"/>
  <c r="Q1415" i="2"/>
  <c r="P1415" i="2"/>
  <c r="O1415" i="2"/>
  <c r="R1414" i="2"/>
  <c r="Q1414" i="2"/>
  <c r="P1414" i="2"/>
  <c r="O1414" i="2"/>
  <c r="R1413" i="2"/>
  <c r="Q1413" i="2"/>
  <c r="P1413" i="2"/>
  <c r="O1413" i="2"/>
  <c r="R1412" i="2"/>
  <c r="Q1412" i="2"/>
  <c r="P1412" i="2"/>
  <c r="O1412" i="2"/>
  <c r="R1411" i="2"/>
  <c r="Q1411" i="2"/>
  <c r="P1411" i="2"/>
  <c r="O1411" i="2"/>
  <c r="R1410" i="2"/>
  <c r="Q1410" i="2"/>
  <c r="P1410" i="2"/>
  <c r="O1410" i="2"/>
  <c r="R1409" i="2"/>
  <c r="Q1409" i="2"/>
  <c r="P1409" i="2"/>
  <c r="O1409" i="2"/>
  <c r="R1408" i="2"/>
  <c r="Q1408" i="2"/>
  <c r="P1408" i="2"/>
  <c r="O1408" i="2"/>
  <c r="R1407" i="2"/>
  <c r="Q1407" i="2"/>
  <c r="P1407" i="2"/>
  <c r="O1407" i="2"/>
  <c r="R1406" i="2"/>
  <c r="Q1406" i="2"/>
  <c r="P1406" i="2"/>
  <c r="O1406" i="2"/>
  <c r="R1405" i="2"/>
  <c r="Q1405" i="2"/>
  <c r="P1405" i="2"/>
  <c r="O1405" i="2"/>
  <c r="R1404" i="2"/>
  <c r="Q1404" i="2"/>
  <c r="P1404" i="2"/>
  <c r="O1404" i="2"/>
  <c r="R1403" i="2"/>
  <c r="Q1403" i="2"/>
  <c r="P1403" i="2"/>
  <c r="O1403" i="2"/>
  <c r="R1402" i="2"/>
  <c r="Q1402" i="2"/>
  <c r="P1402" i="2"/>
  <c r="O1402" i="2"/>
  <c r="R1401" i="2"/>
  <c r="Q1401" i="2"/>
  <c r="P1401" i="2"/>
  <c r="O1401" i="2"/>
  <c r="R1400" i="2"/>
  <c r="Q1400" i="2"/>
  <c r="P1400" i="2"/>
  <c r="O1400" i="2"/>
  <c r="R1399" i="2"/>
  <c r="Q1399" i="2"/>
  <c r="P1399" i="2"/>
  <c r="O1399" i="2"/>
  <c r="R1398" i="2"/>
  <c r="Q1398" i="2"/>
  <c r="P1398" i="2"/>
  <c r="O1398" i="2"/>
  <c r="R1397" i="2"/>
  <c r="Q1397" i="2"/>
  <c r="P1397" i="2"/>
  <c r="O1397" i="2"/>
  <c r="R1396" i="2"/>
  <c r="Q1396" i="2"/>
  <c r="P1396" i="2"/>
  <c r="O1396" i="2"/>
  <c r="R1395" i="2"/>
  <c r="Q1395" i="2"/>
  <c r="P1395" i="2"/>
  <c r="O1395" i="2"/>
  <c r="R1394" i="2"/>
  <c r="Q1394" i="2"/>
  <c r="P1394" i="2"/>
  <c r="O1394" i="2"/>
  <c r="R1393" i="2"/>
  <c r="Q1393" i="2"/>
  <c r="P1393" i="2"/>
  <c r="O1393" i="2"/>
  <c r="R1392" i="2"/>
  <c r="Q1392" i="2"/>
  <c r="P1392" i="2"/>
  <c r="O1392" i="2"/>
  <c r="R1391" i="2"/>
  <c r="Q1391" i="2"/>
  <c r="P1391" i="2"/>
  <c r="O1391" i="2"/>
  <c r="R1390" i="2"/>
  <c r="Q1390" i="2"/>
  <c r="P1390" i="2"/>
  <c r="O1390" i="2"/>
  <c r="R1389" i="2"/>
  <c r="Q1389" i="2"/>
  <c r="P1389" i="2"/>
  <c r="O1389" i="2"/>
  <c r="R1388" i="2"/>
  <c r="Q1388" i="2"/>
  <c r="P1388" i="2"/>
  <c r="O1388" i="2"/>
  <c r="R1387" i="2"/>
  <c r="Q1387" i="2"/>
  <c r="P1387" i="2"/>
  <c r="O1387" i="2"/>
  <c r="R1386" i="2"/>
  <c r="Q1386" i="2"/>
  <c r="P1386" i="2"/>
  <c r="O1386" i="2"/>
  <c r="R1385" i="2"/>
  <c r="Q1385" i="2"/>
  <c r="P1385" i="2"/>
  <c r="O1385" i="2"/>
  <c r="R1384" i="2"/>
  <c r="Q1384" i="2"/>
  <c r="P1384" i="2"/>
  <c r="O1384" i="2"/>
  <c r="R1383" i="2"/>
  <c r="Q1383" i="2"/>
  <c r="P1383" i="2"/>
  <c r="O1383" i="2"/>
  <c r="R1382" i="2"/>
  <c r="Q1382" i="2"/>
  <c r="P1382" i="2"/>
  <c r="O1382" i="2"/>
  <c r="R1381" i="2"/>
  <c r="Q1381" i="2"/>
  <c r="P1381" i="2"/>
  <c r="O1381" i="2"/>
  <c r="R1380" i="2"/>
  <c r="Q1380" i="2"/>
  <c r="P1380" i="2"/>
  <c r="O1380" i="2"/>
  <c r="R1379" i="2"/>
  <c r="Q1379" i="2"/>
  <c r="P1379" i="2"/>
  <c r="O1379" i="2"/>
  <c r="R1378" i="2"/>
  <c r="Q1378" i="2"/>
  <c r="P1378" i="2"/>
  <c r="O1378" i="2"/>
  <c r="R1377" i="2"/>
  <c r="Q1377" i="2"/>
  <c r="P1377" i="2"/>
  <c r="O1377" i="2"/>
  <c r="R1376" i="2"/>
  <c r="Q1376" i="2"/>
  <c r="P1376" i="2"/>
  <c r="O1376" i="2"/>
  <c r="R1375" i="2"/>
  <c r="Q1375" i="2"/>
  <c r="P1375" i="2"/>
  <c r="O1375" i="2"/>
  <c r="R1374" i="2"/>
  <c r="Q1374" i="2"/>
  <c r="P1374" i="2"/>
  <c r="O1374" i="2"/>
  <c r="R1373" i="2"/>
  <c r="Q1373" i="2"/>
  <c r="P1373" i="2"/>
  <c r="O1373" i="2"/>
  <c r="R1372" i="2"/>
  <c r="Q1372" i="2"/>
  <c r="P1372" i="2"/>
  <c r="O1372" i="2"/>
  <c r="R1371" i="2"/>
  <c r="Q1371" i="2"/>
  <c r="P1371" i="2"/>
  <c r="O1371" i="2"/>
  <c r="R1370" i="2"/>
  <c r="Q1370" i="2"/>
  <c r="P1370" i="2"/>
  <c r="O1370" i="2"/>
  <c r="R1369" i="2"/>
  <c r="Q1369" i="2"/>
  <c r="P1369" i="2"/>
  <c r="O1369" i="2"/>
  <c r="R1368" i="2"/>
  <c r="Q1368" i="2"/>
  <c r="P1368" i="2"/>
  <c r="O1368" i="2"/>
  <c r="R1367" i="2"/>
  <c r="Q1367" i="2"/>
  <c r="P1367" i="2"/>
  <c r="O1367" i="2"/>
  <c r="R1366" i="2"/>
  <c r="Q1366" i="2"/>
  <c r="P1366" i="2"/>
  <c r="O1366" i="2"/>
  <c r="R1365" i="2"/>
  <c r="Q1365" i="2"/>
  <c r="P1365" i="2"/>
  <c r="O1365" i="2"/>
  <c r="R1364" i="2"/>
  <c r="Q1364" i="2"/>
  <c r="P1364" i="2"/>
  <c r="O1364" i="2"/>
  <c r="R1363" i="2"/>
  <c r="Q1363" i="2"/>
  <c r="P1363" i="2"/>
  <c r="O1363" i="2"/>
  <c r="R1362" i="2"/>
  <c r="Q1362" i="2"/>
  <c r="P1362" i="2"/>
  <c r="O1362" i="2"/>
  <c r="R1361" i="2"/>
  <c r="Q1361" i="2"/>
  <c r="P1361" i="2"/>
  <c r="O1361" i="2"/>
  <c r="R1360" i="2"/>
  <c r="Q1360" i="2"/>
  <c r="P1360" i="2"/>
  <c r="O1360" i="2"/>
  <c r="R1359" i="2"/>
  <c r="Q1359" i="2"/>
  <c r="P1359" i="2"/>
  <c r="O1359" i="2"/>
  <c r="R1358" i="2"/>
  <c r="Q1358" i="2"/>
  <c r="P1358" i="2"/>
  <c r="O1358" i="2"/>
  <c r="R1357" i="2"/>
  <c r="Q1357" i="2"/>
  <c r="P1357" i="2"/>
  <c r="O1357" i="2"/>
  <c r="R1356" i="2"/>
  <c r="Q1356" i="2"/>
  <c r="P1356" i="2"/>
  <c r="O1356" i="2"/>
  <c r="R1355" i="2"/>
  <c r="Q1355" i="2"/>
  <c r="P1355" i="2"/>
  <c r="O1355" i="2"/>
  <c r="R1354" i="2"/>
  <c r="Q1354" i="2"/>
  <c r="P1354" i="2"/>
  <c r="O1354" i="2"/>
  <c r="R1353" i="2"/>
  <c r="Q1353" i="2"/>
  <c r="P1353" i="2"/>
  <c r="O1353" i="2"/>
  <c r="R1352" i="2"/>
  <c r="Q1352" i="2"/>
  <c r="P1352" i="2"/>
  <c r="O1352" i="2"/>
  <c r="R1351" i="2"/>
  <c r="Q1351" i="2"/>
  <c r="P1351" i="2"/>
  <c r="O1351" i="2"/>
  <c r="R1350" i="2"/>
  <c r="Q1350" i="2"/>
  <c r="P1350" i="2"/>
  <c r="O1350" i="2"/>
  <c r="R1349" i="2"/>
  <c r="Q1349" i="2"/>
  <c r="P1349" i="2"/>
  <c r="O1349" i="2"/>
  <c r="R1348" i="2"/>
  <c r="Q1348" i="2"/>
  <c r="P1348" i="2"/>
  <c r="O1348" i="2"/>
  <c r="R1347" i="2"/>
  <c r="Q1347" i="2"/>
  <c r="P1347" i="2"/>
  <c r="O1347" i="2"/>
  <c r="R1346" i="2"/>
  <c r="Q1346" i="2"/>
  <c r="P1346" i="2"/>
  <c r="O1346" i="2"/>
  <c r="R1345" i="2"/>
  <c r="Q1345" i="2"/>
  <c r="P1345" i="2"/>
  <c r="O1345" i="2"/>
  <c r="R1344" i="2"/>
  <c r="Q1344" i="2"/>
  <c r="P1344" i="2"/>
  <c r="O1344" i="2"/>
  <c r="R1343" i="2"/>
  <c r="Q1343" i="2"/>
  <c r="P1343" i="2"/>
  <c r="O1343" i="2"/>
  <c r="R1342" i="2"/>
  <c r="Q1342" i="2"/>
  <c r="P1342" i="2"/>
  <c r="O1342" i="2"/>
  <c r="R1341" i="2"/>
  <c r="Q1341" i="2"/>
  <c r="P1341" i="2"/>
  <c r="O1341" i="2"/>
  <c r="R1340" i="2"/>
  <c r="Q1340" i="2"/>
  <c r="P1340" i="2"/>
  <c r="O1340" i="2"/>
  <c r="R1339" i="2"/>
  <c r="Q1339" i="2"/>
  <c r="P1339" i="2"/>
  <c r="O1339" i="2"/>
  <c r="R1338" i="2"/>
  <c r="Q1338" i="2"/>
  <c r="P1338" i="2"/>
  <c r="O1338" i="2"/>
  <c r="R1337" i="2"/>
  <c r="Q1337" i="2"/>
  <c r="P1337" i="2"/>
  <c r="O1337" i="2"/>
  <c r="R1336" i="2"/>
  <c r="Q1336" i="2"/>
  <c r="P1336" i="2"/>
  <c r="O1336" i="2"/>
  <c r="R1335" i="2"/>
  <c r="Q1335" i="2"/>
  <c r="P1335" i="2"/>
  <c r="O1335" i="2"/>
  <c r="R1334" i="2"/>
  <c r="Q1334" i="2"/>
  <c r="P1334" i="2"/>
  <c r="O1334" i="2"/>
  <c r="R1333" i="2"/>
  <c r="Q1333" i="2"/>
  <c r="P1333" i="2"/>
  <c r="O1333" i="2"/>
  <c r="R1332" i="2"/>
  <c r="Q1332" i="2"/>
  <c r="P1332" i="2"/>
  <c r="O1332" i="2"/>
  <c r="R1331" i="2"/>
  <c r="Q1331" i="2"/>
  <c r="P1331" i="2"/>
  <c r="O1331" i="2"/>
  <c r="R1330" i="2"/>
  <c r="Q1330" i="2"/>
  <c r="P1330" i="2"/>
  <c r="O1330" i="2"/>
  <c r="R1329" i="2"/>
  <c r="Q1329" i="2"/>
  <c r="P1329" i="2"/>
  <c r="O1329" i="2"/>
  <c r="R1328" i="2"/>
  <c r="Q1328" i="2"/>
  <c r="P1328" i="2"/>
  <c r="O1328" i="2"/>
  <c r="R1327" i="2"/>
  <c r="Q1327" i="2"/>
  <c r="P1327" i="2"/>
  <c r="O1327" i="2"/>
  <c r="R1326" i="2"/>
  <c r="Q1326" i="2"/>
  <c r="P1326" i="2"/>
  <c r="O1326" i="2"/>
  <c r="R1325" i="2"/>
  <c r="Q1325" i="2"/>
  <c r="P1325" i="2"/>
  <c r="O1325" i="2"/>
  <c r="R1324" i="2"/>
  <c r="Q1324" i="2"/>
  <c r="P1324" i="2"/>
  <c r="O1324" i="2"/>
  <c r="R1323" i="2"/>
  <c r="Q1323" i="2"/>
  <c r="P1323" i="2"/>
  <c r="O1323" i="2"/>
  <c r="R1322" i="2"/>
  <c r="Q1322" i="2"/>
  <c r="P1322" i="2"/>
  <c r="O1322" i="2"/>
  <c r="R1321" i="2"/>
  <c r="Q1321" i="2"/>
  <c r="P1321" i="2"/>
  <c r="O1321" i="2"/>
  <c r="R1320" i="2"/>
  <c r="Q1320" i="2"/>
  <c r="P1320" i="2"/>
  <c r="O1320" i="2"/>
  <c r="R1319" i="2"/>
  <c r="Q1319" i="2"/>
  <c r="P1319" i="2"/>
  <c r="O1319" i="2"/>
  <c r="R1318" i="2"/>
  <c r="Q1318" i="2"/>
  <c r="P1318" i="2"/>
  <c r="O1318" i="2"/>
  <c r="R1317" i="2"/>
  <c r="Q1317" i="2"/>
  <c r="P1317" i="2"/>
  <c r="O1317" i="2"/>
  <c r="R1316" i="2"/>
  <c r="Q1316" i="2"/>
  <c r="P1316" i="2"/>
  <c r="O1316" i="2"/>
  <c r="R1315" i="2"/>
  <c r="Q1315" i="2"/>
  <c r="P1315" i="2"/>
  <c r="O1315" i="2"/>
  <c r="R1314" i="2"/>
  <c r="Q1314" i="2"/>
  <c r="P1314" i="2"/>
  <c r="O1314" i="2"/>
  <c r="R1313" i="2"/>
  <c r="Q1313" i="2"/>
  <c r="P1313" i="2"/>
  <c r="O1313" i="2"/>
  <c r="R1312" i="2"/>
  <c r="Q1312" i="2"/>
  <c r="P1312" i="2"/>
  <c r="O1312" i="2"/>
  <c r="R1311" i="2"/>
  <c r="Q1311" i="2"/>
  <c r="P1311" i="2"/>
  <c r="O1311" i="2"/>
  <c r="R1310" i="2"/>
  <c r="Q1310" i="2"/>
  <c r="P1310" i="2"/>
  <c r="O1310" i="2"/>
  <c r="R1309" i="2"/>
  <c r="Q1309" i="2"/>
  <c r="P1309" i="2"/>
  <c r="O1309" i="2"/>
  <c r="R1308" i="2"/>
  <c r="Q1308" i="2"/>
  <c r="P1308" i="2"/>
  <c r="O1308" i="2"/>
  <c r="R1307" i="2"/>
  <c r="Q1307" i="2"/>
  <c r="P1307" i="2"/>
  <c r="O1307" i="2"/>
  <c r="R1306" i="2"/>
  <c r="Q1306" i="2"/>
  <c r="P1306" i="2"/>
  <c r="O1306" i="2"/>
  <c r="R1305" i="2"/>
  <c r="Q1305" i="2"/>
  <c r="P1305" i="2"/>
  <c r="O1305" i="2"/>
  <c r="R1304" i="2"/>
  <c r="Q1304" i="2"/>
  <c r="P1304" i="2"/>
  <c r="O1304" i="2"/>
  <c r="R1303" i="2"/>
  <c r="Q1303" i="2"/>
  <c r="P1303" i="2"/>
  <c r="O1303" i="2"/>
  <c r="R1302" i="2"/>
  <c r="Q1302" i="2"/>
  <c r="P1302" i="2"/>
  <c r="O1302" i="2"/>
  <c r="R1301" i="2"/>
  <c r="Q1301" i="2"/>
  <c r="P1301" i="2"/>
  <c r="O1301" i="2"/>
  <c r="R1300" i="2"/>
  <c r="Q1300" i="2"/>
  <c r="P1300" i="2"/>
  <c r="O1300" i="2"/>
  <c r="R1299" i="2"/>
  <c r="Q1299" i="2"/>
  <c r="P1299" i="2"/>
  <c r="O1299" i="2"/>
  <c r="R1298" i="2"/>
  <c r="Q1298" i="2"/>
  <c r="P1298" i="2"/>
  <c r="O1298" i="2"/>
  <c r="R1297" i="2"/>
  <c r="Q1297" i="2"/>
  <c r="P1297" i="2"/>
  <c r="O1297" i="2"/>
  <c r="R1296" i="2"/>
  <c r="Q1296" i="2"/>
  <c r="P1296" i="2"/>
  <c r="O1296" i="2"/>
  <c r="R1295" i="2"/>
  <c r="Q1295" i="2"/>
  <c r="P1295" i="2"/>
  <c r="O1295" i="2"/>
  <c r="R1294" i="2"/>
  <c r="Q1294" i="2"/>
  <c r="P1294" i="2"/>
  <c r="O1294" i="2"/>
  <c r="R1293" i="2"/>
  <c r="Q1293" i="2"/>
  <c r="P1293" i="2"/>
  <c r="O1293" i="2"/>
  <c r="R1292" i="2"/>
  <c r="Q1292" i="2"/>
  <c r="P1292" i="2"/>
  <c r="O1292" i="2"/>
  <c r="R1291" i="2"/>
  <c r="Q1291" i="2"/>
  <c r="P1291" i="2"/>
  <c r="O1291" i="2"/>
  <c r="R1290" i="2"/>
  <c r="Q1290" i="2"/>
  <c r="P1290" i="2"/>
  <c r="O1290" i="2"/>
  <c r="R1289" i="2"/>
  <c r="Q1289" i="2"/>
  <c r="P1289" i="2"/>
  <c r="O1289" i="2"/>
  <c r="R1288" i="2"/>
  <c r="Q1288" i="2"/>
  <c r="P1288" i="2"/>
  <c r="O1288" i="2"/>
  <c r="R1287" i="2"/>
  <c r="Q1287" i="2"/>
  <c r="P1287" i="2"/>
  <c r="O1287" i="2"/>
  <c r="R1286" i="2"/>
  <c r="Q1286" i="2"/>
  <c r="P1286" i="2"/>
  <c r="O1286" i="2"/>
  <c r="R1285" i="2"/>
  <c r="Q1285" i="2"/>
  <c r="P1285" i="2"/>
  <c r="O1285" i="2"/>
  <c r="R1284" i="2"/>
  <c r="Q1284" i="2"/>
  <c r="P1284" i="2"/>
  <c r="O1284" i="2"/>
  <c r="R1283" i="2"/>
  <c r="Q1283" i="2"/>
  <c r="P1283" i="2"/>
  <c r="O1283" i="2"/>
  <c r="R1282" i="2"/>
  <c r="Q1282" i="2"/>
  <c r="P1282" i="2"/>
  <c r="O1282" i="2"/>
  <c r="R1281" i="2"/>
  <c r="Q1281" i="2"/>
  <c r="P1281" i="2"/>
  <c r="O1281" i="2"/>
  <c r="R1280" i="2"/>
  <c r="Q1280" i="2"/>
  <c r="P1280" i="2"/>
  <c r="O1280" i="2"/>
  <c r="R1279" i="2"/>
  <c r="Q1279" i="2"/>
  <c r="P1279" i="2"/>
  <c r="O1279" i="2"/>
  <c r="R1278" i="2"/>
  <c r="Q1278" i="2"/>
  <c r="P1278" i="2"/>
  <c r="O1278" i="2"/>
  <c r="R1277" i="2"/>
  <c r="Q1277" i="2"/>
  <c r="P1277" i="2"/>
  <c r="O1277" i="2"/>
  <c r="R1276" i="2"/>
  <c r="Q1276" i="2"/>
  <c r="P1276" i="2"/>
  <c r="O1276" i="2"/>
  <c r="R1275" i="2"/>
  <c r="Q1275" i="2"/>
  <c r="P1275" i="2"/>
  <c r="O1275" i="2"/>
  <c r="R1274" i="2"/>
  <c r="Q1274" i="2"/>
  <c r="P1274" i="2"/>
  <c r="O1274" i="2"/>
  <c r="R1273" i="2"/>
  <c r="Q1273" i="2"/>
  <c r="P1273" i="2"/>
  <c r="O1273" i="2"/>
  <c r="R1272" i="2"/>
  <c r="Q1272" i="2"/>
  <c r="P1272" i="2"/>
  <c r="O1272" i="2"/>
  <c r="R1271" i="2"/>
  <c r="Q1271" i="2"/>
  <c r="P1271" i="2"/>
  <c r="O1271" i="2"/>
  <c r="R1270" i="2"/>
  <c r="Q1270" i="2"/>
  <c r="P1270" i="2"/>
  <c r="O1270" i="2"/>
  <c r="R1269" i="2"/>
  <c r="Q1269" i="2"/>
  <c r="P1269" i="2"/>
  <c r="O1269" i="2"/>
  <c r="R1268" i="2"/>
  <c r="Q1268" i="2"/>
  <c r="P1268" i="2"/>
  <c r="O1268" i="2"/>
  <c r="R1267" i="2"/>
  <c r="Q1267" i="2"/>
  <c r="P1267" i="2"/>
  <c r="O1267" i="2"/>
  <c r="R1266" i="2"/>
  <c r="Q1266" i="2"/>
  <c r="P1266" i="2"/>
  <c r="O1266" i="2"/>
  <c r="R1265" i="2"/>
  <c r="Q1265" i="2"/>
  <c r="P1265" i="2"/>
  <c r="O1265" i="2"/>
  <c r="R1264" i="2"/>
  <c r="Q1264" i="2"/>
  <c r="P1264" i="2"/>
  <c r="O1264" i="2"/>
  <c r="R1263" i="2"/>
  <c r="Q1263" i="2"/>
  <c r="P1263" i="2"/>
  <c r="O1263" i="2"/>
  <c r="R1262" i="2"/>
  <c r="Q1262" i="2"/>
  <c r="P1262" i="2"/>
  <c r="O1262" i="2"/>
  <c r="R1261" i="2"/>
  <c r="Q1261" i="2"/>
  <c r="P1261" i="2"/>
  <c r="O1261" i="2"/>
  <c r="R1260" i="2"/>
  <c r="Q1260" i="2"/>
  <c r="P1260" i="2"/>
  <c r="O1260" i="2"/>
  <c r="R1259" i="2"/>
  <c r="Q1259" i="2"/>
  <c r="P1259" i="2"/>
  <c r="O1259" i="2"/>
  <c r="R1258" i="2"/>
  <c r="Q1258" i="2"/>
  <c r="P1258" i="2"/>
  <c r="O1258" i="2"/>
  <c r="R1257" i="2"/>
  <c r="Q1257" i="2"/>
  <c r="P1257" i="2"/>
  <c r="O1257" i="2"/>
  <c r="R1256" i="2"/>
  <c r="Q1256" i="2"/>
  <c r="P1256" i="2"/>
  <c r="O1256" i="2"/>
  <c r="R1255" i="2"/>
  <c r="Q1255" i="2"/>
  <c r="P1255" i="2"/>
  <c r="O1255" i="2"/>
  <c r="R1254" i="2"/>
  <c r="Q1254" i="2"/>
  <c r="P1254" i="2"/>
  <c r="O1254" i="2"/>
  <c r="R1253" i="2"/>
  <c r="Q1253" i="2"/>
  <c r="P1253" i="2"/>
  <c r="O1253" i="2"/>
  <c r="R1252" i="2"/>
  <c r="Q1252" i="2"/>
  <c r="P1252" i="2"/>
  <c r="O1252" i="2"/>
  <c r="R1251" i="2"/>
  <c r="Q1251" i="2"/>
  <c r="P1251" i="2"/>
  <c r="O1251" i="2"/>
  <c r="R1250" i="2"/>
  <c r="Q1250" i="2"/>
  <c r="P1250" i="2"/>
  <c r="O1250" i="2"/>
  <c r="R1249" i="2"/>
  <c r="Q1249" i="2"/>
  <c r="P1249" i="2"/>
  <c r="O1249" i="2"/>
  <c r="R1248" i="2"/>
  <c r="Q1248" i="2"/>
  <c r="P1248" i="2"/>
  <c r="O1248" i="2"/>
  <c r="R1247" i="2"/>
  <c r="Q1247" i="2"/>
  <c r="P1247" i="2"/>
  <c r="O1247" i="2"/>
  <c r="R1246" i="2"/>
  <c r="Q1246" i="2"/>
  <c r="P1246" i="2"/>
  <c r="O1246" i="2"/>
  <c r="R1245" i="2"/>
  <c r="Q1245" i="2"/>
  <c r="P1245" i="2"/>
  <c r="O1245" i="2"/>
  <c r="R1244" i="2"/>
  <c r="Q1244" i="2"/>
  <c r="P1244" i="2"/>
  <c r="O1244" i="2"/>
  <c r="R1243" i="2"/>
  <c r="Q1243" i="2"/>
  <c r="P1243" i="2"/>
  <c r="O1243" i="2"/>
  <c r="R1242" i="2"/>
  <c r="Q1242" i="2"/>
  <c r="P1242" i="2"/>
  <c r="O1242" i="2"/>
  <c r="R1241" i="2"/>
  <c r="Q1241" i="2"/>
  <c r="P1241" i="2"/>
  <c r="O1241" i="2"/>
  <c r="R1240" i="2"/>
  <c r="Q1240" i="2"/>
  <c r="P1240" i="2"/>
  <c r="O1240" i="2"/>
  <c r="R1239" i="2"/>
  <c r="Q1239" i="2"/>
  <c r="P1239" i="2"/>
  <c r="O1239" i="2"/>
  <c r="R1238" i="2"/>
  <c r="Q1238" i="2"/>
  <c r="P1238" i="2"/>
  <c r="O1238" i="2"/>
  <c r="R1237" i="2"/>
  <c r="Q1237" i="2"/>
  <c r="P1237" i="2"/>
  <c r="O1237" i="2"/>
  <c r="R1236" i="2"/>
  <c r="Q1236" i="2"/>
  <c r="P1236" i="2"/>
  <c r="O1236" i="2"/>
  <c r="R1235" i="2"/>
  <c r="Q1235" i="2"/>
  <c r="P1235" i="2"/>
  <c r="O1235" i="2"/>
  <c r="R1234" i="2"/>
  <c r="Q1234" i="2"/>
  <c r="P1234" i="2"/>
  <c r="O1234" i="2"/>
  <c r="R1233" i="2"/>
  <c r="Q1233" i="2"/>
  <c r="P1233" i="2"/>
  <c r="O1233" i="2"/>
  <c r="R1232" i="2"/>
  <c r="Q1232" i="2"/>
  <c r="P1232" i="2"/>
  <c r="O1232" i="2"/>
  <c r="R1231" i="2"/>
  <c r="Q1231" i="2"/>
  <c r="P1231" i="2"/>
  <c r="O1231" i="2"/>
  <c r="R1230" i="2"/>
  <c r="Q1230" i="2"/>
  <c r="P1230" i="2"/>
  <c r="O1230" i="2"/>
  <c r="R1229" i="2"/>
  <c r="Q1229" i="2"/>
  <c r="P1229" i="2"/>
  <c r="O1229" i="2"/>
  <c r="R1228" i="2"/>
  <c r="Q1228" i="2"/>
  <c r="P1228" i="2"/>
  <c r="O1228" i="2"/>
  <c r="R1227" i="2"/>
  <c r="Q1227" i="2"/>
  <c r="P1227" i="2"/>
  <c r="O1227" i="2"/>
  <c r="R1226" i="2"/>
  <c r="Q1226" i="2"/>
  <c r="P1226" i="2"/>
  <c r="O1226" i="2"/>
  <c r="R1225" i="2"/>
  <c r="Q1225" i="2"/>
  <c r="P1225" i="2"/>
  <c r="O1225" i="2"/>
  <c r="R1224" i="2"/>
  <c r="Q1224" i="2"/>
  <c r="P1224" i="2"/>
  <c r="O1224" i="2"/>
  <c r="R1223" i="2"/>
  <c r="Q1223" i="2"/>
  <c r="P1223" i="2"/>
  <c r="O1223" i="2"/>
  <c r="R1222" i="2"/>
  <c r="Q1222" i="2"/>
  <c r="P1222" i="2"/>
  <c r="O1222" i="2"/>
  <c r="R1221" i="2"/>
  <c r="Q1221" i="2"/>
  <c r="P1221" i="2"/>
  <c r="O1221" i="2"/>
  <c r="R1220" i="2"/>
  <c r="Q1220" i="2"/>
  <c r="P1220" i="2"/>
  <c r="O1220" i="2"/>
  <c r="R1219" i="2"/>
  <c r="Q1219" i="2"/>
  <c r="P1219" i="2"/>
  <c r="O1219" i="2"/>
  <c r="R1218" i="2"/>
  <c r="Q1218" i="2"/>
  <c r="P1218" i="2"/>
  <c r="O1218" i="2"/>
  <c r="R1217" i="2"/>
  <c r="Q1217" i="2"/>
  <c r="P1217" i="2"/>
  <c r="O1217" i="2"/>
  <c r="R1216" i="2"/>
  <c r="Q1216" i="2"/>
  <c r="P1216" i="2"/>
  <c r="O1216" i="2"/>
  <c r="R1215" i="2"/>
  <c r="Q1215" i="2"/>
  <c r="P1215" i="2"/>
  <c r="O1215" i="2"/>
  <c r="R1214" i="2"/>
  <c r="Q1214" i="2"/>
  <c r="P1214" i="2"/>
  <c r="O1214" i="2"/>
  <c r="R1213" i="2"/>
  <c r="Q1213" i="2"/>
  <c r="P1213" i="2"/>
  <c r="O1213" i="2"/>
  <c r="R1212" i="2"/>
  <c r="Q1212" i="2"/>
  <c r="P1212" i="2"/>
  <c r="O1212" i="2"/>
  <c r="R1211" i="2"/>
  <c r="Q1211" i="2"/>
  <c r="P1211" i="2"/>
  <c r="O1211" i="2"/>
  <c r="R1210" i="2"/>
  <c r="Q1210" i="2"/>
  <c r="P1210" i="2"/>
  <c r="O1210" i="2"/>
  <c r="R1209" i="2"/>
  <c r="Q1209" i="2"/>
  <c r="P1209" i="2"/>
  <c r="O1209" i="2"/>
  <c r="R1208" i="2"/>
  <c r="Q1208" i="2"/>
  <c r="P1208" i="2"/>
  <c r="O1208" i="2"/>
  <c r="R1207" i="2"/>
  <c r="Q1207" i="2"/>
  <c r="P1207" i="2"/>
  <c r="O1207" i="2"/>
  <c r="R1206" i="2"/>
  <c r="Q1206" i="2"/>
  <c r="P1206" i="2"/>
  <c r="O1206" i="2"/>
  <c r="R1205" i="2"/>
  <c r="Q1205" i="2"/>
  <c r="P1205" i="2"/>
  <c r="O1205" i="2"/>
  <c r="R1204" i="2"/>
  <c r="Q1204" i="2"/>
  <c r="P1204" i="2"/>
  <c r="O1204" i="2"/>
  <c r="R1203" i="2"/>
  <c r="Q1203" i="2"/>
  <c r="P1203" i="2"/>
  <c r="O1203" i="2"/>
  <c r="R1202" i="2"/>
  <c r="Q1202" i="2"/>
  <c r="P1202" i="2"/>
  <c r="O1202" i="2"/>
  <c r="R1201" i="2"/>
  <c r="Q1201" i="2"/>
  <c r="P1201" i="2"/>
  <c r="O1201" i="2"/>
  <c r="R1200" i="2"/>
  <c r="Q1200" i="2"/>
  <c r="P1200" i="2"/>
  <c r="O1200" i="2"/>
  <c r="R1199" i="2"/>
  <c r="Q1199" i="2"/>
  <c r="P1199" i="2"/>
  <c r="O1199" i="2"/>
  <c r="R1198" i="2"/>
  <c r="Q1198" i="2"/>
  <c r="P1198" i="2"/>
  <c r="O1198" i="2"/>
  <c r="R1197" i="2"/>
  <c r="Q1197" i="2"/>
  <c r="P1197" i="2"/>
  <c r="O1197" i="2"/>
  <c r="R1196" i="2"/>
  <c r="Q1196" i="2"/>
  <c r="P1196" i="2"/>
  <c r="O1196" i="2"/>
  <c r="R1195" i="2"/>
  <c r="Q1195" i="2"/>
  <c r="P1195" i="2"/>
  <c r="O1195" i="2"/>
  <c r="R1194" i="2"/>
  <c r="Q1194" i="2"/>
  <c r="P1194" i="2"/>
  <c r="O1194" i="2"/>
  <c r="R1193" i="2"/>
  <c r="Q1193" i="2"/>
  <c r="P1193" i="2"/>
  <c r="O1193" i="2"/>
  <c r="R1192" i="2"/>
  <c r="Q1192" i="2"/>
  <c r="P1192" i="2"/>
  <c r="O1192" i="2"/>
  <c r="R1191" i="2"/>
  <c r="Q1191" i="2"/>
  <c r="P1191" i="2"/>
  <c r="O1191" i="2"/>
  <c r="R1190" i="2"/>
  <c r="Q1190" i="2"/>
  <c r="P1190" i="2"/>
  <c r="O1190" i="2"/>
  <c r="R1189" i="2"/>
  <c r="Q1189" i="2"/>
  <c r="P1189" i="2"/>
  <c r="O1189" i="2"/>
  <c r="R1188" i="2"/>
  <c r="Q1188" i="2"/>
  <c r="P1188" i="2"/>
  <c r="O1188" i="2"/>
  <c r="R1187" i="2"/>
  <c r="Q1187" i="2"/>
  <c r="P1187" i="2"/>
  <c r="O1187" i="2"/>
  <c r="R1186" i="2"/>
  <c r="Q1186" i="2"/>
  <c r="P1186" i="2"/>
  <c r="O1186" i="2"/>
  <c r="R1185" i="2"/>
  <c r="Q1185" i="2"/>
  <c r="P1185" i="2"/>
  <c r="O1185" i="2"/>
  <c r="R1184" i="2"/>
  <c r="Q1184" i="2"/>
  <c r="P1184" i="2"/>
  <c r="O1184" i="2"/>
  <c r="R1183" i="2"/>
  <c r="Q1183" i="2"/>
  <c r="P1183" i="2"/>
  <c r="O1183" i="2"/>
  <c r="R1182" i="2"/>
  <c r="Q1182" i="2"/>
  <c r="P1182" i="2"/>
  <c r="O1182" i="2"/>
  <c r="R1181" i="2"/>
  <c r="Q1181" i="2"/>
  <c r="P1181" i="2"/>
  <c r="O1181" i="2"/>
  <c r="R1180" i="2"/>
  <c r="Q1180" i="2"/>
  <c r="P1180" i="2"/>
  <c r="O1180" i="2"/>
  <c r="R1179" i="2"/>
  <c r="Q1179" i="2"/>
  <c r="P1179" i="2"/>
  <c r="O1179" i="2"/>
  <c r="R1178" i="2"/>
  <c r="Q1178" i="2"/>
  <c r="P1178" i="2"/>
  <c r="O1178" i="2"/>
  <c r="R1177" i="2"/>
  <c r="Q1177" i="2"/>
  <c r="P1177" i="2"/>
  <c r="O1177" i="2"/>
  <c r="R1176" i="2"/>
  <c r="Q1176" i="2"/>
  <c r="P1176" i="2"/>
  <c r="O1176" i="2"/>
  <c r="R1175" i="2"/>
  <c r="Q1175" i="2"/>
  <c r="P1175" i="2"/>
  <c r="O1175" i="2"/>
  <c r="R1174" i="2"/>
  <c r="Q1174" i="2"/>
  <c r="P1174" i="2"/>
  <c r="O1174" i="2"/>
  <c r="R1173" i="2"/>
  <c r="Q1173" i="2"/>
  <c r="P1173" i="2"/>
  <c r="O1173" i="2"/>
  <c r="R1172" i="2"/>
  <c r="Q1172" i="2"/>
  <c r="P1172" i="2"/>
  <c r="O1172" i="2"/>
  <c r="R1171" i="2"/>
  <c r="Q1171" i="2"/>
  <c r="P1171" i="2"/>
  <c r="O1171" i="2"/>
  <c r="R1170" i="2"/>
  <c r="Q1170" i="2"/>
  <c r="P1170" i="2"/>
  <c r="O1170" i="2"/>
  <c r="R1169" i="2"/>
  <c r="Q1169" i="2"/>
  <c r="P1169" i="2"/>
  <c r="O1169" i="2"/>
  <c r="R1168" i="2"/>
  <c r="Q1168" i="2"/>
  <c r="P1168" i="2"/>
  <c r="O1168" i="2"/>
  <c r="R1167" i="2"/>
  <c r="Q1167" i="2"/>
  <c r="P1167" i="2"/>
  <c r="O1167" i="2"/>
  <c r="R1166" i="2"/>
  <c r="Q1166" i="2"/>
  <c r="P1166" i="2"/>
  <c r="O1166" i="2"/>
  <c r="R1165" i="2"/>
  <c r="Q1165" i="2"/>
  <c r="P1165" i="2"/>
  <c r="O1165" i="2"/>
  <c r="R1164" i="2"/>
  <c r="Q1164" i="2"/>
  <c r="P1164" i="2"/>
  <c r="O1164" i="2"/>
  <c r="R1163" i="2"/>
  <c r="Q1163" i="2"/>
  <c r="P1163" i="2"/>
  <c r="O1163" i="2"/>
  <c r="R1162" i="2"/>
  <c r="Q1162" i="2"/>
  <c r="P1162" i="2"/>
  <c r="O1162" i="2"/>
  <c r="R1161" i="2"/>
  <c r="Q1161" i="2"/>
  <c r="P1161" i="2"/>
  <c r="O1161" i="2"/>
  <c r="R1160" i="2"/>
  <c r="Q1160" i="2"/>
  <c r="P1160" i="2"/>
  <c r="O1160" i="2"/>
  <c r="R1159" i="2"/>
  <c r="Q1159" i="2"/>
  <c r="P1159" i="2"/>
  <c r="O1159" i="2"/>
  <c r="R1158" i="2"/>
  <c r="Q1158" i="2"/>
  <c r="P1158" i="2"/>
  <c r="O1158" i="2"/>
  <c r="R1157" i="2"/>
  <c r="Q1157" i="2"/>
  <c r="P1157" i="2"/>
  <c r="O1157" i="2"/>
  <c r="R1156" i="2"/>
  <c r="Q1156" i="2"/>
  <c r="P1156" i="2"/>
  <c r="O1156" i="2"/>
  <c r="R1155" i="2"/>
  <c r="Q1155" i="2"/>
  <c r="P1155" i="2"/>
  <c r="O1155" i="2"/>
  <c r="R1154" i="2"/>
  <c r="Q1154" i="2"/>
  <c r="P1154" i="2"/>
  <c r="O1154" i="2"/>
  <c r="R1153" i="2"/>
  <c r="Q1153" i="2"/>
  <c r="P1153" i="2"/>
  <c r="O1153" i="2"/>
  <c r="R1152" i="2"/>
  <c r="Q1152" i="2"/>
  <c r="P1152" i="2"/>
  <c r="O1152" i="2"/>
  <c r="R1151" i="2"/>
  <c r="Q1151" i="2"/>
  <c r="P1151" i="2"/>
  <c r="O1151" i="2"/>
  <c r="R1150" i="2"/>
  <c r="Q1150" i="2"/>
  <c r="P1150" i="2"/>
  <c r="O1150" i="2"/>
  <c r="R1149" i="2"/>
  <c r="Q1149" i="2"/>
  <c r="P1149" i="2"/>
  <c r="O1149" i="2"/>
  <c r="R1148" i="2"/>
  <c r="Q1148" i="2"/>
  <c r="P1148" i="2"/>
  <c r="O1148" i="2"/>
  <c r="R1147" i="2"/>
  <c r="Q1147" i="2"/>
  <c r="P1147" i="2"/>
  <c r="O1147" i="2"/>
  <c r="R1146" i="2"/>
  <c r="Q1146" i="2"/>
  <c r="P1146" i="2"/>
  <c r="O1146" i="2"/>
  <c r="R1145" i="2"/>
  <c r="Q1145" i="2"/>
  <c r="P1145" i="2"/>
  <c r="O1145" i="2"/>
  <c r="R1144" i="2"/>
  <c r="Q1144" i="2"/>
  <c r="P1144" i="2"/>
  <c r="O1144" i="2"/>
  <c r="R1143" i="2"/>
  <c r="Q1143" i="2"/>
  <c r="P1143" i="2"/>
  <c r="O1143" i="2"/>
  <c r="R1142" i="2"/>
  <c r="Q1142" i="2"/>
  <c r="P1142" i="2"/>
  <c r="O1142" i="2"/>
  <c r="R1141" i="2"/>
  <c r="Q1141" i="2"/>
  <c r="P1141" i="2"/>
  <c r="O1141" i="2"/>
  <c r="R1140" i="2"/>
  <c r="Q1140" i="2"/>
  <c r="P1140" i="2"/>
  <c r="O1140" i="2"/>
  <c r="R1139" i="2"/>
  <c r="Q1139" i="2"/>
  <c r="P1139" i="2"/>
  <c r="O1139" i="2"/>
  <c r="R1138" i="2"/>
  <c r="Q1138" i="2"/>
  <c r="P1138" i="2"/>
  <c r="O1138" i="2"/>
  <c r="R1137" i="2"/>
  <c r="Q1137" i="2"/>
  <c r="P1137" i="2"/>
  <c r="O1137" i="2"/>
  <c r="R1136" i="2"/>
  <c r="Q1136" i="2"/>
  <c r="P1136" i="2"/>
  <c r="O1136" i="2"/>
  <c r="R1135" i="2"/>
  <c r="Q1135" i="2"/>
  <c r="P1135" i="2"/>
  <c r="O1135" i="2"/>
  <c r="R1134" i="2"/>
  <c r="Q1134" i="2"/>
  <c r="P1134" i="2"/>
  <c r="O1134" i="2"/>
  <c r="R1133" i="2"/>
  <c r="Q1133" i="2"/>
  <c r="P1133" i="2"/>
  <c r="O1133" i="2"/>
  <c r="R1132" i="2"/>
  <c r="Q1132" i="2"/>
  <c r="P1132" i="2"/>
  <c r="O1132" i="2"/>
  <c r="R1131" i="2"/>
  <c r="Q1131" i="2"/>
  <c r="P1131" i="2"/>
  <c r="O1131" i="2"/>
  <c r="R1130" i="2"/>
  <c r="Q1130" i="2"/>
  <c r="P1130" i="2"/>
  <c r="O1130" i="2"/>
  <c r="R1129" i="2"/>
  <c r="Q1129" i="2"/>
  <c r="P1129" i="2"/>
  <c r="O1129" i="2"/>
  <c r="R1128" i="2"/>
  <c r="Q1128" i="2"/>
  <c r="P1128" i="2"/>
  <c r="O1128" i="2"/>
  <c r="R1127" i="2"/>
  <c r="Q1127" i="2"/>
  <c r="P1127" i="2"/>
  <c r="O1127" i="2"/>
  <c r="R1126" i="2"/>
  <c r="Q1126" i="2"/>
  <c r="P1126" i="2"/>
  <c r="O1126" i="2"/>
  <c r="R1125" i="2"/>
  <c r="Q1125" i="2"/>
  <c r="P1125" i="2"/>
  <c r="O1125" i="2"/>
  <c r="R1124" i="2"/>
  <c r="Q1124" i="2"/>
  <c r="P1124" i="2"/>
  <c r="O1124" i="2"/>
  <c r="R1123" i="2"/>
  <c r="Q1123" i="2"/>
  <c r="P1123" i="2"/>
  <c r="O1123" i="2"/>
  <c r="R1122" i="2"/>
  <c r="Q1122" i="2"/>
  <c r="P1122" i="2"/>
  <c r="O1122" i="2"/>
  <c r="R1121" i="2"/>
  <c r="Q1121" i="2"/>
  <c r="P1121" i="2"/>
  <c r="O1121" i="2"/>
  <c r="R1120" i="2"/>
  <c r="Q1120" i="2"/>
  <c r="P1120" i="2"/>
  <c r="O1120" i="2"/>
  <c r="R1119" i="2"/>
  <c r="Q1119" i="2"/>
  <c r="P1119" i="2"/>
  <c r="O1119" i="2"/>
  <c r="R1118" i="2"/>
  <c r="Q1118" i="2"/>
  <c r="P1118" i="2"/>
  <c r="O1118" i="2"/>
  <c r="R1117" i="2"/>
  <c r="Q1117" i="2"/>
  <c r="P1117" i="2"/>
  <c r="O1117" i="2"/>
  <c r="R1116" i="2"/>
  <c r="Q1116" i="2"/>
  <c r="P1116" i="2"/>
  <c r="O1116" i="2"/>
  <c r="R1115" i="2"/>
  <c r="Q1115" i="2"/>
  <c r="P1115" i="2"/>
  <c r="O1115" i="2"/>
  <c r="R1114" i="2"/>
  <c r="Q1114" i="2"/>
  <c r="P1114" i="2"/>
  <c r="O1114" i="2"/>
  <c r="R1113" i="2"/>
  <c r="Q1113" i="2"/>
  <c r="P1113" i="2"/>
  <c r="O1113" i="2"/>
  <c r="R1112" i="2"/>
  <c r="Q1112" i="2"/>
  <c r="P1112" i="2"/>
  <c r="O1112" i="2"/>
  <c r="R1111" i="2"/>
  <c r="Q1111" i="2"/>
  <c r="P1111" i="2"/>
  <c r="O1111" i="2"/>
  <c r="R1110" i="2"/>
  <c r="Q1110" i="2"/>
  <c r="P1110" i="2"/>
  <c r="O1110" i="2"/>
  <c r="R1109" i="2"/>
  <c r="Q1109" i="2"/>
  <c r="P1109" i="2"/>
  <c r="O1109" i="2"/>
  <c r="R1108" i="2"/>
  <c r="Q1108" i="2"/>
  <c r="P1108" i="2"/>
  <c r="O1108" i="2"/>
  <c r="R1107" i="2"/>
  <c r="Q1107" i="2"/>
  <c r="P1107" i="2"/>
  <c r="O1107" i="2"/>
  <c r="R1106" i="2"/>
  <c r="Q1106" i="2"/>
  <c r="P1106" i="2"/>
  <c r="O1106" i="2"/>
  <c r="R1105" i="2"/>
  <c r="Q1105" i="2"/>
  <c r="P1105" i="2"/>
  <c r="O1105" i="2"/>
  <c r="R1104" i="2"/>
  <c r="Q1104" i="2"/>
  <c r="P1104" i="2"/>
  <c r="O1104" i="2"/>
  <c r="R1103" i="2"/>
  <c r="Q1103" i="2"/>
  <c r="P1103" i="2"/>
  <c r="O1103" i="2"/>
  <c r="R1102" i="2"/>
  <c r="Q1102" i="2"/>
  <c r="P1102" i="2"/>
  <c r="O1102" i="2"/>
  <c r="R1101" i="2"/>
  <c r="Q1101" i="2"/>
  <c r="P1101" i="2"/>
  <c r="O1101" i="2"/>
  <c r="R1100" i="2"/>
  <c r="Q1100" i="2"/>
  <c r="P1100" i="2"/>
  <c r="O1100" i="2"/>
  <c r="R1099" i="2"/>
  <c r="Q1099" i="2"/>
  <c r="P1099" i="2"/>
  <c r="O1099" i="2"/>
  <c r="R1098" i="2"/>
  <c r="Q1098" i="2"/>
  <c r="P1098" i="2"/>
  <c r="O1098" i="2"/>
  <c r="R1097" i="2"/>
  <c r="Q1097" i="2"/>
  <c r="P1097" i="2"/>
  <c r="O1097" i="2"/>
  <c r="R1096" i="2"/>
  <c r="Q1096" i="2"/>
  <c r="P1096" i="2"/>
  <c r="O1096" i="2"/>
  <c r="R1095" i="2"/>
  <c r="Q1095" i="2"/>
  <c r="P1095" i="2"/>
  <c r="O1095" i="2"/>
  <c r="R1094" i="2"/>
  <c r="Q1094" i="2"/>
  <c r="P1094" i="2"/>
  <c r="O1094" i="2"/>
  <c r="R1093" i="2"/>
  <c r="Q1093" i="2"/>
  <c r="P1093" i="2"/>
  <c r="O1093" i="2"/>
  <c r="R1092" i="2"/>
  <c r="Q1092" i="2"/>
  <c r="P1092" i="2"/>
  <c r="O1092" i="2"/>
  <c r="R1091" i="2"/>
  <c r="Q1091" i="2"/>
  <c r="P1091" i="2"/>
  <c r="O1091" i="2"/>
  <c r="R1090" i="2"/>
  <c r="Q1090" i="2"/>
  <c r="P1090" i="2"/>
  <c r="O1090" i="2"/>
  <c r="R1089" i="2"/>
  <c r="Q1089" i="2"/>
  <c r="P1089" i="2"/>
  <c r="O1089" i="2"/>
  <c r="R1088" i="2"/>
  <c r="Q1088" i="2"/>
  <c r="P1088" i="2"/>
  <c r="O1088" i="2"/>
  <c r="R1087" i="2"/>
  <c r="Q1087" i="2"/>
  <c r="P1087" i="2"/>
  <c r="O1087" i="2"/>
  <c r="R1086" i="2"/>
  <c r="Q1086" i="2"/>
  <c r="P1086" i="2"/>
  <c r="O1086" i="2"/>
  <c r="R1085" i="2"/>
  <c r="Q1085" i="2"/>
  <c r="P1085" i="2"/>
  <c r="O1085" i="2"/>
  <c r="R1084" i="2"/>
  <c r="Q1084" i="2"/>
  <c r="P1084" i="2"/>
  <c r="O1084" i="2"/>
  <c r="R1083" i="2"/>
  <c r="Q1083" i="2"/>
  <c r="P1083" i="2"/>
  <c r="O1083" i="2"/>
  <c r="R1082" i="2"/>
  <c r="Q1082" i="2"/>
  <c r="P1082" i="2"/>
  <c r="O1082" i="2"/>
  <c r="R1081" i="2"/>
  <c r="Q1081" i="2"/>
  <c r="P1081" i="2"/>
  <c r="O1081" i="2"/>
  <c r="R1080" i="2"/>
  <c r="Q1080" i="2"/>
  <c r="P1080" i="2"/>
  <c r="O1080" i="2"/>
  <c r="R1079" i="2"/>
  <c r="Q1079" i="2"/>
  <c r="P1079" i="2"/>
  <c r="O1079" i="2"/>
  <c r="R1078" i="2"/>
  <c r="Q1078" i="2"/>
  <c r="P1078" i="2"/>
  <c r="O1078" i="2"/>
  <c r="R1077" i="2"/>
  <c r="Q1077" i="2"/>
  <c r="P1077" i="2"/>
  <c r="O1077" i="2"/>
  <c r="R1076" i="2"/>
  <c r="Q1076" i="2"/>
  <c r="P1076" i="2"/>
  <c r="O1076" i="2"/>
  <c r="R1075" i="2"/>
  <c r="Q1075" i="2"/>
  <c r="P1075" i="2"/>
  <c r="O1075" i="2"/>
  <c r="R1074" i="2"/>
  <c r="Q1074" i="2"/>
  <c r="P1074" i="2"/>
  <c r="O1074" i="2"/>
  <c r="R1073" i="2"/>
  <c r="Q1073" i="2"/>
  <c r="P1073" i="2"/>
  <c r="O1073" i="2"/>
  <c r="R1072" i="2"/>
  <c r="Q1072" i="2"/>
  <c r="P1072" i="2"/>
  <c r="O1072" i="2"/>
  <c r="R1071" i="2"/>
  <c r="Q1071" i="2"/>
  <c r="P1071" i="2"/>
  <c r="O1071" i="2"/>
  <c r="R1070" i="2"/>
  <c r="Q1070" i="2"/>
  <c r="P1070" i="2"/>
  <c r="O1070" i="2"/>
  <c r="R1069" i="2"/>
  <c r="Q1069" i="2"/>
  <c r="P1069" i="2"/>
  <c r="O1069" i="2"/>
  <c r="R1068" i="2"/>
  <c r="Q1068" i="2"/>
  <c r="P1068" i="2"/>
  <c r="O1068" i="2"/>
  <c r="R1067" i="2"/>
  <c r="Q1067" i="2"/>
  <c r="P1067" i="2"/>
  <c r="O1067" i="2"/>
  <c r="R1066" i="2"/>
  <c r="Q1066" i="2"/>
  <c r="P1066" i="2"/>
  <c r="O1066" i="2"/>
  <c r="R1065" i="2"/>
  <c r="Q1065" i="2"/>
  <c r="P1065" i="2"/>
  <c r="O1065" i="2"/>
  <c r="R1064" i="2"/>
  <c r="Q1064" i="2"/>
  <c r="P1064" i="2"/>
  <c r="O1064" i="2"/>
  <c r="R1063" i="2"/>
  <c r="Q1063" i="2"/>
  <c r="P1063" i="2"/>
  <c r="O1063" i="2"/>
  <c r="R1062" i="2"/>
  <c r="Q1062" i="2"/>
  <c r="P1062" i="2"/>
  <c r="O1062" i="2"/>
  <c r="R1061" i="2"/>
  <c r="Q1061" i="2"/>
  <c r="P1061" i="2"/>
  <c r="O1061" i="2"/>
  <c r="R1060" i="2"/>
  <c r="Q1060" i="2"/>
  <c r="P1060" i="2"/>
  <c r="O1060" i="2"/>
  <c r="R1059" i="2"/>
  <c r="Q1059" i="2"/>
  <c r="P1059" i="2"/>
  <c r="O1059" i="2"/>
  <c r="R1058" i="2"/>
  <c r="Q1058" i="2"/>
  <c r="P1058" i="2"/>
  <c r="O1058" i="2"/>
  <c r="R1057" i="2"/>
  <c r="Q1057" i="2"/>
  <c r="P1057" i="2"/>
  <c r="O1057" i="2"/>
  <c r="R1056" i="2"/>
  <c r="Q1056" i="2"/>
  <c r="P1056" i="2"/>
  <c r="O1056" i="2"/>
  <c r="R1055" i="2"/>
  <c r="Q1055" i="2"/>
  <c r="P1055" i="2"/>
  <c r="O1055" i="2"/>
  <c r="R1054" i="2"/>
  <c r="Q1054" i="2"/>
  <c r="P1054" i="2"/>
  <c r="O1054" i="2"/>
  <c r="R1053" i="2"/>
  <c r="Q1053" i="2"/>
  <c r="P1053" i="2"/>
  <c r="O1053" i="2"/>
  <c r="R1052" i="2"/>
  <c r="Q1052" i="2"/>
  <c r="P1052" i="2"/>
  <c r="O1052" i="2"/>
  <c r="R1051" i="2"/>
  <c r="Q1051" i="2"/>
  <c r="P1051" i="2"/>
  <c r="O1051" i="2"/>
  <c r="R1050" i="2"/>
  <c r="Q1050" i="2"/>
  <c r="P1050" i="2"/>
  <c r="O1050" i="2"/>
  <c r="R1049" i="2"/>
  <c r="Q1049" i="2"/>
  <c r="P1049" i="2"/>
  <c r="O1049" i="2"/>
  <c r="R1048" i="2"/>
  <c r="Q1048" i="2"/>
  <c r="P1048" i="2"/>
  <c r="O1048" i="2"/>
  <c r="R1047" i="2"/>
  <c r="Q1047" i="2"/>
  <c r="P1047" i="2"/>
  <c r="O1047" i="2"/>
  <c r="R1046" i="2"/>
  <c r="Q1046" i="2"/>
  <c r="P1046" i="2"/>
  <c r="O1046" i="2"/>
  <c r="R1045" i="2"/>
  <c r="Q1045" i="2"/>
  <c r="P1045" i="2"/>
  <c r="O1045" i="2"/>
  <c r="R1044" i="2"/>
  <c r="Q1044" i="2"/>
  <c r="P1044" i="2"/>
  <c r="O1044" i="2"/>
  <c r="R1043" i="2"/>
  <c r="Q1043" i="2"/>
  <c r="P1043" i="2"/>
  <c r="O1043" i="2"/>
  <c r="R1042" i="2"/>
  <c r="Q1042" i="2"/>
  <c r="P1042" i="2"/>
  <c r="O1042" i="2"/>
  <c r="R1041" i="2"/>
  <c r="Q1041" i="2"/>
  <c r="P1041" i="2"/>
  <c r="O1041" i="2"/>
  <c r="R1040" i="2"/>
  <c r="Q1040" i="2"/>
  <c r="P1040" i="2"/>
  <c r="O1040" i="2"/>
  <c r="R1039" i="2"/>
  <c r="Q1039" i="2"/>
  <c r="P1039" i="2"/>
  <c r="O1039" i="2"/>
  <c r="R1038" i="2"/>
  <c r="Q1038" i="2"/>
  <c r="P1038" i="2"/>
  <c r="O1038" i="2"/>
  <c r="R1037" i="2"/>
  <c r="Q1037" i="2"/>
  <c r="P1037" i="2"/>
  <c r="O1037" i="2"/>
  <c r="R1036" i="2"/>
  <c r="Q1036" i="2"/>
  <c r="P1036" i="2"/>
  <c r="O1036" i="2"/>
  <c r="R1035" i="2"/>
  <c r="Q1035" i="2"/>
  <c r="P1035" i="2"/>
  <c r="O1035" i="2"/>
  <c r="R1034" i="2"/>
  <c r="Q1034" i="2"/>
  <c r="P1034" i="2"/>
  <c r="O1034" i="2"/>
  <c r="R1033" i="2"/>
  <c r="Q1033" i="2"/>
  <c r="P1033" i="2"/>
  <c r="O1033" i="2"/>
  <c r="R1032" i="2"/>
  <c r="Q1032" i="2"/>
  <c r="P1032" i="2"/>
  <c r="O1032" i="2"/>
  <c r="R1031" i="2"/>
  <c r="Q1031" i="2"/>
  <c r="P1031" i="2"/>
  <c r="O1031" i="2"/>
  <c r="R1030" i="2"/>
  <c r="Q1030" i="2"/>
  <c r="P1030" i="2"/>
  <c r="O1030" i="2"/>
  <c r="R1029" i="2"/>
  <c r="Q1029" i="2"/>
  <c r="P1029" i="2"/>
  <c r="O1029" i="2"/>
  <c r="R1028" i="2"/>
  <c r="Q1028" i="2"/>
  <c r="P1028" i="2"/>
  <c r="O1028" i="2"/>
  <c r="R1027" i="2"/>
  <c r="Q1027" i="2"/>
  <c r="P1027" i="2"/>
  <c r="O1027" i="2"/>
  <c r="R1026" i="2"/>
  <c r="Q1026" i="2"/>
  <c r="P1026" i="2"/>
  <c r="O1026" i="2"/>
  <c r="R1025" i="2"/>
  <c r="Q1025" i="2"/>
  <c r="P1025" i="2"/>
  <c r="O1025" i="2"/>
  <c r="R1024" i="2"/>
  <c r="Q1024" i="2"/>
  <c r="P1024" i="2"/>
  <c r="O1024" i="2"/>
  <c r="R1023" i="2"/>
  <c r="Q1023" i="2"/>
  <c r="P1023" i="2"/>
  <c r="O1023" i="2"/>
  <c r="R1022" i="2"/>
  <c r="Q1022" i="2"/>
  <c r="P1022" i="2"/>
  <c r="O1022" i="2"/>
  <c r="R1021" i="2"/>
  <c r="Q1021" i="2"/>
  <c r="P1021" i="2"/>
  <c r="O1021" i="2"/>
  <c r="R1020" i="2"/>
  <c r="Q1020" i="2"/>
  <c r="P1020" i="2"/>
  <c r="O1020" i="2"/>
  <c r="R1019" i="2"/>
  <c r="Q1019" i="2"/>
  <c r="P1019" i="2"/>
  <c r="O1019" i="2"/>
  <c r="R1018" i="2"/>
  <c r="Q1018" i="2"/>
  <c r="P1018" i="2"/>
  <c r="O1018" i="2"/>
  <c r="R1017" i="2"/>
  <c r="Q1017" i="2"/>
  <c r="P1017" i="2"/>
  <c r="O1017" i="2"/>
  <c r="R1016" i="2"/>
  <c r="Q1016" i="2"/>
  <c r="P1016" i="2"/>
  <c r="O1016" i="2"/>
  <c r="R1015" i="2"/>
  <c r="Q1015" i="2"/>
  <c r="P1015" i="2"/>
  <c r="O1015" i="2"/>
  <c r="R1014" i="2"/>
  <c r="Q1014" i="2"/>
  <c r="P1014" i="2"/>
  <c r="O1014" i="2"/>
  <c r="R1013" i="2"/>
  <c r="Q1013" i="2"/>
  <c r="P1013" i="2"/>
  <c r="O1013" i="2"/>
  <c r="R1012" i="2"/>
  <c r="Q1012" i="2"/>
  <c r="P1012" i="2"/>
  <c r="O1012" i="2"/>
  <c r="R1011" i="2"/>
  <c r="Q1011" i="2"/>
  <c r="P1011" i="2"/>
  <c r="O1011" i="2"/>
  <c r="R1010" i="2"/>
  <c r="Q1010" i="2"/>
  <c r="P1010" i="2"/>
  <c r="O1010" i="2"/>
  <c r="R1009" i="2"/>
  <c r="Q1009" i="2"/>
  <c r="P1009" i="2"/>
  <c r="O1009" i="2"/>
  <c r="R1008" i="2"/>
  <c r="Q1008" i="2"/>
  <c r="P1008" i="2"/>
  <c r="O1008" i="2"/>
  <c r="R1007" i="2"/>
  <c r="Q1007" i="2"/>
  <c r="P1007" i="2"/>
  <c r="O1007" i="2"/>
  <c r="R1006" i="2"/>
  <c r="Q1006" i="2"/>
  <c r="P1006" i="2"/>
  <c r="O1006" i="2"/>
  <c r="R1005" i="2"/>
  <c r="Q1005" i="2"/>
  <c r="P1005" i="2"/>
  <c r="O1005" i="2"/>
  <c r="R1004" i="2"/>
  <c r="Q1004" i="2"/>
  <c r="P1004" i="2"/>
  <c r="O1004" i="2"/>
  <c r="R1003" i="2"/>
  <c r="Q1003" i="2"/>
  <c r="P1003" i="2"/>
  <c r="O1003" i="2"/>
  <c r="R1002" i="2"/>
  <c r="Q1002" i="2"/>
  <c r="P1002" i="2"/>
  <c r="O1002" i="2"/>
  <c r="R1001" i="2"/>
  <c r="Q1001" i="2"/>
  <c r="P1001" i="2"/>
  <c r="O1001" i="2"/>
  <c r="R1000" i="2"/>
  <c r="Q1000" i="2"/>
  <c r="P1000" i="2"/>
  <c r="O1000" i="2"/>
  <c r="R999" i="2"/>
  <c r="Q999" i="2"/>
  <c r="P999" i="2"/>
  <c r="O999" i="2"/>
  <c r="R998" i="2"/>
  <c r="Q998" i="2"/>
  <c r="P998" i="2"/>
  <c r="O998" i="2"/>
  <c r="R997" i="2"/>
  <c r="Q997" i="2"/>
  <c r="P997" i="2"/>
  <c r="O997" i="2"/>
  <c r="R996" i="2"/>
  <c r="Q996" i="2"/>
  <c r="P996" i="2"/>
  <c r="O996" i="2"/>
  <c r="R995" i="2"/>
  <c r="Q995" i="2"/>
  <c r="P995" i="2"/>
  <c r="O995" i="2"/>
  <c r="R994" i="2"/>
  <c r="Q994" i="2"/>
  <c r="P994" i="2"/>
  <c r="O994" i="2"/>
  <c r="R993" i="2"/>
  <c r="Q993" i="2"/>
  <c r="P993" i="2"/>
  <c r="O993" i="2"/>
  <c r="R992" i="2"/>
  <c r="Q992" i="2"/>
  <c r="P992" i="2"/>
  <c r="O992" i="2"/>
  <c r="R991" i="2"/>
  <c r="Q991" i="2"/>
  <c r="P991" i="2"/>
  <c r="O991" i="2"/>
  <c r="R990" i="2"/>
  <c r="Q990" i="2"/>
  <c r="P990" i="2"/>
  <c r="O990" i="2"/>
  <c r="R989" i="2"/>
  <c r="Q989" i="2"/>
  <c r="P989" i="2"/>
  <c r="O989" i="2"/>
  <c r="R988" i="2"/>
  <c r="Q988" i="2"/>
  <c r="P988" i="2"/>
  <c r="O988" i="2"/>
  <c r="R987" i="2"/>
  <c r="Q987" i="2"/>
  <c r="P987" i="2"/>
  <c r="O987" i="2"/>
  <c r="R986" i="2"/>
  <c r="Q986" i="2"/>
  <c r="P986" i="2"/>
  <c r="O986" i="2"/>
  <c r="R985" i="2"/>
  <c r="Q985" i="2"/>
  <c r="P985" i="2"/>
  <c r="O985" i="2"/>
  <c r="R984" i="2"/>
  <c r="Q984" i="2"/>
  <c r="P984" i="2"/>
  <c r="O984" i="2"/>
  <c r="R983" i="2"/>
  <c r="Q983" i="2"/>
  <c r="P983" i="2"/>
  <c r="O983" i="2"/>
  <c r="R982" i="2"/>
  <c r="Q982" i="2"/>
  <c r="P982" i="2"/>
  <c r="O982" i="2"/>
  <c r="R981" i="2"/>
  <c r="Q981" i="2"/>
  <c r="P981" i="2"/>
  <c r="O981" i="2"/>
  <c r="R980" i="2"/>
  <c r="Q980" i="2"/>
  <c r="P980" i="2"/>
  <c r="O980" i="2"/>
  <c r="R979" i="2"/>
  <c r="Q979" i="2"/>
  <c r="P979" i="2"/>
  <c r="O979" i="2"/>
  <c r="R978" i="2"/>
  <c r="Q978" i="2"/>
  <c r="P978" i="2"/>
  <c r="O978" i="2"/>
  <c r="R977" i="2"/>
  <c r="Q977" i="2"/>
  <c r="P977" i="2"/>
  <c r="O977" i="2"/>
  <c r="R976" i="2"/>
  <c r="Q976" i="2"/>
  <c r="P976" i="2"/>
  <c r="O976" i="2"/>
  <c r="R975" i="2"/>
  <c r="Q975" i="2"/>
  <c r="P975" i="2"/>
  <c r="O975" i="2"/>
  <c r="R974" i="2"/>
  <c r="Q974" i="2"/>
  <c r="P974" i="2"/>
  <c r="O974" i="2"/>
  <c r="R973" i="2"/>
  <c r="Q973" i="2"/>
  <c r="P973" i="2"/>
  <c r="O973" i="2"/>
  <c r="R972" i="2"/>
  <c r="Q972" i="2"/>
  <c r="P972" i="2"/>
  <c r="O972" i="2"/>
  <c r="R971" i="2"/>
  <c r="Q971" i="2"/>
  <c r="P971" i="2"/>
  <c r="O971" i="2"/>
  <c r="R970" i="2"/>
  <c r="Q970" i="2"/>
  <c r="P970" i="2"/>
  <c r="O970" i="2"/>
  <c r="R969" i="2"/>
  <c r="Q969" i="2"/>
  <c r="P969" i="2"/>
  <c r="O969" i="2"/>
  <c r="R968" i="2"/>
  <c r="Q968" i="2"/>
  <c r="P968" i="2"/>
  <c r="O968" i="2"/>
  <c r="R967" i="2"/>
  <c r="Q967" i="2"/>
  <c r="P967" i="2"/>
  <c r="O967" i="2"/>
  <c r="R966" i="2"/>
  <c r="Q966" i="2"/>
  <c r="P966" i="2"/>
  <c r="O966" i="2"/>
  <c r="R965" i="2"/>
  <c r="Q965" i="2"/>
  <c r="P965" i="2"/>
  <c r="O965" i="2"/>
  <c r="R964" i="2"/>
  <c r="Q964" i="2"/>
  <c r="P964" i="2"/>
  <c r="O964" i="2"/>
  <c r="R963" i="2"/>
  <c r="Q963" i="2"/>
  <c r="P963" i="2"/>
  <c r="O963" i="2"/>
  <c r="R962" i="2"/>
  <c r="Q962" i="2"/>
  <c r="P962" i="2"/>
  <c r="O962" i="2"/>
  <c r="R961" i="2"/>
  <c r="Q961" i="2"/>
  <c r="P961" i="2"/>
  <c r="O961" i="2"/>
  <c r="R960" i="2"/>
  <c r="Q960" i="2"/>
  <c r="P960" i="2"/>
  <c r="O960" i="2"/>
  <c r="R959" i="2"/>
  <c r="Q959" i="2"/>
  <c r="P959" i="2"/>
  <c r="O959" i="2"/>
  <c r="R958" i="2"/>
  <c r="Q958" i="2"/>
  <c r="P958" i="2"/>
  <c r="O958" i="2"/>
  <c r="R957" i="2"/>
  <c r="Q957" i="2"/>
  <c r="P957" i="2"/>
  <c r="O957" i="2"/>
  <c r="R956" i="2"/>
  <c r="Q956" i="2"/>
  <c r="P956" i="2"/>
  <c r="O956" i="2"/>
  <c r="R955" i="2"/>
  <c r="Q955" i="2"/>
  <c r="P955" i="2"/>
  <c r="O955" i="2"/>
  <c r="R954" i="2"/>
  <c r="Q954" i="2"/>
  <c r="P954" i="2"/>
  <c r="O954" i="2"/>
  <c r="R953" i="2"/>
  <c r="Q953" i="2"/>
  <c r="P953" i="2"/>
  <c r="O953" i="2"/>
  <c r="R952" i="2"/>
  <c r="Q952" i="2"/>
  <c r="P952" i="2"/>
  <c r="O952" i="2"/>
  <c r="R951" i="2"/>
  <c r="Q951" i="2"/>
  <c r="P951" i="2"/>
  <c r="O951" i="2"/>
  <c r="R950" i="2"/>
  <c r="Q950" i="2"/>
  <c r="P950" i="2"/>
  <c r="O950" i="2"/>
  <c r="R949" i="2"/>
  <c r="Q949" i="2"/>
  <c r="P949" i="2"/>
  <c r="O949" i="2"/>
  <c r="R948" i="2"/>
  <c r="Q948" i="2"/>
  <c r="P948" i="2"/>
  <c r="O948" i="2"/>
  <c r="R947" i="2"/>
  <c r="Q947" i="2"/>
  <c r="P947" i="2"/>
  <c r="O947" i="2"/>
  <c r="R946" i="2"/>
  <c r="Q946" i="2"/>
  <c r="P946" i="2"/>
  <c r="O946" i="2"/>
  <c r="R945" i="2"/>
  <c r="Q945" i="2"/>
  <c r="P945" i="2"/>
  <c r="O945" i="2"/>
  <c r="R944" i="2"/>
  <c r="Q944" i="2"/>
  <c r="P944" i="2"/>
  <c r="O944" i="2"/>
  <c r="R943" i="2"/>
  <c r="Q943" i="2"/>
  <c r="P943" i="2"/>
  <c r="O943" i="2"/>
  <c r="R942" i="2"/>
  <c r="Q942" i="2"/>
  <c r="P942" i="2"/>
  <c r="O942" i="2"/>
  <c r="R941" i="2"/>
  <c r="Q941" i="2"/>
  <c r="P941" i="2"/>
  <c r="O941" i="2"/>
  <c r="R940" i="2"/>
  <c r="Q940" i="2"/>
  <c r="P940" i="2"/>
  <c r="O940" i="2"/>
  <c r="R939" i="2"/>
  <c r="Q939" i="2"/>
  <c r="P939" i="2"/>
  <c r="O939" i="2"/>
  <c r="R938" i="2"/>
  <c r="Q938" i="2"/>
  <c r="P938" i="2"/>
  <c r="O938" i="2"/>
  <c r="R937" i="2"/>
  <c r="Q937" i="2"/>
  <c r="P937" i="2"/>
  <c r="O937" i="2"/>
  <c r="R936" i="2"/>
  <c r="Q936" i="2"/>
  <c r="P936" i="2"/>
  <c r="O936" i="2"/>
  <c r="R935" i="2"/>
  <c r="Q935" i="2"/>
  <c r="P935" i="2"/>
  <c r="O935" i="2"/>
  <c r="R934" i="2"/>
  <c r="Q934" i="2"/>
  <c r="P934" i="2"/>
  <c r="O934" i="2"/>
  <c r="R933" i="2"/>
  <c r="Q933" i="2"/>
  <c r="P933" i="2"/>
  <c r="O933" i="2"/>
  <c r="R932" i="2"/>
  <c r="Q932" i="2"/>
  <c r="P932" i="2"/>
  <c r="O932" i="2"/>
  <c r="R931" i="2"/>
  <c r="Q931" i="2"/>
  <c r="P931" i="2"/>
  <c r="O931" i="2"/>
  <c r="R930" i="2"/>
  <c r="Q930" i="2"/>
  <c r="P930" i="2"/>
  <c r="O930" i="2"/>
  <c r="R929" i="2"/>
  <c r="Q929" i="2"/>
  <c r="P929" i="2"/>
  <c r="O929" i="2"/>
  <c r="R928" i="2"/>
  <c r="Q928" i="2"/>
  <c r="P928" i="2"/>
  <c r="O928" i="2"/>
  <c r="R927" i="2"/>
  <c r="Q927" i="2"/>
  <c r="P927" i="2"/>
  <c r="O927" i="2"/>
  <c r="R926" i="2"/>
  <c r="Q926" i="2"/>
  <c r="P926" i="2"/>
  <c r="O926" i="2"/>
  <c r="R925" i="2"/>
  <c r="Q925" i="2"/>
  <c r="P925" i="2"/>
  <c r="O925" i="2"/>
  <c r="R924" i="2"/>
  <c r="Q924" i="2"/>
  <c r="P924" i="2"/>
  <c r="O924" i="2"/>
  <c r="R923" i="2"/>
  <c r="Q923" i="2"/>
  <c r="P923" i="2"/>
  <c r="O923" i="2"/>
  <c r="R922" i="2"/>
  <c r="Q922" i="2"/>
  <c r="P922" i="2"/>
  <c r="O922" i="2"/>
  <c r="R921" i="2"/>
  <c r="Q921" i="2"/>
  <c r="P921" i="2"/>
  <c r="O921" i="2"/>
  <c r="R920" i="2"/>
  <c r="Q920" i="2"/>
  <c r="P920" i="2"/>
  <c r="O920" i="2"/>
  <c r="R919" i="2"/>
  <c r="Q919" i="2"/>
  <c r="P919" i="2"/>
  <c r="O919" i="2"/>
  <c r="R918" i="2"/>
  <c r="Q918" i="2"/>
  <c r="P918" i="2"/>
  <c r="O918" i="2"/>
  <c r="R917" i="2"/>
  <c r="Q917" i="2"/>
  <c r="P917" i="2"/>
  <c r="O917" i="2"/>
  <c r="R916" i="2"/>
  <c r="Q916" i="2"/>
  <c r="P916" i="2"/>
  <c r="O916" i="2"/>
  <c r="R915" i="2"/>
  <c r="Q915" i="2"/>
  <c r="P915" i="2"/>
  <c r="O915" i="2"/>
  <c r="R914" i="2"/>
  <c r="Q914" i="2"/>
  <c r="P914" i="2"/>
  <c r="O914" i="2"/>
  <c r="R913" i="2"/>
  <c r="Q913" i="2"/>
  <c r="P913" i="2"/>
  <c r="O913" i="2"/>
  <c r="R912" i="2"/>
  <c r="Q912" i="2"/>
  <c r="P912" i="2"/>
  <c r="O912" i="2"/>
  <c r="R911" i="2"/>
  <c r="Q911" i="2"/>
  <c r="P911" i="2"/>
  <c r="O911" i="2"/>
  <c r="R910" i="2"/>
  <c r="Q910" i="2"/>
  <c r="P910" i="2"/>
  <c r="O910" i="2"/>
  <c r="R909" i="2"/>
  <c r="Q909" i="2"/>
  <c r="P909" i="2"/>
  <c r="O909" i="2"/>
  <c r="R908" i="2"/>
  <c r="Q908" i="2"/>
  <c r="P908" i="2"/>
  <c r="O908" i="2"/>
  <c r="R907" i="2"/>
  <c r="Q907" i="2"/>
  <c r="P907" i="2"/>
  <c r="O907" i="2"/>
  <c r="R906" i="2"/>
  <c r="Q906" i="2"/>
  <c r="P906" i="2"/>
  <c r="O906" i="2"/>
  <c r="R905" i="2"/>
  <c r="Q905" i="2"/>
  <c r="P905" i="2"/>
  <c r="O905" i="2"/>
  <c r="R904" i="2"/>
  <c r="Q904" i="2"/>
  <c r="P904" i="2"/>
  <c r="O904" i="2"/>
  <c r="R903" i="2"/>
  <c r="Q903" i="2"/>
  <c r="P903" i="2"/>
  <c r="O903" i="2"/>
  <c r="R902" i="2"/>
  <c r="Q902" i="2"/>
  <c r="P902" i="2"/>
  <c r="O902" i="2"/>
  <c r="R901" i="2"/>
  <c r="Q901" i="2"/>
  <c r="P901" i="2"/>
  <c r="O901" i="2"/>
  <c r="R900" i="2"/>
  <c r="Q900" i="2"/>
  <c r="P900" i="2"/>
  <c r="O900" i="2"/>
  <c r="R899" i="2"/>
  <c r="Q899" i="2"/>
  <c r="P899" i="2"/>
  <c r="O899" i="2"/>
  <c r="R898" i="2"/>
  <c r="Q898" i="2"/>
  <c r="P898" i="2"/>
  <c r="O898" i="2"/>
  <c r="R897" i="2"/>
  <c r="Q897" i="2"/>
  <c r="P897" i="2"/>
  <c r="O897" i="2"/>
  <c r="R896" i="2"/>
  <c r="Q896" i="2"/>
  <c r="P896" i="2"/>
  <c r="O896" i="2"/>
  <c r="R895" i="2"/>
  <c r="Q895" i="2"/>
  <c r="P895" i="2"/>
  <c r="O895" i="2"/>
  <c r="R894" i="2"/>
  <c r="Q894" i="2"/>
  <c r="P894" i="2"/>
  <c r="O894" i="2"/>
  <c r="R893" i="2"/>
  <c r="Q893" i="2"/>
  <c r="P893" i="2"/>
  <c r="O893" i="2"/>
  <c r="R892" i="2"/>
  <c r="Q892" i="2"/>
  <c r="P892" i="2"/>
  <c r="O892" i="2"/>
  <c r="R891" i="2"/>
  <c r="Q891" i="2"/>
  <c r="P891" i="2"/>
  <c r="O891" i="2"/>
  <c r="R890" i="2"/>
  <c r="Q890" i="2"/>
  <c r="P890" i="2"/>
  <c r="O890" i="2"/>
  <c r="R889" i="2"/>
  <c r="Q889" i="2"/>
  <c r="P889" i="2"/>
  <c r="O889" i="2"/>
  <c r="R888" i="2"/>
  <c r="Q888" i="2"/>
  <c r="P888" i="2"/>
  <c r="O888" i="2"/>
  <c r="R887" i="2"/>
  <c r="Q887" i="2"/>
  <c r="P887" i="2"/>
  <c r="O887" i="2"/>
  <c r="R886" i="2"/>
  <c r="Q886" i="2"/>
  <c r="P886" i="2"/>
  <c r="O886" i="2"/>
  <c r="R885" i="2"/>
  <c r="Q885" i="2"/>
  <c r="P885" i="2"/>
  <c r="O885" i="2"/>
  <c r="R884" i="2"/>
  <c r="Q884" i="2"/>
  <c r="P884" i="2"/>
  <c r="O884" i="2"/>
  <c r="R883" i="2"/>
  <c r="Q883" i="2"/>
  <c r="P883" i="2"/>
  <c r="O883" i="2"/>
  <c r="R882" i="2"/>
  <c r="Q882" i="2"/>
  <c r="P882" i="2"/>
  <c r="O882" i="2"/>
  <c r="R881" i="2"/>
  <c r="Q881" i="2"/>
  <c r="P881" i="2"/>
  <c r="O881" i="2"/>
  <c r="R880" i="2"/>
  <c r="Q880" i="2"/>
  <c r="P880" i="2"/>
  <c r="O880" i="2"/>
  <c r="R879" i="2"/>
  <c r="Q879" i="2"/>
  <c r="P879" i="2"/>
  <c r="O879" i="2"/>
  <c r="R878" i="2"/>
  <c r="Q878" i="2"/>
  <c r="P878" i="2"/>
  <c r="O878" i="2"/>
  <c r="R877" i="2"/>
  <c r="Q877" i="2"/>
  <c r="P877" i="2"/>
  <c r="O877" i="2"/>
  <c r="R876" i="2"/>
  <c r="Q876" i="2"/>
  <c r="P876" i="2"/>
  <c r="O876" i="2"/>
  <c r="R875" i="2"/>
  <c r="Q875" i="2"/>
  <c r="P875" i="2"/>
  <c r="O875" i="2"/>
  <c r="R874" i="2"/>
  <c r="Q874" i="2"/>
  <c r="P874" i="2"/>
  <c r="O874" i="2"/>
  <c r="R873" i="2"/>
  <c r="Q873" i="2"/>
  <c r="P873" i="2"/>
  <c r="O873" i="2"/>
  <c r="R872" i="2"/>
  <c r="Q872" i="2"/>
  <c r="P872" i="2"/>
  <c r="O872" i="2"/>
  <c r="R871" i="2"/>
  <c r="Q871" i="2"/>
  <c r="P871" i="2"/>
  <c r="O871" i="2"/>
  <c r="R870" i="2"/>
  <c r="Q870" i="2"/>
  <c r="P870" i="2"/>
  <c r="O870" i="2"/>
  <c r="R869" i="2"/>
  <c r="Q869" i="2"/>
  <c r="P869" i="2"/>
  <c r="O869" i="2"/>
  <c r="R868" i="2"/>
  <c r="Q868" i="2"/>
  <c r="P868" i="2"/>
  <c r="O868" i="2"/>
  <c r="R867" i="2"/>
  <c r="Q867" i="2"/>
  <c r="P867" i="2"/>
  <c r="O867" i="2"/>
  <c r="R866" i="2"/>
  <c r="Q866" i="2"/>
  <c r="P866" i="2"/>
  <c r="O866" i="2"/>
  <c r="R865" i="2"/>
  <c r="Q865" i="2"/>
  <c r="P865" i="2"/>
  <c r="O865" i="2"/>
  <c r="R864" i="2"/>
  <c r="Q864" i="2"/>
  <c r="P864" i="2"/>
  <c r="O864" i="2"/>
  <c r="R863" i="2"/>
  <c r="Q863" i="2"/>
  <c r="P863" i="2"/>
  <c r="O863" i="2"/>
  <c r="R862" i="2"/>
  <c r="Q862" i="2"/>
  <c r="P862" i="2"/>
  <c r="O862" i="2"/>
  <c r="R861" i="2"/>
  <c r="Q861" i="2"/>
  <c r="P861" i="2"/>
  <c r="O861" i="2"/>
  <c r="R860" i="2"/>
  <c r="Q860" i="2"/>
  <c r="P860" i="2"/>
  <c r="O860" i="2"/>
  <c r="R859" i="2"/>
  <c r="Q859" i="2"/>
  <c r="P859" i="2"/>
  <c r="O859" i="2"/>
  <c r="R858" i="2"/>
  <c r="Q858" i="2"/>
  <c r="P858" i="2"/>
  <c r="O858" i="2"/>
  <c r="R857" i="2"/>
  <c r="Q857" i="2"/>
  <c r="P857" i="2"/>
  <c r="O857" i="2"/>
  <c r="R856" i="2"/>
  <c r="Q856" i="2"/>
  <c r="P856" i="2"/>
  <c r="O856" i="2"/>
  <c r="R855" i="2"/>
  <c r="Q855" i="2"/>
  <c r="P855" i="2"/>
  <c r="O855" i="2"/>
  <c r="R854" i="2"/>
  <c r="Q854" i="2"/>
  <c r="P854" i="2"/>
  <c r="O854" i="2"/>
  <c r="R853" i="2"/>
  <c r="Q853" i="2"/>
  <c r="P853" i="2"/>
  <c r="O853" i="2"/>
  <c r="R852" i="2"/>
  <c r="Q852" i="2"/>
  <c r="P852" i="2"/>
  <c r="O852" i="2"/>
  <c r="R851" i="2"/>
  <c r="Q851" i="2"/>
  <c r="P851" i="2"/>
  <c r="O851" i="2"/>
  <c r="R850" i="2"/>
  <c r="Q850" i="2"/>
  <c r="P850" i="2"/>
  <c r="O850" i="2"/>
  <c r="R849" i="2"/>
  <c r="Q849" i="2"/>
  <c r="P849" i="2"/>
  <c r="O849" i="2"/>
  <c r="R848" i="2"/>
  <c r="Q848" i="2"/>
  <c r="P848" i="2"/>
  <c r="O848" i="2"/>
  <c r="R847" i="2"/>
  <c r="Q847" i="2"/>
  <c r="P847" i="2"/>
  <c r="O847" i="2"/>
  <c r="R846" i="2"/>
  <c r="Q846" i="2"/>
  <c r="P846" i="2"/>
  <c r="O846" i="2"/>
  <c r="R845" i="2"/>
  <c r="Q845" i="2"/>
  <c r="P845" i="2"/>
  <c r="O845" i="2"/>
  <c r="R844" i="2"/>
  <c r="Q844" i="2"/>
  <c r="P844" i="2"/>
  <c r="O844" i="2"/>
  <c r="R843" i="2"/>
  <c r="Q843" i="2"/>
  <c r="P843" i="2"/>
  <c r="O843" i="2"/>
  <c r="R842" i="2"/>
  <c r="Q842" i="2"/>
  <c r="P842" i="2"/>
  <c r="O842" i="2"/>
  <c r="R841" i="2"/>
  <c r="Q841" i="2"/>
  <c r="P841" i="2"/>
  <c r="O841" i="2"/>
  <c r="R840" i="2"/>
  <c r="Q840" i="2"/>
  <c r="P840" i="2"/>
  <c r="O840" i="2"/>
  <c r="R839" i="2"/>
  <c r="Q839" i="2"/>
  <c r="P839" i="2"/>
  <c r="O839" i="2"/>
  <c r="R838" i="2"/>
  <c r="Q838" i="2"/>
  <c r="P838" i="2"/>
  <c r="O838" i="2"/>
  <c r="R837" i="2"/>
  <c r="Q837" i="2"/>
  <c r="P837" i="2"/>
  <c r="O837" i="2"/>
  <c r="R836" i="2"/>
  <c r="Q836" i="2"/>
  <c r="P836" i="2"/>
  <c r="O836" i="2"/>
  <c r="R835" i="2"/>
  <c r="Q835" i="2"/>
  <c r="P835" i="2"/>
  <c r="O835" i="2"/>
  <c r="R834" i="2"/>
  <c r="Q834" i="2"/>
  <c r="P834" i="2"/>
  <c r="O834" i="2"/>
  <c r="R833" i="2"/>
  <c r="Q833" i="2"/>
  <c r="P833" i="2"/>
  <c r="O833" i="2"/>
  <c r="R832" i="2"/>
  <c r="Q832" i="2"/>
  <c r="P832" i="2"/>
  <c r="O832" i="2"/>
  <c r="R831" i="2"/>
  <c r="Q831" i="2"/>
  <c r="P831" i="2"/>
  <c r="O831" i="2"/>
  <c r="R830" i="2"/>
  <c r="Q830" i="2"/>
  <c r="P830" i="2"/>
  <c r="O830" i="2"/>
  <c r="R829" i="2"/>
  <c r="Q829" i="2"/>
  <c r="P829" i="2"/>
  <c r="O829" i="2"/>
  <c r="R828" i="2"/>
  <c r="Q828" i="2"/>
  <c r="P828" i="2"/>
  <c r="O828" i="2"/>
  <c r="R827" i="2"/>
  <c r="Q827" i="2"/>
  <c r="P827" i="2"/>
  <c r="O827" i="2"/>
  <c r="R826" i="2"/>
  <c r="Q826" i="2"/>
  <c r="P826" i="2"/>
  <c r="O826" i="2"/>
  <c r="R825" i="2"/>
  <c r="Q825" i="2"/>
  <c r="P825" i="2"/>
  <c r="O825" i="2"/>
  <c r="R824" i="2"/>
  <c r="Q824" i="2"/>
  <c r="P824" i="2"/>
  <c r="O824" i="2"/>
  <c r="R823" i="2"/>
  <c r="Q823" i="2"/>
  <c r="P823" i="2"/>
  <c r="O823" i="2"/>
  <c r="R822" i="2"/>
  <c r="Q822" i="2"/>
  <c r="P822" i="2"/>
  <c r="O822" i="2"/>
  <c r="R821" i="2"/>
  <c r="Q821" i="2"/>
  <c r="P821" i="2"/>
  <c r="O821" i="2"/>
  <c r="R820" i="2"/>
  <c r="Q820" i="2"/>
  <c r="P820" i="2"/>
  <c r="O820" i="2"/>
  <c r="R819" i="2"/>
  <c r="Q819" i="2"/>
  <c r="P819" i="2"/>
  <c r="O819" i="2"/>
  <c r="R818" i="2"/>
  <c r="Q818" i="2"/>
  <c r="P818" i="2"/>
  <c r="O818" i="2"/>
  <c r="R817" i="2"/>
  <c r="Q817" i="2"/>
  <c r="P817" i="2"/>
  <c r="O817" i="2"/>
  <c r="R816" i="2"/>
  <c r="Q816" i="2"/>
  <c r="P816" i="2"/>
  <c r="O816" i="2"/>
  <c r="R815" i="2"/>
  <c r="Q815" i="2"/>
  <c r="P815" i="2"/>
  <c r="O815" i="2"/>
  <c r="R814" i="2"/>
  <c r="Q814" i="2"/>
  <c r="P814" i="2"/>
  <c r="O814" i="2"/>
  <c r="R813" i="2"/>
  <c r="Q813" i="2"/>
  <c r="P813" i="2"/>
  <c r="O813" i="2"/>
  <c r="R812" i="2"/>
  <c r="Q812" i="2"/>
  <c r="P812" i="2"/>
  <c r="O812" i="2"/>
  <c r="R811" i="2"/>
  <c r="Q811" i="2"/>
  <c r="P811" i="2"/>
  <c r="O811" i="2"/>
  <c r="R810" i="2"/>
  <c r="Q810" i="2"/>
  <c r="P810" i="2"/>
  <c r="O810" i="2"/>
  <c r="R809" i="2"/>
  <c r="Q809" i="2"/>
  <c r="P809" i="2"/>
  <c r="O809" i="2"/>
  <c r="R808" i="2"/>
  <c r="Q808" i="2"/>
  <c r="P808" i="2"/>
  <c r="O808" i="2"/>
  <c r="R807" i="2"/>
  <c r="Q807" i="2"/>
  <c r="P807" i="2"/>
  <c r="O807" i="2"/>
  <c r="R806" i="2"/>
  <c r="Q806" i="2"/>
  <c r="P806" i="2"/>
  <c r="O806" i="2"/>
  <c r="R805" i="2"/>
  <c r="Q805" i="2"/>
  <c r="P805" i="2"/>
  <c r="O805" i="2"/>
  <c r="R804" i="2"/>
  <c r="Q804" i="2"/>
  <c r="P804" i="2"/>
  <c r="O804" i="2"/>
  <c r="R803" i="2"/>
  <c r="Q803" i="2"/>
  <c r="P803" i="2"/>
  <c r="O803" i="2"/>
  <c r="R802" i="2"/>
  <c r="Q802" i="2"/>
  <c r="P802" i="2"/>
  <c r="O802" i="2"/>
  <c r="R801" i="2"/>
  <c r="Q801" i="2"/>
  <c r="P801" i="2"/>
  <c r="O801" i="2"/>
  <c r="R800" i="2"/>
  <c r="Q800" i="2"/>
  <c r="P800" i="2"/>
  <c r="O800" i="2"/>
  <c r="R799" i="2"/>
  <c r="Q799" i="2"/>
  <c r="P799" i="2"/>
  <c r="O799" i="2"/>
  <c r="R798" i="2"/>
  <c r="Q798" i="2"/>
  <c r="P798" i="2"/>
  <c r="O798" i="2"/>
  <c r="R797" i="2"/>
  <c r="Q797" i="2"/>
  <c r="P797" i="2"/>
  <c r="O797" i="2"/>
  <c r="R796" i="2"/>
  <c r="Q796" i="2"/>
  <c r="P796" i="2"/>
  <c r="O796" i="2"/>
  <c r="R795" i="2"/>
  <c r="Q795" i="2"/>
  <c r="P795" i="2"/>
  <c r="O795" i="2"/>
  <c r="R794" i="2"/>
  <c r="Q794" i="2"/>
  <c r="P794" i="2"/>
  <c r="O794" i="2"/>
  <c r="R793" i="2"/>
  <c r="Q793" i="2"/>
  <c r="P793" i="2"/>
  <c r="O793" i="2"/>
  <c r="R792" i="2"/>
  <c r="Q792" i="2"/>
  <c r="P792" i="2"/>
  <c r="O792" i="2"/>
  <c r="R791" i="2"/>
  <c r="Q791" i="2"/>
  <c r="P791" i="2"/>
  <c r="O791" i="2"/>
  <c r="R790" i="2"/>
  <c r="Q790" i="2"/>
  <c r="P790" i="2"/>
  <c r="O790" i="2"/>
  <c r="R789" i="2"/>
  <c r="Q789" i="2"/>
  <c r="P789" i="2"/>
  <c r="O789" i="2"/>
  <c r="R788" i="2"/>
  <c r="Q788" i="2"/>
  <c r="P788" i="2"/>
  <c r="O788" i="2"/>
  <c r="R787" i="2"/>
  <c r="Q787" i="2"/>
  <c r="P787" i="2"/>
  <c r="O787" i="2"/>
  <c r="R786" i="2"/>
  <c r="Q786" i="2"/>
  <c r="P786" i="2"/>
  <c r="O786" i="2"/>
  <c r="R785" i="2"/>
  <c r="Q785" i="2"/>
  <c r="P785" i="2"/>
  <c r="O785" i="2"/>
  <c r="R784" i="2"/>
  <c r="Q784" i="2"/>
  <c r="P784" i="2"/>
  <c r="O784" i="2"/>
  <c r="R783" i="2"/>
  <c r="Q783" i="2"/>
  <c r="P783" i="2"/>
  <c r="O783" i="2"/>
  <c r="R782" i="2"/>
  <c r="Q782" i="2"/>
  <c r="P782" i="2"/>
  <c r="O782" i="2"/>
  <c r="R781" i="2"/>
  <c r="Q781" i="2"/>
  <c r="P781" i="2"/>
  <c r="O781" i="2"/>
  <c r="R780" i="2"/>
  <c r="Q780" i="2"/>
  <c r="P780" i="2"/>
  <c r="O780" i="2"/>
  <c r="R779" i="2"/>
  <c r="Q779" i="2"/>
  <c r="P779" i="2"/>
  <c r="O779" i="2"/>
  <c r="R778" i="2"/>
  <c r="Q778" i="2"/>
  <c r="P778" i="2"/>
  <c r="O778" i="2"/>
  <c r="R777" i="2"/>
  <c r="Q777" i="2"/>
  <c r="P777" i="2"/>
  <c r="O777" i="2"/>
  <c r="R776" i="2"/>
  <c r="Q776" i="2"/>
  <c r="P776" i="2"/>
  <c r="O776" i="2"/>
  <c r="R775" i="2"/>
  <c r="Q775" i="2"/>
  <c r="P775" i="2"/>
  <c r="O775" i="2"/>
  <c r="R774" i="2"/>
  <c r="Q774" i="2"/>
  <c r="P774" i="2"/>
  <c r="O774" i="2"/>
  <c r="R773" i="2"/>
  <c r="Q773" i="2"/>
  <c r="P773" i="2"/>
  <c r="O773" i="2"/>
  <c r="R772" i="2"/>
  <c r="Q772" i="2"/>
  <c r="P772" i="2"/>
  <c r="O772" i="2"/>
  <c r="R771" i="2"/>
  <c r="Q771" i="2"/>
  <c r="P771" i="2"/>
  <c r="O771" i="2"/>
  <c r="R770" i="2"/>
  <c r="Q770" i="2"/>
  <c r="P770" i="2"/>
  <c r="O770" i="2"/>
  <c r="R769" i="2"/>
  <c r="Q769" i="2"/>
  <c r="P769" i="2"/>
  <c r="O769" i="2"/>
  <c r="R768" i="2"/>
  <c r="Q768" i="2"/>
  <c r="P768" i="2"/>
  <c r="O768" i="2"/>
  <c r="R767" i="2"/>
  <c r="Q767" i="2"/>
  <c r="P767" i="2"/>
  <c r="O767" i="2"/>
  <c r="R766" i="2"/>
  <c r="Q766" i="2"/>
  <c r="P766" i="2"/>
  <c r="O766" i="2"/>
  <c r="R765" i="2"/>
  <c r="Q765" i="2"/>
  <c r="P765" i="2"/>
  <c r="O765" i="2"/>
  <c r="R764" i="2"/>
  <c r="Q764" i="2"/>
  <c r="P764" i="2"/>
  <c r="O764" i="2"/>
  <c r="R763" i="2"/>
  <c r="Q763" i="2"/>
  <c r="P763" i="2"/>
  <c r="O763" i="2"/>
  <c r="R762" i="2"/>
  <c r="Q762" i="2"/>
  <c r="P762" i="2"/>
  <c r="O762" i="2"/>
  <c r="R761" i="2"/>
  <c r="Q761" i="2"/>
  <c r="P761" i="2"/>
  <c r="O761" i="2"/>
  <c r="R760" i="2"/>
  <c r="Q760" i="2"/>
  <c r="P760" i="2"/>
  <c r="O760" i="2"/>
  <c r="R759" i="2"/>
  <c r="Q759" i="2"/>
  <c r="P759" i="2"/>
  <c r="O759" i="2"/>
  <c r="R758" i="2"/>
  <c r="Q758" i="2"/>
  <c r="P758" i="2"/>
  <c r="O758" i="2"/>
  <c r="R757" i="2"/>
  <c r="Q757" i="2"/>
  <c r="P757" i="2"/>
  <c r="O757" i="2"/>
  <c r="R756" i="2"/>
  <c r="Q756" i="2"/>
  <c r="P756" i="2"/>
  <c r="O756" i="2"/>
  <c r="R755" i="2"/>
  <c r="Q755" i="2"/>
  <c r="P755" i="2"/>
  <c r="O755" i="2"/>
  <c r="R754" i="2"/>
  <c r="Q754" i="2"/>
  <c r="P754" i="2"/>
  <c r="O754" i="2"/>
  <c r="R753" i="2"/>
  <c r="Q753" i="2"/>
  <c r="P753" i="2"/>
  <c r="O753" i="2"/>
  <c r="R752" i="2"/>
  <c r="Q752" i="2"/>
  <c r="P752" i="2"/>
  <c r="O752" i="2"/>
  <c r="R751" i="2"/>
  <c r="Q751" i="2"/>
  <c r="P751" i="2"/>
  <c r="O751" i="2"/>
  <c r="R750" i="2"/>
  <c r="Q750" i="2"/>
  <c r="P750" i="2"/>
  <c r="O750" i="2"/>
  <c r="R749" i="2"/>
  <c r="Q749" i="2"/>
  <c r="P749" i="2"/>
  <c r="O749" i="2"/>
  <c r="R748" i="2"/>
  <c r="Q748" i="2"/>
  <c r="P748" i="2"/>
  <c r="O748" i="2"/>
  <c r="R747" i="2"/>
  <c r="Q747" i="2"/>
  <c r="P747" i="2"/>
  <c r="O747" i="2"/>
  <c r="R746" i="2"/>
  <c r="Q746" i="2"/>
  <c r="P746" i="2"/>
  <c r="O746" i="2"/>
  <c r="R745" i="2"/>
  <c r="Q745" i="2"/>
  <c r="P745" i="2"/>
  <c r="O745" i="2"/>
  <c r="R744" i="2"/>
  <c r="Q744" i="2"/>
  <c r="P744" i="2"/>
  <c r="O744" i="2"/>
  <c r="R743" i="2"/>
  <c r="Q743" i="2"/>
  <c r="P743" i="2"/>
  <c r="O743" i="2"/>
  <c r="R742" i="2"/>
  <c r="Q742" i="2"/>
  <c r="P742" i="2"/>
  <c r="O742" i="2"/>
  <c r="R741" i="2"/>
  <c r="Q741" i="2"/>
  <c r="P741" i="2"/>
  <c r="O741" i="2"/>
  <c r="R740" i="2"/>
  <c r="Q740" i="2"/>
  <c r="P740" i="2"/>
  <c r="O740" i="2"/>
  <c r="R739" i="2"/>
  <c r="Q739" i="2"/>
  <c r="P739" i="2"/>
  <c r="O739" i="2"/>
  <c r="R738" i="2"/>
  <c r="Q738" i="2"/>
  <c r="P738" i="2"/>
  <c r="O738" i="2"/>
  <c r="R737" i="2"/>
  <c r="Q737" i="2"/>
  <c r="P737" i="2"/>
  <c r="O737" i="2"/>
  <c r="R736" i="2"/>
  <c r="Q736" i="2"/>
  <c r="P736" i="2"/>
  <c r="O736" i="2"/>
  <c r="R735" i="2"/>
  <c r="Q735" i="2"/>
  <c r="P735" i="2"/>
  <c r="O735" i="2"/>
  <c r="R734" i="2"/>
  <c r="Q734" i="2"/>
  <c r="P734" i="2"/>
  <c r="O734" i="2"/>
  <c r="R733" i="2"/>
  <c r="Q733" i="2"/>
  <c r="P733" i="2"/>
  <c r="O733" i="2"/>
  <c r="R732" i="2"/>
  <c r="Q732" i="2"/>
  <c r="P732" i="2"/>
  <c r="O732" i="2"/>
  <c r="R731" i="2"/>
  <c r="Q731" i="2"/>
  <c r="P731" i="2"/>
  <c r="O731" i="2"/>
  <c r="R730" i="2"/>
  <c r="Q730" i="2"/>
  <c r="P730" i="2"/>
  <c r="O730" i="2"/>
  <c r="R729" i="2"/>
  <c r="Q729" i="2"/>
  <c r="P729" i="2"/>
  <c r="O729" i="2"/>
  <c r="R728" i="2"/>
  <c r="Q728" i="2"/>
  <c r="P728" i="2"/>
  <c r="O728" i="2"/>
  <c r="R727" i="2"/>
  <c r="Q727" i="2"/>
  <c r="P727" i="2"/>
  <c r="O727" i="2"/>
  <c r="R726" i="2"/>
  <c r="Q726" i="2"/>
  <c r="P726" i="2"/>
  <c r="O726" i="2"/>
  <c r="R725" i="2"/>
  <c r="Q725" i="2"/>
  <c r="P725" i="2"/>
  <c r="O725" i="2"/>
  <c r="R724" i="2"/>
  <c r="Q724" i="2"/>
  <c r="P724" i="2"/>
  <c r="O724" i="2"/>
  <c r="R723" i="2"/>
  <c r="Q723" i="2"/>
  <c r="P723" i="2"/>
  <c r="O723" i="2"/>
  <c r="R722" i="2"/>
  <c r="Q722" i="2"/>
  <c r="P722" i="2"/>
  <c r="O722" i="2"/>
  <c r="R721" i="2"/>
  <c r="Q721" i="2"/>
  <c r="P721" i="2"/>
  <c r="O721" i="2"/>
  <c r="R720" i="2"/>
  <c r="Q720" i="2"/>
  <c r="P720" i="2"/>
  <c r="O720" i="2"/>
  <c r="R719" i="2"/>
  <c r="Q719" i="2"/>
  <c r="P719" i="2"/>
  <c r="O719" i="2"/>
  <c r="R718" i="2"/>
  <c r="Q718" i="2"/>
  <c r="P718" i="2"/>
  <c r="O718" i="2"/>
  <c r="R717" i="2"/>
  <c r="Q717" i="2"/>
  <c r="P717" i="2"/>
  <c r="O717" i="2"/>
  <c r="R716" i="2"/>
  <c r="Q716" i="2"/>
  <c r="P716" i="2"/>
  <c r="O716" i="2"/>
  <c r="R715" i="2"/>
  <c r="Q715" i="2"/>
  <c r="P715" i="2"/>
  <c r="O715" i="2"/>
  <c r="R714" i="2"/>
  <c r="Q714" i="2"/>
  <c r="P714" i="2"/>
  <c r="O714" i="2"/>
  <c r="R713" i="2"/>
  <c r="Q713" i="2"/>
  <c r="P713" i="2"/>
  <c r="O713" i="2"/>
  <c r="R712" i="2"/>
  <c r="Q712" i="2"/>
  <c r="P712" i="2"/>
  <c r="O712" i="2"/>
  <c r="R711" i="2"/>
  <c r="Q711" i="2"/>
  <c r="P711" i="2"/>
  <c r="O711" i="2"/>
  <c r="R710" i="2"/>
  <c r="Q710" i="2"/>
  <c r="P710" i="2"/>
  <c r="O710" i="2"/>
  <c r="R709" i="2"/>
  <c r="Q709" i="2"/>
  <c r="P709" i="2"/>
  <c r="O709" i="2"/>
  <c r="R708" i="2"/>
  <c r="Q708" i="2"/>
  <c r="P708" i="2"/>
  <c r="O708" i="2"/>
  <c r="R707" i="2"/>
  <c r="Q707" i="2"/>
  <c r="P707" i="2"/>
  <c r="O707" i="2"/>
  <c r="R706" i="2"/>
  <c r="Q706" i="2"/>
  <c r="P706" i="2"/>
  <c r="O706" i="2"/>
  <c r="R705" i="2"/>
  <c r="Q705" i="2"/>
  <c r="P705" i="2"/>
  <c r="O705" i="2"/>
  <c r="R704" i="2"/>
  <c r="Q704" i="2"/>
  <c r="P704" i="2"/>
  <c r="O704" i="2"/>
  <c r="R703" i="2"/>
  <c r="Q703" i="2"/>
  <c r="P703" i="2"/>
  <c r="O703" i="2"/>
  <c r="R702" i="2"/>
  <c r="Q702" i="2"/>
  <c r="P702" i="2"/>
  <c r="O702" i="2"/>
  <c r="R701" i="2"/>
  <c r="Q701" i="2"/>
  <c r="P701" i="2"/>
  <c r="O701" i="2"/>
  <c r="R700" i="2"/>
  <c r="Q700" i="2"/>
  <c r="P700" i="2"/>
  <c r="O700" i="2"/>
  <c r="R699" i="2"/>
  <c r="Q699" i="2"/>
  <c r="P699" i="2"/>
  <c r="O699" i="2"/>
  <c r="R698" i="2"/>
  <c r="Q698" i="2"/>
  <c r="P698" i="2"/>
  <c r="O698" i="2"/>
  <c r="R697" i="2"/>
  <c r="Q697" i="2"/>
  <c r="P697" i="2"/>
  <c r="O697" i="2"/>
  <c r="R696" i="2"/>
  <c r="Q696" i="2"/>
  <c r="P696" i="2"/>
  <c r="O696" i="2"/>
  <c r="R695" i="2"/>
  <c r="Q695" i="2"/>
  <c r="P695" i="2"/>
  <c r="O695" i="2"/>
  <c r="R694" i="2"/>
  <c r="Q694" i="2"/>
  <c r="P694" i="2"/>
  <c r="O694" i="2"/>
  <c r="R693" i="2"/>
  <c r="Q693" i="2"/>
  <c r="P693" i="2"/>
  <c r="O693" i="2"/>
  <c r="R692" i="2"/>
  <c r="Q692" i="2"/>
  <c r="P692" i="2"/>
  <c r="O692" i="2"/>
  <c r="R691" i="2"/>
  <c r="Q691" i="2"/>
  <c r="P691" i="2"/>
  <c r="O691" i="2"/>
  <c r="R690" i="2"/>
  <c r="Q690" i="2"/>
  <c r="P690" i="2"/>
  <c r="O690" i="2"/>
  <c r="R689" i="2"/>
  <c r="Q689" i="2"/>
  <c r="P689" i="2"/>
  <c r="O689" i="2"/>
  <c r="R688" i="2"/>
  <c r="Q688" i="2"/>
  <c r="P688" i="2"/>
  <c r="O688" i="2"/>
  <c r="R687" i="2"/>
  <c r="Q687" i="2"/>
  <c r="P687" i="2"/>
  <c r="O687" i="2"/>
  <c r="R686" i="2"/>
  <c r="Q686" i="2"/>
  <c r="P686" i="2"/>
  <c r="O686" i="2"/>
  <c r="R685" i="2"/>
  <c r="Q685" i="2"/>
  <c r="P685" i="2"/>
  <c r="O685" i="2"/>
  <c r="R684" i="2"/>
  <c r="Q684" i="2"/>
  <c r="P684" i="2"/>
  <c r="O684" i="2"/>
  <c r="R683" i="2"/>
  <c r="Q683" i="2"/>
  <c r="P683" i="2"/>
  <c r="O683" i="2"/>
  <c r="R682" i="2"/>
  <c r="Q682" i="2"/>
  <c r="P682" i="2"/>
  <c r="O682" i="2"/>
  <c r="R681" i="2"/>
  <c r="Q681" i="2"/>
  <c r="P681" i="2"/>
  <c r="O681" i="2"/>
  <c r="R680" i="2"/>
  <c r="Q680" i="2"/>
  <c r="P680" i="2"/>
  <c r="O680" i="2"/>
  <c r="R679" i="2"/>
  <c r="Q679" i="2"/>
  <c r="P679" i="2"/>
  <c r="O679" i="2"/>
  <c r="R678" i="2"/>
  <c r="Q678" i="2"/>
  <c r="P678" i="2"/>
  <c r="O678" i="2"/>
  <c r="R677" i="2"/>
  <c r="Q677" i="2"/>
  <c r="P677" i="2"/>
  <c r="O677" i="2"/>
  <c r="R676" i="2"/>
  <c r="Q676" i="2"/>
  <c r="P676" i="2"/>
  <c r="O676" i="2"/>
  <c r="R675" i="2"/>
  <c r="Q675" i="2"/>
  <c r="P675" i="2"/>
  <c r="O675" i="2"/>
  <c r="R674" i="2"/>
  <c r="Q674" i="2"/>
  <c r="P674" i="2"/>
  <c r="O674" i="2"/>
  <c r="R673" i="2"/>
  <c r="Q673" i="2"/>
  <c r="P673" i="2"/>
  <c r="O673" i="2"/>
  <c r="R672" i="2"/>
  <c r="Q672" i="2"/>
  <c r="P672" i="2"/>
  <c r="O672" i="2"/>
  <c r="R671" i="2"/>
  <c r="Q671" i="2"/>
  <c r="P671" i="2"/>
  <c r="O671" i="2"/>
  <c r="R670" i="2"/>
  <c r="Q670" i="2"/>
  <c r="P670" i="2"/>
  <c r="O670" i="2"/>
  <c r="R669" i="2"/>
  <c r="Q669" i="2"/>
  <c r="P669" i="2"/>
  <c r="O669" i="2"/>
  <c r="R668" i="2"/>
  <c r="Q668" i="2"/>
  <c r="P668" i="2"/>
  <c r="O668" i="2"/>
  <c r="R667" i="2"/>
  <c r="Q667" i="2"/>
  <c r="P667" i="2"/>
  <c r="O667" i="2"/>
  <c r="R666" i="2"/>
  <c r="Q666" i="2"/>
  <c r="P666" i="2"/>
  <c r="O666" i="2"/>
  <c r="R665" i="2"/>
  <c r="Q665" i="2"/>
  <c r="P665" i="2"/>
  <c r="O665" i="2"/>
  <c r="R664" i="2"/>
  <c r="Q664" i="2"/>
  <c r="P664" i="2"/>
  <c r="O664" i="2"/>
  <c r="R663" i="2"/>
  <c r="Q663" i="2"/>
  <c r="P663" i="2"/>
  <c r="O663" i="2"/>
  <c r="R662" i="2"/>
  <c r="Q662" i="2"/>
  <c r="P662" i="2"/>
  <c r="O662" i="2"/>
  <c r="R661" i="2"/>
  <c r="Q661" i="2"/>
  <c r="P661" i="2"/>
  <c r="O661" i="2"/>
  <c r="R660" i="2"/>
  <c r="Q660" i="2"/>
  <c r="P660" i="2"/>
  <c r="O660" i="2"/>
  <c r="R659" i="2"/>
  <c r="Q659" i="2"/>
  <c r="P659" i="2"/>
  <c r="O659" i="2"/>
  <c r="R658" i="2"/>
  <c r="Q658" i="2"/>
  <c r="P658" i="2"/>
  <c r="O658" i="2"/>
  <c r="R657" i="2"/>
  <c r="Q657" i="2"/>
  <c r="P657" i="2"/>
  <c r="O657" i="2"/>
  <c r="R656" i="2"/>
  <c r="Q656" i="2"/>
  <c r="P656" i="2"/>
  <c r="O656" i="2"/>
  <c r="R655" i="2"/>
  <c r="Q655" i="2"/>
  <c r="P655" i="2"/>
  <c r="O655" i="2"/>
  <c r="R654" i="2"/>
  <c r="Q654" i="2"/>
  <c r="P654" i="2"/>
  <c r="O654" i="2"/>
  <c r="R653" i="2"/>
  <c r="Q653" i="2"/>
  <c r="P653" i="2"/>
  <c r="O653" i="2"/>
  <c r="R652" i="2"/>
  <c r="Q652" i="2"/>
  <c r="P652" i="2"/>
  <c r="O652" i="2"/>
  <c r="R651" i="2"/>
  <c r="Q651" i="2"/>
  <c r="P651" i="2"/>
  <c r="O651" i="2"/>
  <c r="R650" i="2"/>
  <c r="Q650" i="2"/>
  <c r="P650" i="2"/>
  <c r="O650" i="2"/>
  <c r="R649" i="2"/>
  <c r="Q649" i="2"/>
  <c r="P649" i="2"/>
  <c r="O649" i="2"/>
  <c r="R648" i="2"/>
  <c r="Q648" i="2"/>
  <c r="P648" i="2"/>
  <c r="O648" i="2"/>
  <c r="R647" i="2"/>
  <c r="Q647" i="2"/>
  <c r="P647" i="2"/>
  <c r="O647" i="2"/>
  <c r="R646" i="2"/>
  <c r="Q646" i="2"/>
  <c r="P646" i="2"/>
  <c r="O646" i="2"/>
  <c r="R645" i="2"/>
  <c r="Q645" i="2"/>
  <c r="P645" i="2"/>
  <c r="O645" i="2"/>
  <c r="R644" i="2"/>
  <c r="Q644" i="2"/>
  <c r="P644" i="2"/>
  <c r="O644" i="2"/>
  <c r="R643" i="2"/>
  <c r="Q643" i="2"/>
  <c r="P643" i="2"/>
  <c r="O643" i="2"/>
  <c r="R642" i="2"/>
  <c r="Q642" i="2"/>
  <c r="P642" i="2"/>
  <c r="O642" i="2"/>
  <c r="R641" i="2"/>
  <c r="Q641" i="2"/>
  <c r="P641" i="2"/>
  <c r="O641" i="2"/>
  <c r="R640" i="2"/>
  <c r="Q640" i="2"/>
  <c r="P640" i="2"/>
  <c r="O640" i="2"/>
  <c r="R639" i="2"/>
  <c r="Q639" i="2"/>
  <c r="P639" i="2"/>
  <c r="O639" i="2"/>
  <c r="R638" i="2"/>
  <c r="Q638" i="2"/>
  <c r="P638" i="2"/>
  <c r="O638" i="2"/>
  <c r="R637" i="2"/>
  <c r="Q637" i="2"/>
  <c r="P637" i="2"/>
  <c r="O637" i="2"/>
  <c r="R636" i="2"/>
  <c r="Q636" i="2"/>
  <c r="P636" i="2"/>
  <c r="O636" i="2"/>
  <c r="R635" i="2"/>
  <c r="Q635" i="2"/>
  <c r="P635" i="2"/>
  <c r="O635" i="2"/>
  <c r="R634" i="2"/>
  <c r="Q634" i="2"/>
  <c r="P634" i="2"/>
  <c r="O634" i="2"/>
  <c r="R633" i="2"/>
  <c r="Q633" i="2"/>
  <c r="P633" i="2"/>
  <c r="O633" i="2"/>
  <c r="R632" i="2"/>
  <c r="Q632" i="2"/>
  <c r="P632" i="2"/>
  <c r="O632" i="2"/>
  <c r="R631" i="2"/>
  <c r="Q631" i="2"/>
  <c r="P631" i="2"/>
  <c r="O631" i="2"/>
  <c r="R630" i="2"/>
  <c r="Q630" i="2"/>
  <c r="P630" i="2"/>
  <c r="O630" i="2"/>
  <c r="R629" i="2"/>
  <c r="Q629" i="2"/>
  <c r="P629" i="2"/>
  <c r="O629" i="2"/>
  <c r="R628" i="2"/>
  <c r="Q628" i="2"/>
  <c r="P628" i="2"/>
  <c r="O628" i="2"/>
  <c r="R627" i="2"/>
  <c r="Q627" i="2"/>
  <c r="P627" i="2"/>
  <c r="O627" i="2"/>
  <c r="R626" i="2"/>
  <c r="Q626" i="2"/>
  <c r="P626" i="2"/>
  <c r="O626" i="2"/>
  <c r="R625" i="2"/>
  <c r="Q625" i="2"/>
  <c r="P625" i="2"/>
  <c r="O625" i="2"/>
  <c r="R624" i="2"/>
  <c r="Q624" i="2"/>
  <c r="P624" i="2"/>
  <c r="O624" i="2"/>
  <c r="R623" i="2"/>
  <c r="Q623" i="2"/>
  <c r="P623" i="2"/>
  <c r="O623" i="2"/>
  <c r="R622" i="2"/>
  <c r="Q622" i="2"/>
  <c r="P622" i="2"/>
  <c r="O622" i="2"/>
  <c r="R621" i="2"/>
  <c r="Q621" i="2"/>
  <c r="P621" i="2"/>
  <c r="O621" i="2"/>
  <c r="R620" i="2"/>
  <c r="Q620" i="2"/>
  <c r="P620" i="2"/>
  <c r="O620" i="2"/>
  <c r="R619" i="2"/>
  <c r="Q619" i="2"/>
  <c r="P619" i="2"/>
  <c r="O619" i="2"/>
  <c r="R618" i="2"/>
  <c r="Q618" i="2"/>
  <c r="P618" i="2"/>
  <c r="O618" i="2"/>
  <c r="R617" i="2"/>
  <c r="Q617" i="2"/>
  <c r="P617" i="2"/>
  <c r="O617" i="2"/>
  <c r="R616" i="2"/>
  <c r="Q616" i="2"/>
  <c r="P616" i="2"/>
  <c r="O616" i="2"/>
  <c r="R615" i="2"/>
  <c r="Q615" i="2"/>
  <c r="P615" i="2"/>
  <c r="O615" i="2"/>
  <c r="R614" i="2"/>
  <c r="Q614" i="2"/>
  <c r="P614" i="2"/>
  <c r="O614" i="2"/>
  <c r="R613" i="2"/>
  <c r="Q613" i="2"/>
  <c r="P613" i="2"/>
  <c r="O613" i="2"/>
  <c r="R612" i="2"/>
  <c r="Q612" i="2"/>
  <c r="P612" i="2"/>
  <c r="O612" i="2"/>
  <c r="R611" i="2"/>
  <c r="Q611" i="2"/>
  <c r="P611" i="2"/>
  <c r="O611" i="2"/>
  <c r="R610" i="2"/>
  <c r="Q610" i="2"/>
  <c r="P610" i="2"/>
  <c r="O610" i="2"/>
  <c r="R609" i="2"/>
  <c r="Q609" i="2"/>
  <c r="P609" i="2"/>
  <c r="O609" i="2"/>
  <c r="R608" i="2"/>
  <c r="Q608" i="2"/>
  <c r="P608" i="2"/>
  <c r="O608" i="2"/>
  <c r="R607" i="2"/>
  <c r="Q607" i="2"/>
  <c r="P607" i="2"/>
  <c r="O607" i="2"/>
  <c r="R606" i="2"/>
  <c r="Q606" i="2"/>
  <c r="P606" i="2"/>
  <c r="O606" i="2"/>
  <c r="R605" i="2"/>
  <c r="Q605" i="2"/>
  <c r="P605" i="2"/>
  <c r="O605" i="2"/>
  <c r="R604" i="2"/>
  <c r="Q604" i="2"/>
  <c r="P604" i="2"/>
  <c r="O604" i="2"/>
  <c r="R603" i="2"/>
  <c r="Q603" i="2"/>
  <c r="P603" i="2"/>
  <c r="O603" i="2"/>
  <c r="R602" i="2"/>
  <c r="Q602" i="2"/>
  <c r="P602" i="2"/>
  <c r="O602" i="2"/>
  <c r="R601" i="2"/>
  <c r="Q601" i="2"/>
  <c r="P601" i="2"/>
  <c r="O601" i="2"/>
  <c r="R600" i="2"/>
  <c r="Q600" i="2"/>
  <c r="P600" i="2"/>
  <c r="O600" i="2"/>
  <c r="R599" i="2"/>
  <c r="Q599" i="2"/>
  <c r="P599" i="2"/>
  <c r="O599" i="2"/>
  <c r="R598" i="2"/>
  <c r="Q598" i="2"/>
  <c r="P598" i="2"/>
  <c r="O598" i="2"/>
  <c r="R597" i="2"/>
  <c r="Q597" i="2"/>
  <c r="P597" i="2"/>
  <c r="O597" i="2"/>
  <c r="R596" i="2"/>
  <c r="Q596" i="2"/>
  <c r="P596" i="2"/>
  <c r="O596" i="2"/>
  <c r="R595" i="2"/>
  <c r="Q595" i="2"/>
  <c r="P595" i="2"/>
  <c r="O595" i="2"/>
  <c r="R594" i="2"/>
  <c r="Q594" i="2"/>
  <c r="P594" i="2"/>
  <c r="O594" i="2"/>
  <c r="R593" i="2"/>
  <c r="Q593" i="2"/>
  <c r="P593" i="2"/>
  <c r="O593" i="2"/>
  <c r="R592" i="2"/>
  <c r="Q592" i="2"/>
  <c r="P592" i="2"/>
  <c r="O592" i="2"/>
  <c r="R591" i="2"/>
  <c r="Q591" i="2"/>
  <c r="P591" i="2"/>
  <c r="O591" i="2"/>
  <c r="R590" i="2"/>
  <c r="Q590" i="2"/>
  <c r="P590" i="2"/>
  <c r="O590" i="2"/>
  <c r="R589" i="2"/>
  <c r="Q589" i="2"/>
  <c r="P589" i="2"/>
  <c r="O589" i="2"/>
  <c r="R588" i="2"/>
  <c r="Q588" i="2"/>
  <c r="P588" i="2"/>
  <c r="O588" i="2"/>
  <c r="R587" i="2"/>
  <c r="Q587" i="2"/>
  <c r="P587" i="2"/>
  <c r="O587" i="2"/>
  <c r="R586" i="2"/>
  <c r="Q586" i="2"/>
  <c r="P586" i="2"/>
  <c r="O586" i="2"/>
  <c r="R585" i="2"/>
  <c r="Q585" i="2"/>
  <c r="P585" i="2"/>
  <c r="O585" i="2"/>
  <c r="R584" i="2"/>
  <c r="Q584" i="2"/>
  <c r="P584" i="2"/>
  <c r="O584" i="2"/>
  <c r="R583" i="2"/>
  <c r="Q583" i="2"/>
  <c r="P583" i="2"/>
  <c r="O583" i="2"/>
  <c r="R582" i="2"/>
  <c r="Q582" i="2"/>
  <c r="P582" i="2"/>
  <c r="O582" i="2"/>
  <c r="R581" i="2"/>
  <c r="Q581" i="2"/>
  <c r="P581" i="2"/>
  <c r="O581" i="2"/>
  <c r="R580" i="2"/>
  <c r="Q580" i="2"/>
  <c r="P580" i="2"/>
  <c r="O580" i="2"/>
  <c r="R579" i="2"/>
  <c r="Q579" i="2"/>
  <c r="P579" i="2"/>
  <c r="O579" i="2"/>
  <c r="R578" i="2"/>
  <c r="Q578" i="2"/>
  <c r="P578" i="2"/>
  <c r="O578" i="2"/>
  <c r="R577" i="2"/>
  <c r="Q577" i="2"/>
  <c r="P577" i="2"/>
  <c r="O577" i="2"/>
  <c r="R576" i="2"/>
  <c r="Q576" i="2"/>
  <c r="P576" i="2"/>
  <c r="O576" i="2"/>
  <c r="R575" i="2"/>
  <c r="Q575" i="2"/>
  <c r="P575" i="2"/>
  <c r="O575" i="2"/>
  <c r="R574" i="2"/>
  <c r="Q574" i="2"/>
  <c r="P574" i="2"/>
  <c r="O574" i="2"/>
  <c r="R573" i="2"/>
  <c r="Q573" i="2"/>
  <c r="P573" i="2"/>
  <c r="O573" i="2"/>
  <c r="R572" i="2"/>
  <c r="Q572" i="2"/>
  <c r="P572" i="2"/>
  <c r="O572" i="2"/>
  <c r="R571" i="2"/>
  <c r="Q571" i="2"/>
  <c r="P571" i="2"/>
  <c r="O571" i="2"/>
  <c r="R570" i="2"/>
  <c r="Q570" i="2"/>
  <c r="P570" i="2"/>
  <c r="O570" i="2"/>
  <c r="R569" i="2"/>
  <c r="Q569" i="2"/>
  <c r="P569" i="2"/>
  <c r="O569" i="2"/>
  <c r="R568" i="2"/>
  <c r="Q568" i="2"/>
  <c r="P568" i="2"/>
  <c r="O568" i="2"/>
  <c r="R567" i="2"/>
  <c r="Q567" i="2"/>
  <c r="P567" i="2"/>
  <c r="O567" i="2"/>
  <c r="R566" i="2"/>
  <c r="Q566" i="2"/>
  <c r="P566" i="2"/>
  <c r="O566" i="2"/>
  <c r="R565" i="2"/>
  <c r="Q565" i="2"/>
  <c r="P565" i="2"/>
  <c r="O565" i="2"/>
  <c r="R564" i="2"/>
  <c r="Q564" i="2"/>
  <c r="P564" i="2"/>
  <c r="O564" i="2"/>
  <c r="R563" i="2"/>
  <c r="Q563" i="2"/>
  <c r="P563" i="2"/>
  <c r="O563" i="2"/>
  <c r="R562" i="2"/>
  <c r="Q562" i="2"/>
  <c r="P562" i="2"/>
  <c r="O562" i="2"/>
  <c r="R561" i="2"/>
  <c r="Q561" i="2"/>
  <c r="P561" i="2"/>
  <c r="O561" i="2"/>
  <c r="R560" i="2"/>
  <c r="Q560" i="2"/>
  <c r="P560" i="2"/>
  <c r="O560" i="2"/>
  <c r="R559" i="2"/>
  <c r="Q559" i="2"/>
  <c r="P559" i="2"/>
  <c r="O559" i="2"/>
  <c r="R558" i="2"/>
  <c r="Q558" i="2"/>
  <c r="P558" i="2"/>
  <c r="O558" i="2"/>
  <c r="R557" i="2"/>
  <c r="Q557" i="2"/>
  <c r="P557" i="2"/>
  <c r="O557" i="2"/>
  <c r="R556" i="2"/>
  <c r="Q556" i="2"/>
  <c r="P556" i="2"/>
  <c r="O556" i="2"/>
  <c r="R555" i="2"/>
  <c r="Q555" i="2"/>
  <c r="P555" i="2"/>
  <c r="O555" i="2"/>
  <c r="R554" i="2"/>
  <c r="Q554" i="2"/>
  <c r="P554" i="2"/>
  <c r="O554" i="2"/>
  <c r="R553" i="2"/>
  <c r="Q553" i="2"/>
  <c r="P553" i="2"/>
  <c r="O553" i="2"/>
  <c r="R552" i="2"/>
  <c r="Q552" i="2"/>
  <c r="P552" i="2"/>
  <c r="O552" i="2"/>
  <c r="R551" i="2"/>
  <c r="Q551" i="2"/>
  <c r="P551" i="2"/>
  <c r="O551" i="2"/>
  <c r="R550" i="2"/>
  <c r="Q550" i="2"/>
  <c r="P550" i="2"/>
  <c r="O550" i="2"/>
  <c r="R549" i="2"/>
  <c r="Q549" i="2"/>
  <c r="P549" i="2"/>
  <c r="O549" i="2"/>
  <c r="R548" i="2"/>
  <c r="Q548" i="2"/>
  <c r="P548" i="2"/>
  <c r="O548" i="2"/>
  <c r="R547" i="2"/>
  <c r="Q547" i="2"/>
  <c r="P547" i="2"/>
  <c r="O547" i="2"/>
  <c r="R546" i="2"/>
  <c r="Q546" i="2"/>
  <c r="P546" i="2"/>
  <c r="O546" i="2"/>
  <c r="R545" i="2"/>
  <c r="Q545" i="2"/>
  <c r="P545" i="2"/>
  <c r="O545" i="2"/>
  <c r="R544" i="2"/>
  <c r="Q544" i="2"/>
  <c r="P544" i="2"/>
  <c r="O544" i="2"/>
  <c r="R543" i="2"/>
  <c r="Q543" i="2"/>
  <c r="P543" i="2"/>
  <c r="O543" i="2"/>
  <c r="R542" i="2"/>
  <c r="Q542" i="2"/>
  <c r="P542" i="2"/>
  <c r="O542" i="2"/>
  <c r="R541" i="2"/>
  <c r="Q541" i="2"/>
  <c r="P541" i="2"/>
  <c r="O541" i="2"/>
  <c r="R540" i="2"/>
  <c r="Q540" i="2"/>
  <c r="P540" i="2"/>
  <c r="O540" i="2"/>
  <c r="R539" i="2"/>
  <c r="Q539" i="2"/>
  <c r="P539" i="2"/>
  <c r="O539" i="2"/>
  <c r="R538" i="2"/>
  <c r="Q538" i="2"/>
  <c r="P538" i="2"/>
  <c r="O538" i="2"/>
  <c r="R537" i="2"/>
  <c r="Q537" i="2"/>
  <c r="P537" i="2"/>
  <c r="O537" i="2"/>
  <c r="R536" i="2"/>
  <c r="Q536" i="2"/>
  <c r="P536" i="2"/>
  <c r="O536" i="2"/>
  <c r="R535" i="2"/>
  <c r="Q535" i="2"/>
  <c r="P535" i="2"/>
  <c r="O535" i="2"/>
  <c r="R534" i="2"/>
  <c r="Q534" i="2"/>
  <c r="P534" i="2"/>
  <c r="O534" i="2"/>
  <c r="R533" i="2"/>
  <c r="Q533" i="2"/>
  <c r="P533" i="2"/>
  <c r="O533" i="2"/>
  <c r="R532" i="2"/>
  <c r="Q532" i="2"/>
  <c r="P532" i="2"/>
  <c r="O532" i="2"/>
  <c r="R531" i="2"/>
  <c r="Q531" i="2"/>
  <c r="P531" i="2"/>
  <c r="O531" i="2"/>
  <c r="R530" i="2"/>
  <c r="Q530" i="2"/>
  <c r="P530" i="2"/>
  <c r="O530" i="2"/>
  <c r="R529" i="2"/>
  <c r="Q529" i="2"/>
  <c r="P529" i="2"/>
  <c r="O529" i="2"/>
  <c r="R528" i="2"/>
  <c r="Q528" i="2"/>
  <c r="P528" i="2"/>
  <c r="O528" i="2"/>
  <c r="R527" i="2"/>
  <c r="Q527" i="2"/>
  <c r="P527" i="2"/>
  <c r="O527" i="2"/>
  <c r="R526" i="2"/>
  <c r="Q526" i="2"/>
  <c r="P526" i="2"/>
  <c r="O526" i="2"/>
  <c r="R525" i="2"/>
  <c r="Q525" i="2"/>
  <c r="P525" i="2"/>
  <c r="O525" i="2"/>
  <c r="R524" i="2"/>
  <c r="Q524" i="2"/>
  <c r="P524" i="2"/>
  <c r="O524" i="2"/>
  <c r="R523" i="2"/>
  <c r="Q523" i="2"/>
  <c r="P523" i="2"/>
  <c r="O523" i="2"/>
  <c r="R522" i="2"/>
  <c r="Q522" i="2"/>
  <c r="P522" i="2"/>
  <c r="O522" i="2"/>
  <c r="R521" i="2"/>
  <c r="Q521" i="2"/>
  <c r="P521" i="2"/>
  <c r="O521" i="2"/>
  <c r="R520" i="2"/>
  <c r="Q520" i="2"/>
  <c r="P520" i="2"/>
  <c r="O520" i="2"/>
  <c r="R519" i="2"/>
  <c r="Q519" i="2"/>
  <c r="P519" i="2"/>
  <c r="O519" i="2"/>
  <c r="R518" i="2"/>
  <c r="Q518" i="2"/>
  <c r="P518" i="2"/>
  <c r="O518" i="2"/>
  <c r="R517" i="2"/>
  <c r="Q517" i="2"/>
  <c r="P517" i="2"/>
  <c r="O517" i="2"/>
  <c r="R516" i="2"/>
  <c r="Q516" i="2"/>
  <c r="P516" i="2"/>
  <c r="O516" i="2"/>
  <c r="R515" i="2"/>
  <c r="Q515" i="2"/>
  <c r="P515" i="2"/>
  <c r="O515" i="2"/>
  <c r="R514" i="2"/>
  <c r="Q514" i="2"/>
  <c r="P514" i="2"/>
  <c r="O514" i="2"/>
  <c r="R513" i="2"/>
  <c r="Q513" i="2"/>
  <c r="P513" i="2"/>
  <c r="O513" i="2"/>
  <c r="R512" i="2"/>
  <c r="Q512" i="2"/>
  <c r="P512" i="2"/>
  <c r="O512" i="2"/>
  <c r="R511" i="2"/>
  <c r="Q511" i="2"/>
  <c r="P511" i="2"/>
  <c r="O511" i="2"/>
  <c r="R510" i="2"/>
  <c r="Q510" i="2"/>
  <c r="P510" i="2"/>
  <c r="O510" i="2"/>
  <c r="R509" i="2"/>
  <c r="Q509" i="2"/>
  <c r="P509" i="2"/>
  <c r="O509" i="2"/>
  <c r="R508" i="2"/>
  <c r="Q508" i="2"/>
  <c r="P508" i="2"/>
  <c r="O508" i="2"/>
  <c r="R507" i="2"/>
  <c r="Q507" i="2"/>
  <c r="P507" i="2"/>
  <c r="O507" i="2"/>
  <c r="R506" i="2"/>
  <c r="Q506" i="2"/>
  <c r="P506" i="2"/>
  <c r="O506" i="2"/>
  <c r="R505" i="2"/>
  <c r="Q505" i="2"/>
  <c r="P505" i="2"/>
  <c r="O505" i="2"/>
  <c r="R504" i="2"/>
  <c r="Q504" i="2"/>
  <c r="P504" i="2"/>
  <c r="O504" i="2"/>
  <c r="R503" i="2"/>
  <c r="Q503" i="2"/>
  <c r="P503" i="2"/>
  <c r="O503" i="2"/>
  <c r="R502" i="2"/>
  <c r="Q502" i="2"/>
  <c r="P502" i="2"/>
  <c r="O502" i="2"/>
  <c r="R501" i="2"/>
  <c r="Q501" i="2"/>
  <c r="P501" i="2"/>
  <c r="O501" i="2"/>
  <c r="R500" i="2"/>
  <c r="Q500" i="2"/>
  <c r="P500" i="2"/>
  <c r="O500" i="2"/>
  <c r="R499" i="2"/>
  <c r="Q499" i="2"/>
  <c r="P499" i="2"/>
  <c r="O499" i="2"/>
  <c r="R498" i="2"/>
  <c r="Q498" i="2"/>
  <c r="P498" i="2"/>
  <c r="O498" i="2"/>
  <c r="R497" i="2"/>
  <c r="Q497" i="2"/>
  <c r="P497" i="2"/>
  <c r="O497" i="2"/>
  <c r="R496" i="2"/>
  <c r="Q496" i="2"/>
  <c r="P496" i="2"/>
  <c r="O496" i="2"/>
  <c r="R495" i="2"/>
  <c r="Q495" i="2"/>
  <c r="P495" i="2"/>
  <c r="O495" i="2"/>
  <c r="R494" i="2"/>
  <c r="Q494" i="2"/>
  <c r="P494" i="2"/>
  <c r="O494" i="2"/>
  <c r="R493" i="2"/>
  <c r="Q493" i="2"/>
  <c r="P493" i="2"/>
  <c r="O493" i="2"/>
  <c r="R492" i="2"/>
  <c r="Q492" i="2"/>
  <c r="P492" i="2"/>
  <c r="O492" i="2"/>
  <c r="R491" i="2"/>
  <c r="Q491" i="2"/>
  <c r="P491" i="2"/>
  <c r="O491" i="2"/>
  <c r="R490" i="2"/>
  <c r="Q490" i="2"/>
  <c r="P490" i="2"/>
  <c r="O490" i="2"/>
  <c r="R489" i="2"/>
  <c r="Q489" i="2"/>
  <c r="P489" i="2"/>
  <c r="O489" i="2"/>
  <c r="R488" i="2"/>
  <c r="Q488" i="2"/>
  <c r="P488" i="2"/>
  <c r="O488" i="2"/>
  <c r="R487" i="2"/>
  <c r="Q487" i="2"/>
  <c r="P487" i="2"/>
  <c r="O487" i="2"/>
  <c r="R486" i="2"/>
  <c r="Q486" i="2"/>
  <c r="P486" i="2"/>
  <c r="O486" i="2"/>
  <c r="R485" i="2"/>
  <c r="Q485" i="2"/>
  <c r="P485" i="2"/>
  <c r="O485" i="2"/>
  <c r="R484" i="2"/>
  <c r="Q484" i="2"/>
  <c r="P484" i="2"/>
  <c r="O484" i="2"/>
  <c r="R483" i="2"/>
  <c r="Q483" i="2"/>
  <c r="P483" i="2"/>
  <c r="O483" i="2"/>
  <c r="R482" i="2"/>
  <c r="Q482" i="2"/>
  <c r="P482" i="2"/>
  <c r="O482" i="2"/>
  <c r="R481" i="2"/>
  <c r="Q481" i="2"/>
  <c r="P481" i="2"/>
  <c r="O481" i="2"/>
  <c r="R480" i="2"/>
  <c r="Q480" i="2"/>
  <c r="P480" i="2"/>
  <c r="O480" i="2"/>
  <c r="R479" i="2"/>
  <c r="Q479" i="2"/>
  <c r="P479" i="2"/>
  <c r="O479" i="2"/>
  <c r="R478" i="2"/>
  <c r="Q478" i="2"/>
  <c r="P478" i="2"/>
  <c r="O478" i="2"/>
  <c r="R477" i="2"/>
  <c r="Q477" i="2"/>
  <c r="P477" i="2"/>
  <c r="O477" i="2"/>
  <c r="R476" i="2"/>
  <c r="Q476" i="2"/>
  <c r="P476" i="2"/>
  <c r="O476" i="2"/>
  <c r="R475" i="2"/>
  <c r="Q475" i="2"/>
  <c r="P475" i="2"/>
  <c r="O475" i="2"/>
  <c r="R474" i="2"/>
  <c r="Q474" i="2"/>
  <c r="P474" i="2"/>
  <c r="O474" i="2"/>
  <c r="R473" i="2"/>
  <c r="Q473" i="2"/>
  <c r="P473" i="2"/>
  <c r="O473" i="2"/>
  <c r="R472" i="2"/>
  <c r="Q472" i="2"/>
  <c r="P472" i="2"/>
  <c r="O472" i="2"/>
  <c r="R471" i="2"/>
  <c r="Q471" i="2"/>
  <c r="P471" i="2"/>
  <c r="O471" i="2"/>
  <c r="R470" i="2"/>
  <c r="Q470" i="2"/>
  <c r="P470" i="2"/>
  <c r="O470" i="2"/>
  <c r="R469" i="2"/>
  <c r="Q469" i="2"/>
  <c r="P469" i="2"/>
  <c r="O469" i="2"/>
  <c r="R468" i="2"/>
  <c r="Q468" i="2"/>
  <c r="P468" i="2"/>
  <c r="O468" i="2"/>
  <c r="R467" i="2"/>
  <c r="Q467" i="2"/>
  <c r="P467" i="2"/>
  <c r="O467" i="2"/>
  <c r="R466" i="2"/>
  <c r="Q466" i="2"/>
  <c r="P466" i="2"/>
  <c r="O466" i="2"/>
  <c r="R465" i="2"/>
  <c r="Q465" i="2"/>
  <c r="P465" i="2"/>
  <c r="O465" i="2"/>
  <c r="R464" i="2"/>
  <c r="Q464" i="2"/>
  <c r="P464" i="2"/>
  <c r="O464" i="2"/>
  <c r="R463" i="2"/>
  <c r="Q463" i="2"/>
  <c r="P463" i="2"/>
  <c r="O463" i="2"/>
  <c r="R462" i="2"/>
  <c r="Q462" i="2"/>
  <c r="P462" i="2"/>
  <c r="O462" i="2"/>
  <c r="R461" i="2"/>
  <c r="Q461" i="2"/>
  <c r="P461" i="2"/>
  <c r="O461" i="2"/>
  <c r="R460" i="2"/>
  <c r="Q460" i="2"/>
  <c r="P460" i="2"/>
  <c r="O460" i="2"/>
  <c r="R459" i="2"/>
  <c r="Q459" i="2"/>
  <c r="P459" i="2"/>
  <c r="O459" i="2"/>
  <c r="R458" i="2"/>
  <c r="Q458" i="2"/>
  <c r="P458" i="2"/>
  <c r="O458" i="2"/>
  <c r="R457" i="2"/>
  <c r="Q457" i="2"/>
  <c r="P457" i="2"/>
  <c r="O457" i="2"/>
  <c r="R456" i="2"/>
  <c r="Q456" i="2"/>
  <c r="P456" i="2"/>
  <c r="O456" i="2"/>
  <c r="R455" i="2"/>
  <c r="Q455" i="2"/>
  <c r="P455" i="2"/>
  <c r="O455" i="2"/>
  <c r="R454" i="2"/>
  <c r="Q454" i="2"/>
  <c r="P454" i="2"/>
  <c r="O454" i="2"/>
  <c r="R453" i="2"/>
  <c r="Q453" i="2"/>
  <c r="P453" i="2"/>
  <c r="O453" i="2"/>
  <c r="R452" i="2"/>
  <c r="Q452" i="2"/>
  <c r="P452" i="2"/>
  <c r="O452" i="2"/>
  <c r="R451" i="2"/>
  <c r="Q451" i="2"/>
  <c r="P451" i="2"/>
  <c r="O451" i="2"/>
  <c r="R450" i="2"/>
  <c r="Q450" i="2"/>
  <c r="P450" i="2"/>
  <c r="O450" i="2"/>
  <c r="R449" i="2"/>
  <c r="Q449" i="2"/>
  <c r="P449" i="2"/>
  <c r="O449" i="2"/>
  <c r="R448" i="2"/>
  <c r="Q448" i="2"/>
  <c r="P448" i="2"/>
  <c r="O448" i="2"/>
  <c r="R447" i="2"/>
  <c r="Q447" i="2"/>
  <c r="P447" i="2"/>
  <c r="O447" i="2"/>
  <c r="R446" i="2"/>
  <c r="Q446" i="2"/>
  <c r="P446" i="2"/>
  <c r="O446" i="2"/>
  <c r="R445" i="2"/>
  <c r="Q445" i="2"/>
  <c r="P445" i="2"/>
  <c r="O445" i="2"/>
  <c r="R444" i="2"/>
  <c r="Q444" i="2"/>
  <c r="P444" i="2"/>
  <c r="O444" i="2"/>
  <c r="R443" i="2"/>
  <c r="Q443" i="2"/>
  <c r="P443" i="2"/>
  <c r="O443" i="2"/>
  <c r="R442" i="2"/>
  <c r="Q442" i="2"/>
  <c r="P442" i="2"/>
  <c r="O442" i="2"/>
  <c r="R441" i="2"/>
  <c r="Q441" i="2"/>
  <c r="P441" i="2"/>
  <c r="O441" i="2"/>
  <c r="R440" i="2"/>
  <c r="Q440" i="2"/>
  <c r="P440" i="2"/>
  <c r="O440" i="2"/>
  <c r="R439" i="2"/>
  <c r="Q439" i="2"/>
  <c r="P439" i="2"/>
  <c r="O439" i="2"/>
  <c r="R438" i="2"/>
  <c r="Q438" i="2"/>
  <c r="P438" i="2"/>
  <c r="O438" i="2"/>
  <c r="R437" i="2"/>
  <c r="Q437" i="2"/>
  <c r="P437" i="2"/>
  <c r="O437" i="2"/>
  <c r="R436" i="2"/>
  <c r="Q436" i="2"/>
  <c r="P436" i="2"/>
  <c r="O436" i="2"/>
  <c r="R435" i="2"/>
  <c r="Q435" i="2"/>
  <c r="P435" i="2"/>
  <c r="O435" i="2"/>
  <c r="R434" i="2"/>
  <c r="Q434" i="2"/>
  <c r="P434" i="2"/>
  <c r="O434" i="2"/>
  <c r="R433" i="2"/>
  <c r="Q433" i="2"/>
  <c r="P433" i="2"/>
  <c r="O433" i="2"/>
  <c r="R432" i="2"/>
  <c r="Q432" i="2"/>
  <c r="P432" i="2"/>
  <c r="O432" i="2"/>
  <c r="R431" i="2"/>
  <c r="Q431" i="2"/>
  <c r="P431" i="2"/>
  <c r="O431" i="2"/>
  <c r="R430" i="2"/>
  <c r="Q430" i="2"/>
  <c r="P430" i="2"/>
  <c r="O430" i="2"/>
  <c r="R429" i="2"/>
  <c r="Q429" i="2"/>
  <c r="P429" i="2"/>
  <c r="O429" i="2"/>
  <c r="R428" i="2"/>
  <c r="Q428" i="2"/>
  <c r="P428" i="2"/>
  <c r="O428" i="2"/>
  <c r="R427" i="2"/>
  <c r="Q427" i="2"/>
  <c r="P427" i="2"/>
  <c r="O427" i="2"/>
  <c r="R426" i="2"/>
  <c r="Q426" i="2"/>
  <c r="P426" i="2"/>
  <c r="O426" i="2"/>
  <c r="R425" i="2"/>
  <c r="Q425" i="2"/>
  <c r="P425" i="2"/>
  <c r="O425" i="2"/>
  <c r="R424" i="2"/>
  <c r="Q424" i="2"/>
  <c r="P424" i="2"/>
  <c r="O424" i="2"/>
  <c r="R423" i="2"/>
  <c r="Q423" i="2"/>
  <c r="P423" i="2"/>
  <c r="O423" i="2"/>
  <c r="R422" i="2"/>
  <c r="Q422" i="2"/>
  <c r="P422" i="2"/>
  <c r="O422" i="2"/>
  <c r="R421" i="2"/>
  <c r="Q421" i="2"/>
  <c r="P421" i="2"/>
  <c r="O421" i="2"/>
  <c r="R420" i="2"/>
  <c r="Q420" i="2"/>
  <c r="P420" i="2"/>
  <c r="O420" i="2"/>
  <c r="R419" i="2"/>
  <c r="Q419" i="2"/>
  <c r="P419" i="2"/>
  <c r="O419" i="2"/>
  <c r="R418" i="2"/>
  <c r="Q418" i="2"/>
  <c r="P418" i="2"/>
  <c r="O418" i="2"/>
  <c r="R417" i="2"/>
  <c r="Q417" i="2"/>
  <c r="P417" i="2"/>
  <c r="O417" i="2"/>
  <c r="R416" i="2"/>
  <c r="Q416" i="2"/>
  <c r="P416" i="2"/>
  <c r="O416" i="2"/>
  <c r="R415" i="2"/>
  <c r="Q415" i="2"/>
  <c r="P415" i="2"/>
  <c r="O415" i="2"/>
  <c r="R414" i="2"/>
  <c r="Q414" i="2"/>
  <c r="P414" i="2"/>
  <c r="O414" i="2"/>
  <c r="R413" i="2"/>
  <c r="Q413" i="2"/>
  <c r="P413" i="2"/>
  <c r="O413" i="2"/>
  <c r="R412" i="2"/>
  <c r="Q412" i="2"/>
  <c r="P412" i="2"/>
  <c r="O412" i="2"/>
  <c r="R411" i="2"/>
  <c r="Q411" i="2"/>
  <c r="P411" i="2"/>
  <c r="O411" i="2"/>
  <c r="R410" i="2"/>
  <c r="Q410" i="2"/>
  <c r="P410" i="2"/>
  <c r="O410" i="2"/>
  <c r="R409" i="2"/>
  <c r="Q409" i="2"/>
  <c r="P409" i="2"/>
  <c r="O409" i="2"/>
  <c r="R408" i="2"/>
  <c r="Q408" i="2"/>
  <c r="P408" i="2"/>
  <c r="O408" i="2"/>
  <c r="R407" i="2"/>
  <c r="Q407" i="2"/>
  <c r="P407" i="2"/>
  <c r="O407" i="2"/>
  <c r="R406" i="2"/>
  <c r="Q406" i="2"/>
  <c r="P406" i="2"/>
  <c r="O406" i="2"/>
  <c r="R405" i="2"/>
  <c r="Q405" i="2"/>
  <c r="P405" i="2"/>
  <c r="O405" i="2"/>
  <c r="R404" i="2"/>
  <c r="Q404" i="2"/>
  <c r="P404" i="2"/>
  <c r="O404" i="2"/>
  <c r="R403" i="2"/>
  <c r="Q403" i="2"/>
  <c r="P403" i="2"/>
  <c r="O403" i="2"/>
  <c r="R402" i="2"/>
  <c r="Q402" i="2"/>
  <c r="P402" i="2"/>
  <c r="O402" i="2"/>
  <c r="R401" i="2"/>
  <c r="Q401" i="2"/>
  <c r="P401" i="2"/>
  <c r="O401" i="2"/>
  <c r="R400" i="2"/>
  <c r="Q400" i="2"/>
  <c r="P400" i="2"/>
  <c r="O400" i="2"/>
  <c r="R399" i="2"/>
  <c r="Q399" i="2"/>
  <c r="P399" i="2"/>
  <c r="O399" i="2"/>
  <c r="R398" i="2"/>
  <c r="Q398" i="2"/>
  <c r="P398" i="2"/>
  <c r="O398" i="2"/>
  <c r="R397" i="2"/>
  <c r="Q397" i="2"/>
  <c r="P397" i="2"/>
  <c r="O397" i="2"/>
  <c r="R396" i="2"/>
  <c r="Q396" i="2"/>
  <c r="P396" i="2"/>
  <c r="O396" i="2"/>
  <c r="R395" i="2"/>
  <c r="Q395" i="2"/>
  <c r="P395" i="2"/>
  <c r="O395" i="2"/>
  <c r="R394" i="2"/>
  <c r="Q394" i="2"/>
  <c r="P394" i="2"/>
  <c r="O394" i="2"/>
  <c r="R393" i="2"/>
  <c r="Q393" i="2"/>
  <c r="P393" i="2"/>
  <c r="O393" i="2"/>
  <c r="R392" i="2"/>
  <c r="Q392" i="2"/>
  <c r="P392" i="2"/>
  <c r="O392" i="2"/>
  <c r="R391" i="2"/>
  <c r="Q391" i="2"/>
  <c r="P391" i="2"/>
  <c r="O391" i="2"/>
  <c r="R390" i="2"/>
  <c r="Q390" i="2"/>
  <c r="P390" i="2"/>
  <c r="O390" i="2"/>
  <c r="R389" i="2"/>
  <c r="Q389" i="2"/>
  <c r="P389" i="2"/>
  <c r="O389" i="2"/>
  <c r="R388" i="2"/>
  <c r="Q388" i="2"/>
  <c r="P388" i="2"/>
  <c r="O388" i="2"/>
  <c r="R387" i="2"/>
  <c r="Q387" i="2"/>
  <c r="P387" i="2"/>
  <c r="O387" i="2"/>
  <c r="R386" i="2"/>
  <c r="Q386" i="2"/>
  <c r="P386" i="2"/>
  <c r="O386" i="2"/>
  <c r="R385" i="2"/>
  <c r="Q385" i="2"/>
  <c r="P385" i="2"/>
  <c r="O385" i="2"/>
  <c r="R384" i="2"/>
  <c r="Q384" i="2"/>
  <c r="P384" i="2"/>
  <c r="O384" i="2"/>
  <c r="R383" i="2"/>
  <c r="Q383" i="2"/>
  <c r="P383" i="2"/>
  <c r="O383" i="2"/>
  <c r="R382" i="2"/>
  <c r="Q382" i="2"/>
  <c r="P382" i="2"/>
  <c r="O382" i="2"/>
  <c r="R381" i="2"/>
  <c r="Q381" i="2"/>
  <c r="P381" i="2"/>
  <c r="O381" i="2"/>
  <c r="R380" i="2"/>
  <c r="Q380" i="2"/>
  <c r="P380" i="2"/>
  <c r="O380" i="2"/>
  <c r="R379" i="2"/>
  <c r="Q379" i="2"/>
  <c r="P379" i="2"/>
  <c r="O379" i="2"/>
  <c r="R378" i="2"/>
  <c r="Q378" i="2"/>
  <c r="P378" i="2"/>
  <c r="O378" i="2"/>
  <c r="R377" i="2"/>
  <c r="Q377" i="2"/>
  <c r="P377" i="2"/>
  <c r="O377" i="2"/>
  <c r="R376" i="2"/>
  <c r="Q376" i="2"/>
  <c r="P376" i="2"/>
  <c r="O376" i="2"/>
  <c r="R375" i="2"/>
  <c r="Q375" i="2"/>
  <c r="P375" i="2"/>
  <c r="O375" i="2"/>
  <c r="R374" i="2"/>
  <c r="Q374" i="2"/>
  <c r="P374" i="2"/>
  <c r="O374" i="2"/>
  <c r="R373" i="2"/>
  <c r="Q373" i="2"/>
  <c r="P373" i="2"/>
  <c r="O373" i="2"/>
  <c r="R372" i="2"/>
  <c r="Q372" i="2"/>
  <c r="P372" i="2"/>
  <c r="O372" i="2"/>
  <c r="R371" i="2"/>
  <c r="Q371" i="2"/>
  <c r="P371" i="2"/>
  <c r="O371" i="2"/>
  <c r="R370" i="2"/>
  <c r="Q370" i="2"/>
  <c r="P370" i="2"/>
  <c r="O370" i="2"/>
  <c r="R369" i="2"/>
  <c r="Q369" i="2"/>
  <c r="P369" i="2"/>
  <c r="O369" i="2"/>
  <c r="R368" i="2"/>
  <c r="Q368" i="2"/>
  <c r="P368" i="2"/>
  <c r="O368" i="2"/>
  <c r="R367" i="2"/>
  <c r="Q367" i="2"/>
  <c r="P367" i="2"/>
  <c r="O367" i="2"/>
  <c r="R366" i="2"/>
  <c r="Q366" i="2"/>
  <c r="P366" i="2"/>
  <c r="O366" i="2"/>
  <c r="R365" i="2"/>
  <c r="Q365" i="2"/>
  <c r="P365" i="2"/>
  <c r="O365" i="2"/>
  <c r="R364" i="2"/>
  <c r="Q364" i="2"/>
  <c r="P364" i="2"/>
  <c r="O364" i="2"/>
  <c r="R363" i="2"/>
  <c r="Q363" i="2"/>
  <c r="P363" i="2"/>
  <c r="O363" i="2"/>
  <c r="R362" i="2"/>
  <c r="Q362" i="2"/>
  <c r="P362" i="2"/>
  <c r="O362" i="2"/>
  <c r="R361" i="2"/>
  <c r="Q361" i="2"/>
  <c r="P361" i="2"/>
  <c r="O361" i="2"/>
  <c r="R360" i="2"/>
  <c r="Q360" i="2"/>
  <c r="P360" i="2"/>
  <c r="O360" i="2"/>
  <c r="R359" i="2"/>
  <c r="Q359" i="2"/>
  <c r="P359" i="2"/>
  <c r="O359" i="2"/>
  <c r="R358" i="2"/>
  <c r="Q358" i="2"/>
  <c r="P358" i="2"/>
  <c r="O358" i="2"/>
  <c r="R357" i="2"/>
  <c r="Q357" i="2"/>
  <c r="P357" i="2"/>
  <c r="O357" i="2"/>
  <c r="R356" i="2"/>
  <c r="Q356" i="2"/>
  <c r="P356" i="2"/>
  <c r="O356" i="2"/>
  <c r="R355" i="2"/>
  <c r="Q355" i="2"/>
  <c r="P355" i="2"/>
  <c r="O355" i="2"/>
  <c r="R354" i="2"/>
  <c r="Q354" i="2"/>
  <c r="P354" i="2"/>
  <c r="O354" i="2"/>
  <c r="R353" i="2"/>
  <c r="Q353" i="2"/>
  <c r="P353" i="2"/>
  <c r="O353" i="2"/>
  <c r="R352" i="2"/>
  <c r="Q352" i="2"/>
  <c r="P352" i="2"/>
  <c r="O352" i="2"/>
  <c r="R351" i="2"/>
  <c r="Q351" i="2"/>
  <c r="P351" i="2"/>
  <c r="O351" i="2"/>
  <c r="R350" i="2"/>
  <c r="Q350" i="2"/>
  <c r="P350" i="2"/>
  <c r="O350" i="2"/>
  <c r="R349" i="2"/>
  <c r="Q349" i="2"/>
  <c r="P349" i="2"/>
  <c r="O349" i="2"/>
  <c r="R348" i="2"/>
  <c r="Q348" i="2"/>
  <c r="P348" i="2"/>
  <c r="O348" i="2"/>
  <c r="R347" i="2"/>
  <c r="Q347" i="2"/>
  <c r="P347" i="2"/>
  <c r="O347" i="2"/>
  <c r="R346" i="2"/>
  <c r="Q346" i="2"/>
  <c r="P346" i="2"/>
  <c r="O346" i="2"/>
  <c r="R345" i="2"/>
  <c r="Q345" i="2"/>
  <c r="P345" i="2"/>
  <c r="O345" i="2"/>
  <c r="R344" i="2"/>
  <c r="Q344" i="2"/>
  <c r="P344" i="2"/>
  <c r="O344" i="2"/>
  <c r="R343" i="2"/>
  <c r="Q343" i="2"/>
  <c r="P343" i="2"/>
  <c r="O343" i="2"/>
  <c r="R342" i="2"/>
  <c r="Q342" i="2"/>
  <c r="P342" i="2"/>
  <c r="O342" i="2"/>
  <c r="R341" i="2"/>
  <c r="Q341" i="2"/>
  <c r="P341" i="2"/>
  <c r="O341" i="2"/>
  <c r="R340" i="2"/>
  <c r="Q340" i="2"/>
  <c r="P340" i="2"/>
  <c r="O340" i="2"/>
  <c r="R339" i="2"/>
  <c r="Q339" i="2"/>
  <c r="P339" i="2"/>
  <c r="O339" i="2"/>
  <c r="R338" i="2"/>
  <c r="Q338" i="2"/>
  <c r="P338" i="2"/>
  <c r="O338" i="2"/>
  <c r="R337" i="2"/>
  <c r="Q337" i="2"/>
  <c r="P337" i="2"/>
  <c r="O337" i="2"/>
  <c r="R336" i="2"/>
  <c r="Q336" i="2"/>
  <c r="P336" i="2"/>
  <c r="O336" i="2"/>
  <c r="R335" i="2"/>
  <c r="Q335" i="2"/>
  <c r="P335" i="2"/>
  <c r="O335" i="2"/>
  <c r="R334" i="2"/>
  <c r="Q334" i="2"/>
  <c r="P334" i="2"/>
  <c r="O334" i="2"/>
  <c r="R333" i="2"/>
  <c r="Q333" i="2"/>
  <c r="P333" i="2"/>
  <c r="O333" i="2"/>
  <c r="R332" i="2"/>
  <c r="Q332" i="2"/>
  <c r="P332" i="2"/>
  <c r="O332" i="2"/>
  <c r="R331" i="2"/>
  <c r="Q331" i="2"/>
  <c r="P331" i="2"/>
  <c r="O331" i="2"/>
  <c r="R330" i="2"/>
  <c r="Q330" i="2"/>
  <c r="P330" i="2"/>
  <c r="O330" i="2"/>
  <c r="R329" i="2"/>
  <c r="Q329" i="2"/>
  <c r="P329" i="2"/>
  <c r="O329" i="2"/>
  <c r="R328" i="2"/>
  <c r="Q328" i="2"/>
  <c r="P328" i="2"/>
  <c r="O328" i="2"/>
  <c r="R327" i="2"/>
  <c r="Q327" i="2"/>
  <c r="P327" i="2"/>
  <c r="O327" i="2"/>
  <c r="R326" i="2"/>
  <c r="Q326" i="2"/>
  <c r="P326" i="2"/>
  <c r="O326" i="2"/>
  <c r="R325" i="2"/>
  <c r="Q325" i="2"/>
  <c r="P325" i="2"/>
  <c r="O325" i="2"/>
  <c r="R324" i="2"/>
  <c r="Q324" i="2"/>
  <c r="P324" i="2"/>
  <c r="O324" i="2"/>
  <c r="R323" i="2"/>
  <c r="Q323" i="2"/>
  <c r="P323" i="2"/>
  <c r="O323" i="2"/>
  <c r="R322" i="2"/>
  <c r="Q322" i="2"/>
  <c r="P322" i="2"/>
  <c r="O322" i="2"/>
  <c r="R321" i="2"/>
  <c r="Q321" i="2"/>
  <c r="P321" i="2"/>
  <c r="O321" i="2"/>
  <c r="R320" i="2"/>
  <c r="Q320" i="2"/>
  <c r="P320" i="2"/>
  <c r="O320" i="2"/>
  <c r="R319" i="2"/>
  <c r="Q319" i="2"/>
  <c r="P319" i="2"/>
  <c r="O319" i="2"/>
  <c r="R318" i="2"/>
  <c r="Q318" i="2"/>
  <c r="P318" i="2"/>
  <c r="O318" i="2"/>
  <c r="R317" i="2"/>
  <c r="Q317" i="2"/>
  <c r="P317" i="2"/>
  <c r="O317" i="2"/>
  <c r="R316" i="2"/>
  <c r="Q316" i="2"/>
  <c r="P316" i="2"/>
  <c r="O316" i="2"/>
  <c r="R315" i="2"/>
  <c r="Q315" i="2"/>
  <c r="P315" i="2"/>
  <c r="O315" i="2"/>
  <c r="R314" i="2"/>
  <c r="Q314" i="2"/>
  <c r="P314" i="2"/>
  <c r="O314" i="2"/>
  <c r="R313" i="2"/>
  <c r="Q313" i="2"/>
  <c r="P313" i="2"/>
  <c r="O313" i="2"/>
  <c r="R312" i="2"/>
  <c r="Q312" i="2"/>
  <c r="P312" i="2"/>
  <c r="O312" i="2"/>
  <c r="R311" i="2"/>
  <c r="Q311" i="2"/>
  <c r="P311" i="2"/>
  <c r="O311" i="2"/>
  <c r="R310" i="2"/>
  <c r="Q310" i="2"/>
  <c r="P310" i="2"/>
  <c r="O310" i="2"/>
  <c r="R309" i="2"/>
  <c r="Q309" i="2"/>
  <c r="P309" i="2"/>
  <c r="O309" i="2"/>
  <c r="R308" i="2"/>
  <c r="Q308" i="2"/>
  <c r="P308" i="2"/>
  <c r="O308" i="2"/>
  <c r="R307" i="2"/>
  <c r="Q307" i="2"/>
  <c r="P307" i="2"/>
  <c r="O307" i="2"/>
  <c r="R306" i="2"/>
  <c r="Q306" i="2"/>
  <c r="P306" i="2"/>
  <c r="O306" i="2"/>
  <c r="R305" i="2"/>
  <c r="Q305" i="2"/>
  <c r="P305" i="2"/>
  <c r="O305" i="2"/>
  <c r="R304" i="2"/>
  <c r="Q304" i="2"/>
  <c r="P304" i="2"/>
  <c r="O304" i="2"/>
  <c r="R303" i="2"/>
  <c r="Q303" i="2"/>
  <c r="P303" i="2"/>
  <c r="O303" i="2"/>
  <c r="R302" i="2"/>
  <c r="Q302" i="2"/>
  <c r="P302" i="2"/>
  <c r="O302" i="2"/>
  <c r="R301" i="2"/>
  <c r="Q301" i="2"/>
  <c r="P301" i="2"/>
  <c r="O301" i="2"/>
  <c r="R300" i="2"/>
  <c r="Q300" i="2"/>
  <c r="P300" i="2"/>
  <c r="O300" i="2"/>
  <c r="R299" i="2"/>
  <c r="Q299" i="2"/>
  <c r="P299" i="2"/>
  <c r="O299" i="2"/>
  <c r="R298" i="2"/>
  <c r="Q298" i="2"/>
  <c r="P298" i="2"/>
  <c r="O298" i="2"/>
  <c r="R297" i="2"/>
  <c r="Q297" i="2"/>
  <c r="P297" i="2"/>
  <c r="O297" i="2"/>
  <c r="R296" i="2"/>
  <c r="Q296" i="2"/>
  <c r="P296" i="2"/>
  <c r="O296" i="2"/>
  <c r="R295" i="2"/>
  <c r="Q295" i="2"/>
  <c r="P295" i="2"/>
  <c r="O295" i="2"/>
  <c r="R294" i="2"/>
  <c r="Q294" i="2"/>
  <c r="P294" i="2"/>
  <c r="O294" i="2"/>
  <c r="R293" i="2"/>
  <c r="Q293" i="2"/>
  <c r="P293" i="2"/>
  <c r="O293" i="2"/>
  <c r="R292" i="2"/>
  <c r="Q292" i="2"/>
  <c r="P292" i="2"/>
  <c r="O292" i="2"/>
  <c r="R291" i="2"/>
  <c r="Q291" i="2"/>
  <c r="P291" i="2"/>
  <c r="O291" i="2"/>
  <c r="R290" i="2"/>
  <c r="Q290" i="2"/>
  <c r="P290" i="2"/>
  <c r="O290" i="2"/>
  <c r="R289" i="2"/>
  <c r="Q289" i="2"/>
  <c r="P289" i="2"/>
  <c r="O289" i="2"/>
  <c r="R288" i="2"/>
  <c r="Q288" i="2"/>
  <c r="P288" i="2"/>
  <c r="O288" i="2"/>
  <c r="R287" i="2"/>
  <c r="Q287" i="2"/>
  <c r="P287" i="2"/>
  <c r="O287" i="2"/>
  <c r="R286" i="2"/>
  <c r="Q286" i="2"/>
  <c r="P286" i="2"/>
  <c r="O286" i="2"/>
  <c r="R285" i="2"/>
  <c r="Q285" i="2"/>
  <c r="P285" i="2"/>
  <c r="O285" i="2"/>
  <c r="R284" i="2"/>
  <c r="Q284" i="2"/>
  <c r="P284" i="2"/>
  <c r="O284" i="2"/>
  <c r="R283" i="2"/>
  <c r="Q283" i="2"/>
  <c r="P283" i="2"/>
  <c r="O283" i="2"/>
  <c r="R282" i="2"/>
  <c r="Q282" i="2"/>
  <c r="P282" i="2"/>
  <c r="O282" i="2"/>
  <c r="R281" i="2"/>
  <c r="Q281" i="2"/>
  <c r="P281" i="2"/>
  <c r="O281" i="2"/>
  <c r="R280" i="2"/>
  <c r="Q280" i="2"/>
  <c r="P280" i="2"/>
  <c r="O280" i="2"/>
  <c r="R279" i="2"/>
  <c r="Q279" i="2"/>
  <c r="P279" i="2"/>
  <c r="O279" i="2"/>
  <c r="R278" i="2"/>
  <c r="Q278" i="2"/>
  <c r="P278" i="2"/>
  <c r="O278" i="2"/>
  <c r="R277" i="2"/>
  <c r="Q277" i="2"/>
  <c r="P277" i="2"/>
  <c r="O277" i="2"/>
  <c r="R276" i="2"/>
  <c r="Q276" i="2"/>
  <c r="P276" i="2"/>
  <c r="O276" i="2"/>
  <c r="R275" i="2"/>
  <c r="Q275" i="2"/>
  <c r="P275" i="2"/>
  <c r="O275" i="2"/>
  <c r="R274" i="2"/>
  <c r="Q274" i="2"/>
  <c r="P274" i="2"/>
  <c r="O274" i="2"/>
  <c r="R273" i="2"/>
  <c r="Q273" i="2"/>
  <c r="P273" i="2"/>
  <c r="O273" i="2"/>
  <c r="R272" i="2"/>
  <c r="Q272" i="2"/>
  <c r="P272" i="2"/>
  <c r="O272" i="2"/>
  <c r="R271" i="2"/>
  <c r="Q271" i="2"/>
  <c r="P271" i="2"/>
  <c r="O271" i="2"/>
  <c r="R270" i="2"/>
  <c r="Q270" i="2"/>
  <c r="P270" i="2"/>
  <c r="O270" i="2"/>
  <c r="R269" i="2"/>
  <c r="Q269" i="2"/>
  <c r="P269" i="2"/>
  <c r="O269" i="2"/>
  <c r="R268" i="2"/>
  <c r="Q268" i="2"/>
  <c r="P268" i="2"/>
  <c r="O268" i="2"/>
  <c r="R267" i="2"/>
  <c r="Q267" i="2"/>
  <c r="P267" i="2"/>
  <c r="O267" i="2"/>
  <c r="R266" i="2"/>
  <c r="Q266" i="2"/>
  <c r="P266" i="2"/>
  <c r="O266" i="2"/>
  <c r="R265" i="2"/>
  <c r="Q265" i="2"/>
  <c r="P265" i="2"/>
  <c r="O265" i="2"/>
  <c r="R264" i="2"/>
  <c r="Q264" i="2"/>
  <c r="P264" i="2"/>
  <c r="O264" i="2"/>
  <c r="R263" i="2"/>
  <c r="Q263" i="2"/>
  <c r="P263" i="2"/>
  <c r="O263" i="2"/>
  <c r="R262" i="2"/>
  <c r="Q262" i="2"/>
  <c r="P262" i="2"/>
  <c r="O262" i="2"/>
  <c r="R261" i="2"/>
  <c r="Q261" i="2"/>
  <c r="P261" i="2"/>
  <c r="O261" i="2"/>
  <c r="R260" i="2"/>
  <c r="Q260" i="2"/>
  <c r="P260" i="2"/>
  <c r="O260" i="2"/>
  <c r="R259" i="2"/>
  <c r="Q259" i="2"/>
  <c r="P259" i="2"/>
  <c r="O259" i="2"/>
  <c r="R258" i="2"/>
  <c r="Q258" i="2"/>
  <c r="P258" i="2"/>
  <c r="O258" i="2"/>
  <c r="R257" i="2"/>
  <c r="Q257" i="2"/>
  <c r="P257" i="2"/>
  <c r="O257" i="2"/>
  <c r="R256" i="2"/>
  <c r="Q256" i="2"/>
  <c r="P256" i="2"/>
  <c r="O256" i="2"/>
  <c r="R255" i="2"/>
  <c r="Q255" i="2"/>
  <c r="P255" i="2"/>
  <c r="O255" i="2"/>
  <c r="R254" i="2"/>
  <c r="Q254" i="2"/>
  <c r="P254" i="2"/>
  <c r="O254" i="2"/>
  <c r="R253" i="2"/>
  <c r="Q253" i="2"/>
  <c r="P253" i="2"/>
  <c r="O253" i="2"/>
  <c r="R252" i="2"/>
  <c r="Q252" i="2"/>
  <c r="P252" i="2"/>
  <c r="O252" i="2"/>
  <c r="R251" i="2"/>
  <c r="Q251" i="2"/>
  <c r="P251" i="2"/>
  <c r="O251" i="2"/>
  <c r="R250" i="2"/>
  <c r="Q250" i="2"/>
  <c r="P250" i="2"/>
  <c r="O250" i="2"/>
  <c r="R249" i="2"/>
  <c r="Q249" i="2"/>
  <c r="P249" i="2"/>
  <c r="O249" i="2"/>
  <c r="R248" i="2"/>
  <c r="Q248" i="2"/>
  <c r="P248" i="2"/>
  <c r="O248" i="2"/>
  <c r="R247" i="2"/>
  <c r="Q247" i="2"/>
  <c r="P247" i="2"/>
  <c r="O247" i="2"/>
  <c r="R246" i="2"/>
  <c r="Q246" i="2"/>
  <c r="P246" i="2"/>
  <c r="O246" i="2"/>
  <c r="R245" i="2"/>
  <c r="Q245" i="2"/>
  <c r="P245" i="2"/>
  <c r="O245" i="2"/>
  <c r="R244" i="2"/>
  <c r="Q244" i="2"/>
  <c r="P244" i="2"/>
  <c r="O244" i="2"/>
  <c r="R243" i="2"/>
  <c r="Q243" i="2"/>
  <c r="P243" i="2"/>
  <c r="O243" i="2"/>
  <c r="R242" i="2"/>
  <c r="Q242" i="2"/>
  <c r="P242" i="2"/>
  <c r="O242" i="2"/>
  <c r="R241" i="2"/>
  <c r="Q241" i="2"/>
  <c r="P241" i="2"/>
  <c r="O241" i="2"/>
  <c r="R240" i="2"/>
  <c r="Q240" i="2"/>
  <c r="P240" i="2"/>
  <c r="O240" i="2"/>
  <c r="R239" i="2"/>
  <c r="Q239" i="2"/>
  <c r="P239" i="2"/>
  <c r="O239" i="2"/>
  <c r="R238" i="2"/>
  <c r="Q238" i="2"/>
  <c r="P238" i="2"/>
  <c r="O238" i="2"/>
  <c r="R237" i="2"/>
  <c r="Q237" i="2"/>
  <c r="P237" i="2"/>
  <c r="O237" i="2"/>
  <c r="R236" i="2"/>
  <c r="Q236" i="2"/>
  <c r="P236" i="2"/>
  <c r="O236" i="2"/>
  <c r="R235" i="2"/>
  <c r="Q235" i="2"/>
  <c r="P235" i="2"/>
  <c r="O235" i="2"/>
  <c r="R234" i="2"/>
  <c r="Q234" i="2"/>
  <c r="P234" i="2"/>
  <c r="O234" i="2"/>
  <c r="R233" i="2"/>
  <c r="Q233" i="2"/>
  <c r="P233" i="2"/>
  <c r="O233" i="2"/>
  <c r="R232" i="2"/>
  <c r="Q232" i="2"/>
  <c r="P232" i="2"/>
  <c r="O232" i="2"/>
  <c r="R231" i="2"/>
  <c r="Q231" i="2"/>
  <c r="P231" i="2"/>
  <c r="O231" i="2"/>
  <c r="R230" i="2"/>
  <c r="Q230" i="2"/>
  <c r="P230" i="2"/>
  <c r="O230" i="2"/>
  <c r="R229" i="2"/>
  <c r="Q229" i="2"/>
  <c r="P229" i="2"/>
  <c r="O229" i="2"/>
  <c r="R228" i="2"/>
  <c r="Q228" i="2"/>
  <c r="P228" i="2"/>
  <c r="O228" i="2"/>
  <c r="R227" i="2"/>
  <c r="Q227" i="2"/>
  <c r="P227" i="2"/>
  <c r="O227" i="2"/>
  <c r="R226" i="2"/>
  <c r="Q226" i="2"/>
  <c r="P226" i="2"/>
  <c r="O226" i="2"/>
  <c r="R225" i="2"/>
  <c r="Q225" i="2"/>
  <c r="P225" i="2"/>
  <c r="O225" i="2"/>
  <c r="R224" i="2"/>
  <c r="Q224" i="2"/>
  <c r="P224" i="2"/>
  <c r="O224" i="2"/>
  <c r="R223" i="2"/>
  <c r="Q223" i="2"/>
  <c r="P223" i="2"/>
  <c r="O223" i="2"/>
  <c r="R222" i="2"/>
  <c r="Q222" i="2"/>
  <c r="P222" i="2"/>
  <c r="O222" i="2"/>
  <c r="R221" i="2"/>
  <c r="Q221" i="2"/>
  <c r="P221" i="2"/>
  <c r="O221" i="2"/>
  <c r="R220" i="2"/>
  <c r="Q220" i="2"/>
  <c r="P220" i="2"/>
  <c r="O220" i="2"/>
  <c r="R219" i="2"/>
  <c r="Q219" i="2"/>
  <c r="P219" i="2"/>
  <c r="O219" i="2"/>
  <c r="R218" i="2"/>
  <c r="Q218" i="2"/>
  <c r="P218" i="2"/>
  <c r="O218" i="2"/>
  <c r="R217" i="2"/>
  <c r="Q217" i="2"/>
  <c r="P217" i="2"/>
  <c r="O217" i="2"/>
  <c r="R216" i="2"/>
  <c r="Q216" i="2"/>
  <c r="P216" i="2"/>
  <c r="O216" i="2"/>
  <c r="R215" i="2"/>
  <c r="Q215" i="2"/>
  <c r="P215" i="2"/>
  <c r="O215" i="2"/>
  <c r="R214" i="2"/>
  <c r="Q214" i="2"/>
  <c r="P214" i="2"/>
  <c r="O214" i="2"/>
  <c r="R213" i="2"/>
  <c r="Q213" i="2"/>
  <c r="P213" i="2"/>
  <c r="O213" i="2"/>
  <c r="R212" i="2"/>
  <c r="Q212" i="2"/>
  <c r="P212" i="2"/>
  <c r="O212" i="2"/>
  <c r="R211" i="2"/>
  <c r="Q211" i="2"/>
  <c r="P211" i="2"/>
  <c r="O211" i="2"/>
  <c r="R210" i="2"/>
  <c r="Q210" i="2"/>
  <c r="P210" i="2"/>
  <c r="O210" i="2"/>
  <c r="R209" i="2"/>
  <c r="Q209" i="2"/>
  <c r="P209" i="2"/>
  <c r="O209" i="2"/>
  <c r="R208" i="2"/>
  <c r="Q208" i="2"/>
  <c r="P208" i="2"/>
  <c r="O208" i="2"/>
  <c r="R207" i="2"/>
  <c r="Q207" i="2"/>
  <c r="P207" i="2"/>
  <c r="O207" i="2"/>
  <c r="R206" i="2"/>
  <c r="Q206" i="2"/>
  <c r="P206" i="2"/>
  <c r="O206" i="2"/>
  <c r="R205" i="2"/>
  <c r="Q205" i="2"/>
  <c r="P205" i="2"/>
  <c r="O205" i="2"/>
  <c r="R204" i="2"/>
  <c r="Q204" i="2"/>
  <c r="P204" i="2"/>
  <c r="O204" i="2"/>
  <c r="R203" i="2"/>
  <c r="Q203" i="2"/>
  <c r="P203" i="2"/>
  <c r="O203" i="2"/>
  <c r="R202" i="2"/>
  <c r="Q202" i="2"/>
  <c r="P202" i="2"/>
  <c r="O202" i="2"/>
  <c r="R201" i="2"/>
  <c r="Q201" i="2"/>
  <c r="P201" i="2"/>
  <c r="O201" i="2"/>
  <c r="R200" i="2"/>
  <c r="Q200" i="2"/>
  <c r="P200" i="2"/>
  <c r="O200" i="2"/>
  <c r="R199" i="2"/>
  <c r="Q199" i="2"/>
  <c r="P199" i="2"/>
  <c r="O199" i="2"/>
  <c r="R198" i="2"/>
  <c r="Q198" i="2"/>
  <c r="P198" i="2"/>
  <c r="O198" i="2"/>
  <c r="R197" i="2"/>
  <c r="Q197" i="2"/>
  <c r="P197" i="2"/>
  <c r="O197" i="2"/>
  <c r="R196" i="2"/>
  <c r="Q196" i="2"/>
  <c r="P196" i="2"/>
  <c r="O196" i="2"/>
  <c r="R195" i="2"/>
  <c r="Q195" i="2"/>
  <c r="P195" i="2"/>
  <c r="O195" i="2"/>
  <c r="R194" i="2"/>
  <c r="Q194" i="2"/>
  <c r="P194" i="2"/>
  <c r="O194" i="2"/>
  <c r="R193" i="2"/>
  <c r="Q193" i="2"/>
  <c r="P193" i="2"/>
  <c r="O193" i="2"/>
  <c r="R192" i="2"/>
  <c r="Q192" i="2"/>
  <c r="P192" i="2"/>
  <c r="O192" i="2"/>
  <c r="R191" i="2"/>
  <c r="Q191" i="2"/>
  <c r="P191" i="2"/>
  <c r="O191" i="2"/>
  <c r="R190" i="2"/>
  <c r="Q190" i="2"/>
  <c r="P190" i="2"/>
  <c r="O190" i="2"/>
  <c r="R189" i="2"/>
  <c r="Q189" i="2"/>
  <c r="P189" i="2"/>
  <c r="O189" i="2"/>
  <c r="R188" i="2"/>
  <c r="Q188" i="2"/>
  <c r="P188" i="2"/>
  <c r="O188" i="2"/>
  <c r="R187" i="2"/>
  <c r="Q187" i="2"/>
  <c r="P187" i="2"/>
  <c r="O187" i="2"/>
  <c r="R186" i="2"/>
  <c r="Q186" i="2"/>
  <c r="P186" i="2"/>
  <c r="O186" i="2"/>
  <c r="R185" i="2"/>
  <c r="Q185" i="2"/>
  <c r="P185" i="2"/>
  <c r="O185" i="2"/>
  <c r="R184" i="2"/>
  <c r="Q184" i="2"/>
  <c r="P184" i="2"/>
  <c r="O184" i="2"/>
  <c r="R183" i="2"/>
  <c r="Q183" i="2"/>
  <c r="P183" i="2"/>
  <c r="O183" i="2"/>
  <c r="R182" i="2"/>
  <c r="Q182" i="2"/>
  <c r="P182" i="2"/>
  <c r="O182" i="2"/>
  <c r="R181" i="2"/>
  <c r="Q181" i="2"/>
  <c r="P181" i="2"/>
  <c r="O181" i="2"/>
  <c r="R180" i="2"/>
  <c r="Q180" i="2"/>
  <c r="P180" i="2"/>
  <c r="O180" i="2"/>
  <c r="R179" i="2"/>
  <c r="Q179" i="2"/>
  <c r="P179" i="2"/>
  <c r="O179" i="2"/>
  <c r="R178" i="2"/>
  <c r="Q178" i="2"/>
  <c r="P178" i="2"/>
  <c r="O178" i="2"/>
  <c r="R177" i="2"/>
  <c r="Q177" i="2"/>
  <c r="P177" i="2"/>
  <c r="O177" i="2"/>
  <c r="R176" i="2"/>
  <c r="Q176" i="2"/>
  <c r="P176" i="2"/>
  <c r="O176" i="2"/>
  <c r="R175" i="2"/>
  <c r="Q175" i="2"/>
  <c r="P175" i="2"/>
  <c r="O175" i="2"/>
  <c r="R174" i="2"/>
  <c r="Q174" i="2"/>
  <c r="P174" i="2"/>
  <c r="O174" i="2"/>
  <c r="R173" i="2"/>
  <c r="Q173" i="2"/>
  <c r="P173" i="2"/>
  <c r="O173" i="2"/>
  <c r="R172" i="2"/>
  <c r="Q172" i="2"/>
  <c r="P172" i="2"/>
  <c r="O172" i="2"/>
  <c r="R171" i="2"/>
  <c r="Q171" i="2"/>
  <c r="P171" i="2"/>
  <c r="O171" i="2"/>
  <c r="R170" i="2"/>
  <c r="Q170" i="2"/>
  <c r="P170" i="2"/>
  <c r="O170" i="2"/>
  <c r="R169" i="2"/>
  <c r="Q169" i="2"/>
  <c r="P169" i="2"/>
  <c r="O169" i="2"/>
  <c r="R168" i="2"/>
  <c r="Q168" i="2"/>
  <c r="P168" i="2"/>
  <c r="O168" i="2"/>
  <c r="R167" i="2"/>
  <c r="Q167" i="2"/>
  <c r="P167" i="2"/>
  <c r="O167" i="2"/>
  <c r="R166" i="2"/>
  <c r="Q166" i="2"/>
  <c r="P166" i="2"/>
  <c r="O166" i="2"/>
  <c r="R165" i="2"/>
  <c r="Q165" i="2"/>
  <c r="P165" i="2"/>
  <c r="O165" i="2"/>
  <c r="R164" i="2"/>
  <c r="Q164" i="2"/>
  <c r="P164" i="2"/>
  <c r="O164" i="2"/>
  <c r="R163" i="2"/>
  <c r="Q163" i="2"/>
  <c r="P163" i="2"/>
  <c r="O163" i="2"/>
  <c r="R162" i="2"/>
  <c r="Q162" i="2"/>
  <c r="P162" i="2"/>
  <c r="O162" i="2"/>
  <c r="R161" i="2"/>
  <c r="Q161" i="2"/>
  <c r="P161" i="2"/>
  <c r="O161" i="2"/>
  <c r="R160" i="2"/>
  <c r="Q160" i="2"/>
  <c r="P160" i="2"/>
  <c r="O160" i="2"/>
  <c r="R159" i="2"/>
  <c r="Q159" i="2"/>
  <c r="P159" i="2"/>
  <c r="O159" i="2"/>
  <c r="R158" i="2"/>
  <c r="Q158" i="2"/>
  <c r="P158" i="2"/>
  <c r="O158" i="2"/>
  <c r="R157" i="2"/>
  <c r="Q157" i="2"/>
  <c r="P157" i="2"/>
  <c r="O157" i="2"/>
  <c r="R156" i="2"/>
  <c r="Q156" i="2"/>
  <c r="P156" i="2"/>
  <c r="O156" i="2"/>
  <c r="R155" i="2"/>
  <c r="Q155" i="2"/>
  <c r="P155" i="2"/>
  <c r="O155" i="2"/>
  <c r="R154" i="2"/>
  <c r="Q154" i="2"/>
  <c r="P154" i="2"/>
  <c r="O154" i="2"/>
  <c r="R153" i="2"/>
  <c r="Q153" i="2"/>
  <c r="P153" i="2"/>
  <c r="O153" i="2"/>
  <c r="R152" i="2"/>
  <c r="Q152" i="2"/>
  <c r="P152" i="2"/>
  <c r="O152" i="2"/>
  <c r="R151" i="2"/>
  <c r="Q151" i="2"/>
  <c r="P151" i="2"/>
  <c r="O151" i="2"/>
  <c r="R150" i="2"/>
  <c r="Q150" i="2"/>
  <c r="P150" i="2"/>
  <c r="O150" i="2"/>
  <c r="R149" i="2"/>
  <c r="Q149" i="2"/>
  <c r="P149" i="2"/>
  <c r="O149" i="2"/>
  <c r="R148" i="2"/>
  <c r="Q148" i="2"/>
  <c r="P148" i="2"/>
  <c r="O148" i="2"/>
  <c r="R147" i="2"/>
  <c r="Q147" i="2"/>
  <c r="P147" i="2"/>
  <c r="O147" i="2"/>
  <c r="R146" i="2"/>
  <c r="Q146" i="2"/>
  <c r="P146" i="2"/>
  <c r="O146" i="2"/>
  <c r="R145" i="2"/>
  <c r="Q145" i="2"/>
  <c r="P145" i="2"/>
  <c r="O145" i="2"/>
  <c r="R144" i="2"/>
  <c r="Q144" i="2"/>
  <c r="P144" i="2"/>
  <c r="O144" i="2"/>
  <c r="R143" i="2"/>
  <c r="Q143" i="2"/>
  <c r="P143" i="2"/>
  <c r="O143" i="2"/>
  <c r="R142" i="2"/>
  <c r="Q142" i="2"/>
  <c r="P142" i="2"/>
  <c r="O142" i="2"/>
  <c r="R141" i="2"/>
  <c r="Q141" i="2"/>
  <c r="P141" i="2"/>
  <c r="O141" i="2"/>
  <c r="R140" i="2"/>
  <c r="Q140" i="2"/>
  <c r="P140" i="2"/>
  <c r="O140" i="2"/>
  <c r="R139" i="2"/>
  <c r="Q139" i="2"/>
  <c r="P139" i="2"/>
  <c r="O139" i="2"/>
  <c r="R138" i="2"/>
  <c r="Q138" i="2"/>
  <c r="P138" i="2"/>
  <c r="O138" i="2"/>
  <c r="R137" i="2"/>
  <c r="Q137" i="2"/>
  <c r="P137" i="2"/>
  <c r="O137" i="2"/>
  <c r="R136" i="2"/>
  <c r="Q136" i="2"/>
  <c r="P136" i="2"/>
  <c r="O136" i="2"/>
  <c r="R135" i="2"/>
  <c r="Q135" i="2"/>
  <c r="P135" i="2"/>
  <c r="O135" i="2"/>
  <c r="R134" i="2"/>
  <c r="Q134" i="2"/>
  <c r="P134" i="2"/>
  <c r="O134" i="2"/>
  <c r="R133" i="2"/>
  <c r="Q133" i="2"/>
  <c r="P133" i="2"/>
  <c r="O133" i="2"/>
  <c r="R132" i="2"/>
  <c r="Q132" i="2"/>
  <c r="P132" i="2"/>
  <c r="O132" i="2"/>
  <c r="R131" i="2"/>
  <c r="Q131" i="2"/>
  <c r="P131" i="2"/>
  <c r="O131" i="2"/>
  <c r="R130" i="2"/>
  <c r="Q130" i="2"/>
  <c r="P130" i="2"/>
  <c r="O130" i="2"/>
  <c r="R129" i="2"/>
  <c r="Q129" i="2"/>
  <c r="P129" i="2"/>
  <c r="O129" i="2"/>
  <c r="R128" i="2"/>
  <c r="Q128" i="2"/>
  <c r="P128" i="2"/>
  <c r="O128" i="2"/>
  <c r="R127" i="2"/>
  <c r="Q127" i="2"/>
  <c r="P127" i="2"/>
  <c r="O127" i="2"/>
  <c r="R126" i="2"/>
  <c r="Q126" i="2"/>
  <c r="P126" i="2"/>
  <c r="O126" i="2"/>
  <c r="R125" i="2"/>
  <c r="Q125" i="2"/>
  <c r="P125" i="2"/>
  <c r="O125" i="2"/>
  <c r="R124" i="2"/>
  <c r="Q124" i="2"/>
  <c r="P124" i="2"/>
  <c r="O124" i="2"/>
  <c r="R123" i="2"/>
  <c r="Q123" i="2"/>
  <c r="P123" i="2"/>
  <c r="O123" i="2"/>
  <c r="R122" i="2"/>
  <c r="Q122" i="2"/>
  <c r="P122" i="2"/>
  <c r="O122" i="2"/>
  <c r="R121" i="2"/>
  <c r="Q121" i="2"/>
  <c r="P121" i="2"/>
  <c r="O121" i="2"/>
  <c r="R120" i="2"/>
  <c r="Q120" i="2"/>
  <c r="P120" i="2"/>
  <c r="O120" i="2"/>
  <c r="R119" i="2"/>
  <c r="Q119" i="2"/>
  <c r="P119" i="2"/>
  <c r="O119" i="2"/>
  <c r="R118" i="2"/>
  <c r="Q118" i="2"/>
  <c r="P118" i="2"/>
  <c r="O118" i="2"/>
  <c r="R117" i="2"/>
  <c r="Q117" i="2"/>
  <c r="P117" i="2"/>
  <c r="O117" i="2"/>
  <c r="R116" i="2"/>
  <c r="Q116" i="2"/>
  <c r="P116" i="2"/>
  <c r="O116" i="2"/>
  <c r="R115" i="2"/>
  <c r="Q115" i="2"/>
  <c r="P115" i="2"/>
  <c r="O115" i="2"/>
  <c r="R114" i="2"/>
  <c r="Q114" i="2"/>
  <c r="P114" i="2"/>
  <c r="O114" i="2"/>
  <c r="R113" i="2"/>
  <c r="Q113" i="2"/>
  <c r="P113" i="2"/>
  <c r="O113" i="2"/>
  <c r="R112" i="2"/>
  <c r="Q112" i="2"/>
  <c r="P112" i="2"/>
  <c r="O112" i="2"/>
  <c r="R111" i="2"/>
  <c r="Q111" i="2"/>
  <c r="P111" i="2"/>
  <c r="O111" i="2"/>
  <c r="R110" i="2"/>
  <c r="Q110" i="2"/>
  <c r="P110" i="2"/>
  <c r="O110" i="2"/>
  <c r="R109" i="2"/>
  <c r="Q109" i="2"/>
  <c r="P109" i="2"/>
  <c r="O109" i="2"/>
  <c r="R108" i="2"/>
  <c r="Q108" i="2"/>
  <c r="P108" i="2"/>
  <c r="O108" i="2"/>
  <c r="R107" i="2"/>
  <c r="Q107" i="2"/>
  <c r="P107" i="2"/>
  <c r="O107" i="2"/>
  <c r="R106" i="2"/>
  <c r="Q106" i="2"/>
  <c r="P106" i="2"/>
  <c r="O106" i="2"/>
  <c r="R105" i="2"/>
  <c r="Q105" i="2"/>
  <c r="P105" i="2"/>
  <c r="O105" i="2"/>
  <c r="R104" i="2"/>
  <c r="Q104" i="2"/>
  <c r="P104" i="2"/>
  <c r="O104" i="2"/>
  <c r="R103" i="2"/>
  <c r="Q103" i="2"/>
  <c r="P103" i="2"/>
  <c r="O103" i="2"/>
  <c r="R102" i="2"/>
  <c r="Q102" i="2"/>
  <c r="P102" i="2"/>
  <c r="O102" i="2"/>
  <c r="R101" i="2"/>
  <c r="Q101" i="2"/>
  <c r="P101" i="2"/>
  <c r="O101" i="2"/>
  <c r="R100" i="2"/>
  <c r="Q100" i="2"/>
  <c r="P100" i="2"/>
  <c r="O100" i="2"/>
  <c r="R99" i="2"/>
  <c r="Q99" i="2"/>
  <c r="P99" i="2"/>
  <c r="O99" i="2"/>
  <c r="R98" i="2"/>
  <c r="Q98" i="2"/>
  <c r="P98" i="2"/>
  <c r="O98" i="2"/>
  <c r="R97" i="2"/>
  <c r="Q97" i="2"/>
  <c r="P97" i="2"/>
  <c r="O97" i="2"/>
  <c r="R96" i="2"/>
  <c r="Q96" i="2"/>
  <c r="P96" i="2"/>
  <c r="O96" i="2"/>
  <c r="R95" i="2"/>
  <c r="Q95" i="2"/>
  <c r="P95" i="2"/>
  <c r="O95" i="2"/>
  <c r="R94" i="2"/>
  <c r="Q94" i="2"/>
  <c r="P94" i="2"/>
  <c r="O94" i="2"/>
  <c r="R93" i="2"/>
  <c r="Q93" i="2"/>
  <c r="P93" i="2"/>
  <c r="O93" i="2"/>
  <c r="R92" i="2"/>
  <c r="Q92" i="2"/>
  <c r="P92" i="2"/>
  <c r="O92" i="2"/>
  <c r="R91" i="2"/>
  <c r="Q91" i="2"/>
  <c r="P91" i="2"/>
  <c r="O91" i="2"/>
  <c r="R90" i="2"/>
  <c r="Q90" i="2"/>
  <c r="P90" i="2"/>
  <c r="O90" i="2"/>
  <c r="R89" i="2"/>
  <c r="Q89" i="2"/>
  <c r="P89" i="2"/>
  <c r="O89" i="2"/>
  <c r="R88" i="2"/>
  <c r="Q88" i="2"/>
  <c r="P88" i="2"/>
  <c r="O88" i="2"/>
  <c r="R87" i="2"/>
  <c r="Q87" i="2"/>
  <c r="P87" i="2"/>
  <c r="O87" i="2"/>
  <c r="R86" i="2"/>
  <c r="Q86" i="2"/>
  <c r="P86" i="2"/>
  <c r="O86" i="2"/>
  <c r="R85" i="2"/>
  <c r="Q85" i="2"/>
  <c r="P85" i="2"/>
  <c r="O85" i="2"/>
  <c r="R84" i="2"/>
  <c r="Q84" i="2"/>
  <c r="P84" i="2"/>
  <c r="O84" i="2"/>
  <c r="R83" i="2"/>
  <c r="Q83" i="2"/>
  <c r="P83" i="2"/>
  <c r="O83" i="2"/>
  <c r="R82" i="2"/>
  <c r="Q82" i="2"/>
  <c r="P82" i="2"/>
  <c r="O82" i="2"/>
  <c r="R81" i="2"/>
  <c r="Q81" i="2"/>
  <c r="P81" i="2"/>
  <c r="O81" i="2"/>
  <c r="R80" i="2"/>
  <c r="Q80" i="2"/>
  <c r="P80" i="2"/>
  <c r="O80" i="2"/>
  <c r="R79" i="2"/>
  <c r="Q79" i="2"/>
  <c r="P79" i="2"/>
  <c r="O79" i="2"/>
  <c r="R78" i="2"/>
  <c r="Q78" i="2"/>
  <c r="P78" i="2"/>
  <c r="O78" i="2"/>
  <c r="R77" i="2"/>
  <c r="Q77" i="2"/>
  <c r="P77" i="2"/>
  <c r="O77" i="2"/>
  <c r="R76" i="2"/>
  <c r="Q76" i="2"/>
  <c r="P76" i="2"/>
  <c r="O76" i="2"/>
  <c r="R75" i="2"/>
  <c r="Q75" i="2"/>
  <c r="P75" i="2"/>
  <c r="O75" i="2"/>
  <c r="R74" i="2"/>
  <c r="Q74" i="2"/>
  <c r="P74" i="2"/>
  <c r="O74" i="2"/>
  <c r="R73" i="2"/>
  <c r="Q73" i="2"/>
  <c r="P73" i="2"/>
  <c r="O73" i="2"/>
  <c r="R72" i="2"/>
  <c r="Q72" i="2"/>
  <c r="P72" i="2"/>
  <c r="O72" i="2"/>
  <c r="R71" i="2"/>
  <c r="Q71" i="2"/>
  <c r="P71" i="2"/>
  <c r="O71" i="2"/>
  <c r="R70" i="2"/>
  <c r="Q70" i="2"/>
  <c r="P70" i="2"/>
  <c r="O70" i="2"/>
  <c r="R69" i="2"/>
  <c r="Q69" i="2"/>
  <c r="P69" i="2"/>
  <c r="O69" i="2"/>
  <c r="R68" i="2"/>
  <c r="Q68" i="2"/>
  <c r="P68" i="2"/>
  <c r="O68" i="2"/>
  <c r="R67" i="2"/>
  <c r="Q67" i="2"/>
  <c r="P67" i="2"/>
  <c r="O67" i="2"/>
  <c r="R66" i="2"/>
  <c r="Q66" i="2"/>
  <c r="P66" i="2"/>
  <c r="O66" i="2"/>
  <c r="R65" i="2"/>
  <c r="Q65" i="2"/>
  <c r="P65" i="2"/>
  <c r="O65" i="2"/>
  <c r="R64" i="2"/>
  <c r="Q64" i="2"/>
  <c r="P64" i="2"/>
  <c r="O64" i="2"/>
  <c r="R63" i="2"/>
  <c r="Q63" i="2"/>
  <c r="P63" i="2"/>
  <c r="O63" i="2"/>
  <c r="R62" i="2"/>
  <c r="Q62" i="2"/>
  <c r="P62" i="2"/>
  <c r="O62" i="2"/>
  <c r="R61" i="2"/>
  <c r="Q61" i="2"/>
  <c r="P61" i="2"/>
  <c r="O61" i="2"/>
  <c r="R60" i="2"/>
  <c r="Q60" i="2"/>
  <c r="P60" i="2"/>
  <c r="O60" i="2"/>
  <c r="R59" i="2"/>
  <c r="Q59" i="2"/>
  <c r="P59" i="2"/>
  <c r="O59" i="2"/>
  <c r="R58" i="2"/>
  <c r="Q58" i="2"/>
  <c r="P58" i="2"/>
  <c r="O58" i="2"/>
  <c r="R57" i="2"/>
  <c r="Q57" i="2"/>
  <c r="P57" i="2"/>
  <c r="O57" i="2"/>
  <c r="R56" i="2"/>
  <c r="Q56" i="2"/>
  <c r="P56" i="2"/>
  <c r="O56" i="2"/>
  <c r="R55" i="2"/>
  <c r="Q55" i="2"/>
  <c r="P55" i="2"/>
  <c r="O55" i="2"/>
  <c r="R54" i="2"/>
  <c r="Q54" i="2"/>
  <c r="P54" i="2"/>
  <c r="O54" i="2"/>
  <c r="R53" i="2"/>
  <c r="Q53" i="2"/>
  <c r="P53" i="2"/>
  <c r="O53" i="2"/>
  <c r="R52" i="2"/>
  <c r="Q52" i="2"/>
  <c r="P52" i="2"/>
  <c r="O52" i="2"/>
  <c r="R51" i="2"/>
  <c r="Q51" i="2"/>
  <c r="P51" i="2"/>
  <c r="O51" i="2"/>
  <c r="R50" i="2"/>
  <c r="Q50" i="2"/>
  <c r="P50" i="2"/>
  <c r="O50" i="2"/>
  <c r="R49" i="2"/>
  <c r="Q49" i="2"/>
  <c r="P49" i="2"/>
  <c r="O49" i="2"/>
  <c r="R48" i="2"/>
  <c r="Q48" i="2"/>
  <c r="P48" i="2"/>
  <c r="O48" i="2"/>
  <c r="R47" i="2"/>
  <c r="Q47" i="2"/>
  <c r="P47" i="2"/>
  <c r="O47" i="2"/>
  <c r="R46" i="2"/>
  <c r="Q46" i="2"/>
  <c r="P46" i="2"/>
  <c r="O46" i="2"/>
  <c r="R45" i="2"/>
  <c r="Q45" i="2"/>
  <c r="P45" i="2"/>
  <c r="O45" i="2"/>
  <c r="R44" i="2"/>
  <c r="Q44" i="2"/>
  <c r="P44" i="2"/>
  <c r="O44" i="2"/>
  <c r="R43" i="2"/>
  <c r="Q43" i="2"/>
  <c r="P43" i="2"/>
  <c r="O43" i="2"/>
  <c r="R42" i="2"/>
  <c r="Q42" i="2"/>
  <c r="P42" i="2"/>
  <c r="O42" i="2"/>
  <c r="R41" i="2"/>
  <c r="Q41" i="2"/>
  <c r="P41" i="2"/>
  <c r="O41" i="2"/>
  <c r="R40" i="2"/>
  <c r="Q40" i="2"/>
  <c r="P40" i="2"/>
  <c r="O40" i="2"/>
  <c r="R39" i="2"/>
  <c r="Q39" i="2"/>
  <c r="P39" i="2"/>
  <c r="O39" i="2"/>
  <c r="R38" i="2"/>
  <c r="Q38" i="2"/>
  <c r="P38" i="2"/>
  <c r="O38" i="2"/>
  <c r="R37" i="2"/>
  <c r="Q37" i="2"/>
  <c r="P37" i="2"/>
  <c r="O37" i="2"/>
  <c r="R36" i="2"/>
  <c r="Q36" i="2"/>
  <c r="P36" i="2"/>
  <c r="O36" i="2"/>
  <c r="R35" i="2"/>
  <c r="Q35" i="2"/>
  <c r="P35" i="2"/>
  <c r="O35" i="2"/>
  <c r="R34" i="2"/>
  <c r="Q34" i="2"/>
  <c r="P34" i="2"/>
  <c r="O34" i="2"/>
  <c r="R33" i="2"/>
  <c r="Q33" i="2"/>
  <c r="P33" i="2"/>
  <c r="O33" i="2"/>
  <c r="R32" i="2"/>
  <c r="Q32" i="2"/>
  <c r="P32" i="2"/>
  <c r="O32" i="2"/>
  <c r="R31" i="2"/>
  <c r="Q31" i="2"/>
  <c r="P31" i="2"/>
  <c r="O31" i="2"/>
  <c r="R30" i="2"/>
  <c r="Q30" i="2"/>
  <c r="P30" i="2"/>
  <c r="O30" i="2"/>
  <c r="R29" i="2"/>
  <c r="Q29" i="2"/>
  <c r="P29" i="2"/>
  <c r="O29" i="2"/>
  <c r="R28" i="2"/>
  <c r="Q28" i="2"/>
  <c r="P28" i="2"/>
  <c r="O28" i="2"/>
  <c r="R27" i="2"/>
  <c r="Q27" i="2"/>
  <c r="P27" i="2"/>
  <c r="O27" i="2"/>
  <c r="R26" i="2"/>
  <c r="Q26" i="2"/>
  <c r="P26" i="2"/>
  <c r="O26" i="2"/>
  <c r="R25" i="2"/>
  <c r="Q25" i="2"/>
  <c r="P25" i="2"/>
  <c r="O25" i="2"/>
  <c r="R24" i="2"/>
  <c r="Q24" i="2"/>
  <c r="P24" i="2"/>
  <c r="O24" i="2"/>
  <c r="R23" i="2"/>
  <c r="Q23" i="2"/>
  <c r="P23" i="2"/>
  <c r="O23" i="2"/>
  <c r="R22" i="2"/>
  <c r="Q22" i="2"/>
  <c r="P22" i="2"/>
  <c r="O22" i="2"/>
  <c r="R21" i="2"/>
  <c r="Q21" i="2"/>
  <c r="P21" i="2"/>
  <c r="O21" i="2"/>
  <c r="R20" i="2"/>
  <c r="Q20" i="2"/>
  <c r="P20" i="2"/>
  <c r="O20" i="2"/>
  <c r="R19" i="2"/>
  <c r="Q19" i="2"/>
  <c r="P19" i="2"/>
  <c r="O19" i="2"/>
  <c r="R18" i="2"/>
  <c r="Q18" i="2"/>
  <c r="P18" i="2"/>
  <c r="O18" i="2"/>
  <c r="R17" i="2"/>
  <c r="Q17" i="2"/>
  <c r="P17" i="2"/>
  <c r="O17" i="2"/>
  <c r="R16" i="2"/>
  <c r="Q16" i="2"/>
  <c r="P16" i="2"/>
  <c r="O16" i="2"/>
  <c r="R15" i="2"/>
  <c r="Q15" i="2"/>
  <c r="P15" i="2"/>
  <c r="O15" i="2"/>
  <c r="R14" i="2"/>
  <c r="Q14" i="2"/>
  <c r="P14" i="2"/>
  <c r="O14" i="2"/>
  <c r="R13" i="2"/>
  <c r="Q13" i="2"/>
  <c r="P13" i="2"/>
  <c r="O13" i="2"/>
  <c r="R12" i="2"/>
  <c r="Q12" i="2"/>
  <c r="P12" i="2"/>
  <c r="O12" i="2"/>
  <c r="R11" i="2"/>
  <c r="Q11" i="2"/>
  <c r="P11" i="2"/>
  <c r="O11" i="2"/>
  <c r="R10" i="2"/>
  <c r="Q10" i="2"/>
  <c r="P10" i="2"/>
  <c r="O10" i="2"/>
  <c r="R9" i="2"/>
  <c r="Q9" i="2"/>
  <c r="P9" i="2"/>
  <c r="O9" i="2"/>
  <c r="R8" i="2"/>
  <c r="Q8" i="2"/>
  <c r="P8" i="2"/>
  <c r="O8" i="2"/>
  <c r="R7" i="2"/>
  <c r="Q7" i="2"/>
  <c r="P7" i="2"/>
  <c r="O7" i="2"/>
  <c r="R6" i="2"/>
  <c r="Q6" i="2"/>
  <c r="P6" i="2"/>
  <c r="O6" i="2"/>
  <c r="R5" i="2"/>
  <c r="Q5" i="2"/>
  <c r="P5" i="2"/>
  <c r="O5" i="2"/>
  <c r="R4" i="2"/>
  <c r="Q4" i="2"/>
  <c r="P4" i="2"/>
  <c r="O4" i="2"/>
  <c r="R3" i="2"/>
  <c r="Q3" i="2"/>
  <c r="P3" i="2"/>
  <c r="O3" i="2"/>
  <c r="R2" i="2"/>
  <c r="Q2" i="2"/>
  <c r="P2" i="2"/>
  <c r="O2" i="2"/>
  <c r="R2177" i="11"/>
  <c r="Q2177" i="11"/>
  <c r="P2177" i="11"/>
  <c r="O2177" i="11"/>
  <c r="R2176" i="11"/>
  <c r="Q2176" i="11"/>
  <c r="P2176" i="11"/>
  <c r="O2176" i="11"/>
  <c r="R2175" i="11"/>
  <c r="Q2175" i="11"/>
  <c r="P2175" i="11"/>
  <c r="O2175" i="11"/>
  <c r="R2174" i="11"/>
  <c r="Q2174" i="11"/>
  <c r="P2174" i="11"/>
  <c r="O2174" i="11"/>
  <c r="R2173" i="11"/>
  <c r="Q2173" i="11"/>
  <c r="P2173" i="11"/>
  <c r="O2173" i="11"/>
  <c r="R2172" i="11"/>
  <c r="Q2172" i="11"/>
  <c r="P2172" i="11"/>
  <c r="O2172" i="11"/>
  <c r="R2171" i="11"/>
  <c r="Q2171" i="11"/>
  <c r="P2171" i="11"/>
  <c r="O2171" i="11"/>
  <c r="R2170" i="11"/>
  <c r="Q2170" i="11"/>
  <c r="P2170" i="11"/>
  <c r="O2170" i="11"/>
  <c r="R2169" i="11"/>
  <c r="Q2169" i="11"/>
  <c r="P2169" i="11"/>
  <c r="O2169" i="11"/>
  <c r="R2168" i="11"/>
  <c r="Q2168" i="11"/>
  <c r="P2168" i="11"/>
  <c r="O2168" i="11"/>
  <c r="R2167" i="11"/>
  <c r="Q2167" i="11"/>
  <c r="P2167" i="11"/>
  <c r="O2167" i="11"/>
  <c r="R2166" i="11"/>
  <c r="Q2166" i="11"/>
  <c r="P2166" i="11"/>
  <c r="O2166" i="11"/>
  <c r="R2165" i="11"/>
  <c r="Q2165" i="11"/>
  <c r="P2165" i="11"/>
  <c r="O2165" i="11"/>
  <c r="R2164" i="11"/>
  <c r="Q2164" i="11"/>
  <c r="P2164" i="11"/>
  <c r="O2164" i="11"/>
  <c r="R2163" i="11"/>
  <c r="Q2163" i="11"/>
  <c r="P2163" i="11"/>
  <c r="O2163" i="11"/>
  <c r="R2162" i="11"/>
  <c r="Q2162" i="11"/>
  <c r="P2162" i="11"/>
  <c r="O2162" i="11"/>
  <c r="R2161" i="11"/>
  <c r="Q2161" i="11"/>
  <c r="P2161" i="11"/>
  <c r="O2161" i="11"/>
  <c r="R2160" i="11"/>
  <c r="Q2160" i="11"/>
  <c r="P2160" i="11"/>
  <c r="O2160" i="11"/>
  <c r="R2159" i="11"/>
  <c r="Q2159" i="11"/>
  <c r="P2159" i="11"/>
  <c r="O2159" i="11"/>
  <c r="R2158" i="11"/>
  <c r="Q2158" i="11"/>
  <c r="P2158" i="11"/>
  <c r="O2158" i="11"/>
  <c r="R2157" i="11"/>
  <c r="Q2157" i="11"/>
  <c r="P2157" i="11"/>
  <c r="O2157" i="11"/>
  <c r="R2156" i="11"/>
  <c r="Q2156" i="11"/>
  <c r="P2156" i="11"/>
  <c r="O2156" i="11"/>
  <c r="R2155" i="11"/>
  <c r="Q2155" i="11"/>
  <c r="P2155" i="11"/>
  <c r="O2155" i="11"/>
  <c r="R2154" i="11"/>
  <c r="Q2154" i="11"/>
  <c r="P2154" i="11"/>
  <c r="O2154" i="11"/>
  <c r="R2153" i="11"/>
  <c r="Q2153" i="11"/>
  <c r="P2153" i="11"/>
  <c r="O2153" i="11"/>
  <c r="R2152" i="11"/>
  <c r="Q2152" i="11"/>
  <c r="P2152" i="11"/>
  <c r="O2152" i="11"/>
  <c r="R2151" i="11"/>
  <c r="Q2151" i="11"/>
  <c r="P2151" i="11"/>
  <c r="O2151" i="11"/>
  <c r="R2150" i="11"/>
  <c r="Q2150" i="11"/>
  <c r="P2150" i="11"/>
  <c r="O2150" i="11"/>
  <c r="R2149" i="11"/>
  <c r="Q2149" i="11"/>
  <c r="P2149" i="11"/>
  <c r="O2149" i="11"/>
  <c r="R2148" i="11"/>
  <c r="Q2148" i="11"/>
  <c r="P2148" i="11"/>
  <c r="O2148" i="11"/>
  <c r="R2147" i="11"/>
  <c r="Q2147" i="11"/>
  <c r="P2147" i="11"/>
  <c r="O2147" i="11"/>
  <c r="R2146" i="11"/>
  <c r="Q2146" i="11"/>
  <c r="P2146" i="11"/>
  <c r="O2146" i="11"/>
  <c r="R2145" i="11"/>
  <c r="Q2145" i="11"/>
  <c r="P2145" i="11"/>
  <c r="O2145" i="11"/>
  <c r="R2144" i="11"/>
  <c r="Q2144" i="11"/>
  <c r="P2144" i="11"/>
  <c r="O2144" i="11"/>
  <c r="R2143" i="11"/>
  <c r="Q2143" i="11"/>
  <c r="P2143" i="11"/>
  <c r="O2143" i="11"/>
  <c r="R2142" i="11"/>
  <c r="Q2142" i="11"/>
  <c r="P2142" i="11"/>
  <c r="O2142" i="11"/>
  <c r="R2141" i="11"/>
  <c r="Q2141" i="11"/>
  <c r="P2141" i="11"/>
  <c r="O2141" i="11"/>
  <c r="R2140" i="11"/>
  <c r="Q2140" i="11"/>
  <c r="P2140" i="11"/>
  <c r="O2140" i="11"/>
  <c r="R2139" i="11"/>
  <c r="Q2139" i="11"/>
  <c r="P2139" i="11"/>
  <c r="O2139" i="11"/>
  <c r="R2138" i="11"/>
  <c r="Q2138" i="11"/>
  <c r="P2138" i="11"/>
  <c r="O2138" i="11"/>
  <c r="R2137" i="11"/>
  <c r="Q2137" i="11"/>
  <c r="P2137" i="11"/>
  <c r="O2137" i="11"/>
  <c r="R2136" i="11"/>
  <c r="Q2136" i="11"/>
  <c r="P2136" i="11"/>
  <c r="O2136" i="11"/>
  <c r="R2135" i="11"/>
  <c r="Q2135" i="11"/>
  <c r="P2135" i="11"/>
  <c r="O2135" i="11"/>
  <c r="R2134" i="11"/>
  <c r="Q2134" i="11"/>
  <c r="P2134" i="11"/>
  <c r="O2134" i="11"/>
  <c r="R2133" i="11"/>
  <c r="Q2133" i="11"/>
  <c r="P2133" i="11"/>
  <c r="O2133" i="11"/>
  <c r="R2132" i="11"/>
  <c r="Q2132" i="11"/>
  <c r="P2132" i="11"/>
  <c r="O2132" i="11"/>
  <c r="R2131" i="11"/>
  <c r="Q2131" i="11"/>
  <c r="P2131" i="11"/>
  <c r="O2131" i="11"/>
  <c r="R2130" i="11"/>
  <c r="Q2130" i="11"/>
  <c r="P2130" i="11"/>
  <c r="O2130" i="11"/>
  <c r="R2129" i="11"/>
  <c r="Q2129" i="11"/>
  <c r="P2129" i="11"/>
  <c r="O2129" i="11"/>
  <c r="R2128" i="11"/>
  <c r="Q2128" i="11"/>
  <c r="P2128" i="11"/>
  <c r="O2128" i="11"/>
  <c r="R2127" i="11"/>
  <c r="Q2127" i="11"/>
  <c r="P2127" i="11"/>
  <c r="O2127" i="11"/>
  <c r="R2126" i="11"/>
  <c r="Q2126" i="11"/>
  <c r="P2126" i="11"/>
  <c r="O2126" i="11"/>
  <c r="R2125" i="11"/>
  <c r="Q2125" i="11"/>
  <c r="P2125" i="11"/>
  <c r="O2125" i="11"/>
  <c r="R2124" i="11"/>
  <c r="Q2124" i="11"/>
  <c r="P2124" i="11"/>
  <c r="O2124" i="11"/>
  <c r="R2123" i="11"/>
  <c r="Q2123" i="11"/>
  <c r="P2123" i="11"/>
  <c r="O2123" i="11"/>
  <c r="R2122" i="11"/>
  <c r="Q2122" i="11"/>
  <c r="P2122" i="11"/>
  <c r="O2122" i="11"/>
  <c r="R2121" i="11"/>
  <c r="Q2121" i="11"/>
  <c r="P2121" i="11"/>
  <c r="O2121" i="11"/>
  <c r="R2120" i="11"/>
  <c r="Q2120" i="11"/>
  <c r="P2120" i="11"/>
  <c r="O2120" i="11"/>
  <c r="R2119" i="11"/>
  <c r="Q2119" i="11"/>
  <c r="P2119" i="11"/>
  <c r="O2119" i="11"/>
  <c r="R2118" i="11"/>
  <c r="Q2118" i="11"/>
  <c r="P2118" i="11"/>
  <c r="O2118" i="11"/>
  <c r="R2117" i="11"/>
  <c r="Q2117" i="11"/>
  <c r="P2117" i="11"/>
  <c r="O2117" i="11"/>
  <c r="R2116" i="11"/>
  <c r="Q2116" i="11"/>
  <c r="P2116" i="11"/>
  <c r="O2116" i="11"/>
  <c r="R2115" i="11"/>
  <c r="Q2115" i="11"/>
  <c r="P2115" i="11"/>
  <c r="O2115" i="11"/>
  <c r="R2114" i="11"/>
  <c r="Q2114" i="11"/>
  <c r="P2114" i="11"/>
  <c r="O2114" i="11"/>
  <c r="R2113" i="11"/>
  <c r="Q2113" i="11"/>
  <c r="P2113" i="11"/>
  <c r="O2113" i="11"/>
  <c r="R2112" i="11"/>
  <c r="Q2112" i="11"/>
  <c r="P2112" i="11"/>
  <c r="O2112" i="11"/>
  <c r="R2111" i="11"/>
  <c r="Q2111" i="11"/>
  <c r="P2111" i="11"/>
  <c r="O2111" i="11"/>
  <c r="R2110" i="11"/>
  <c r="Q2110" i="11"/>
  <c r="P2110" i="11"/>
  <c r="O2110" i="11"/>
  <c r="R2109" i="11"/>
  <c r="Q2109" i="11"/>
  <c r="P2109" i="11"/>
  <c r="O2109" i="11"/>
  <c r="R2108" i="11"/>
  <c r="Q2108" i="11"/>
  <c r="P2108" i="11"/>
  <c r="O2108" i="11"/>
  <c r="R2107" i="11"/>
  <c r="Q2107" i="11"/>
  <c r="P2107" i="11"/>
  <c r="O2107" i="11"/>
  <c r="R2106" i="11"/>
  <c r="Q2106" i="11"/>
  <c r="P2106" i="11"/>
  <c r="O2106" i="11"/>
  <c r="R2105" i="11"/>
  <c r="Q2105" i="11"/>
  <c r="P2105" i="11"/>
  <c r="O2105" i="11"/>
  <c r="R2104" i="11"/>
  <c r="Q2104" i="11"/>
  <c r="P2104" i="11"/>
  <c r="O2104" i="11"/>
  <c r="R2103" i="11"/>
  <c r="Q2103" i="11"/>
  <c r="P2103" i="11"/>
  <c r="O2103" i="11"/>
  <c r="R2102" i="11"/>
  <c r="Q2102" i="11"/>
  <c r="P2102" i="11"/>
  <c r="O2102" i="11"/>
  <c r="R2101" i="11"/>
  <c r="Q2101" i="11"/>
  <c r="P2101" i="11"/>
  <c r="O2101" i="11"/>
  <c r="R2100" i="11"/>
  <c r="Q2100" i="11"/>
  <c r="P2100" i="11"/>
  <c r="O2100" i="11"/>
  <c r="R2099" i="11"/>
  <c r="Q2099" i="11"/>
  <c r="P2099" i="11"/>
  <c r="O2099" i="11"/>
  <c r="R2098" i="11"/>
  <c r="Q2098" i="11"/>
  <c r="P2098" i="11"/>
  <c r="O2098" i="11"/>
  <c r="R2097" i="11"/>
  <c r="Q2097" i="11"/>
  <c r="P2097" i="11"/>
  <c r="O2097" i="11"/>
  <c r="R2096" i="11"/>
  <c r="Q2096" i="11"/>
  <c r="P2096" i="11"/>
  <c r="O2096" i="11"/>
  <c r="R2095" i="11"/>
  <c r="Q2095" i="11"/>
  <c r="P2095" i="11"/>
  <c r="O2095" i="11"/>
  <c r="R2094" i="11"/>
  <c r="Q2094" i="11"/>
  <c r="P2094" i="11"/>
  <c r="O2094" i="11"/>
  <c r="R2093" i="11"/>
  <c r="Q2093" i="11"/>
  <c r="P2093" i="11"/>
  <c r="O2093" i="11"/>
  <c r="R2092" i="11"/>
  <c r="Q2092" i="11"/>
  <c r="P2092" i="11"/>
  <c r="O2092" i="11"/>
  <c r="R2091" i="11"/>
  <c r="Q2091" i="11"/>
  <c r="P2091" i="11"/>
  <c r="O2091" i="11"/>
  <c r="R2090" i="11"/>
  <c r="Q2090" i="11"/>
  <c r="P2090" i="11"/>
  <c r="O2090" i="11"/>
  <c r="R2089" i="11"/>
  <c r="Q2089" i="11"/>
  <c r="P2089" i="11"/>
  <c r="O2089" i="11"/>
  <c r="R2088" i="11"/>
  <c r="Q2088" i="11"/>
  <c r="P2088" i="11"/>
  <c r="O2088" i="11"/>
  <c r="R2087" i="11"/>
  <c r="Q2087" i="11"/>
  <c r="P2087" i="11"/>
  <c r="O2087" i="11"/>
  <c r="R2086" i="11"/>
  <c r="Q2086" i="11"/>
  <c r="P2086" i="11"/>
  <c r="O2086" i="11"/>
  <c r="R2085" i="11"/>
  <c r="Q2085" i="11"/>
  <c r="P2085" i="11"/>
  <c r="O2085" i="11"/>
  <c r="R2084" i="11"/>
  <c r="Q2084" i="11"/>
  <c r="P2084" i="11"/>
  <c r="O2084" i="11"/>
  <c r="R2083" i="11"/>
  <c r="Q2083" i="11"/>
  <c r="P2083" i="11"/>
  <c r="O2083" i="11"/>
  <c r="R2082" i="11"/>
  <c r="Q2082" i="11"/>
  <c r="P2082" i="11"/>
  <c r="O2082" i="11"/>
  <c r="R2081" i="11"/>
  <c r="Q2081" i="11"/>
  <c r="P2081" i="11"/>
  <c r="O2081" i="11"/>
  <c r="R2080" i="11"/>
  <c r="Q2080" i="11"/>
  <c r="P2080" i="11"/>
  <c r="O2080" i="11"/>
  <c r="R2079" i="11"/>
  <c r="Q2079" i="11"/>
  <c r="P2079" i="11"/>
  <c r="O2079" i="11"/>
  <c r="R2078" i="11"/>
  <c r="Q2078" i="11"/>
  <c r="P2078" i="11"/>
  <c r="O2078" i="11"/>
  <c r="R2077" i="11"/>
  <c r="Q2077" i="11"/>
  <c r="P2077" i="11"/>
  <c r="O2077" i="11"/>
  <c r="R2076" i="11"/>
  <c r="Q2076" i="11"/>
  <c r="P2076" i="11"/>
  <c r="O2076" i="11"/>
  <c r="R2075" i="11"/>
  <c r="Q2075" i="11"/>
  <c r="P2075" i="11"/>
  <c r="O2075" i="11"/>
  <c r="R2074" i="11"/>
  <c r="Q2074" i="11"/>
  <c r="P2074" i="11"/>
  <c r="O2074" i="11"/>
  <c r="R2073" i="11"/>
  <c r="Q2073" i="11"/>
  <c r="P2073" i="11"/>
  <c r="O2073" i="11"/>
  <c r="R2072" i="11"/>
  <c r="Q2072" i="11"/>
  <c r="P2072" i="11"/>
  <c r="O2072" i="11"/>
  <c r="R2071" i="11"/>
  <c r="Q2071" i="11"/>
  <c r="P2071" i="11"/>
  <c r="O2071" i="11"/>
  <c r="R2070" i="11"/>
  <c r="Q2070" i="11"/>
  <c r="P2070" i="11"/>
  <c r="O2070" i="11"/>
  <c r="R2069" i="11"/>
  <c r="Q2069" i="11"/>
  <c r="P2069" i="11"/>
  <c r="O2069" i="11"/>
  <c r="R2068" i="11"/>
  <c r="Q2068" i="11"/>
  <c r="P2068" i="11"/>
  <c r="O2068" i="11"/>
  <c r="R2067" i="11"/>
  <c r="Q2067" i="11"/>
  <c r="P2067" i="11"/>
  <c r="O2067" i="11"/>
  <c r="R2066" i="11"/>
  <c r="Q2066" i="11"/>
  <c r="P2066" i="11"/>
  <c r="O2066" i="11"/>
  <c r="R2065" i="11"/>
  <c r="Q2065" i="11"/>
  <c r="P2065" i="11"/>
  <c r="O2065" i="11"/>
  <c r="R2064" i="11"/>
  <c r="Q2064" i="11"/>
  <c r="P2064" i="11"/>
  <c r="O2064" i="11"/>
  <c r="R2063" i="11"/>
  <c r="Q2063" i="11"/>
  <c r="P2063" i="11"/>
  <c r="O2063" i="11"/>
  <c r="R2062" i="11"/>
  <c r="Q2062" i="11"/>
  <c r="P2062" i="11"/>
  <c r="O2062" i="11"/>
  <c r="R2061" i="11"/>
  <c r="Q2061" i="11"/>
  <c r="P2061" i="11"/>
  <c r="O2061" i="11"/>
  <c r="R2060" i="11"/>
  <c r="Q2060" i="11"/>
  <c r="P2060" i="11"/>
  <c r="O2060" i="11"/>
  <c r="R2059" i="11"/>
  <c r="Q2059" i="11"/>
  <c r="P2059" i="11"/>
  <c r="O2059" i="11"/>
  <c r="R2058" i="11"/>
  <c r="Q2058" i="11"/>
  <c r="P2058" i="11"/>
  <c r="O2058" i="11"/>
  <c r="R2057" i="11"/>
  <c r="Q2057" i="11"/>
  <c r="P2057" i="11"/>
  <c r="O2057" i="11"/>
  <c r="R2056" i="11"/>
  <c r="Q2056" i="11"/>
  <c r="P2056" i="11"/>
  <c r="O2056" i="11"/>
  <c r="R2055" i="11"/>
  <c r="Q2055" i="11"/>
  <c r="P2055" i="11"/>
  <c r="O2055" i="11"/>
  <c r="R2054" i="11"/>
  <c r="Q2054" i="11"/>
  <c r="P2054" i="11"/>
  <c r="O2054" i="11"/>
  <c r="R2053" i="11"/>
  <c r="Q2053" i="11"/>
  <c r="P2053" i="11"/>
  <c r="O2053" i="11"/>
  <c r="R2052" i="11"/>
  <c r="Q2052" i="11"/>
  <c r="P2052" i="11"/>
  <c r="O2052" i="11"/>
  <c r="R2051" i="11"/>
  <c r="Q2051" i="11"/>
  <c r="P2051" i="11"/>
  <c r="O2051" i="11"/>
  <c r="R2050" i="11"/>
  <c r="Q2050" i="11"/>
  <c r="P2050" i="11"/>
  <c r="O2050" i="11"/>
  <c r="R2049" i="11"/>
  <c r="Q2049" i="11"/>
  <c r="P2049" i="11"/>
  <c r="O2049" i="11"/>
  <c r="R2048" i="11"/>
  <c r="Q2048" i="11"/>
  <c r="P2048" i="11"/>
  <c r="O2048" i="11"/>
  <c r="R2047" i="11"/>
  <c r="Q2047" i="11"/>
  <c r="P2047" i="11"/>
  <c r="O2047" i="11"/>
  <c r="R2046" i="11"/>
  <c r="Q2046" i="11"/>
  <c r="P2046" i="11"/>
  <c r="O2046" i="11"/>
  <c r="R2045" i="11"/>
  <c r="Q2045" i="11"/>
  <c r="P2045" i="11"/>
  <c r="O2045" i="11"/>
  <c r="R2044" i="11"/>
  <c r="Q2044" i="11"/>
  <c r="P2044" i="11"/>
  <c r="O2044" i="11"/>
  <c r="R2043" i="11"/>
  <c r="Q2043" i="11"/>
  <c r="P2043" i="11"/>
  <c r="O2043" i="11"/>
  <c r="R2042" i="11"/>
  <c r="Q2042" i="11"/>
  <c r="P2042" i="11"/>
  <c r="O2042" i="11"/>
  <c r="R2041" i="11"/>
  <c r="Q2041" i="11"/>
  <c r="P2041" i="11"/>
  <c r="O2041" i="11"/>
  <c r="R2040" i="11"/>
  <c r="Q2040" i="11"/>
  <c r="P2040" i="11"/>
  <c r="O2040" i="11"/>
  <c r="R2039" i="11"/>
  <c r="Q2039" i="11"/>
  <c r="P2039" i="11"/>
  <c r="O2039" i="11"/>
  <c r="R2038" i="11"/>
  <c r="Q2038" i="11"/>
  <c r="P2038" i="11"/>
  <c r="O2038" i="11"/>
  <c r="R2037" i="11"/>
  <c r="Q2037" i="11"/>
  <c r="P2037" i="11"/>
  <c r="O2037" i="11"/>
  <c r="R2036" i="11"/>
  <c r="Q2036" i="11"/>
  <c r="P2036" i="11"/>
  <c r="O2036" i="11"/>
  <c r="R2035" i="11"/>
  <c r="Q2035" i="11"/>
  <c r="P2035" i="11"/>
  <c r="O2035" i="11"/>
  <c r="R2034" i="11"/>
  <c r="Q2034" i="11"/>
  <c r="P2034" i="11"/>
  <c r="O2034" i="11"/>
  <c r="R2033" i="11"/>
  <c r="Q2033" i="11"/>
  <c r="P2033" i="11"/>
  <c r="O2033" i="11"/>
  <c r="R2032" i="11"/>
  <c r="Q2032" i="11"/>
  <c r="P2032" i="11"/>
  <c r="O2032" i="11"/>
  <c r="R2031" i="11"/>
  <c r="Q2031" i="11"/>
  <c r="P2031" i="11"/>
  <c r="O2031" i="11"/>
  <c r="R2030" i="11"/>
  <c r="Q2030" i="11"/>
  <c r="P2030" i="11"/>
  <c r="O2030" i="11"/>
  <c r="R2029" i="11"/>
  <c r="Q2029" i="11"/>
  <c r="P2029" i="11"/>
  <c r="O2029" i="11"/>
  <c r="R2028" i="11"/>
  <c r="Q2028" i="11"/>
  <c r="P2028" i="11"/>
  <c r="O2028" i="11"/>
  <c r="R2027" i="11"/>
  <c r="Q2027" i="11"/>
  <c r="P2027" i="11"/>
  <c r="O2027" i="11"/>
  <c r="R2026" i="11"/>
  <c r="Q2026" i="11"/>
  <c r="P2026" i="11"/>
  <c r="O2026" i="11"/>
  <c r="R2025" i="11"/>
  <c r="Q2025" i="11"/>
  <c r="P2025" i="11"/>
  <c r="O2025" i="11"/>
  <c r="R2024" i="11"/>
  <c r="Q2024" i="11"/>
  <c r="P2024" i="11"/>
  <c r="O2024" i="11"/>
  <c r="R2023" i="11"/>
  <c r="Q2023" i="11"/>
  <c r="P2023" i="11"/>
  <c r="O2023" i="11"/>
  <c r="R2022" i="11"/>
  <c r="Q2022" i="11"/>
  <c r="P2022" i="11"/>
  <c r="O2022" i="11"/>
  <c r="R2021" i="11"/>
  <c r="Q2021" i="11"/>
  <c r="P2021" i="11"/>
  <c r="O2021" i="11"/>
  <c r="R2020" i="11"/>
  <c r="Q2020" i="11"/>
  <c r="P2020" i="11"/>
  <c r="O2020" i="11"/>
  <c r="R2019" i="11"/>
  <c r="Q2019" i="11"/>
  <c r="P2019" i="11"/>
  <c r="O2019" i="11"/>
  <c r="R2018" i="11"/>
  <c r="Q2018" i="11"/>
  <c r="P2018" i="11"/>
  <c r="O2018" i="11"/>
  <c r="R2017" i="11"/>
  <c r="Q2017" i="11"/>
  <c r="P2017" i="11"/>
  <c r="O2017" i="11"/>
  <c r="R2016" i="11"/>
  <c r="Q2016" i="11"/>
  <c r="P2016" i="11"/>
  <c r="O2016" i="11"/>
  <c r="R2015" i="11"/>
  <c r="Q2015" i="11"/>
  <c r="P2015" i="11"/>
  <c r="O2015" i="11"/>
  <c r="R2014" i="11"/>
  <c r="Q2014" i="11"/>
  <c r="P2014" i="11"/>
  <c r="O2014" i="11"/>
  <c r="R2013" i="11"/>
  <c r="Q2013" i="11"/>
  <c r="P2013" i="11"/>
  <c r="O2013" i="11"/>
  <c r="R2012" i="11"/>
  <c r="Q2012" i="11"/>
  <c r="P2012" i="11"/>
  <c r="O2012" i="11"/>
  <c r="R2011" i="11"/>
  <c r="Q2011" i="11"/>
  <c r="P2011" i="11"/>
  <c r="O2011" i="11"/>
  <c r="R2010" i="11"/>
  <c r="Q2010" i="11"/>
  <c r="P2010" i="11"/>
  <c r="O2010" i="11"/>
  <c r="R2009" i="11"/>
  <c r="Q2009" i="11"/>
  <c r="P2009" i="11"/>
  <c r="O2009" i="11"/>
  <c r="R2008" i="11"/>
  <c r="Q2008" i="11"/>
  <c r="P2008" i="11"/>
  <c r="O2008" i="11"/>
  <c r="R2007" i="11"/>
  <c r="Q2007" i="11"/>
  <c r="P2007" i="11"/>
  <c r="O2007" i="11"/>
  <c r="R2006" i="11"/>
  <c r="Q2006" i="11"/>
  <c r="P2006" i="11"/>
  <c r="O2006" i="11"/>
  <c r="R2005" i="11"/>
  <c r="Q2005" i="11"/>
  <c r="P2005" i="11"/>
  <c r="O2005" i="11"/>
  <c r="R2004" i="11"/>
  <c r="Q2004" i="11"/>
  <c r="P2004" i="11"/>
  <c r="O2004" i="11"/>
  <c r="R2003" i="11"/>
  <c r="Q2003" i="11"/>
  <c r="P2003" i="11"/>
  <c r="O2003" i="11"/>
  <c r="R2002" i="11"/>
  <c r="Q2002" i="11"/>
  <c r="P2002" i="11"/>
  <c r="O2002" i="11"/>
  <c r="R2001" i="11"/>
  <c r="Q2001" i="11"/>
  <c r="P2001" i="11"/>
  <c r="O2001" i="11"/>
  <c r="R2000" i="11"/>
  <c r="Q2000" i="11"/>
  <c r="P2000" i="11"/>
  <c r="O2000" i="11"/>
  <c r="R1999" i="11"/>
  <c r="Q1999" i="11"/>
  <c r="P1999" i="11"/>
  <c r="O1999" i="11"/>
  <c r="R1998" i="11"/>
  <c r="Q1998" i="11"/>
  <c r="P1998" i="11"/>
  <c r="O1998" i="11"/>
  <c r="R1997" i="11"/>
  <c r="Q1997" i="11"/>
  <c r="P1997" i="11"/>
  <c r="O1997" i="11"/>
  <c r="R1996" i="11"/>
  <c r="Q1996" i="11"/>
  <c r="P1996" i="11"/>
  <c r="O1996" i="11"/>
  <c r="R1995" i="11"/>
  <c r="Q1995" i="11"/>
  <c r="P1995" i="11"/>
  <c r="O1995" i="11"/>
  <c r="R1994" i="11"/>
  <c r="Q1994" i="11"/>
  <c r="P1994" i="11"/>
  <c r="O1994" i="11"/>
  <c r="R1993" i="11"/>
  <c r="Q1993" i="11"/>
  <c r="P1993" i="11"/>
  <c r="O1993" i="11"/>
  <c r="R1992" i="11"/>
  <c r="Q1992" i="11"/>
  <c r="P1992" i="11"/>
  <c r="O1992" i="11"/>
  <c r="R1991" i="11"/>
  <c r="Q1991" i="11"/>
  <c r="P1991" i="11"/>
  <c r="O1991" i="11"/>
  <c r="R1990" i="11"/>
  <c r="Q1990" i="11"/>
  <c r="P1990" i="11"/>
  <c r="O1990" i="11"/>
  <c r="R1989" i="11"/>
  <c r="Q1989" i="11"/>
  <c r="P1989" i="11"/>
  <c r="O1989" i="11"/>
  <c r="R1988" i="11"/>
  <c r="Q1988" i="11"/>
  <c r="P1988" i="11"/>
  <c r="O1988" i="11"/>
  <c r="R1987" i="11"/>
  <c r="Q1987" i="11"/>
  <c r="P1987" i="11"/>
  <c r="O1987" i="11"/>
  <c r="R1986" i="11"/>
  <c r="Q1986" i="11"/>
  <c r="P1986" i="11"/>
  <c r="O1986" i="11"/>
  <c r="R1985" i="11"/>
  <c r="Q1985" i="11"/>
  <c r="P1985" i="11"/>
  <c r="O1985" i="11"/>
  <c r="R1984" i="11"/>
  <c r="Q1984" i="11"/>
  <c r="P1984" i="11"/>
  <c r="O1984" i="11"/>
  <c r="R1983" i="11"/>
  <c r="Q1983" i="11"/>
  <c r="P1983" i="11"/>
  <c r="O1983" i="11"/>
  <c r="R1982" i="11"/>
  <c r="Q1982" i="11"/>
  <c r="P1982" i="11"/>
  <c r="O1982" i="11"/>
  <c r="R1981" i="11"/>
  <c r="Q1981" i="11"/>
  <c r="P1981" i="11"/>
  <c r="O1981" i="11"/>
  <c r="R1980" i="11"/>
  <c r="Q1980" i="11"/>
  <c r="P1980" i="11"/>
  <c r="O1980" i="11"/>
  <c r="R1979" i="11"/>
  <c r="Q1979" i="11"/>
  <c r="P1979" i="11"/>
  <c r="O1979" i="11"/>
  <c r="R1978" i="11"/>
  <c r="Q1978" i="11"/>
  <c r="P1978" i="11"/>
  <c r="O1978" i="11"/>
  <c r="R1977" i="11"/>
  <c r="Q1977" i="11"/>
  <c r="P1977" i="11"/>
  <c r="O1977" i="11"/>
  <c r="R1976" i="11"/>
  <c r="Q1976" i="11"/>
  <c r="P1976" i="11"/>
  <c r="O1976" i="11"/>
  <c r="R1975" i="11"/>
  <c r="Q1975" i="11"/>
  <c r="P1975" i="11"/>
  <c r="O1975" i="11"/>
  <c r="R1974" i="11"/>
  <c r="Q1974" i="11"/>
  <c r="P1974" i="11"/>
  <c r="O1974" i="11"/>
  <c r="R1973" i="11"/>
  <c r="Q1973" i="11"/>
  <c r="P1973" i="11"/>
  <c r="O1973" i="11"/>
  <c r="R1972" i="11"/>
  <c r="Q1972" i="11"/>
  <c r="P1972" i="11"/>
  <c r="O1972" i="11"/>
  <c r="R1971" i="11"/>
  <c r="Q1971" i="11"/>
  <c r="P1971" i="11"/>
  <c r="O1971" i="11"/>
  <c r="R1970" i="11"/>
  <c r="Q1970" i="11"/>
  <c r="P1970" i="11"/>
  <c r="O1970" i="11"/>
  <c r="R1969" i="11"/>
  <c r="Q1969" i="11"/>
  <c r="P1969" i="11"/>
  <c r="O1969" i="11"/>
  <c r="R1968" i="11"/>
  <c r="Q1968" i="11"/>
  <c r="P1968" i="11"/>
  <c r="O1968" i="11"/>
  <c r="R1967" i="11"/>
  <c r="Q1967" i="11"/>
  <c r="P1967" i="11"/>
  <c r="O1967" i="11"/>
  <c r="R1966" i="11"/>
  <c r="Q1966" i="11"/>
  <c r="P1966" i="11"/>
  <c r="O1966" i="11"/>
  <c r="R1965" i="11"/>
  <c r="Q1965" i="11"/>
  <c r="P1965" i="11"/>
  <c r="O1965" i="11"/>
  <c r="R1964" i="11"/>
  <c r="Q1964" i="11"/>
  <c r="P1964" i="11"/>
  <c r="O1964" i="11"/>
  <c r="R1963" i="11"/>
  <c r="Q1963" i="11"/>
  <c r="P1963" i="11"/>
  <c r="O1963" i="11"/>
  <c r="R1962" i="11"/>
  <c r="Q1962" i="11"/>
  <c r="P1962" i="11"/>
  <c r="O1962" i="11"/>
  <c r="R1961" i="11"/>
  <c r="Q1961" i="11"/>
  <c r="P1961" i="11"/>
  <c r="O1961" i="11"/>
  <c r="R1960" i="11"/>
  <c r="Q1960" i="11"/>
  <c r="P1960" i="11"/>
  <c r="O1960" i="11"/>
  <c r="R1959" i="11"/>
  <c r="Q1959" i="11"/>
  <c r="P1959" i="11"/>
  <c r="O1959" i="11"/>
  <c r="R1958" i="11"/>
  <c r="Q1958" i="11"/>
  <c r="P1958" i="11"/>
  <c r="O1958" i="11"/>
  <c r="R1957" i="11"/>
  <c r="Q1957" i="11"/>
  <c r="P1957" i="11"/>
  <c r="O1957" i="11"/>
  <c r="R1956" i="11"/>
  <c r="Q1956" i="11"/>
  <c r="P1956" i="11"/>
  <c r="O1956" i="11"/>
  <c r="R1955" i="11"/>
  <c r="Q1955" i="11"/>
  <c r="P1955" i="11"/>
  <c r="O1955" i="11"/>
  <c r="R1954" i="11"/>
  <c r="Q1954" i="11"/>
  <c r="P1954" i="11"/>
  <c r="O1954" i="11"/>
  <c r="R1953" i="11"/>
  <c r="Q1953" i="11"/>
  <c r="P1953" i="11"/>
  <c r="O1953" i="11"/>
  <c r="R1952" i="11"/>
  <c r="Q1952" i="11"/>
  <c r="P1952" i="11"/>
  <c r="O1952" i="11"/>
  <c r="R1951" i="11"/>
  <c r="Q1951" i="11"/>
  <c r="P1951" i="11"/>
  <c r="O1951" i="11"/>
  <c r="R1950" i="11"/>
  <c r="Q1950" i="11"/>
  <c r="P1950" i="11"/>
  <c r="O1950" i="11"/>
  <c r="R1949" i="11"/>
  <c r="Q1949" i="11"/>
  <c r="P1949" i="11"/>
  <c r="O1949" i="11"/>
  <c r="R1948" i="11"/>
  <c r="Q1948" i="11"/>
  <c r="P1948" i="11"/>
  <c r="O1948" i="11"/>
  <c r="R1947" i="11"/>
  <c r="Q1947" i="11"/>
  <c r="P1947" i="11"/>
  <c r="O1947" i="11"/>
  <c r="R1946" i="11"/>
  <c r="Q1946" i="11"/>
  <c r="P1946" i="11"/>
  <c r="O1946" i="11"/>
  <c r="R1945" i="11"/>
  <c r="Q1945" i="11"/>
  <c r="P1945" i="11"/>
  <c r="O1945" i="11"/>
  <c r="R1944" i="11"/>
  <c r="Q1944" i="11"/>
  <c r="P1944" i="11"/>
  <c r="O1944" i="11"/>
  <c r="R1943" i="11"/>
  <c r="Q1943" i="11"/>
  <c r="P1943" i="11"/>
  <c r="O1943" i="11"/>
  <c r="R1942" i="11"/>
  <c r="Q1942" i="11"/>
  <c r="P1942" i="11"/>
  <c r="O1942" i="11"/>
  <c r="R1941" i="11"/>
  <c r="Q1941" i="11"/>
  <c r="P1941" i="11"/>
  <c r="O1941" i="11"/>
  <c r="R1940" i="11"/>
  <c r="Q1940" i="11"/>
  <c r="P1940" i="11"/>
  <c r="O1940" i="11"/>
  <c r="R1939" i="11"/>
  <c r="Q1939" i="11"/>
  <c r="P1939" i="11"/>
  <c r="O1939" i="11"/>
  <c r="R1938" i="11"/>
  <c r="Q1938" i="11"/>
  <c r="P1938" i="11"/>
  <c r="O1938" i="11"/>
  <c r="R1937" i="11"/>
  <c r="Q1937" i="11"/>
  <c r="P1937" i="11"/>
  <c r="O1937" i="11"/>
  <c r="R1936" i="11"/>
  <c r="Q1936" i="11"/>
  <c r="P1936" i="11"/>
  <c r="O1936" i="11"/>
  <c r="R1935" i="11"/>
  <c r="Q1935" i="11"/>
  <c r="P1935" i="11"/>
  <c r="O1935" i="11"/>
  <c r="R1934" i="11"/>
  <c r="Q1934" i="11"/>
  <c r="P1934" i="11"/>
  <c r="O1934" i="11"/>
  <c r="R1933" i="11"/>
  <c r="Q1933" i="11"/>
  <c r="P1933" i="11"/>
  <c r="O1933" i="11"/>
  <c r="R1932" i="11"/>
  <c r="Q1932" i="11"/>
  <c r="P1932" i="11"/>
  <c r="O1932" i="11"/>
  <c r="R1931" i="11"/>
  <c r="Q1931" i="11"/>
  <c r="P1931" i="11"/>
  <c r="O1931" i="11"/>
  <c r="R1930" i="11"/>
  <c r="Q1930" i="11"/>
  <c r="P1930" i="11"/>
  <c r="O1930" i="11"/>
  <c r="R1929" i="11"/>
  <c r="Q1929" i="11"/>
  <c r="P1929" i="11"/>
  <c r="O1929" i="11"/>
  <c r="R1928" i="11"/>
  <c r="Q1928" i="11"/>
  <c r="P1928" i="11"/>
  <c r="O1928" i="11"/>
  <c r="R1927" i="11"/>
  <c r="Q1927" i="11"/>
  <c r="P1927" i="11"/>
  <c r="O1927" i="11"/>
  <c r="R1926" i="11"/>
  <c r="Q1926" i="11"/>
  <c r="P1926" i="11"/>
  <c r="O1926" i="11"/>
  <c r="R1925" i="11"/>
  <c r="Q1925" i="11"/>
  <c r="P1925" i="11"/>
  <c r="O1925" i="11"/>
  <c r="R1924" i="11"/>
  <c r="Q1924" i="11"/>
  <c r="P1924" i="11"/>
  <c r="O1924" i="11"/>
  <c r="R1923" i="11"/>
  <c r="Q1923" i="11"/>
  <c r="P1923" i="11"/>
  <c r="O1923" i="11"/>
  <c r="R1922" i="11"/>
  <c r="Q1922" i="11"/>
  <c r="P1922" i="11"/>
  <c r="O1922" i="11"/>
  <c r="R1921" i="11"/>
  <c r="Q1921" i="11"/>
  <c r="P1921" i="11"/>
  <c r="O1921" i="11"/>
  <c r="R1920" i="11"/>
  <c r="Q1920" i="11"/>
  <c r="P1920" i="11"/>
  <c r="O1920" i="11"/>
  <c r="R1919" i="11"/>
  <c r="Q1919" i="11"/>
  <c r="P1919" i="11"/>
  <c r="O1919" i="11"/>
  <c r="R1918" i="11"/>
  <c r="Q1918" i="11"/>
  <c r="P1918" i="11"/>
  <c r="O1918" i="11"/>
  <c r="R1917" i="11"/>
  <c r="Q1917" i="11"/>
  <c r="P1917" i="11"/>
  <c r="O1917" i="11"/>
  <c r="R1916" i="11"/>
  <c r="Q1916" i="11"/>
  <c r="P1916" i="11"/>
  <c r="O1916" i="11"/>
  <c r="R1915" i="11"/>
  <c r="Q1915" i="11"/>
  <c r="P1915" i="11"/>
  <c r="O1915" i="11"/>
  <c r="R1914" i="11"/>
  <c r="Q1914" i="11"/>
  <c r="P1914" i="11"/>
  <c r="O1914" i="11"/>
  <c r="R1913" i="11"/>
  <c r="Q1913" i="11"/>
  <c r="P1913" i="11"/>
  <c r="O1913" i="11"/>
  <c r="R1912" i="11"/>
  <c r="Q1912" i="11"/>
  <c r="P1912" i="11"/>
  <c r="O1912" i="11"/>
  <c r="R1911" i="11"/>
  <c r="Q1911" i="11"/>
  <c r="P1911" i="11"/>
  <c r="O1911" i="11"/>
  <c r="R1910" i="11"/>
  <c r="Q1910" i="11"/>
  <c r="P1910" i="11"/>
  <c r="O1910" i="11"/>
  <c r="R1909" i="11"/>
  <c r="Q1909" i="11"/>
  <c r="P1909" i="11"/>
  <c r="O1909" i="11"/>
  <c r="R1908" i="11"/>
  <c r="Q1908" i="11"/>
  <c r="P1908" i="11"/>
  <c r="O1908" i="11"/>
  <c r="R1907" i="11"/>
  <c r="Q1907" i="11"/>
  <c r="P1907" i="11"/>
  <c r="O1907" i="11"/>
  <c r="R1906" i="11"/>
  <c r="Q1906" i="11"/>
  <c r="P1906" i="11"/>
  <c r="O1906" i="11"/>
  <c r="R1905" i="11"/>
  <c r="Q1905" i="11"/>
  <c r="P1905" i="11"/>
  <c r="O1905" i="11"/>
  <c r="R1904" i="11"/>
  <c r="Q1904" i="11"/>
  <c r="P1904" i="11"/>
  <c r="O1904" i="11"/>
  <c r="R1903" i="11"/>
  <c r="Q1903" i="11"/>
  <c r="P1903" i="11"/>
  <c r="O1903" i="11"/>
  <c r="R1902" i="11"/>
  <c r="Q1902" i="11"/>
  <c r="P1902" i="11"/>
  <c r="O1902" i="11"/>
  <c r="R1901" i="11"/>
  <c r="Q1901" i="11"/>
  <c r="P1901" i="11"/>
  <c r="O1901" i="11"/>
  <c r="R1900" i="11"/>
  <c r="Q1900" i="11"/>
  <c r="P1900" i="11"/>
  <c r="O1900" i="11"/>
  <c r="R1899" i="11"/>
  <c r="Q1899" i="11"/>
  <c r="P1899" i="11"/>
  <c r="O1899" i="11"/>
  <c r="R1898" i="11"/>
  <c r="Q1898" i="11"/>
  <c r="P1898" i="11"/>
  <c r="O1898" i="11"/>
  <c r="R1897" i="11"/>
  <c r="Q1897" i="11"/>
  <c r="P1897" i="11"/>
  <c r="O1897" i="11"/>
  <c r="R1896" i="11"/>
  <c r="Q1896" i="11"/>
  <c r="P1896" i="11"/>
  <c r="O1896" i="11"/>
  <c r="R1895" i="11"/>
  <c r="Q1895" i="11"/>
  <c r="P1895" i="11"/>
  <c r="O1895" i="11"/>
  <c r="R1894" i="11"/>
  <c r="Q1894" i="11"/>
  <c r="P1894" i="11"/>
  <c r="O1894" i="11"/>
  <c r="R1893" i="11"/>
  <c r="Q1893" i="11"/>
  <c r="P1893" i="11"/>
  <c r="O1893" i="11"/>
  <c r="R1892" i="11"/>
  <c r="Q1892" i="11"/>
  <c r="P1892" i="11"/>
  <c r="O1892" i="11"/>
  <c r="R1891" i="11"/>
  <c r="Q1891" i="11"/>
  <c r="P1891" i="11"/>
  <c r="O1891" i="11"/>
  <c r="R1890" i="11"/>
  <c r="Q1890" i="11"/>
  <c r="P1890" i="11"/>
  <c r="O1890" i="11"/>
  <c r="R1889" i="11"/>
  <c r="Q1889" i="11"/>
  <c r="P1889" i="11"/>
  <c r="O1889" i="11"/>
  <c r="R1888" i="11"/>
  <c r="Q1888" i="11"/>
  <c r="P1888" i="11"/>
  <c r="O1888" i="11"/>
  <c r="R1887" i="11"/>
  <c r="Q1887" i="11"/>
  <c r="P1887" i="11"/>
  <c r="O1887" i="11"/>
  <c r="R1886" i="11"/>
  <c r="Q1886" i="11"/>
  <c r="P1886" i="11"/>
  <c r="O1886" i="11"/>
  <c r="R1885" i="11"/>
  <c r="Q1885" i="11"/>
  <c r="P1885" i="11"/>
  <c r="O1885" i="11"/>
  <c r="R1884" i="11"/>
  <c r="Q1884" i="11"/>
  <c r="P1884" i="11"/>
  <c r="O1884" i="11"/>
  <c r="R1883" i="11"/>
  <c r="Q1883" i="11"/>
  <c r="P1883" i="11"/>
  <c r="O1883" i="11"/>
  <c r="R1882" i="11"/>
  <c r="Q1882" i="11"/>
  <c r="P1882" i="11"/>
  <c r="O1882" i="11"/>
  <c r="R1881" i="11"/>
  <c r="Q1881" i="11"/>
  <c r="P1881" i="11"/>
  <c r="O1881" i="11"/>
  <c r="R1880" i="11"/>
  <c r="Q1880" i="11"/>
  <c r="P1880" i="11"/>
  <c r="O1880" i="11"/>
  <c r="R1879" i="11"/>
  <c r="Q1879" i="11"/>
  <c r="P1879" i="11"/>
  <c r="O1879" i="11"/>
  <c r="R1878" i="11"/>
  <c r="Q1878" i="11"/>
  <c r="P1878" i="11"/>
  <c r="O1878" i="11"/>
  <c r="R1877" i="11"/>
  <c r="Q1877" i="11"/>
  <c r="P1877" i="11"/>
  <c r="O1877" i="11"/>
  <c r="R1876" i="11"/>
  <c r="Q1876" i="11"/>
  <c r="P1876" i="11"/>
  <c r="O1876" i="11"/>
  <c r="R1875" i="11"/>
  <c r="Q1875" i="11"/>
  <c r="P1875" i="11"/>
  <c r="O1875" i="11"/>
  <c r="R1874" i="11"/>
  <c r="Q1874" i="11"/>
  <c r="P1874" i="11"/>
  <c r="O1874" i="11"/>
  <c r="R1873" i="11"/>
  <c r="Q1873" i="11"/>
  <c r="P1873" i="11"/>
  <c r="O1873" i="11"/>
  <c r="R1872" i="11"/>
  <c r="Q1872" i="11"/>
  <c r="P1872" i="11"/>
  <c r="O1872" i="11"/>
  <c r="R1871" i="11"/>
  <c r="Q1871" i="11"/>
  <c r="P1871" i="11"/>
  <c r="O1871" i="11"/>
  <c r="R1870" i="11"/>
  <c r="Q1870" i="11"/>
  <c r="P1870" i="11"/>
  <c r="O1870" i="11"/>
  <c r="R1869" i="11"/>
  <c r="Q1869" i="11"/>
  <c r="P1869" i="11"/>
  <c r="O1869" i="11"/>
  <c r="R1868" i="11"/>
  <c r="Q1868" i="11"/>
  <c r="P1868" i="11"/>
  <c r="O1868" i="11"/>
  <c r="R1867" i="11"/>
  <c r="Q1867" i="11"/>
  <c r="P1867" i="11"/>
  <c r="O1867" i="11"/>
  <c r="R1866" i="11"/>
  <c r="Q1866" i="11"/>
  <c r="P1866" i="11"/>
  <c r="O1866" i="11"/>
  <c r="R1865" i="11"/>
  <c r="Q1865" i="11"/>
  <c r="P1865" i="11"/>
  <c r="O1865" i="11"/>
  <c r="R1864" i="11"/>
  <c r="Q1864" i="11"/>
  <c r="P1864" i="11"/>
  <c r="O1864" i="11"/>
  <c r="R1863" i="11"/>
  <c r="Q1863" i="11"/>
  <c r="P1863" i="11"/>
  <c r="O1863" i="11"/>
  <c r="R1862" i="11"/>
  <c r="Q1862" i="11"/>
  <c r="P1862" i="11"/>
  <c r="O1862" i="11"/>
  <c r="R1861" i="11"/>
  <c r="Q1861" i="11"/>
  <c r="P1861" i="11"/>
  <c r="O1861" i="11"/>
  <c r="R1860" i="11"/>
  <c r="Q1860" i="11"/>
  <c r="P1860" i="11"/>
  <c r="O1860" i="11"/>
  <c r="R1859" i="11"/>
  <c r="Q1859" i="11"/>
  <c r="P1859" i="11"/>
  <c r="O1859" i="11"/>
  <c r="R1858" i="11"/>
  <c r="Q1858" i="11"/>
  <c r="P1858" i="11"/>
  <c r="O1858" i="11"/>
  <c r="R1857" i="11"/>
  <c r="Q1857" i="11"/>
  <c r="P1857" i="11"/>
  <c r="O1857" i="11"/>
  <c r="R1856" i="11"/>
  <c r="Q1856" i="11"/>
  <c r="P1856" i="11"/>
  <c r="O1856" i="11"/>
  <c r="R1855" i="11"/>
  <c r="Q1855" i="11"/>
  <c r="P1855" i="11"/>
  <c r="O1855" i="11"/>
  <c r="R1854" i="11"/>
  <c r="Q1854" i="11"/>
  <c r="P1854" i="11"/>
  <c r="O1854" i="11"/>
  <c r="R1853" i="11"/>
  <c r="Q1853" i="11"/>
  <c r="P1853" i="11"/>
  <c r="O1853" i="11"/>
  <c r="R1852" i="11"/>
  <c r="Q1852" i="11"/>
  <c r="P1852" i="11"/>
  <c r="O1852" i="11"/>
  <c r="R1851" i="11"/>
  <c r="Q1851" i="11"/>
  <c r="P1851" i="11"/>
  <c r="O1851" i="11"/>
  <c r="R1850" i="11"/>
  <c r="Q1850" i="11"/>
  <c r="P1850" i="11"/>
  <c r="O1850" i="11"/>
  <c r="R1849" i="11"/>
  <c r="Q1849" i="11"/>
  <c r="P1849" i="11"/>
  <c r="O1849" i="11"/>
  <c r="R1848" i="11"/>
  <c r="Q1848" i="11"/>
  <c r="P1848" i="11"/>
  <c r="O1848" i="11"/>
  <c r="R1847" i="11"/>
  <c r="Q1847" i="11"/>
  <c r="P1847" i="11"/>
  <c r="O1847" i="11"/>
  <c r="R1846" i="11"/>
  <c r="Q1846" i="11"/>
  <c r="P1846" i="11"/>
  <c r="O1846" i="11"/>
  <c r="R1845" i="11"/>
  <c r="Q1845" i="11"/>
  <c r="P1845" i="11"/>
  <c r="O1845" i="11"/>
  <c r="R1844" i="11"/>
  <c r="Q1844" i="11"/>
  <c r="P1844" i="11"/>
  <c r="O1844" i="11"/>
  <c r="R1843" i="11"/>
  <c r="Q1843" i="11"/>
  <c r="P1843" i="11"/>
  <c r="O1843" i="11"/>
  <c r="R1842" i="11"/>
  <c r="Q1842" i="11"/>
  <c r="P1842" i="11"/>
  <c r="O1842" i="11"/>
  <c r="R1841" i="11"/>
  <c r="Q1841" i="11"/>
  <c r="P1841" i="11"/>
  <c r="O1841" i="11"/>
  <c r="R1840" i="11"/>
  <c r="Q1840" i="11"/>
  <c r="P1840" i="11"/>
  <c r="O1840" i="11"/>
  <c r="R1839" i="11"/>
  <c r="Q1839" i="11"/>
  <c r="P1839" i="11"/>
  <c r="O1839" i="11"/>
  <c r="R1838" i="11"/>
  <c r="Q1838" i="11"/>
  <c r="P1838" i="11"/>
  <c r="O1838" i="11"/>
  <c r="R1837" i="11"/>
  <c r="Q1837" i="11"/>
  <c r="P1837" i="11"/>
  <c r="O1837" i="11"/>
  <c r="R1836" i="11"/>
  <c r="Q1836" i="11"/>
  <c r="P1836" i="11"/>
  <c r="O1836" i="11"/>
  <c r="R1835" i="11"/>
  <c r="Q1835" i="11"/>
  <c r="P1835" i="11"/>
  <c r="O1835" i="11"/>
  <c r="R1834" i="11"/>
  <c r="Q1834" i="11"/>
  <c r="P1834" i="11"/>
  <c r="O1834" i="11"/>
  <c r="R1833" i="11"/>
  <c r="Q1833" i="11"/>
  <c r="P1833" i="11"/>
  <c r="O1833" i="11"/>
  <c r="R1832" i="11"/>
  <c r="Q1832" i="11"/>
  <c r="P1832" i="11"/>
  <c r="O1832" i="11"/>
  <c r="R1831" i="11"/>
  <c r="Q1831" i="11"/>
  <c r="P1831" i="11"/>
  <c r="O1831" i="11"/>
  <c r="R1830" i="11"/>
  <c r="Q1830" i="11"/>
  <c r="P1830" i="11"/>
  <c r="O1830" i="11"/>
  <c r="R1829" i="11"/>
  <c r="Q1829" i="11"/>
  <c r="P1829" i="11"/>
  <c r="O1829" i="11"/>
  <c r="R1828" i="11"/>
  <c r="Q1828" i="11"/>
  <c r="P1828" i="11"/>
  <c r="O1828" i="11"/>
  <c r="R1827" i="11"/>
  <c r="Q1827" i="11"/>
  <c r="P1827" i="11"/>
  <c r="O1827" i="11"/>
  <c r="R1826" i="11"/>
  <c r="Q1826" i="11"/>
  <c r="P1826" i="11"/>
  <c r="O1826" i="11"/>
  <c r="R1825" i="11"/>
  <c r="Q1825" i="11"/>
  <c r="P1825" i="11"/>
  <c r="O1825" i="11"/>
  <c r="R1824" i="11"/>
  <c r="Q1824" i="11"/>
  <c r="P1824" i="11"/>
  <c r="O1824" i="11"/>
  <c r="R1823" i="11"/>
  <c r="Q1823" i="11"/>
  <c r="P1823" i="11"/>
  <c r="O1823" i="11"/>
  <c r="R1822" i="11"/>
  <c r="Q1822" i="11"/>
  <c r="P1822" i="11"/>
  <c r="O1822" i="11"/>
  <c r="R1821" i="11"/>
  <c r="Q1821" i="11"/>
  <c r="P1821" i="11"/>
  <c r="O1821" i="11"/>
  <c r="R1820" i="11"/>
  <c r="Q1820" i="11"/>
  <c r="P1820" i="11"/>
  <c r="O1820" i="11"/>
  <c r="R1819" i="11"/>
  <c r="Q1819" i="11"/>
  <c r="P1819" i="11"/>
  <c r="O1819" i="11"/>
  <c r="R1818" i="11"/>
  <c r="Q1818" i="11"/>
  <c r="P1818" i="11"/>
  <c r="O1818" i="11"/>
  <c r="R1817" i="11"/>
  <c r="Q1817" i="11"/>
  <c r="P1817" i="11"/>
  <c r="O1817" i="11"/>
  <c r="R1816" i="11"/>
  <c r="Q1816" i="11"/>
  <c r="P1816" i="11"/>
  <c r="O1816" i="11"/>
  <c r="R1815" i="11"/>
  <c r="Q1815" i="11"/>
  <c r="P1815" i="11"/>
  <c r="O1815" i="11"/>
  <c r="R1814" i="11"/>
  <c r="Q1814" i="11"/>
  <c r="P1814" i="11"/>
  <c r="O1814" i="11"/>
  <c r="R1813" i="11"/>
  <c r="Q1813" i="11"/>
  <c r="P1813" i="11"/>
  <c r="O1813" i="11"/>
  <c r="R1812" i="11"/>
  <c r="Q1812" i="11"/>
  <c r="P1812" i="11"/>
  <c r="O1812" i="11"/>
  <c r="R1811" i="11"/>
  <c r="Q1811" i="11"/>
  <c r="P1811" i="11"/>
  <c r="O1811" i="11"/>
  <c r="R1810" i="11"/>
  <c r="Q1810" i="11"/>
  <c r="P1810" i="11"/>
  <c r="O1810" i="11"/>
  <c r="R1809" i="11"/>
  <c r="Q1809" i="11"/>
  <c r="P1809" i="11"/>
  <c r="O1809" i="11"/>
  <c r="R1808" i="11"/>
  <c r="Q1808" i="11"/>
  <c r="P1808" i="11"/>
  <c r="O1808" i="11"/>
  <c r="R1807" i="11"/>
  <c r="Q1807" i="11"/>
  <c r="P1807" i="11"/>
  <c r="O1807" i="11"/>
  <c r="R1806" i="11"/>
  <c r="Q1806" i="11"/>
  <c r="P1806" i="11"/>
  <c r="O1806" i="11"/>
  <c r="R1805" i="11"/>
  <c r="Q1805" i="11"/>
  <c r="P1805" i="11"/>
  <c r="O1805" i="11"/>
  <c r="R1804" i="11"/>
  <c r="Q1804" i="11"/>
  <c r="P1804" i="11"/>
  <c r="O1804" i="11"/>
  <c r="R1803" i="11"/>
  <c r="Q1803" i="11"/>
  <c r="P1803" i="11"/>
  <c r="O1803" i="11"/>
  <c r="R1802" i="11"/>
  <c r="Q1802" i="11"/>
  <c r="P1802" i="11"/>
  <c r="O1802" i="11"/>
  <c r="R1801" i="11"/>
  <c r="Q1801" i="11"/>
  <c r="P1801" i="11"/>
  <c r="O1801" i="11"/>
  <c r="R1800" i="11"/>
  <c r="Q1800" i="11"/>
  <c r="P1800" i="11"/>
  <c r="O1800" i="11"/>
  <c r="R1799" i="11"/>
  <c r="Q1799" i="11"/>
  <c r="P1799" i="11"/>
  <c r="O1799" i="11"/>
  <c r="R1798" i="11"/>
  <c r="Q1798" i="11"/>
  <c r="P1798" i="11"/>
  <c r="O1798" i="11"/>
  <c r="R1797" i="11"/>
  <c r="Q1797" i="11"/>
  <c r="P1797" i="11"/>
  <c r="O1797" i="11"/>
  <c r="R1796" i="11"/>
  <c r="Q1796" i="11"/>
  <c r="P1796" i="11"/>
  <c r="O1796" i="11"/>
  <c r="R1795" i="11"/>
  <c r="Q1795" i="11"/>
  <c r="P1795" i="11"/>
  <c r="O1795" i="11"/>
  <c r="R1794" i="11"/>
  <c r="Q1794" i="11"/>
  <c r="P1794" i="11"/>
  <c r="O1794" i="11"/>
  <c r="R1793" i="11"/>
  <c r="Q1793" i="11"/>
  <c r="P1793" i="11"/>
  <c r="O1793" i="11"/>
  <c r="R1792" i="11"/>
  <c r="Q1792" i="11"/>
  <c r="P1792" i="11"/>
  <c r="O1792" i="11"/>
  <c r="R1791" i="11"/>
  <c r="Q1791" i="11"/>
  <c r="P1791" i="11"/>
  <c r="O1791" i="11"/>
  <c r="R1790" i="11"/>
  <c r="Q1790" i="11"/>
  <c r="P1790" i="11"/>
  <c r="O1790" i="11"/>
  <c r="R1789" i="11"/>
  <c r="Q1789" i="11"/>
  <c r="P1789" i="11"/>
  <c r="O1789" i="11"/>
  <c r="R1788" i="11"/>
  <c r="Q1788" i="11"/>
  <c r="P1788" i="11"/>
  <c r="O1788" i="11"/>
  <c r="R1787" i="11"/>
  <c r="Q1787" i="11"/>
  <c r="P1787" i="11"/>
  <c r="O1787" i="11"/>
  <c r="R1786" i="11"/>
  <c r="Q1786" i="11"/>
  <c r="P1786" i="11"/>
  <c r="O1786" i="11"/>
  <c r="R1785" i="11"/>
  <c r="Q1785" i="11"/>
  <c r="P1785" i="11"/>
  <c r="O1785" i="11"/>
  <c r="R1784" i="11"/>
  <c r="Q1784" i="11"/>
  <c r="P1784" i="11"/>
  <c r="O1784" i="11"/>
  <c r="R1783" i="11"/>
  <c r="Q1783" i="11"/>
  <c r="P1783" i="11"/>
  <c r="O1783" i="11"/>
  <c r="R1782" i="11"/>
  <c r="Q1782" i="11"/>
  <c r="P1782" i="11"/>
  <c r="O1782" i="11"/>
  <c r="R1781" i="11"/>
  <c r="Q1781" i="11"/>
  <c r="P1781" i="11"/>
  <c r="O1781" i="11"/>
  <c r="R1780" i="11"/>
  <c r="Q1780" i="11"/>
  <c r="P1780" i="11"/>
  <c r="O1780" i="11"/>
  <c r="R1779" i="11"/>
  <c r="Q1779" i="11"/>
  <c r="P1779" i="11"/>
  <c r="O1779" i="11"/>
  <c r="R1778" i="11"/>
  <c r="Q1778" i="11"/>
  <c r="P1778" i="11"/>
  <c r="O1778" i="11"/>
  <c r="R1777" i="11"/>
  <c r="Q1777" i="11"/>
  <c r="P1777" i="11"/>
  <c r="O1777" i="11"/>
  <c r="R1776" i="11"/>
  <c r="Q1776" i="11"/>
  <c r="P1776" i="11"/>
  <c r="O1776" i="11"/>
  <c r="R1775" i="11"/>
  <c r="Q1775" i="11"/>
  <c r="P1775" i="11"/>
  <c r="O1775" i="11"/>
  <c r="R1774" i="11"/>
  <c r="Q1774" i="11"/>
  <c r="P1774" i="11"/>
  <c r="O1774" i="11"/>
  <c r="R1773" i="11"/>
  <c r="Q1773" i="11"/>
  <c r="P1773" i="11"/>
  <c r="O1773" i="11"/>
  <c r="R1772" i="11"/>
  <c r="Q1772" i="11"/>
  <c r="P1772" i="11"/>
  <c r="O1772" i="11"/>
  <c r="R1771" i="11"/>
  <c r="Q1771" i="11"/>
  <c r="P1771" i="11"/>
  <c r="O1771" i="11"/>
  <c r="R1770" i="11"/>
  <c r="Q1770" i="11"/>
  <c r="P1770" i="11"/>
  <c r="O1770" i="11"/>
  <c r="R1769" i="11"/>
  <c r="Q1769" i="11"/>
  <c r="P1769" i="11"/>
  <c r="O1769" i="11"/>
  <c r="R1768" i="11"/>
  <c r="Q1768" i="11"/>
  <c r="P1768" i="11"/>
  <c r="O1768" i="11"/>
  <c r="R1767" i="11"/>
  <c r="Q1767" i="11"/>
  <c r="P1767" i="11"/>
  <c r="O1767" i="11"/>
  <c r="R1766" i="11"/>
  <c r="Q1766" i="11"/>
  <c r="P1766" i="11"/>
  <c r="O1766" i="11"/>
  <c r="R1765" i="11"/>
  <c r="Q1765" i="11"/>
  <c r="P1765" i="11"/>
  <c r="O1765" i="11"/>
  <c r="R1764" i="11"/>
  <c r="Q1764" i="11"/>
  <c r="P1764" i="11"/>
  <c r="O1764" i="11"/>
  <c r="R1763" i="11"/>
  <c r="Q1763" i="11"/>
  <c r="P1763" i="11"/>
  <c r="O1763" i="11"/>
  <c r="R1762" i="11"/>
  <c r="Q1762" i="11"/>
  <c r="P1762" i="11"/>
  <c r="O1762" i="11"/>
  <c r="R1761" i="11"/>
  <c r="Q1761" i="11"/>
  <c r="P1761" i="11"/>
  <c r="O1761" i="11"/>
  <c r="R1760" i="11"/>
  <c r="Q1760" i="11"/>
  <c r="P1760" i="11"/>
  <c r="O1760" i="11"/>
  <c r="R1759" i="11"/>
  <c r="Q1759" i="11"/>
  <c r="P1759" i="11"/>
  <c r="O1759" i="11"/>
  <c r="R1758" i="11"/>
  <c r="Q1758" i="11"/>
  <c r="P1758" i="11"/>
  <c r="O1758" i="11"/>
  <c r="R1757" i="11"/>
  <c r="Q1757" i="11"/>
  <c r="P1757" i="11"/>
  <c r="O1757" i="11"/>
  <c r="R1756" i="11"/>
  <c r="Q1756" i="11"/>
  <c r="P1756" i="11"/>
  <c r="O1756" i="11"/>
  <c r="R1755" i="11"/>
  <c r="Q1755" i="11"/>
  <c r="P1755" i="11"/>
  <c r="O1755" i="11"/>
  <c r="R1754" i="11"/>
  <c r="Q1754" i="11"/>
  <c r="P1754" i="11"/>
  <c r="O1754" i="11"/>
  <c r="R1753" i="11"/>
  <c r="Q1753" i="11"/>
  <c r="P1753" i="11"/>
  <c r="O1753" i="11"/>
  <c r="R1752" i="11"/>
  <c r="Q1752" i="11"/>
  <c r="P1752" i="11"/>
  <c r="O1752" i="11"/>
  <c r="R1751" i="11"/>
  <c r="Q1751" i="11"/>
  <c r="P1751" i="11"/>
  <c r="O1751" i="11"/>
  <c r="R1750" i="11"/>
  <c r="Q1750" i="11"/>
  <c r="P1750" i="11"/>
  <c r="O1750" i="11"/>
  <c r="R1749" i="11"/>
  <c r="Q1749" i="11"/>
  <c r="P1749" i="11"/>
  <c r="O1749" i="11"/>
  <c r="R1748" i="11"/>
  <c r="Q1748" i="11"/>
  <c r="P1748" i="11"/>
  <c r="O1748" i="11"/>
  <c r="R1747" i="11"/>
  <c r="Q1747" i="11"/>
  <c r="P1747" i="11"/>
  <c r="O1747" i="11"/>
  <c r="R1746" i="11"/>
  <c r="Q1746" i="11"/>
  <c r="P1746" i="11"/>
  <c r="O1746" i="11"/>
  <c r="R1745" i="11"/>
  <c r="Q1745" i="11"/>
  <c r="P1745" i="11"/>
  <c r="O1745" i="11"/>
  <c r="R1744" i="11"/>
  <c r="Q1744" i="11"/>
  <c r="P1744" i="11"/>
  <c r="O1744" i="11"/>
  <c r="R1743" i="11"/>
  <c r="Q1743" i="11"/>
  <c r="P1743" i="11"/>
  <c r="O1743" i="11"/>
  <c r="R1742" i="11"/>
  <c r="Q1742" i="11"/>
  <c r="P1742" i="11"/>
  <c r="O1742" i="11"/>
  <c r="R1741" i="11"/>
  <c r="Q1741" i="11"/>
  <c r="P1741" i="11"/>
  <c r="O1741" i="11"/>
  <c r="R1740" i="11"/>
  <c r="Q1740" i="11"/>
  <c r="P1740" i="11"/>
  <c r="O1740" i="11"/>
  <c r="R1739" i="11"/>
  <c r="Q1739" i="11"/>
  <c r="P1739" i="11"/>
  <c r="O1739" i="11"/>
  <c r="R1738" i="11"/>
  <c r="Q1738" i="11"/>
  <c r="P1738" i="11"/>
  <c r="O1738" i="11"/>
  <c r="R1737" i="11"/>
  <c r="Q1737" i="11"/>
  <c r="P1737" i="11"/>
  <c r="O1737" i="11"/>
  <c r="R1736" i="11"/>
  <c r="Q1736" i="11"/>
  <c r="P1736" i="11"/>
  <c r="O1736" i="11"/>
  <c r="R1735" i="11"/>
  <c r="Q1735" i="11"/>
  <c r="P1735" i="11"/>
  <c r="O1735" i="11"/>
  <c r="R1734" i="11"/>
  <c r="Q1734" i="11"/>
  <c r="P1734" i="11"/>
  <c r="O1734" i="11"/>
  <c r="R1733" i="11"/>
  <c r="Q1733" i="11"/>
  <c r="P1733" i="11"/>
  <c r="O1733" i="11"/>
  <c r="R1732" i="11"/>
  <c r="Q1732" i="11"/>
  <c r="P1732" i="11"/>
  <c r="O1732" i="11"/>
  <c r="R1731" i="11"/>
  <c r="Q1731" i="11"/>
  <c r="P1731" i="11"/>
  <c r="O1731" i="11"/>
  <c r="R1730" i="11"/>
  <c r="Q1730" i="11"/>
  <c r="P1730" i="11"/>
  <c r="O1730" i="11"/>
  <c r="R1729" i="11"/>
  <c r="Q1729" i="11"/>
  <c r="P1729" i="11"/>
  <c r="O1729" i="11"/>
  <c r="R1728" i="11"/>
  <c r="Q1728" i="11"/>
  <c r="P1728" i="11"/>
  <c r="O1728" i="11"/>
  <c r="R1727" i="11"/>
  <c r="Q1727" i="11"/>
  <c r="P1727" i="11"/>
  <c r="O1727" i="11"/>
  <c r="R1726" i="11"/>
  <c r="Q1726" i="11"/>
  <c r="P1726" i="11"/>
  <c r="O1726" i="11"/>
  <c r="R1725" i="11"/>
  <c r="Q1725" i="11"/>
  <c r="P1725" i="11"/>
  <c r="O1725" i="11"/>
  <c r="R1724" i="11"/>
  <c r="Q1724" i="11"/>
  <c r="P1724" i="11"/>
  <c r="O1724" i="11"/>
  <c r="R1723" i="11"/>
  <c r="Q1723" i="11"/>
  <c r="P1723" i="11"/>
  <c r="O1723" i="11"/>
  <c r="R1722" i="11"/>
  <c r="Q1722" i="11"/>
  <c r="P1722" i="11"/>
  <c r="O1722" i="11"/>
  <c r="R1721" i="11"/>
  <c r="Q1721" i="11"/>
  <c r="P1721" i="11"/>
  <c r="O1721" i="11"/>
  <c r="R1720" i="11"/>
  <c r="Q1720" i="11"/>
  <c r="P1720" i="11"/>
  <c r="O1720" i="11"/>
  <c r="R1719" i="11"/>
  <c r="Q1719" i="11"/>
  <c r="P1719" i="11"/>
  <c r="O1719" i="11"/>
  <c r="R1718" i="11"/>
  <c r="Q1718" i="11"/>
  <c r="P1718" i="11"/>
  <c r="O1718" i="11"/>
  <c r="R1717" i="11"/>
  <c r="Q1717" i="11"/>
  <c r="P1717" i="11"/>
  <c r="O1717" i="11"/>
  <c r="R1716" i="11"/>
  <c r="Q1716" i="11"/>
  <c r="P1716" i="11"/>
  <c r="O1716" i="11"/>
  <c r="R1715" i="11"/>
  <c r="Q1715" i="11"/>
  <c r="P1715" i="11"/>
  <c r="O1715" i="11"/>
  <c r="R1714" i="11"/>
  <c r="Q1714" i="11"/>
  <c r="P1714" i="11"/>
  <c r="O1714" i="11"/>
  <c r="R1713" i="11"/>
  <c r="Q1713" i="11"/>
  <c r="P1713" i="11"/>
  <c r="O1713" i="11"/>
  <c r="R1712" i="11"/>
  <c r="Q1712" i="11"/>
  <c r="P1712" i="11"/>
  <c r="O1712" i="11"/>
  <c r="R1711" i="11"/>
  <c r="Q1711" i="11"/>
  <c r="P1711" i="11"/>
  <c r="O1711" i="11"/>
  <c r="R1710" i="11"/>
  <c r="Q1710" i="11"/>
  <c r="P1710" i="11"/>
  <c r="O1710" i="11"/>
  <c r="R1709" i="11"/>
  <c r="Q1709" i="11"/>
  <c r="P1709" i="11"/>
  <c r="O1709" i="11"/>
  <c r="R1708" i="11"/>
  <c r="Q1708" i="11"/>
  <c r="P1708" i="11"/>
  <c r="O1708" i="11"/>
  <c r="R1707" i="11"/>
  <c r="Q1707" i="11"/>
  <c r="P1707" i="11"/>
  <c r="O1707" i="11"/>
  <c r="R1706" i="11"/>
  <c r="Q1706" i="11"/>
  <c r="P1706" i="11"/>
  <c r="O1706" i="11"/>
  <c r="R1705" i="11"/>
  <c r="Q1705" i="11"/>
  <c r="P1705" i="11"/>
  <c r="O1705" i="11"/>
  <c r="R1704" i="11"/>
  <c r="Q1704" i="11"/>
  <c r="P1704" i="11"/>
  <c r="O1704" i="11"/>
  <c r="R1703" i="11"/>
  <c r="Q1703" i="11"/>
  <c r="P1703" i="11"/>
  <c r="O1703" i="11"/>
  <c r="R1702" i="11"/>
  <c r="Q1702" i="11"/>
  <c r="P1702" i="11"/>
  <c r="O1702" i="11"/>
  <c r="R1701" i="11"/>
  <c r="Q1701" i="11"/>
  <c r="P1701" i="11"/>
  <c r="O1701" i="11"/>
  <c r="R1700" i="11"/>
  <c r="Q1700" i="11"/>
  <c r="P1700" i="11"/>
  <c r="O1700" i="11"/>
  <c r="R1699" i="11"/>
  <c r="Q1699" i="11"/>
  <c r="P1699" i="11"/>
  <c r="O1699" i="11"/>
  <c r="R1698" i="11"/>
  <c r="Q1698" i="11"/>
  <c r="P1698" i="11"/>
  <c r="O1698" i="11"/>
  <c r="R1697" i="11"/>
  <c r="Q1697" i="11"/>
  <c r="P1697" i="11"/>
  <c r="O1697" i="11"/>
  <c r="R1696" i="11"/>
  <c r="Q1696" i="11"/>
  <c r="P1696" i="11"/>
  <c r="O1696" i="11"/>
  <c r="R1695" i="11"/>
  <c r="Q1695" i="11"/>
  <c r="P1695" i="11"/>
  <c r="O1695" i="11"/>
  <c r="R1694" i="11"/>
  <c r="Q1694" i="11"/>
  <c r="P1694" i="11"/>
  <c r="O1694" i="11"/>
  <c r="R1693" i="11"/>
  <c r="Q1693" i="11"/>
  <c r="P1693" i="11"/>
  <c r="O1693" i="11"/>
  <c r="R1692" i="11"/>
  <c r="Q1692" i="11"/>
  <c r="P1692" i="11"/>
  <c r="O1692" i="11"/>
  <c r="R1691" i="11"/>
  <c r="Q1691" i="11"/>
  <c r="P1691" i="11"/>
  <c r="O1691" i="11"/>
  <c r="R1690" i="11"/>
  <c r="Q1690" i="11"/>
  <c r="P1690" i="11"/>
  <c r="O1690" i="11"/>
  <c r="R1689" i="11"/>
  <c r="Q1689" i="11"/>
  <c r="P1689" i="11"/>
  <c r="O1689" i="11"/>
  <c r="R1688" i="11"/>
  <c r="Q1688" i="11"/>
  <c r="P1688" i="11"/>
  <c r="O1688" i="11"/>
  <c r="R1687" i="11"/>
  <c r="Q1687" i="11"/>
  <c r="P1687" i="11"/>
  <c r="O1687" i="11"/>
  <c r="R1686" i="11"/>
  <c r="Q1686" i="11"/>
  <c r="P1686" i="11"/>
  <c r="O1686" i="11"/>
  <c r="R1685" i="11"/>
  <c r="Q1685" i="11"/>
  <c r="P1685" i="11"/>
  <c r="O1685" i="11"/>
  <c r="R1684" i="11"/>
  <c r="Q1684" i="11"/>
  <c r="P1684" i="11"/>
  <c r="O1684" i="11"/>
  <c r="R1683" i="11"/>
  <c r="Q1683" i="11"/>
  <c r="P1683" i="11"/>
  <c r="O1683" i="11"/>
  <c r="R1682" i="11"/>
  <c r="Q1682" i="11"/>
  <c r="P1682" i="11"/>
  <c r="O1682" i="11"/>
  <c r="R1681" i="11"/>
  <c r="Q1681" i="11"/>
  <c r="P1681" i="11"/>
  <c r="O1681" i="11"/>
  <c r="R1680" i="11"/>
  <c r="Q1680" i="11"/>
  <c r="P1680" i="11"/>
  <c r="O1680" i="11"/>
  <c r="R1679" i="11"/>
  <c r="Q1679" i="11"/>
  <c r="P1679" i="11"/>
  <c r="O1679" i="11"/>
  <c r="R1678" i="11"/>
  <c r="Q1678" i="11"/>
  <c r="P1678" i="11"/>
  <c r="O1678" i="11"/>
  <c r="R1677" i="11"/>
  <c r="Q1677" i="11"/>
  <c r="P1677" i="11"/>
  <c r="O1677" i="11"/>
  <c r="R1676" i="11"/>
  <c r="Q1676" i="11"/>
  <c r="P1676" i="11"/>
  <c r="O1676" i="11"/>
  <c r="R1675" i="11"/>
  <c r="Q1675" i="11"/>
  <c r="P1675" i="11"/>
  <c r="O1675" i="11"/>
  <c r="R1674" i="11"/>
  <c r="Q1674" i="11"/>
  <c r="P1674" i="11"/>
  <c r="O1674" i="11"/>
  <c r="R1673" i="11"/>
  <c r="Q1673" i="11"/>
  <c r="P1673" i="11"/>
  <c r="O1673" i="11"/>
  <c r="R1672" i="11"/>
  <c r="Q1672" i="11"/>
  <c r="P1672" i="11"/>
  <c r="O1672" i="11"/>
  <c r="R1671" i="11"/>
  <c r="Q1671" i="11"/>
  <c r="P1671" i="11"/>
  <c r="O1671" i="11"/>
  <c r="R1670" i="11"/>
  <c r="Q1670" i="11"/>
  <c r="P1670" i="11"/>
  <c r="O1670" i="11"/>
  <c r="R1669" i="11"/>
  <c r="Q1669" i="11"/>
  <c r="P1669" i="11"/>
  <c r="O1669" i="11"/>
  <c r="R1668" i="11"/>
  <c r="Q1668" i="11"/>
  <c r="P1668" i="11"/>
  <c r="O1668" i="11"/>
  <c r="R1667" i="11"/>
  <c r="Q1667" i="11"/>
  <c r="P1667" i="11"/>
  <c r="O1667" i="11"/>
  <c r="R1666" i="11"/>
  <c r="Q1666" i="11"/>
  <c r="P1666" i="11"/>
  <c r="O1666" i="11"/>
  <c r="R1665" i="11"/>
  <c r="Q1665" i="11"/>
  <c r="P1665" i="11"/>
  <c r="O1665" i="11"/>
  <c r="R1664" i="11"/>
  <c r="Q1664" i="11"/>
  <c r="P1664" i="11"/>
  <c r="O1664" i="11"/>
  <c r="R1663" i="11"/>
  <c r="Q1663" i="11"/>
  <c r="P1663" i="11"/>
  <c r="O1663" i="11"/>
  <c r="R1662" i="11"/>
  <c r="Q1662" i="11"/>
  <c r="P1662" i="11"/>
  <c r="O1662" i="11"/>
  <c r="R1661" i="11"/>
  <c r="Q1661" i="11"/>
  <c r="P1661" i="11"/>
  <c r="O1661" i="11"/>
  <c r="R1660" i="11"/>
  <c r="Q1660" i="11"/>
  <c r="P1660" i="11"/>
  <c r="O1660" i="11"/>
  <c r="R1659" i="11"/>
  <c r="Q1659" i="11"/>
  <c r="P1659" i="11"/>
  <c r="O1659" i="11"/>
  <c r="R1658" i="11"/>
  <c r="Q1658" i="11"/>
  <c r="P1658" i="11"/>
  <c r="O1658" i="11"/>
  <c r="R1657" i="11"/>
  <c r="Q1657" i="11"/>
  <c r="P1657" i="11"/>
  <c r="O1657" i="11"/>
  <c r="R1656" i="11"/>
  <c r="Q1656" i="11"/>
  <c r="P1656" i="11"/>
  <c r="O1656" i="11"/>
  <c r="R1655" i="11"/>
  <c r="Q1655" i="11"/>
  <c r="P1655" i="11"/>
  <c r="O1655" i="11"/>
  <c r="R1654" i="11"/>
  <c r="Q1654" i="11"/>
  <c r="P1654" i="11"/>
  <c r="O1654" i="11"/>
  <c r="R1653" i="11"/>
  <c r="Q1653" i="11"/>
  <c r="P1653" i="11"/>
  <c r="O1653" i="11"/>
  <c r="R1652" i="11"/>
  <c r="Q1652" i="11"/>
  <c r="P1652" i="11"/>
  <c r="O1652" i="11"/>
  <c r="R1651" i="11"/>
  <c r="Q1651" i="11"/>
  <c r="P1651" i="11"/>
  <c r="O1651" i="11"/>
  <c r="R1650" i="11"/>
  <c r="Q1650" i="11"/>
  <c r="P1650" i="11"/>
  <c r="O1650" i="11"/>
  <c r="R1649" i="11"/>
  <c r="Q1649" i="11"/>
  <c r="P1649" i="11"/>
  <c r="O1649" i="11"/>
  <c r="R1648" i="11"/>
  <c r="Q1648" i="11"/>
  <c r="P1648" i="11"/>
  <c r="O1648" i="11"/>
  <c r="R1647" i="11"/>
  <c r="Q1647" i="11"/>
  <c r="P1647" i="11"/>
  <c r="O1647" i="11"/>
  <c r="R1646" i="11"/>
  <c r="Q1646" i="11"/>
  <c r="P1646" i="11"/>
  <c r="O1646" i="11"/>
  <c r="R1645" i="11"/>
  <c r="Q1645" i="11"/>
  <c r="P1645" i="11"/>
  <c r="O1645" i="11"/>
  <c r="R1644" i="11"/>
  <c r="Q1644" i="11"/>
  <c r="P1644" i="11"/>
  <c r="O1644" i="11"/>
  <c r="R1643" i="11"/>
  <c r="Q1643" i="11"/>
  <c r="P1643" i="11"/>
  <c r="O1643" i="11"/>
  <c r="R1642" i="11"/>
  <c r="Q1642" i="11"/>
  <c r="P1642" i="11"/>
  <c r="O1642" i="11"/>
  <c r="R1641" i="11"/>
  <c r="Q1641" i="11"/>
  <c r="P1641" i="11"/>
  <c r="O1641" i="11"/>
  <c r="R1640" i="11"/>
  <c r="Q1640" i="11"/>
  <c r="P1640" i="11"/>
  <c r="O1640" i="11"/>
  <c r="R1639" i="11"/>
  <c r="Q1639" i="11"/>
  <c r="P1639" i="11"/>
  <c r="O1639" i="11"/>
  <c r="R1638" i="11"/>
  <c r="Q1638" i="11"/>
  <c r="P1638" i="11"/>
  <c r="O1638" i="11"/>
  <c r="R1637" i="11"/>
  <c r="Q1637" i="11"/>
  <c r="P1637" i="11"/>
  <c r="O1637" i="11"/>
  <c r="R1636" i="11"/>
  <c r="Q1636" i="11"/>
  <c r="P1636" i="11"/>
  <c r="O1636" i="11"/>
  <c r="R1635" i="11"/>
  <c r="Q1635" i="11"/>
  <c r="P1635" i="11"/>
  <c r="O1635" i="11"/>
  <c r="R1634" i="11"/>
  <c r="Q1634" i="11"/>
  <c r="P1634" i="11"/>
  <c r="O1634" i="11"/>
  <c r="R1633" i="11"/>
  <c r="Q1633" i="11"/>
  <c r="P1633" i="11"/>
  <c r="O1633" i="11"/>
  <c r="R1632" i="11"/>
  <c r="Q1632" i="11"/>
  <c r="P1632" i="11"/>
  <c r="O1632" i="11"/>
  <c r="R1631" i="11"/>
  <c r="Q1631" i="11"/>
  <c r="P1631" i="11"/>
  <c r="O1631" i="11"/>
  <c r="R1630" i="11"/>
  <c r="Q1630" i="11"/>
  <c r="P1630" i="11"/>
  <c r="O1630" i="11"/>
  <c r="R1629" i="11"/>
  <c r="Q1629" i="11"/>
  <c r="P1629" i="11"/>
  <c r="O1629" i="11"/>
  <c r="R1628" i="11"/>
  <c r="Q1628" i="11"/>
  <c r="P1628" i="11"/>
  <c r="O1628" i="11"/>
  <c r="R1627" i="11"/>
  <c r="Q1627" i="11"/>
  <c r="P1627" i="11"/>
  <c r="O1627" i="11"/>
  <c r="R1626" i="11"/>
  <c r="Q1626" i="11"/>
  <c r="P1626" i="11"/>
  <c r="O1626" i="11"/>
  <c r="R1625" i="11"/>
  <c r="Q1625" i="11"/>
  <c r="P1625" i="11"/>
  <c r="O1625" i="11"/>
  <c r="R1624" i="11"/>
  <c r="Q1624" i="11"/>
  <c r="P1624" i="11"/>
  <c r="O1624" i="11"/>
  <c r="R1623" i="11"/>
  <c r="Q1623" i="11"/>
  <c r="P1623" i="11"/>
  <c r="O1623" i="11"/>
  <c r="R1622" i="11"/>
  <c r="Q1622" i="11"/>
  <c r="P1622" i="11"/>
  <c r="O1622" i="11"/>
  <c r="R1621" i="11"/>
  <c r="Q1621" i="11"/>
  <c r="P1621" i="11"/>
  <c r="O1621" i="11"/>
  <c r="R1620" i="11"/>
  <c r="Q1620" i="11"/>
  <c r="P1620" i="11"/>
  <c r="O1620" i="11"/>
  <c r="R1619" i="11"/>
  <c r="Q1619" i="11"/>
  <c r="P1619" i="11"/>
  <c r="O1619" i="11"/>
  <c r="R1618" i="11"/>
  <c r="Q1618" i="11"/>
  <c r="P1618" i="11"/>
  <c r="O1618" i="11"/>
  <c r="R1617" i="11"/>
  <c r="Q1617" i="11"/>
  <c r="P1617" i="11"/>
  <c r="O1617" i="11"/>
  <c r="R1616" i="11"/>
  <c r="Q1616" i="11"/>
  <c r="P1616" i="11"/>
  <c r="O1616" i="11"/>
  <c r="R1615" i="11"/>
  <c r="Q1615" i="11"/>
  <c r="P1615" i="11"/>
  <c r="O1615" i="11"/>
  <c r="R1614" i="11"/>
  <c r="Q1614" i="11"/>
  <c r="P1614" i="11"/>
  <c r="O1614" i="11"/>
  <c r="R1613" i="11"/>
  <c r="Q1613" i="11"/>
  <c r="P1613" i="11"/>
  <c r="O1613" i="11"/>
  <c r="R1612" i="11"/>
  <c r="Q1612" i="11"/>
  <c r="P1612" i="11"/>
  <c r="O1612" i="11"/>
  <c r="R1611" i="11"/>
  <c r="Q1611" i="11"/>
  <c r="P1611" i="11"/>
  <c r="O1611" i="11"/>
  <c r="R1610" i="11"/>
  <c r="Q1610" i="11"/>
  <c r="P1610" i="11"/>
  <c r="O1610" i="11"/>
  <c r="R1609" i="11"/>
  <c r="Q1609" i="11"/>
  <c r="P1609" i="11"/>
  <c r="O1609" i="11"/>
  <c r="R1608" i="11"/>
  <c r="Q1608" i="11"/>
  <c r="P1608" i="11"/>
  <c r="O1608" i="11"/>
  <c r="R1607" i="11"/>
  <c r="Q1607" i="11"/>
  <c r="P1607" i="11"/>
  <c r="O1607" i="11"/>
  <c r="R1606" i="11"/>
  <c r="Q1606" i="11"/>
  <c r="P1606" i="11"/>
  <c r="O1606" i="11"/>
  <c r="R1605" i="11"/>
  <c r="Q1605" i="11"/>
  <c r="P1605" i="11"/>
  <c r="O1605" i="11"/>
  <c r="R1604" i="11"/>
  <c r="Q1604" i="11"/>
  <c r="P1604" i="11"/>
  <c r="O1604" i="11"/>
  <c r="R1603" i="11"/>
  <c r="Q1603" i="11"/>
  <c r="P1603" i="11"/>
  <c r="O1603" i="11"/>
  <c r="R1602" i="11"/>
  <c r="Q1602" i="11"/>
  <c r="P1602" i="11"/>
  <c r="O1602" i="11"/>
  <c r="R1601" i="11"/>
  <c r="Q1601" i="11"/>
  <c r="P1601" i="11"/>
  <c r="O1601" i="11"/>
  <c r="R1600" i="11"/>
  <c r="Q1600" i="11"/>
  <c r="P1600" i="11"/>
  <c r="O1600" i="11"/>
  <c r="R1599" i="11"/>
  <c r="Q1599" i="11"/>
  <c r="P1599" i="11"/>
  <c r="O1599" i="11"/>
  <c r="R1598" i="11"/>
  <c r="Q1598" i="11"/>
  <c r="P1598" i="11"/>
  <c r="O1598" i="11"/>
  <c r="R1597" i="11"/>
  <c r="Q1597" i="11"/>
  <c r="P1597" i="11"/>
  <c r="O1597" i="11"/>
  <c r="R1596" i="11"/>
  <c r="Q1596" i="11"/>
  <c r="P1596" i="11"/>
  <c r="O1596" i="11"/>
  <c r="R1595" i="11"/>
  <c r="Q1595" i="11"/>
  <c r="P1595" i="11"/>
  <c r="O1595" i="11"/>
  <c r="R1594" i="11"/>
  <c r="Q1594" i="11"/>
  <c r="P1594" i="11"/>
  <c r="O1594" i="11"/>
  <c r="R1593" i="11"/>
  <c r="Q1593" i="11"/>
  <c r="P1593" i="11"/>
  <c r="O1593" i="11"/>
  <c r="R1592" i="11"/>
  <c r="Q1592" i="11"/>
  <c r="P1592" i="11"/>
  <c r="O1592" i="11"/>
  <c r="R1591" i="11"/>
  <c r="Q1591" i="11"/>
  <c r="P1591" i="11"/>
  <c r="O1591" i="11"/>
  <c r="R1590" i="11"/>
  <c r="Q1590" i="11"/>
  <c r="P1590" i="11"/>
  <c r="O1590" i="11"/>
  <c r="R1589" i="11"/>
  <c r="Q1589" i="11"/>
  <c r="P1589" i="11"/>
  <c r="O1589" i="11"/>
  <c r="R1588" i="11"/>
  <c r="Q1588" i="11"/>
  <c r="P1588" i="11"/>
  <c r="O1588" i="11"/>
  <c r="R1587" i="11"/>
  <c r="Q1587" i="11"/>
  <c r="P1587" i="11"/>
  <c r="O1587" i="11"/>
  <c r="R1586" i="11"/>
  <c r="Q1586" i="11"/>
  <c r="P1586" i="11"/>
  <c r="O1586" i="11"/>
  <c r="R1585" i="11"/>
  <c r="Q1585" i="11"/>
  <c r="P1585" i="11"/>
  <c r="O1585" i="11"/>
  <c r="R1584" i="11"/>
  <c r="Q1584" i="11"/>
  <c r="P1584" i="11"/>
  <c r="O1584" i="11"/>
  <c r="R1583" i="11"/>
  <c r="Q1583" i="11"/>
  <c r="P1583" i="11"/>
  <c r="O1583" i="11"/>
  <c r="R1582" i="11"/>
  <c r="Q1582" i="11"/>
  <c r="P1582" i="11"/>
  <c r="O1582" i="11"/>
  <c r="R1581" i="11"/>
  <c r="Q1581" i="11"/>
  <c r="P1581" i="11"/>
  <c r="O1581" i="11"/>
  <c r="R1580" i="11"/>
  <c r="Q1580" i="11"/>
  <c r="P1580" i="11"/>
  <c r="O1580" i="11"/>
  <c r="R1579" i="11"/>
  <c r="Q1579" i="11"/>
  <c r="P1579" i="11"/>
  <c r="O1579" i="11"/>
  <c r="R1578" i="11"/>
  <c r="Q1578" i="11"/>
  <c r="P1578" i="11"/>
  <c r="O1578" i="11"/>
  <c r="R1577" i="11"/>
  <c r="Q1577" i="11"/>
  <c r="P1577" i="11"/>
  <c r="O1577" i="11"/>
  <c r="R1576" i="11"/>
  <c r="Q1576" i="11"/>
  <c r="P1576" i="11"/>
  <c r="O1576" i="11"/>
  <c r="R1575" i="11"/>
  <c r="Q1575" i="11"/>
  <c r="P1575" i="11"/>
  <c r="O1575" i="11"/>
  <c r="R1574" i="11"/>
  <c r="Q1574" i="11"/>
  <c r="P1574" i="11"/>
  <c r="O1574" i="11"/>
  <c r="R1573" i="11"/>
  <c r="Q1573" i="11"/>
  <c r="P1573" i="11"/>
  <c r="O1573" i="11"/>
  <c r="R1572" i="11"/>
  <c r="Q1572" i="11"/>
  <c r="P1572" i="11"/>
  <c r="O1572" i="11"/>
  <c r="R1571" i="11"/>
  <c r="Q1571" i="11"/>
  <c r="P1571" i="11"/>
  <c r="O1571" i="11"/>
  <c r="R1570" i="11"/>
  <c r="Q1570" i="11"/>
  <c r="P1570" i="11"/>
  <c r="O1570" i="11"/>
  <c r="R1569" i="11"/>
  <c r="Q1569" i="11"/>
  <c r="P1569" i="11"/>
  <c r="O1569" i="11"/>
  <c r="R1568" i="11"/>
  <c r="Q1568" i="11"/>
  <c r="P1568" i="11"/>
  <c r="O1568" i="11"/>
  <c r="R1567" i="11"/>
  <c r="Q1567" i="11"/>
  <c r="P1567" i="11"/>
  <c r="O1567" i="11"/>
  <c r="R1566" i="11"/>
  <c r="Q1566" i="11"/>
  <c r="P1566" i="11"/>
  <c r="O1566" i="11"/>
  <c r="R1565" i="11"/>
  <c r="Q1565" i="11"/>
  <c r="P1565" i="11"/>
  <c r="O1565" i="11"/>
  <c r="R1564" i="11"/>
  <c r="Q1564" i="11"/>
  <c r="P1564" i="11"/>
  <c r="O1564" i="11"/>
  <c r="R1563" i="11"/>
  <c r="Q1563" i="11"/>
  <c r="P1563" i="11"/>
  <c r="O1563" i="11"/>
  <c r="R1562" i="11"/>
  <c r="Q1562" i="11"/>
  <c r="P1562" i="11"/>
  <c r="O1562" i="11"/>
  <c r="R1561" i="11"/>
  <c r="Q1561" i="11"/>
  <c r="P1561" i="11"/>
  <c r="O1561" i="11"/>
  <c r="R1560" i="11"/>
  <c r="Q1560" i="11"/>
  <c r="P1560" i="11"/>
  <c r="O1560" i="11"/>
  <c r="R1559" i="11"/>
  <c r="Q1559" i="11"/>
  <c r="P1559" i="11"/>
  <c r="O1559" i="11"/>
  <c r="R1558" i="11"/>
  <c r="Q1558" i="11"/>
  <c r="P1558" i="11"/>
  <c r="O1558" i="11"/>
  <c r="R1557" i="11"/>
  <c r="Q1557" i="11"/>
  <c r="P1557" i="11"/>
  <c r="O1557" i="11"/>
  <c r="R1556" i="11"/>
  <c r="Q1556" i="11"/>
  <c r="P1556" i="11"/>
  <c r="O1556" i="11"/>
  <c r="R1555" i="11"/>
  <c r="Q1555" i="11"/>
  <c r="P1555" i="11"/>
  <c r="O1555" i="11"/>
  <c r="R1554" i="11"/>
  <c r="Q1554" i="11"/>
  <c r="P1554" i="11"/>
  <c r="O1554" i="11"/>
  <c r="R1553" i="11"/>
  <c r="Q1553" i="11"/>
  <c r="P1553" i="11"/>
  <c r="O1553" i="11"/>
  <c r="R1552" i="11"/>
  <c r="Q1552" i="11"/>
  <c r="P1552" i="11"/>
  <c r="O1552" i="11"/>
  <c r="R1551" i="11"/>
  <c r="Q1551" i="11"/>
  <c r="P1551" i="11"/>
  <c r="O1551" i="11"/>
  <c r="R1550" i="11"/>
  <c r="Q1550" i="11"/>
  <c r="P1550" i="11"/>
  <c r="O1550" i="11"/>
  <c r="R1549" i="11"/>
  <c r="Q1549" i="11"/>
  <c r="P1549" i="11"/>
  <c r="O1549" i="11"/>
  <c r="R1548" i="11"/>
  <c r="Q1548" i="11"/>
  <c r="P1548" i="11"/>
  <c r="O1548" i="11"/>
  <c r="R1547" i="11"/>
  <c r="Q1547" i="11"/>
  <c r="P1547" i="11"/>
  <c r="O1547" i="11"/>
  <c r="R1546" i="11"/>
  <c r="Q1546" i="11"/>
  <c r="P1546" i="11"/>
  <c r="O1546" i="11"/>
  <c r="R1545" i="11"/>
  <c r="Q1545" i="11"/>
  <c r="P1545" i="11"/>
  <c r="O1545" i="11"/>
  <c r="R1544" i="11"/>
  <c r="Q1544" i="11"/>
  <c r="P1544" i="11"/>
  <c r="O1544" i="11"/>
  <c r="R1543" i="11"/>
  <c r="Q1543" i="11"/>
  <c r="P1543" i="11"/>
  <c r="O1543" i="11"/>
  <c r="R1542" i="11"/>
  <c r="Q1542" i="11"/>
  <c r="P1542" i="11"/>
  <c r="O1542" i="11"/>
  <c r="R1541" i="11"/>
  <c r="Q1541" i="11"/>
  <c r="P1541" i="11"/>
  <c r="O1541" i="11"/>
  <c r="R1540" i="11"/>
  <c r="Q1540" i="11"/>
  <c r="P1540" i="11"/>
  <c r="O1540" i="11"/>
  <c r="R1539" i="11"/>
  <c r="Q1539" i="11"/>
  <c r="P1539" i="11"/>
  <c r="O1539" i="11"/>
  <c r="R1538" i="11"/>
  <c r="Q1538" i="11"/>
  <c r="P1538" i="11"/>
  <c r="O1538" i="11"/>
  <c r="R1537" i="11"/>
  <c r="Q1537" i="11"/>
  <c r="P1537" i="11"/>
  <c r="O1537" i="11"/>
  <c r="R1536" i="11"/>
  <c r="Q1536" i="11"/>
  <c r="P1536" i="11"/>
  <c r="O1536" i="11"/>
  <c r="R1535" i="11"/>
  <c r="Q1535" i="11"/>
  <c r="P1535" i="11"/>
  <c r="O1535" i="11"/>
  <c r="R1534" i="11"/>
  <c r="Q1534" i="11"/>
  <c r="P1534" i="11"/>
  <c r="O1534" i="11"/>
  <c r="R1533" i="11"/>
  <c r="Q1533" i="11"/>
  <c r="P1533" i="11"/>
  <c r="O1533" i="11"/>
  <c r="R1532" i="11"/>
  <c r="Q1532" i="11"/>
  <c r="P1532" i="11"/>
  <c r="O1532" i="11"/>
  <c r="R1531" i="11"/>
  <c r="Q1531" i="11"/>
  <c r="P1531" i="11"/>
  <c r="O1531" i="11"/>
  <c r="R1530" i="11"/>
  <c r="Q1530" i="11"/>
  <c r="P1530" i="11"/>
  <c r="O1530" i="11"/>
  <c r="R1529" i="11"/>
  <c r="Q1529" i="11"/>
  <c r="P1529" i="11"/>
  <c r="O1529" i="11"/>
  <c r="R1528" i="11"/>
  <c r="Q1528" i="11"/>
  <c r="P1528" i="11"/>
  <c r="O1528" i="11"/>
  <c r="R1527" i="11"/>
  <c r="Q1527" i="11"/>
  <c r="P1527" i="11"/>
  <c r="O1527" i="11"/>
  <c r="R1526" i="11"/>
  <c r="Q1526" i="11"/>
  <c r="P1526" i="11"/>
  <c r="O1526" i="11"/>
  <c r="R1525" i="11"/>
  <c r="Q1525" i="11"/>
  <c r="P1525" i="11"/>
  <c r="O1525" i="11"/>
  <c r="R1524" i="11"/>
  <c r="Q1524" i="11"/>
  <c r="P1524" i="11"/>
  <c r="O1524" i="11"/>
  <c r="R1523" i="11"/>
  <c r="Q1523" i="11"/>
  <c r="P1523" i="11"/>
  <c r="O1523" i="11"/>
  <c r="R1522" i="11"/>
  <c r="Q1522" i="11"/>
  <c r="P1522" i="11"/>
  <c r="O1522" i="11"/>
  <c r="R1521" i="11"/>
  <c r="Q1521" i="11"/>
  <c r="P1521" i="11"/>
  <c r="O1521" i="11"/>
  <c r="R1520" i="11"/>
  <c r="Q1520" i="11"/>
  <c r="P1520" i="11"/>
  <c r="O1520" i="11"/>
  <c r="R1519" i="11"/>
  <c r="Q1519" i="11"/>
  <c r="P1519" i="11"/>
  <c r="O1519" i="11"/>
  <c r="R1518" i="11"/>
  <c r="Q1518" i="11"/>
  <c r="P1518" i="11"/>
  <c r="O1518" i="11"/>
  <c r="R1517" i="11"/>
  <c r="Q1517" i="11"/>
  <c r="P1517" i="11"/>
  <c r="O1517" i="11"/>
  <c r="R1516" i="11"/>
  <c r="Q1516" i="11"/>
  <c r="P1516" i="11"/>
  <c r="O1516" i="11"/>
  <c r="R1515" i="11"/>
  <c r="Q1515" i="11"/>
  <c r="P1515" i="11"/>
  <c r="O1515" i="11"/>
  <c r="R1514" i="11"/>
  <c r="Q1514" i="11"/>
  <c r="P1514" i="11"/>
  <c r="O1514" i="11"/>
  <c r="R1513" i="11"/>
  <c r="Q1513" i="11"/>
  <c r="P1513" i="11"/>
  <c r="O1513" i="11"/>
  <c r="R1512" i="11"/>
  <c r="Q1512" i="11"/>
  <c r="P1512" i="11"/>
  <c r="O1512" i="11"/>
  <c r="R1511" i="11"/>
  <c r="Q1511" i="11"/>
  <c r="P1511" i="11"/>
  <c r="O1511" i="11"/>
  <c r="R1510" i="11"/>
  <c r="Q1510" i="11"/>
  <c r="P1510" i="11"/>
  <c r="O1510" i="11"/>
  <c r="R1509" i="11"/>
  <c r="Q1509" i="11"/>
  <c r="P1509" i="11"/>
  <c r="O1509" i="11"/>
  <c r="R1508" i="11"/>
  <c r="Q1508" i="11"/>
  <c r="P1508" i="11"/>
  <c r="O1508" i="11"/>
  <c r="R1507" i="11"/>
  <c r="Q1507" i="11"/>
  <c r="P1507" i="11"/>
  <c r="O1507" i="11"/>
  <c r="R1506" i="11"/>
  <c r="Q1506" i="11"/>
  <c r="P1506" i="11"/>
  <c r="O1506" i="11"/>
  <c r="R1505" i="11"/>
  <c r="Q1505" i="11"/>
  <c r="P1505" i="11"/>
  <c r="O1505" i="11"/>
  <c r="R1504" i="11"/>
  <c r="Q1504" i="11"/>
  <c r="P1504" i="11"/>
  <c r="O1504" i="11"/>
  <c r="R1503" i="11"/>
  <c r="Q1503" i="11"/>
  <c r="P1503" i="11"/>
  <c r="O1503" i="11"/>
  <c r="R1502" i="11"/>
  <c r="Q1502" i="11"/>
  <c r="P1502" i="11"/>
  <c r="O1502" i="11"/>
  <c r="R1501" i="11"/>
  <c r="Q1501" i="11"/>
  <c r="P1501" i="11"/>
  <c r="O1501" i="11"/>
  <c r="R1500" i="11"/>
  <c r="Q1500" i="11"/>
  <c r="P1500" i="11"/>
  <c r="O1500" i="11"/>
  <c r="R1499" i="11"/>
  <c r="Q1499" i="11"/>
  <c r="P1499" i="11"/>
  <c r="O1499" i="11"/>
  <c r="R1498" i="11"/>
  <c r="Q1498" i="11"/>
  <c r="P1498" i="11"/>
  <c r="O1498" i="11"/>
  <c r="R1497" i="11"/>
  <c r="Q1497" i="11"/>
  <c r="P1497" i="11"/>
  <c r="O1497" i="11"/>
  <c r="R1496" i="11"/>
  <c r="Q1496" i="11"/>
  <c r="P1496" i="11"/>
  <c r="O1496" i="11"/>
  <c r="R1495" i="11"/>
  <c r="Q1495" i="11"/>
  <c r="P1495" i="11"/>
  <c r="O1495" i="11"/>
  <c r="R1494" i="11"/>
  <c r="Q1494" i="11"/>
  <c r="P1494" i="11"/>
  <c r="O1494" i="11"/>
  <c r="R1493" i="11"/>
  <c r="Q1493" i="11"/>
  <c r="P1493" i="11"/>
  <c r="O1493" i="11"/>
  <c r="R1492" i="11"/>
  <c r="Q1492" i="11"/>
  <c r="P1492" i="11"/>
  <c r="O1492" i="11"/>
  <c r="R1491" i="11"/>
  <c r="Q1491" i="11"/>
  <c r="P1491" i="11"/>
  <c r="O1491" i="11"/>
  <c r="R1490" i="11"/>
  <c r="Q1490" i="11"/>
  <c r="P1490" i="11"/>
  <c r="O1490" i="11"/>
  <c r="R1489" i="11"/>
  <c r="Q1489" i="11"/>
  <c r="P1489" i="11"/>
  <c r="O1489" i="11"/>
  <c r="R1488" i="11"/>
  <c r="Q1488" i="11"/>
  <c r="P1488" i="11"/>
  <c r="O1488" i="11"/>
  <c r="R1487" i="11"/>
  <c r="Q1487" i="11"/>
  <c r="P1487" i="11"/>
  <c r="O1487" i="11"/>
  <c r="R1486" i="11"/>
  <c r="Q1486" i="11"/>
  <c r="P1486" i="11"/>
  <c r="O1486" i="11"/>
  <c r="R1485" i="11"/>
  <c r="Q1485" i="11"/>
  <c r="P1485" i="11"/>
  <c r="O1485" i="11"/>
  <c r="R1484" i="11"/>
  <c r="Q1484" i="11"/>
  <c r="P1484" i="11"/>
  <c r="O1484" i="11"/>
  <c r="R1483" i="11"/>
  <c r="Q1483" i="11"/>
  <c r="P1483" i="11"/>
  <c r="O1483" i="11"/>
  <c r="R1482" i="11"/>
  <c r="Q1482" i="11"/>
  <c r="P1482" i="11"/>
  <c r="O1482" i="11"/>
  <c r="R1481" i="11"/>
  <c r="Q1481" i="11"/>
  <c r="P1481" i="11"/>
  <c r="O1481" i="11"/>
  <c r="R1480" i="11"/>
  <c r="Q1480" i="11"/>
  <c r="P1480" i="11"/>
  <c r="O1480" i="11"/>
  <c r="R1479" i="11"/>
  <c r="Q1479" i="11"/>
  <c r="P1479" i="11"/>
  <c r="O1479" i="11"/>
  <c r="R1478" i="11"/>
  <c r="Q1478" i="11"/>
  <c r="P1478" i="11"/>
  <c r="O1478" i="11"/>
  <c r="R1477" i="11"/>
  <c r="Q1477" i="11"/>
  <c r="P1477" i="11"/>
  <c r="O1477" i="11"/>
  <c r="R1476" i="11"/>
  <c r="Q1476" i="11"/>
  <c r="P1476" i="11"/>
  <c r="O1476" i="11"/>
  <c r="R1475" i="11"/>
  <c r="Q1475" i="11"/>
  <c r="P1475" i="11"/>
  <c r="O1475" i="11"/>
  <c r="R1474" i="11"/>
  <c r="Q1474" i="11"/>
  <c r="P1474" i="11"/>
  <c r="O1474" i="11"/>
  <c r="R1473" i="11"/>
  <c r="Q1473" i="11"/>
  <c r="P1473" i="11"/>
  <c r="O1473" i="11"/>
  <c r="R1472" i="11"/>
  <c r="Q1472" i="11"/>
  <c r="P1472" i="11"/>
  <c r="O1472" i="11"/>
  <c r="R1471" i="11"/>
  <c r="Q1471" i="11"/>
  <c r="P1471" i="11"/>
  <c r="O1471" i="11"/>
  <c r="R1470" i="11"/>
  <c r="Q1470" i="11"/>
  <c r="P1470" i="11"/>
  <c r="O1470" i="11"/>
  <c r="R1469" i="11"/>
  <c r="Q1469" i="11"/>
  <c r="P1469" i="11"/>
  <c r="O1469" i="11"/>
  <c r="R1468" i="11"/>
  <c r="Q1468" i="11"/>
  <c r="P1468" i="11"/>
  <c r="O1468" i="11"/>
  <c r="R1467" i="11"/>
  <c r="Q1467" i="11"/>
  <c r="P1467" i="11"/>
  <c r="O1467" i="11"/>
  <c r="R1466" i="11"/>
  <c r="Q1466" i="11"/>
  <c r="P1466" i="11"/>
  <c r="O1466" i="11"/>
  <c r="R1465" i="11"/>
  <c r="Q1465" i="11"/>
  <c r="P1465" i="11"/>
  <c r="O1465" i="11"/>
  <c r="R1464" i="11"/>
  <c r="Q1464" i="11"/>
  <c r="P1464" i="11"/>
  <c r="O1464" i="11"/>
  <c r="R1463" i="11"/>
  <c r="Q1463" i="11"/>
  <c r="P1463" i="11"/>
  <c r="O1463" i="11"/>
  <c r="R1462" i="11"/>
  <c r="Q1462" i="11"/>
  <c r="P1462" i="11"/>
  <c r="O1462" i="11"/>
  <c r="R1461" i="11"/>
  <c r="Q1461" i="11"/>
  <c r="P1461" i="11"/>
  <c r="O1461" i="11"/>
  <c r="R1460" i="11"/>
  <c r="Q1460" i="11"/>
  <c r="P1460" i="11"/>
  <c r="O1460" i="11"/>
  <c r="R1459" i="11"/>
  <c r="Q1459" i="11"/>
  <c r="P1459" i="11"/>
  <c r="O1459" i="11"/>
  <c r="R1458" i="11"/>
  <c r="Q1458" i="11"/>
  <c r="P1458" i="11"/>
  <c r="O1458" i="11"/>
  <c r="R1457" i="11"/>
  <c r="Q1457" i="11"/>
  <c r="P1457" i="11"/>
  <c r="O1457" i="11"/>
  <c r="R1456" i="11"/>
  <c r="Q1456" i="11"/>
  <c r="P1456" i="11"/>
  <c r="O1456" i="11"/>
  <c r="R1455" i="11"/>
  <c r="Q1455" i="11"/>
  <c r="P1455" i="11"/>
  <c r="O1455" i="11"/>
  <c r="R1454" i="11"/>
  <c r="Q1454" i="11"/>
  <c r="P1454" i="11"/>
  <c r="O1454" i="11"/>
  <c r="R1453" i="11"/>
  <c r="Q1453" i="11"/>
  <c r="P1453" i="11"/>
  <c r="O1453" i="11"/>
  <c r="R1452" i="11"/>
  <c r="Q1452" i="11"/>
  <c r="P1452" i="11"/>
  <c r="O1452" i="11"/>
  <c r="R1451" i="11"/>
  <c r="Q1451" i="11"/>
  <c r="P1451" i="11"/>
  <c r="O1451" i="11"/>
  <c r="R1450" i="11"/>
  <c r="Q1450" i="11"/>
  <c r="P1450" i="11"/>
  <c r="O1450" i="11"/>
  <c r="R1449" i="11"/>
  <c r="Q1449" i="11"/>
  <c r="P1449" i="11"/>
  <c r="O1449" i="11"/>
  <c r="R1448" i="11"/>
  <c r="Q1448" i="11"/>
  <c r="P1448" i="11"/>
  <c r="O1448" i="11"/>
  <c r="R1447" i="11"/>
  <c r="Q1447" i="11"/>
  <c r="P1447" i="11"/>
  <c r="O1447" i="11"/>
  <c r="R1446" i="11"/>
  <c r="Q1446" i="11"/>
  <c r="P1446" i="11"/>
  <c r="O1446" i="11"/>
  <c r="R1445" i="11"/>
  <c r="Q1445" i="11"/>
  <c r="P1445" i="11"/>
  <c r="O1445" i="11"/>
  <c r="R1444" i="11"/>
  <c r="Q1444" i="11"/>
  <c r="P1444" i="11"/>
  <c r="O1444" i="11"/>
  <c r="R1443" i="11"/>
  <c r="Q1443" i="11"/>
  <c r="P1443" i="11"/>
  <c r="O1443" i="11"/>
  <c r="R1442" i="11"/>
  <c r="Q1442" i="11"/>
  <c r="P1442" i="11"/>
  <c r="O1442" i="11"/>
  <c r="R1441" i="11"/>
  <c r="Q1441" i="11"/>
  <c r="P1441" i="11"/>
  <c r="O1441" i="11"/>
  <c r="R1440" i="11"/>
  <c r="Q1440" i="11"/>
  <c r="P1440" i="11"/>
  <c r="O1440" i="11"/>
  <c r="R1439" i="11"/>
  <c r="Q1439" i="11"/>
  <c r="P1439" i="11"/>
  <c r="O1439" i="11"/>
  <c r="R1438" i="11"/>
  <c r="Q1438" i="11"/>
  <c r="P1438" i="11"/>
  <c r="O1438" i="11"/>
  <c r="R1437" i="11"/>
  <c r="Q1437" i="11"/>
  <c r="P1437" i="11"/>
  <c r="O1437" i="11"/>
  <c r="R1436" i="11"/>
  <c r="Q1436" i="11"/>
  <c r="P1436" i="11"/>
  <c r="O1436" i="11"/>
  <c r="R1435" i="11"/>
  <c r="Q1435" i="11"/>
  <c r="P1435" i="11"/>
  <c r="O1435" i="11"/>
  <c r="R1434" i="11"/>
  <c r="Q1434" i="11"/>
  <c r="P1434" i="11"/>
  <c r="O1434" i="11"/>
  <c r="R1433" i="11"/>
  <c r="Q1433" i="11"/>
  <c r="P1433" i="11"/>
  <c r="O1433" i="11"/>
  <c r="R1432" i="11"/>
  <c r="Q1432" i="11"/>
  <c r="P1432" i="11"/>
  <c r="O1432" i="11"/>
  <c r="R1431" i="11"/>
  <c r="Q1431" i="11"/>
  <c r="P1431" i="11"/>
  <c r="O1431" i="11"/>
  <c r="R1430" i="11"/>
  <c r="Q1430" i="11"/>
  <c r="P1430" i="11"/>
  <c r="O1430" i="11"/>
  <c r="R1429" i="11"/>
  <c r="Q1429" i="11"/>
  <c r="P1429" i="11"/>
  <c r="O1429" i="11"/>
  <c r="R1428" i="11"/>
  <c r="Q1428" i="11"/>
  <c r="P1428" i="11"/>
  <c r="O1428" i="11"/>
  <c r="R1427" i="11"/>
  <c r="Q1427" i="11"/>
  <c r="P1427" i="11"/>
  <c r="O1427" i="11"/>
  <c r="R1426" i="11"/>
  <c r="Q1426" i="11"/>
  <c r="P1426" i="11"/>
  <c r="O1426" i="11"/>
  <c r="R1425" i="11"/>
  <c r="Q1425" i="11"/>
  <c r="P1425" i="11"/>
  <c r="O1425" i="11"/>
  <c r="R1424" i="11"/>
  <c r="Q1424" i="11"/>
  <c r="P1424" i="11"/>
  <c r="O1424" i="11"/>
  <c r="R1423" i="11"/>
  <c r="Q1423" i="11"/>
  <c r="P1423" i="11"/>
  <c r="O1423" i="11"/>
  <c r="R1422" i="11"/>
  <c r="Q1422" i="11"/>
  <c r="P1422" i="11"/>
  <c r="O1422" i="11"/>
  <c r="R1421" i="11"/>
  <c r="Q1421" i="11"/>
  <c r="P1421" i="11"/>
  <c r="O1421" i="11"/>
  <c r="R1420" i="11"/>
  <c r="Q1420" i="11"/>
  <c r="P1420" i="11"/>
  <c r="O1420" i="11"/>
  <c r="R1419" i="11"/>
  <c r="Q1419" i="11"/>
  <c r="P1419" i="11"/>
  <c r="O1419" i="11"/>
  <c r="R1418" i="11"/>
  <c r="Q1418" i="11"/>
  <c r="P1418" i="11"/>
  <c r="O1418" i="11"/>
  <c r="R1417" i="11"/>
  <c r="Q1417" i="11"/>
  <c r="P1417" i="11"/>
  <c r="O1417" i="11"/>
  <c r="R1416" i="11"/>
  <c r="Q1416" i="11"/>
  <c r="P1416" i="11"/>
  <c r="O1416" i="11"/>
  <c r="R1415" i="11"/>
  <c r="Q1415" i="11"/>
  <c r="P1415" i="11"/>
  <c r="O1415" i="11"/>
  <c r="R1414" i="11"/>
  <c r="Q1414" i="11"/>
  <c r="P1414" i="11"/>
  <c r="O1414" i="11"/>
  <c r="R1413" i="11"/>
  <c r="Q1413" i="11"/>
  <c r="P1413" i="11"/>
  <c r="O1413" i="11"/>
  <c r="R1412" i="11"/>
  <c r="Q1412" i="11"/>
  <c r="P1412" i="11"/>
  <c r="O1412" i="11"/>
  <c r="R1411" i="11"/>
  <c r="Q1411" i="11"/>
  <c r="P1411" i="11"/>
  <c r="O1411" i="11"/>
  <c r="R1410" i="11"/>
  <c r="Q1410" i="11"/>
  <c r="P1410" i="11"/>
  <c r="O1410" i="11"/>
  <c r="R1409" i="11"/>
  <c r="Q1409" i="11"/>
  <c r="P1409" i="11"/>
  <c r="O1409" i="11"/>
  <c r="R1408" i="11"/>
  <c r="Q1408" i="11"/>
  <c r="P1408" i="11"/>
  <c r="O1408" i="11"/>
  <c r="R1407" i="11"/>
  <c r="Q1407" i="11"/>
  <c r="P1407" i="11"/>
  <c r="O1407" i="11"/>
  <c r="R1406" i="11"/>
  <c r="Q1406" i="11"/>
  <c r="P1406" i="11"/>
  <c r="O1406" i="11"/>
  <c r="R1405" i="11"/>
  <c r="Q1405" i="11"/>
  <c r="P1405" i="11"/>
  <c r="O1405" i="11"/>
  <c r="R1404" i="11"/>
  <c r="Q1404" i="11"/>
  <c r="P1404" i="11"/>
  <c r="O1404" i="11"/>
  <c r="R1403" i="11"/>
  <c r="Q1403" i="11"/>
  <c r="P1403" i="11"/>
  <c r="O1403" i="11"/>
  <c r="R1402" i="11"/>
  <c r="Q1402" i="11"/>
  <c r="P1402" i="11"/>
  <c r="O1402" i="11"/>
  <c r="R1401" i="11"/>
  <c r="Q1401" i="11"/>
  <c r="P1401" i="11"/>
  <c r="O1401" i="11"/>
  <c r="R1400" i="11"/>
  <c r="Q1400" i="11"/>
  <c r="P1400" i="11"/>
  <c r="O1400" i="11"/>
  <c r="R1399" i="11"/>
  <c r="Q1399" i="11"/>
  <c r="P1399" i="11"/>
  <c r="O1399" i="11"/>
  <c r="R1398" i="11"/>
  <c r="Q1398" i="11"/>
  <c r="P1398" i="11"/>
  <c r="O1398" i="11"/>
  <c r="R1397" i="11"/>
  <c r="Q1397" i="11"/>
  <c r="P1397" i="11"/>
  <c r="O1397" i="11"/>
  <c r="R1396" i="11"/>
  <c r="Q1396" i="11"/>
  <c r="P1396" i="11"/>
  <c r="O1396" i="11"/>
  <c r="R1395" i="11"/>
  <c r="Q1395" i="11"/>
  <c r="P1395" i="11"/>
  <c r="O1395" i="11"/>
  <c r="R1394" i="11"/>
  <c r="Q1394" i="11"/>
  <c r="P1394" i="11"/>
  <c r="O1394" i="11"/>
  <c r="R1393" i="11"/>
  <c r="Q1393" i="11"/>
  <c r="P1393" i="11"/>
  <c r="O1393" i="11"/>
  <c r="R1392" i="11"/>
  <c r="Q1392" i="11"/>
  <c r="P1392" i="11"/>
  <c r="O1392" i="11"/>
  <c r="R1391" i="11"/>
  <c r="Q1391" i="11"/>
  <c r="P1391" i="11"/>
  <c r="O1391" i="11"/>
  <c r="R1390" i="11"/>
  <c r="Q1390" i="11"/>
  <c r="P1390" i="11"/>
  <c r="O1390" i="11"/>
  <c r="R1389" i="11"/>
  <c r="Q1389" i="11"/>
  <c r="P1389" i="11"/>
  <c r="O1389" i="11"/>
  <c r="R1388" i="11"/>
  <c r="Q1388" i="11"/>
  <c r="P1388" i="11"/>
  <c r="O1388" i="11"/>
  <c r="R1387" i="11"/>
  <c r="Q1387" i="11"/>
  <c r="P1387" i="11"/>
  <c r="O1387" i="11"/>
  <c r="R1386" i="11"/>
  <c r="Q1386" i="11"/>
  <c r="P1386" i="11"/>
  <c r="O1386" i="11"/>
  <c r="R1385" i="11"/>
  <c r="Q1385" i="11"/>
  <c r="P1385" i="11"/>
  <c r="O1385" i="11"/>
  <c r="R1384" i="11"/>
  <c r="Q1384" i="11"/>
  <c r="P1384" i="11"/>
  <c r="O1384" i="11"/>
  <c r="R1383" i="11"/>
  <c r="Q1383" i="11"/>
  <c r="P1383" i="11"/>
  <c r="O1383" i="11"/>
  <c r="R1382" i="11"/>
  <c r="Q1382" i="11"/>
  <c r="P1382" i="11"/>
  <c r="O1382" i="11"/>
  <c r="R1381" i="11"/>
  <c r="Q1381" i="11"/>
  <c r="P1381" i="11"/>
  <c r="O1381" i="11"/>
  <c r="R1380" i="11"/>
  <c r="Q1380" i="11"/>
  <c r="P1380" i="11"/>
  <c r="O1380" i="11"/>
  <c r="R1379" i="11"/>
  <c r="Q1379" i="11"/>
  <c r="P1379" i="11"/>
  <c r="O1379" i="11"/>
  <c r="R1378" i="11"/>
  <c r="Q1378" i="11"/>
  <c r="P1378" i="11"/>
  <c r="O1378" i="11"/>
  <c r="R1377" i="11"/>
  <c r="Q1377" i="11"/>
  <c r="P1377" i="11"/>
  <c r="O1377" i="11"/>
  <c r="R1376" i="11"/>
  <c r="Q1376" i="11"/>
  <c r="P1376" i="11"/>
  <c r="O1376" i="11"/>
  <c r="R1375" i="11"/>
  <c r="Q1375" i="11"/>
  <c r="P1375" i="11"/>
  <c r="O1375" i="11"/>
  <c r="R1374" i="11"/>
  <c r="Q1374" i="11"/>
  <c r="P1374" i="11"/>
  <c r="O1374" i="11"/>
  <c r="R1373" i="11"/>
  <c r="Q1373" i="11"/>
  <c r="P1373" i="11"/>
  <c r="O1373" i="11"/>
  <c r="R1372" i="11"/>
  <c r="Q1372" i="11"/>
  <c r="P1372" i="11"/>
  <c r="O1372" i="11"/>
  <c r="R1371" i="11"/>
  <c r="Q1371" i="11"/>
  <c r="P1371" i="11"/>
  <c r="O1371" i="11"/>
  <c r="R1370" i="11"/>
  <c r="Q1370" i="11"/>
  <c r="P1370" i="11"/>
  <c r="O1370" i="11"/>
  <c r="R1369" i="11"/>
  <c r="Q1369" i="11"/>
  <c r="P1369" i="11"/>
  <c r="O1369" i="11"/>
  <c r="R1368" i="11"/>
  <c r="Q1368" i="11"/>
  <c r="P1368" i="11"/>
  <c r="O1368" i="11"/>
  <c r="R1367" i="11"/>
  <c r="Q1367" i="11"/>
  <c r="P1367" i="11"/>
  <c r="O1367" i="11"/>
  <c r="R1366" i="11"/>
  <c r="Q1366" i="11"/>
  <c r="P1366" i="11"/>
  <c r="O1366" i="11"/>
  <c r="R1365" i="11"/>
  <c r="Q1365" i="11"/>
  <c r="P1365" i="11"/>
  <c r="O1365" i="11"/>
  <c r="R1364" i="11"/>
  <c r="Q1364" i="11"/>
  <c r="P1364" i="11"/>
  <c r="O1364" i="11"/>
  <c r="R1363" i="11"/>
  <c r="Q1363" i="11"/>
  <c r="P1363" i="11"/>
  <c r="O1363" i="11"/>
  <c r="R1362" i="11"/>
  <c r="Q1362" i="11"/>
  <c r="P1362" i="11"/>
  <c r="O1362" i="11"/>
  <c r="R1361" i="11"/>
  <c r="Q1361" i="11"/>
  <c r="P1361" i="11"/>
  <c r="O1361" i="11"/>
  <c r="R1360" i="11"/>
  <c r="Q1360" i="11"/>
  <c r="P1360" i="11"/>
  <c r="O1360" i="11"/>
  <c r="R1359" i="11"/>
  <c r="Q1359" i="11"/>
  <c r="P1359" i="11"/>
  <c r="O1359" i="11"/>
  <c r="R1358" i="11"/>
  <c r="Q1358" i="11"/>
  <c r="P1358" i="11"/>
  <c r="O1358" i="11"/>
  <c r="R1357" i="11"/>
  <c r="Q1357" i="11"/>
  <c r="P1357" i="11"/>
  <c r="O1357" i="11"/>
  <c r="R1356" i="11"/>
  <c r="Q1356" i="11"/>
  <c r="P1356" i="11"/>
  <c r="O1356" i="11"/>
  <c r="R1355" i="11"/>
  <c r="Q1355" i="11"/>
  <c r="P1355" i="11"/>
  <c r="O1355" i="11"/>
  <c r="R1354" i="11"/>
  <c r="Q1354" i="11"/>
  <c r="P1354" i="11"/>
  <c r="O1354" i="11"/>
  <c r="R1353" i="11"/>
  <c r="Q1353" i="11"/>
  <c r="P1353" i="11"/>
  <c r="O1353" i="11"/>
  <c r="R1352" i="11"/>
  <c r="Q1352" i="11"/>
  <c r="P1352" i="11"/>
  <c r="O1352" i="11"/>
  <c r="R1351" i="11"/>
  <c r="Q1351" i="11"/>
  <c r="P1351" i="11"/>
  <c r="O1351" i="11"/>
  <c r="R1350" i="11"/>
  <c r="Q1350" i="11"/>
  <c r="P1350" i="11"/>
  <c r="O1350" i="11"/>
  <c r="R1349" i="11"/>
  <c r="Q1349" i="11"/>
  <c r="P1349" i="11"/>
  <c r="O1349" i="11"/>
  <c r="R1348" i="11"/>
  <c r="Q1348" i="11"/>
  <c r="P1348" i="11"/>
  <c r="O1348" i="11"/>
  <c r="R1347" i="11"/>
  <c r="Q1347" i="11"/>
  <c r="P1347" i="11"/>
  <c r="O1347" i="11"/>
  <c r="R1346" i="11"/>
  <c r="Q1346" i="11"/>
  <c r="P1346" i="11"/>
  <c r="O1346" i="11"/>
  <c r="R1345" i="11"/>
  <c r="Q1345" i="11"/>
  <c r="P1345" i="11"/>
  <c r="O1345" i="11"/>
  <c r="R1344" i="11"/>
  <c r="Q1344" i="11"/>
  <c r="P1344" i="11"/>
  <c r="O1344" i="11"/>
  <c r="R1343" i="11"/>
  <c r="Q1343" i="11"/>
  <c r="P1343" i="11"/>
  <c r="O1343" i="11"/>
  <c r="R1342" i="11"/>
  <c r="Q1342" i="11"/>
  <c r="P1342" i="11"/>
  <c r="O1342" i="11"/>
  <c r="R1341" i="11"/>
  <c r="Q1341" i="11"/>
  <c r="P1341" i="11"/>
  <c r="O1341" i="11"/>
  <c r="R1340" i="11"/>
  <c r="Q1340" i="11"/>
  <c r="P1340" i="11"/>
  <c r="O1340" i="11"/>
  <c r="R1339" i="11"/>
  <c r="Q1339" i="11"/>
  <c r="P1339" i="11"/>
  <c r="O1339" i="11"/>
  <c r="R1338" i="11"/>
  <c r="Q1338" i="11"/>
  <c r="P1338" i="11"/>
  <c r="O1338" i="11"/>
  <c r="R1337" i="11"/>
  <c r="Q1337" i="11"/>
  <c r="P1337" i="11"/>
  <c r="O1337" i="11"/>
  <c r="R1336" i="11"/>
  <c r="Q1336" i="11"/>
  <c r="P1336" i="11"/>
  <c r="O1336" i="11"/>
  <c r="R1335" i="11"/>
  <c r="Q1335" i="11"/>
  <c r="P1335" i="11"/>
  <c r="O1335" i="11"/>
  <c r="R1334" i="11"/>
  <c r="Q1334" i="11"/>
  <c r="P1334" i="11"/>
  <c r="O1334" i="11"/>
  <c r="R1333" i="11"/>
  <c r="Q1333" i="11"/>
  <c r="P1333" i="11"/>
  <c r="O1333" i="11"/>
  <c r="R1332" i="11"/>
  <c r="Q1332" i="11"/>
  <c r="P1332" i="11"/>
  <c r="O1332" i="11"/>
  <c r="R1331" i="11"/>
  <c r="Q1331" i="11"/>
  <c r="P1331" i="11"/>
  <c r="O1331" i="11"/>
  <c r="R1330" i="11"/>
  <c r="Q1330" i="11"/>
  <c r="P1330" i="11"/>
  <c r="O1330" i="11"/>
  <c r="R1329" i="11"/>
  <c r="Q1329" i="11"/>
  <c r="P1329" i="11"/>
  <c r="O1329" i="11"/>
  <c r="R1328" i="11"/>
  <c r="Q1328" i="11"/>
  <c r="P1328" i="11"/>
  <c r="O1328" i="11"/>
  <c r="R1327" i="11"/>
  <c r="Q1327" i="11"/>
  <c r="P1327" i="11"/>
  <c r="O1327" i="11"/>
  <c r="R1326" i="11"/>
  <c r="Q1326" i="11"/>
  <c r="P1326" i="11"/>
  <c r="O1326" i="11"/>
  <c r="R1325" i="11"/>
  <c r="Q1325" i="11"/>
  <c r="P1325" i="11"/>
  <c r="O1325" i="11"/>
  <c r="R1324" i="11"/>
  <c r="Q1324" i="11"/>
  <c r="P1324" i="11"/>
  <c r="O1324" i="11"/>
  <c r="R1323" i="11"/>
  <c r="Q1323" i="11"/>
  <c r="P1323" i="11"/>
  <c r="O1323" i="11"/>
  <c r="R1322" i="11"/>
  <c r="Q1322" i="11"/>
  <c r="P1322" i="11"/>
  <c r="O1322" i="11"/>
  <c r="R1321" i="11"/>
  <c r="Q1321" i="11"/>
  <c r="P1321" i="11"/>
  <c r="O1321" i="11"/>
  <c r="R1320" i="11"/>
  <c r="Q1320" i="11"/>
  <c r="P1320" i="11"/>
  <c r="O1320" i="11"/>
  <c r="R1319" i="11"/>
  <c r="Q1319" i="11"/>
  <c r="P1319" i="11"/>
  <c r="O1319" i="11"/>
  <c r="R1318" i="11"/>
  <c r="Q1318" i="11"/>
  <c r="P1318" i="11"/>
  <c r="O1318" i="11"/>
  <c r="R1317" i="11"/>
  <c r="Q1317" i="11"/>
  <c r="P1317" i="11"/>
  <c r="O1317" i="11"/>
  <c r="R1316" i="11"/>
  <c r="Q1316" i="11"/>
  <c r="P1316" i="11"/>
  <c r="O1316" i="11"/>
  <c r="R1315" i="11"/>
  <c r="Q1315" i="11"/>
  <c r="P1315" i="11"/>
  <c r="O1315" i="11"/>
  <c r="R1314" i="11"/>
  <c r="Q1314" i="11"/>
  <c r="P1314" i="11"/>
  <c r="O1314" i="11"/>
  <c r="R1313" i="11"/>
  <c r="Q1313" i="11"/>
  <c r="P1313" i="11"/>
  <c r="O1313" i="11"/>
  <c r="R1312" i="11"/>
  <c r="Q1312" i="11"/>
  <c r="P1312" i="11"/>
  <c r="O1312" i="11"/>
  <c r="R1311" i="11"/>
  <c r="Q1311" i="11"/>
  <c r="P1311" i="11"/>
  <c r="O1311" i="11"/>
  <c r="R1310" i="11"/>
  <c r="Q1310" i="11"/>
  <c r="P1310" i="11"/>
  <c r="O1310" i="11"/>
  <c r="R1309" i="11"/>
  <c r="Q1309" i="11"/>
  <c r="P1309" i="11"/>
  <c r="O1309" i="11"/>
  <c r="R1308" i="11"/>
  <c r="Q1308" i="11"/>
  <c r="P1308" i="11"/>
  <c r="O1308" i="11"/>
  <c r="R1307" i="11"/>
  <c r="Q1307" i="11"/>
  <c r="P1307" i="11"/>
  <c r="O1307" i="11"/>
  <c r="R1306" i="11"/>
  <c r="Q1306" i="11"/>
  <c r="P1306" i="11"/>
  <c r="O1306" i="11"/>
  <c r="R1305" i="11"/>
  <c r="Q1305" i="11"/>
  <c r="P1305" i="11"/>
  <c r="O1305" i="11"/>
  <c r="R1304" i="11"/>
  <c r="Q1304" i="11"/>
  <c r="P1304" i="11"/>
  <c r="O1304" i="11"/>
  <c r="R1303" i="11"/>
  <c r="Q1303" i="11"/>
  <c r="P1303" i="11"/>
  <c r="O1303" i="11"/>
  <c r="R1302" i="11"/>
  <c r="Q1302" i="11"/>
  <c r="P1302" i="11"/>
  <c r="O1302" i="11"/>
  <c r="R1301" i="11"/>
  <c r="Q1301" i="11"/>
  <c r="P1301" i="11"/>
  <c r="O1301" i="11"/>
  <c r="R1300" i="11"/>
  <c r="Q1300" i="11"/>
  <c r="P1300" i="11"/>
  <c r="O1300" i="11"/>
  <c r="R1299" i="11"/>
  <c r="Q1299" i="11"/>
  <c r="P1299" i="11"/>
  <c r="O1299" i="11"/>
  <c r="R1298" i="11"/>
  <c r="Q1298" i="11"/>
  <c r="P1298" i="11"/>
  <c r="O1298" i="11"/>
  <c r="R1297" i="11"/>
  <c r="Q1297" i="11"/>
  <c r="P1297" i="11"/>
  <c r="O1297" i="11"/>
  <c r="R1296" i="11"/>
  <c r="Q1296" i="11"/>
  <c r="P1296" i="11"/>
  <c r="O1296" i="11"/>
  <c r="R1295" i="11"/>
  <c r="Q1295" i="11"/>
  <c r="P1295" i="11"/>
  <c r="O1295" i="11"/>
  <c r="R1294" i="11"/>
  <c r="Q1294" i="11"/>
  <c r="P1294" i="11"/>
  <c r="O1294" i="11"/>
  <c r="R1293" i="11"/>
  <c r="Q1293" i="11"/>
  <c r="P1293" i="11"/>
  <c r="O1293" i="11"/>
  <c r="R1292" i="11"/>
  <c r="Q1292" i="11"/>
  <c r="P1292" i="11"/>
  <c r="O1292" i="11"/>
  <c r="R1291" i="11"/>
  <c r="Q1291" i="11"/>
  <c r="P1291" i="11"/>
  <c r="O1291" i="11"/>
  <c r="R1290" i="11"/>
  <c r="Q1290" i="11"/>
  <c r="P1290" i="11"/>
  <c r="O1290" i="11"/>
  <c r="R1289" i="11"/>
  <c r="Q1289" i="11"/>
  <c r="P1289" i="11"/>
  <c r="O1289" i="11"/>
  <c r="R1288" i="11"/>
  <c r="Q1288" i="11"/>
  <c r="P1288" i="11"/>
  <c r="O1288" i="11"/>
  <c r="R1287" i="11"/>
  <c r="Q1287" i="11"/>
  <c r="P1287" i="11"/>
  <c r="O1287" i="11"/>
  <c r="R1286" i="11"/>
  <c r="Q1286" i="11"/>
  <c r="P1286" i="11"/>
  <c r="O1286" i="11"/>
  <c r="R1285" i="11"/>
  <c r="Q1285" i="11"/>
  <c r="P1285" i="11"/>
  <c r="O1285" i="11"/>
  <c r="R1284" i="11"/>
  <c r="Q1284" i="11"/>
  <c r="P1284" i="11"/>
  <c r="O1284" i="11"/>
  <c r="R1283" i="11"/>
  <c r="Q1283" i="11"/>
  <c r="P1283" i="11"/>
  <c r="O1283" i="11"/>
  <c r="R1282" i="11"/>
  <c r="Q1282" i="11"/>
  <c r="P1282" i="11"/>
  <c r="O1282" i="11"/>
  <c r="R1281" i="11"/>
  <c r="Q1281" i="11"/>
  <c r="P1281" i="11"/>
  <c r="O1281" i="11"/>
  <c r="R1280" i="11"/>
  <c r="Q1280" i="11"/>
  <c r="P1280" i="11"/>
  <c r="O1280" i="11"/>
  <c r="R1279" i="11"/>
  <c r="Q1279" i="11"/>
  <c r="P1279" i="11"/>
  <c r="O1279" i="11"/>
  <c r="R1278" i="11"/>
  <c r="Q1278" i="11"/>
  <c r="P1278" i="11"/>
  <c r="O1278" i="11"/>
  <c r="R1277" i="11"/>
  <c r="Q1277" i="11"/>
  <c r="P1277" i="11"/>
  <c r="O1277" i="11"/>
  <c r="R1276" i="11"/>
  <c r="Q1276" i="11"/>
  <c r="P1276" i="11"/>
  <c r="O1276" i="11"/>
  <c r="R1275" i="11"/>
  <c r="Q1275" i="11"/>
  <c r="P1275" i="11"/>
  <c r="O1275" i="11"/>
  <c r="R1274" i="11"/>
  <c r="Q1274" i="11"/>
  <c r="P1274" i="11"/>
  <c r="O1274" i="11"/>
  <c r="R1273" i="11"/>
  <c r="Q1273" i="11"/>
  <c r="P1273" i="11"/>
  <c r="O1273" i="11"/>
  <c r="R1272" i="11"/>
  <c r="Q1272" i="11"/>
  <c r="P1272" i="11"/>
  <c r="O1272" i="11"/>
  <c r="R1271" i="11"/>
  <c r="Q1271" i="11"/>
  <c r="P1271" i="11"/>
  <c r="O1271" i="11"/>
  <c r="R1270" i="11"/>
  <c r="Q1270" i="11"/>
  <c r="P1270" i="11"/>
  <c r="O1270" i="11"/>
  <c r="R1269" i="11"/>
  <c r="Q1269" i="11"/>
  <c r="P1269" i="11"/>
  <c r="O1269" i="11"/>
  <c r="R1268" i="11"/>
  <c r="Q1268" i="11"/>
  <c r="P1268" i="11"/>
  <c r="O1268" i="11"/>
  <c r="R1267" i="11"/>
  <c r="Q1267" i="11"/>
  <c r="P1267" i="11"/>
  <c r="O1267" i="11"/>
  <c r="R1266" i="11"/>
  <c r="Q1266" i="11"/>
  <c r="P1266" i="11"/>
  <c r="O1266" i="11"/>
  <c r="R1265" i="11"/>
  <c r="Q1265" i="11"/>
  <c r="P1265" i="11"/>
  <c r="O1265" i="11"/>
  <c r="R1264" i="11"/>
  <c r="Q1264" i="11"/>
  <c r="P1264" i="11"/>
  <c r="O1264" i="11"/>
  <c r="R1263" i="11"/>
  <c r="Q1263" i="11"/>
  <c r="P1263" i="11"/>
  <c r="O1263" i="11"/>
  <c r="R1262" i="11"/>
  <c r="Q1262" i="11"/>
  <c r="P1262" i="11"/>
  <c r="O1262" i="11"/>
  <c r="R1261" i="11"/>
  <c r="Q1261" i="11"/>
  <c r="P1261" i="11"/>
  <c r="O1261" i="11"/>
  <c r="R1260" i="11"/>
  <c r="Q1260" i="11"/>
  <c r="P1260" i="11"/>
  <c r="O1260" i="11"/>
  <c r="R1259" i="11"/>
  <c r="Q1259" i="11"/>
  <c r="P1259" i="11"/>
  <c r="O1259" i="11"/>
  <c r="R1258" i="11"/>
  <c r="Q1258" i="11"/>
  <c r="P1258" i="11"/>
  <c r="O1258" i="11"/>
  <c r="R1257" i="11"/>
  <c r="Q1257" i="11"/>
  <c r="P1257" i="11"/>
  <c r="O1257" i="11"/>
  <c r="R1256" i="11"/>
  <c r="Q1256" i="11"/>
  <c r="P1256" i="11"/>
  <c r="O1256" i="11"/>
  <c r="R1255" i="11"/>
  <c r="Q1255" i="11"/>
  <c r="P1255" i="11"/>
  <c r="O1255" i="11"/>
  <c r="R1254" i="11"/>
  <c r="Q1254" i="11"/>
  <c r="P1254" i="11"/>
  <c r="O1254" i="11"/>
  <c r="R1253" i="11"/>
  <c r="Q1253" i="11"/>
  <c r="P1253" i="11"/>
  <c r="O1253" i="11"/>
  <c r="R1252" i="11"/>
  <c r="Q1252" i="11"/>
  <c r="P1252" i="11"/>
  <c r="O1252" i="11"/>
  <c r="R1251" i="11"/>
  <c r="Q1251" i="11"/>
  <c r="P1251" i="11"/>
  <c r="O1251" i="11"/>
  <c r="R1250" i="11"/>
  <c r="Q1250" i="11"/>
  <c r="P1250" i="11"/>
  <c r="O1250" i="11"/>
  <c r="R1249" i="11"/>
  <c r="Q1249" i="11"/>
  <c r="P1249" i="11"/>
  <c r="O1249" i="11"/>
  <c r="R1248" i="11"/>
  <c r="Q1248" i="11"/>
  <c r="P1248" i="11"/>
  <c r="O1248" i="11"/>
  <c r="R1247" i="11"/>
  <c r="Q1247" i="11"/>
  <c r="P1247" i="11"/>
  <c r="O1247" i="11"/>
  <c r="R1246" i="11"/>
  <c r="Q1246" i="11"/>
  <c r="P1246" i="11"/>
  <c r="O1246" i="11"/>
  <c r="R1245" i="11"/>
  <c r="Q1245" i="11"/>
  <c r="P1245" i="11"/>
  <c r="O1245" i="11"/>
  <c r="R1244" i="11"/>
  <c r="Q1244" i="11"/>
  <c r="P1244" i="11"/>
  <c r="O1244" i="11"/>
  <c r="R1243" i="11"/>
  <c r="Q1243" i="11"/>
  <c r="P1243" i="11"/>
  <c r="O1243" i="11"/>
  <c r="R1242" i="11"/>
  <c r="Q1242" i="11"/>
  <c r="P1242" i="11"/>
  <c r="O1242" i="11"/>
  <c r="R1241" i="11"/>
  <c r="Q1241" i="11"/>
  <c r="P1241" i="11"/>
  <c r="O1241" i="11"/>
  <c r="R1240" i="11"/>
  <c r="Q1240" i="11"/>
  <c r="P1240" i="11"/>
  <c r="O1240" i="11"/>
  <c r="R1239" i="11"/>
  <c r="Q1239" i="11"/>
  <c r="P1239" i="11"/>
  <c r="O1239" i="11"/>
  <c r="R1238" i="11"/>
  <c r="Q1238" i="11"/>
  <c r="P1238" i="11"/>
  <c r="O1238" i="11"/>
  <c r="R1237" i="11"/>
  <c r="Q1237" i="11"/>
  <c r="P1237" i="11"/>
  <c r="O1237" i="11"/>
  <c r="R1236" i="11"/>
  <c r="Q1236" i="11"/>
  <c r="P1236" i="11"/>
  <c r="O1236" i="11"/>
  <c r="R1235" i="11"/>
  <c r="Q1235" i="11"/>
  <c r="P1235" i="11"/>
  <c r="O1235" i="11"/>
  <c r="R1234" i="11"/>
  <c r="Q1234" i="11"/>
  <c r="P1234" i="11"/>
  <c r="O1234" i="11"/>
  <c r="R1233" i="11"/>
  <c r="Q1233" i="11"/>
  <c r="P1233" i="11"/>
  <c r="O1233" i="11"/>
  <c r="R1232" i="11"/>
  <c r="Q1232" i="11"/>
  <c r="P1232" i="11"/>
  <c r="O1232" i="11"/>
  <c r="R1231" i="11"/>
  <c r="Q1231" i="11"/>
  <c r="P1231" i="11"/>
  <c r="O1231" i="11"/>
  <c r="R1230" i="11"/>
  <c r="Q1230" i="11"/>
  <c r="P1230" i="11"/>
  <c r="O1230" i="11"/>
  <c r="R1229" i="11"/>
  <c r="Q1229" i="11"/>
  <c r="P1229" i="11"/>
  <c r="O1229" i="11"/>
  <c r="R1228" i="11"/>
  <c r="Q1228" i="11"/>
  <c r="P1228" i="11"/>
  <c r="O1228" i="11"/>
  <c r="R1227" i="11"/>
  <c r="Q1227" i="11"/>
  <c r="P1227" i="11"/>
  <c r="O1227" i="11"/>
  <c r="R1226" i="11"/>
  <c r="Q1226" i="11"/>
  <c r="P1226" i="11"/>
  <c r="O1226" i="11"/>
  <c r="R1225" i="11"/>
  <c r="Q1225" i="11"/>
  <c r="P1225" i="11"/>
  <c r="O1225" i="11"/>
  <c r="R1224" i="11"/>
  <c r="Q1224" i="11"/>
  <c r="P1224" i="11"/>
  <c r="O1224" i="11"/>
  <c r="R1223" i="11"/>
  <c r="Q1223" i="11"/>
  <c r="P1223" i="11"/>
  <c r="O1223" i="11"/>
  <c r="R1222" i="11"/>
  <c r="Q1222" i="11"/>
  <c r="P1222" i="11"/>
  <c r="O1222" i="11"/>
  <c r="R1221" i="11"/>
  <c r="Q1221" i="11"/>
  <c r="P1221" i="11"/>
  <c r="O1221" i="11"/>
  <c r="R1220" i="11"/>
  <c r="Q1220" i="11"/>
  <c r="P1220" i="11"/>
  <c r="O1220" i="11"/>
  <c r="R1219" i="11"/>
  <c r="Q1219" i="11"/>
  <c r="P1219" i="11"/>
  <c r="O1219" i="11"/>
  <c r="R1218" i="11"/>
  <c r="Q1218" i="11"/>
  <c r="P1218" i="11"/>
  <c r="O1218" i="11"/>
  <c r="R1217" i="11"/>
  <c r="Q1217" i="11"/>
  <c r="P1217" i="11"/>
  <c r="O1217" i="11"/>
  <c r="R1216" i="11"/>
  <c r="Q1216" i="11"/>
  <c r="P1216" i="11"/>
  <c r="O1216" i="11"/>
  <c r="R1215" i="11"/>
  <c r="Q1215" i="11"/>
  <c r="P1215" i="11"/>
  <c r="O1215" i="11"/>
  <c r="R1214" i="11"/>
  <c r="Q1214" i="11"/>
  <c r="P1214" i="11"/>
  <c r="O1214" i="11"/>
  <c r="R1213" i="11"/>
  <c r="Q1213" i="11"/>
  <c r="P1213" i="11"/>
  <c r="O1213" i="11"/>
  <c r="R1212" i="11"/>
  <c r="Q1212" i="11"/>
  <c r="P1212" i="11"/>
  <c r="O1212" i="11"/>
  <c r="R1211" i="11"/>
  <c r="Q1211" i="11"/>
  <c r="P1211" i="11"/>
  <c r="O1211" i="11"/>
  <c r="R1210" i="11"/>
  <c r="Q1210" i="11"/>
  <c r="P1210" i="11"/>
  <c r="O1210" i="11"/>
  <c r="R1209" i="11"/>
  <c r="Q1209" i="11"/>
  <c r="P1209" i="11"/>
  <c r="O1209" i="11"/>
  <c r="R1208" i="11"/>
  <c r="Q1208" i="11"/>
  <c r="P1208" i="11"/>
  <c r="O1208" i="11"/>
  <c r="R1207" i="11"/>
  <c r="Q1207" i="11"/>
  <c r="P1207" i="11"/>
  <c r="O1207" i="11"/>
  <c r="R1206" i="11"/>
  <c r="Q1206" i="11"/>
  <c r="P1206" i="11"/>
  <c r="O1206" i="11"/>
  <c r="R1205" i="11"/>
  <c r="Q1205" i="11"/>
  <c r="P1205" i="11"/>
  <c r="O1205" i="11"/>
  <c r="R1204" i="11"/>
  <c r="Q1204" i="11"/>
  <c r="P1204" i="11"/>
  <c r="O1204" i="11"/>
  <c r="R1203" i="11"/>
  <c r="Q1203" i="11"/>
  <c r="P1203" i="11"/>
  <c r="O1203" i="11"/>
  <c r="R1202" i="11"/>
  <c r="Q1202" i="11"/>
  <c r="P1202" i="11"/>
  <c r="O1202" i="11"/>
  <c r="R1201" i="11"/>
  <c r="Q1201" i="11"/>
  <c r="P1201" i="11"/>
  <c r="O1201" i="11"/>
  <c r="R1200" i="11"/>
  <c r="Q1200" i="11"/>
  <c r="P1200" i="11"/>
  <c r="O1200" i="11"/>
  <c r="R1199" i="11"/>
  <c r="Q1199" i="11"/>
  <c r="P1199" i="11"/>
  <c r="O1199" i="11"/>
  <c r="R1198" i="11"/>
  <c r="Q1198" i="11"/>
  <c r="P1198" i="11"/>
  <c r="O1198" i="11"/>
  <c r="R1197" i="11"/>
  <c r="Q1197" i="11"/>
  <c r="P1197" i="11"/>
  <c r="O1197" i="11"/>
  <c r="R1196" i="11"/>
  <c r="Q1196" i="11"/>
  <c r="P1196" i="11"/>
  <c r="O1196" i="11"/>
  <c r="R1195" i="11"/>
  <c r="Q1195" i="11"/>
  <c r="P1195" i="11"/>
  <c r="O1195" i="11"/>
  <c r="R1194" i="11"/>
  <c r="Q1194" i="11"/>
  <c r="P1194" i="11"/>
  <c r="O1194" i="11"/>
  <c r="R1193" i="11"/>
  <c r="Q1193" i="11"/>
  <c r="P1193" i="11"/>
  <c r="O1193" i="11"/>
  <c r="R1192" i="11"/>
  <c r="Q1192" i="11"/>
  <c r="P1192" i="11"/>
  <c r="O1192" i="11"/>
  <c r="R1191" i="11"/>
  <c r="Q1191" i="11"/>
  <c r="P1191" i="11"/>
  <c r="O1191" i="11"/>
  <c r="R1190" i="11"/>
  <c r="Q1190" i="11"/>
  <c r="P1190" i="11"/>
  <c r="O1190" i="11"/>
  <c r="R1189" i="11"/>
  <c r="Q1189" i="11"/>
  <c r="P1189" i="11"/>
  <c r="O1189" i="11"/>
  <c r="R1188" i="11"/>
  <c r="Q1188" i="11"/>
  <c r="P1188" i="11"/>
  <c r="O1188" i="11"/>
  <c r="R1187" i="11"/>
  <c r="Q1187" i="11"/>
  <c r="P1187" i="11"/>
  <c r="O1187" i="11"/>
  <c r="R1186" i="11"/>
  <c r="Q1186" i="11"/>
  <c r="P1186" i="11"/>
  <c r="O1186" i="11"/>
  <c r="R1185" i="11"/>
  <c r="Q1185" i="11"/>
  <c r="P1185" i="11"/>
  <c r="O1185" i="11"/>
  <c r="R1184" i="11"/>
  <c r="Q1184" i="11"/>
  <c r="P1184" i="11"/>
  <c r="O1184" i="11"/>
  <c r="R1183" i="11"/>
  <c r="Q1183" i="11"/>
  <c r="P1183" i="11"/>
  <c r="O1183" i="11"/>
  <c r="R1182" i="11"/>
  <c r="Q1182" i="11"/>
  <c r="P1182" i="11"/>
  <c r="O1182" i="11"/>
  <c r="R1181" i="11"/>
  <c r="Q1181" i="11"/>
  <c r="P1181" i="11"/>
  <c r="O1181" i="11"/>
  <c r="R1180" i="11"/>
  <c r="Q1180" i="11"/>
  <c r="P1180" i="11"/>
  <c r="O1180" i="11"/>
  <c r="R1179" i="11"/>
  <c r="Q1179" i="11"/>
  <c r="P1179" i="11"/>
  <c r="O1179" i="11"/>
  <c r="R1178" i="11"/>
  <c r="Q1178" i="11"/>
  <c r="P1178" i="11"/>
  <c r="O1178" i="11"/>
  <c r="R1177" i="11"/>
  <c r="Q1177" i="11"/>
  <c r="P1177" i="11"/>
  <c r="O1177" i="11"/>
  <c r="R1176" i="11"/>
  <c r="Q1176" i="11"/>
  <c r="P1176" i="11"/>
  <c r="O1176" i="11"/>
  <c r="R1175" i="11"/>
  <c r="Q1175" i="11"/>
  <c r="P1175" i="11"/>
  <c r="O1175" i="11"/>
  <c r="R1174" i="11"/>
  <c r="Q1174" i="11"/>
  <c r="P1174" i="11"/>
  <c r="O1174" i="11"/>
  <c r="R1173" i="11"/>
  <c r="Q1173" i="11"/>
  <c r="P1173" i="11"/>
  <c r="O1173" i="11"/>
  <c r="R1172" i="11"/>
  <c r="Q1172" i="11"/>
  <c r="P1172" i="11"/>
  <c r="O1172" i="11"/>
  <c r="R1171" i="11"/>
  <c r="Q1171" i="11"/>
  <c r="P1171" i="11"/>
  <c r="O1171" i="11"/>
  <c r="R1170" i="11"/>
  <c r="Q1170" i="11"/>
  <c r="P1170" i="11"/>
  <c r="O1170" i="11"/>
  <c r="R1169" i="11"/>
  <c r="Q1169" i="11"/>
  <c r="P1169" i="11"/>
  <c r="O1169" i="11"/>
  <c r="R1168" i="11"/>
  <c r="Q1168" i="11"/>
  <c r="P1168" i="11"/>
  <c r="O1168" i="11"/>
  <c r="R1167" i="11"/>
  <c r="Q1167" i="11"/>
  <c r="P1167" i="11"/>
  <c r="O1167" i="11"/>
  <c r="R1166" i="11"/>
  <c r="Q1166" i="11"/>
  <c r="P1166" i="11"/>
  <c r="O1166" i="11"/>
  <c r="R1165" i="11"/>
  <c r="Q1165" i="11"/>
  <c r="P1165" i="11"/>
  <c r="O1165" i="11"/>
  <c r="R1164" i="11"/>
  <c r="Q1164" i="11"/>
  <c r="P1164" i="11"/>
  <c r="O1164" i="11"/>
  <c r="R1163" i="11"/>
  <c r="Q1163" i="11"/>
  <c r="P1163" i="11"/>
  <c r="O1163" i="11"/>
  <c r="R1162" i="11"/>
  <c r="Q1162" i="11"/>
  <c r="P1162" i="11"/>
  <c r="O1162" i="11"/>
  <c r="R1161" i="11"/>
  <c r="Q1161" i="11"/>
  <c r="P1161" i="11"/>
  <c r="O1161" i="11"/>
  <c r="R1160" i="11"/>
  <c r="Q1160" i="11"/>
  <c r="P1160" i="11"/>
  <c r="O1160" i="11"/>
  <c r="R1159" i="11"/>
  <c r="Q1159" i="11"/>
  <c r="P1159" i="11"/>
  <c r="O1159" i="11"/>
  <c r="R1158" i="11"/>
  <c r="Q1158" i="11"/>
  <c r="P1158" i="11"/>
  <c r="O1158" i="11"/>
  <c r="R1157" i="11"/>
  <c r="Q1157" i="11"/>
  <c r="P1157" i="11"/>
  <c r="O1157" i="11"/>
  <c r="R1156" i="11"/>
  <c r="Q1156" i="11"/>
  <c r="P1156" i="11"/>
  <c r="O1156" i="11"/>
  <c r="R1155" i="11"/>
  <c r="Q1155" i="11"/>
  <c r="P1155" i="11"/>
  <c r="O1155" i="11"/>
  <c r="R1154" i="11"/>
  <c r="Q1154" i="11"/>
  <c r="P1154" i="11"/>
  <c r="O1154" i="11"/>
  <c r="R1153" i="11"/>
  <c r="Q1153" i="11"/>
  <c r="P1153" i="11"/>
  <c r="O1153" i="11"/>
  <c r="R1152" i="11"/>
  <c r="Q1152" i="11"/>
  <c r="P1152" i="11"/>
  <c r="O1152" i="11"/>
  <c r="R1151" i="11"/>
  <c r="Q1151" i="11"/>
  <c r="P1151" i="11"/>
  <c r="O1151" i="11"/>
  <c r="R1150" i="11"/>
  <c r="Q1150" i="11"/>
  <c r="P1150" i="11"/>
  <c r="O1150" i="11"/>
  <c r="R1149" i="11"/>
  <c r="Q1149" i="11"/>
  <c r="P1149" i="11"/>
  <c r="O1149" i="11"/>
  <c r="R1148" i="11"/>
  <c r="Q1148" i="11"/>
  <c r="P1148" i="11"/>
  <c r="O1148" i="11"/>
  <c r="R1147" i="11"/>
  <c r="Q1147" i="11"/>
  <c r="P1147" i="11"/>
  <c r="O1147" i="11"/>
  <c r="R1146" i="11"/>
  <c r="Q1146" i="11"/>
  <c r="P1146" i="11"/>
  <c r="O1146" i="11"/>
  <c r="R1145" i="11"/>
  <c r="Q1145" i="11"/>
  <c r="P1145" i="11"/>
  <c r="O1145" i="11"/>
  <c r="R1144" i="11"/>
  <c r="Q1144" i="11"/>
  <c r="P1144" i="11"/>
  <c r="O1144" i="11"/>
  <c r="R1143" i="11"/>
  <c r="Q1143" i="11"/>
  <c r="P1143" i="11"/>
  <c r="O1143" i="11"/>
  <c r="R1142" i="11"/>
  <c r="Q1142" i="11"/>
  <c r="P1142" i="11"/>
  <c r="O1142" i="11"/>
  <c r="R1141" i="11"/>
  <c r="Q1141" i="11"/>
  <c r="P1141" i="11"/>
  <c r="O1141" i="11"/>
  <c r="R1140" i="11"/>
  <c r="Q1140" i="11"/>
  <c r="P1140" i="11"/>
  <c r="O1140" i="11"/>
  <c r="R1139" i="11"/>
  <c r="Q1139" i="11"/>
  <c r="P1139" i="11"/>
  <c r="O1139" i="11"/>
  <c r="R1138" i="11"/>
  <c r="Q1138" i="11"/>
  <c r="P1138" i="11"/>
  <c r="O1138" i="11"/>
  <c r="R1137" i="11"/>
  <c r="Q1137" i="11"/>
  <c r="P1137" i="11"/>
  <c r="O1137" i="11"/>
  <c r="R1136" i="11"/>
  <c r="Q1136" i="11"/>
  <c r="P1136" i="11"/>
  <c r="O1136" i="11"/>
  <c r="R1135" i="11"/>
  <c r="Q1135" i="11"/>
  <c r="P1135" i="11"/>
  <c r="O1135" i="11"/>
  <c r="R1134" i="11"/>
  <c r="Q1134" i="11"/>
  <c r="P1134" i="11"/>
  <c r="O1134" i="11"/>
  <c r="R1133" i="11"/>
  <c r="Q1133" i="11"/>
  <c r="P1133" i="11"/>
  <c r="O1133" i="11"/>
  <c r="R1132" i="11"/>
  <c r="Q1132" i="11"/>
  <c r="P1132" i="11"/>
  <c r="O1132" i="11"/>
  <c r="R1131" i="11"/>
  <c r="Q1131" i="11"/>
  <c r="P1131" i="11"/>
  <c r="O1131" i="11"/>
  <c r="R1130" i="11"/>
  <c r="Q1130" i="11"/>
  <c r="P1130" i="11"/>
  <c r="O1130" i="11"/>
  <c r="R1129" i="11"/>
  <c r="Q1129" i="11"/>
  <c r="P1129" i="11"/>
  <c r="O1129" i="11"/>
  <c r="R1128" i="11"/>
  <c r="Q1128" i="11"/>
  <c r="P1128" i="11"/>
  <c r="O1128" i="11"/>
  <c r="R1127" i="11"/>
  <c r="Q1127" i="11"/>
  <c r="P1127" i="11"/>
  <c r="O1127" i="11"/>
  <c r="R1126" i="11"/>
  <c r="Q1126" i="11"/>
  <c r="P1126" i="11"/>
  <c r="O1126" i="11"/>
  <c r="R1125" i="11"/>
  <c r="Q1125" i="11"/>
  <c r="P1125" i="11"/>
  <c r="O1125" i="11"/>
  <c r="R1124" i="11"/>
  <c r="Q1124" i="11"/>
  <c r="P1124" i="11"/>
  <c r="O1124" i="11"/>
  <c r="R1123" i="11"/>
  <c r="Q1123" i="11"/>
  <c r="P1123" i="11"/>
  <c r="O1123" i="11"/>
  <c r="R1122" i="11"/>
  <c r="Q1122" i="11"/>
  <c r="P1122" i="11"/>
  <c r="O1122" i="11"/>
  <c r="R1121" i="11"/>
  <c r="Q1121" i="11"/>
  <c r="P1121" i="11"/>
  <c r="O1121" i="11"/>
  <c r="R1120" i="11"/>
  <c r="Q1120" i="11"/>
  <c r="P1120" i="11"/>
  <c r="O1120" i="11"/>
  <c r="R1119" i="11"/>
  <c r="Q1119" i="11"/>
  <c r="P1119" i="11"/>
  <c r="O1119" i="11"/>
  <c r="R1118" i="11"/>
  <c r="Q1118" i="11"/>
  <c r="P1118" i="11"/>
  <c r="O1118" i="11"/>
  <c r="R1117" i="11"/>
  <c r="Q1117" i="11"/>
  <c r="P1117" i="11"/>
  <c r="O1117" i="11"/>
  <c r="R1116" i="11"/>
  <c r="Q1116" i="11"/>
  <c r="P1116" i="11"/>
  <c r="O1116" i="11"/>
  <c r="R1115" i="11"/>
  <c r="Q1115" i="11"/>
  <c r="P1115" i="11"/>
  <c r="O1115" i="11"/>
  <c r="R1114" i="11"/>
  <c r="Q1114" i="11"/>
  <c r="P1114" i="11"/>
  <c r="O1114" i="11"/>
  <c r="R1113" i="11"/>
  <c r="Q1113" i="11"/>
  <c r="P1113" i="11"/>
  <c r="O1113" i="11"/>
  <c r="R1112" i="11"/>
  <c r="Q1112" i="11"/>
  <c r="P1112" i="11"/>
  <c r="O1112" i="11"/>
  <c r="R1111" i="11"/>
  <c r="Q1111" i="11"/>
  <c r="P1111" i="11"/>
  <c r="O1111" i="11"/>
  <c r="R1110" i="11"/>
  <c r="Q1110" i="11"/>
  <c r="P1110" i="11"/>
  <c r="O1110" i="11"/>
  <c r="R1109" i="11"/>
  <c r="Q1109" i="11"/>
  <c r="P1109" i="11"/>
  <c r="O1109" i="11"/>
  <c r="R1108" i="11"/>
  <c r="Q1108" i="11"/>
  <c r="P1108" i="11"/>
  <c r="O1108" i="11"/>
  <c r="R1107" i="11"/>
  <c r="Q1107" i="11"/>
  <c r="P1107" i="11"/>
  <c r="O1107" i="11"/>
  <c r="R1106" i="11"/>
  <c r="Q1106" i="11"/>
  <c r="P1106" i="11"/>
  <c r="O1106" i="11"/>
  <c r="R1105" i="11"/>
  <c r="Q1105" i="11"/>
  <c r="P1105" i="11"/>
  <c r="O1105" i="11"/>
  <c r="R1104" i="11"/>
  <c r="Q1104" i="11"/>
  <c r="P1104" i="11"/>
  <c r="O1104" i="11"/>
  <c r="R1103" i="11"/>
  <c r="Q1103" i="11"/>
  <c r="P1103" i="11"/>
  <c r="O1103" i="11"/>
  <c r="R1102" i="11"/>
  <c r="Q1102" i="11"/>
  <c r="P1102" i="11"/>
  <c r="O1102" i="11"/>
  <c r="R1101" i="11"/>
  <c r="Q1101" i="11"/>
  <c r="P1101" i="11"/>
  <c r="O1101" i="11"/>
  <c r="R1100" i="11"/>
  <c r="Q1100" i="11"/>
  <c r="P1100" i="11"/>
  <c r="O1100" i="11"/>
  <c r="R1099" i="11"/>
  <c r="Q1099" i="11"/>
  <c r="P1099" i="11"/>
  <c r="O1099" i="11"/>
  <c r="R1098" i="11"/>
  <c r="Q1098" i="11"/>
  <c r="P1098" i="11"/>
  <c r="O1098" i="11"/>
  <c r="R1097" i="11"/>
  <c r="Q1097" i="11"/>
  <c r="P1097" i="11"/>
  <c r="O1097" i="11"/>
  <c r="R1096" i="11"/>
  <c r="Q1096" i="11"/>
  <c r="P1096" i="11"/>
  <c r="O1096" i="11"/>
  <c r="R1095" i="11"/>
  <c r="Q1095" i="11"/>
  <c r="P1095" i="11"/>
  <c r="O1095" i="11"/>
  <c r="R1094" i="11"/>
  <c r="Q1094" i="11"/>
  <c r="P1094" i="11"/>
  <c r="O1094" i="11"/>
  <c r="R1093" i="11"/>
  <c r="Q1093" i="11"/>
  <c r="P1093" i="11"/>
  <c r="O1093" i="11"/>
  <c r="R1092" i="11"/>
  <c r="Q1092" i="11"/>
  <c r="P1092" i="11"/>
  <c r="O1092" i="11"/>
  <c r="R1091" i="11"/>
  <c r="Q1091" i="11"/>
  <c r="P1091" i="11"/>
  <c r="O1091" i="11"/>
  <c r="R1090" i="11"/>
  <c r="Q1090" i="11"/>
  <c r="P1090" i="11"/>
  <c r="O1090" i="11"/>
  <c r="R1089" i="11"/>
  <c r="Q1089" i="11"/>
  <c r="P1089" i="11"/>
  <c r="O1089" i="11"/>
  <c r="R1088" i="11"/>
  <c r="Q1088" i="11"/>
  <c r="P1088" i="11"/>
  <c r="O1088" i="11"/>
  <c r="R1087" i="11"/>
  <c r="Q1087" i="11"/>
  <c r="P1087" i="11"/>
  <c r="O1087" i="11"/>
  <c r="R1086" i="11"/>
  <c r="Q1086" i="11"/>
  <c r="P1086" i="11"/>
  <c r="O1086" i="11"/>
  <c r="R1085" i="11"/>
  <c r="Q1085" i="11"/>
  <c r="P1085" i="11"/>
  <c r="O1085" i="11"/>
  <c r="R1084" i="11"/>
  <c r="Q1084" i="11"/>
  <c r="P1084" i="11"/>
  <c r="O1084" i="11"/>
  <c r="R1083" i="11"/>
  <c r="Q1083" i="11"/>
  <c r="P1083" i="11"/>
  <c r="O1083" i="11"/>
  <c r="R1082" i="11"/>
  <c r="Q1082" i="11"/>
  <c r="P1082" i="11"/>
  <c r="O1082" i="11"/>
  <c r="R1081" i="11"/>
  <c r="Q1081" i="11"/>
  <c r="P1081" i="11"/>
  <c r="O1081" i="11"/>
  <c r="R1080" i="11"/>
  <c r="Q1080" i="11"/>
  <c r="P1080" i="11"/>
  <c r="O1080" i="11"/>
  <c r="R1079" i="11"/>
  <c r="Q1079" i="11"/>
  <c r="P1079" i="11"/>
  <c r="O1079" i="11"/>
  <c r="R1078" i="11"/>
  <c r="Q1078" i="11"/>
  <c r="P1078" i="11"/>
  <c r="O1078" i="11"/>
  <c r="R1077" i="11"/>
  <c r="Q1077" i="11"/>
  <c r="P1077" i="11"/>
  <c r="O1077" i="11"/>
  <c r="R1076" i="11"/>
  <c r="Q1076" i="11"/>
  <c r="P1076" i="11"/>
  <c r="O1076" i="11"/>
  <c r="R1075" i="11"/>
  <c r="Q1075" i="11"/>
  <c r="P1075" i="11"/>
  <c r="O1075" i="11"/>
  <c r="R1074" i="11"/>
  <c r="Q1074" i="11"/>
  <c r="P1074" i="11"/>
  <c r="O1074" i="11"/>
  <c r="R1073" i="11"/>
  <c r="Q1073" i="11"/>
  <c r="P1073" i="11"/>
  <c r="O1073" i="11"/>
  <c r="R1072" i="11"/>
  <c r="Q1072" i="11"/>
  <c r="P1072" i="11"/>
  <c r="O1072" i="11"/>
  <c r="R1071" i="11"/>
  <c r="Q1071" i="11"/>
  <c r="P1071" i="11"/>
  <c r="O1071" i="11"/>
  <c r="R1070" i="11"/>
  <c r="Q1070" i="11"/>
  <c r="P1070" i="11"/>
  <c r="O1070" i="11"/>
  <c r="R1069" i="11"/>
  <c r="Q1069" i="11"/>
  <c r="P1069" i="11"/>
  <c r="O1069" i="11"/>
  <c r="R1068" i="11"/>
  <c r="Q1068" i="11"/>
  <c r="P1068" i="11"/>
  <c r="O1068" i="11"/>
  <c r="R1067" i="11"/>
  <c r="Q1067" i="11"/>
  <c r="P1067" i="11"/>
  <c r="O1067" i="11"/>
  <c r="R1066" i="11"/>
  <c r="Q1066" i="11"/>
  <c r="P1066" i="11"/>
  <c r="O1066" i="11"/>
  <c r="R1065" i="11"/>
  <c r="Q1065" i="11"/>
  <c r="P1065" i="11"/>
  <c r="O1065" i="11"/>
  <c r="R1064" i="11"/>
  <c r="Q1064" i="11"/>
  <c r="P1064" i="11"/>
  <c r="O1064" i="11"/>
  <c r="R1063" i="11"/>
  <c r="Q1063" i="11"/>
  <c r="P1063" i="11"/>
  <c r="O1063" i="11"/>
  <c r="R1062" i="11"/>
  <c r="Q1062" i="11"/>
  <c r="P1062" i="11"/>
  <c r="O1062" i="11"/>
  <c r="R1061" i="11"/>
  <c r="Q1061" i="11"/>
  <c r="P1061" i="11"/>
  <c r="O1061" i="11"/>
  <c r="R1060" i="11"/>
  <c r="Q1060" i="11"/>
  <c r="P1060" i="11"/>
  <c r="O1060" i="11"/>
  <c r="R1059" i="11"/>
  <c r="Q1059" i="11"/>
  <c r="P1059" i="11"/>
  <c r="O1059" i="11"/>
  <c r="R1058" i="11"/>
  <c r="Q1058" i="11"/>
  <c r="P1058" i="11"/>
  <c r="O1058" i="11"/>
  <c r="R1057" i="11"/>
  <c r="Q1057" i="11"/>
  <c r="P1057" i="11"/>
  <c r="O1057" i="11"/>
  <c r="R1056" i="11"/>
  <c r="Q1056" i="11"/>
  <c r="P1056" i="11"/>
  <c r="O1056" i="11"/>
  <c r="R1055" i="11"/>
  <c r="Q1055" i="11"/>
  <c r="P1055" i="11"/>
  <c r="O1055" i="11"/>
  <c r="R1054" i="11"/>
  <c r="Q1054" i="11"/>
  <c r="P1054" i="11"/>
  <c r="O1054" i="11"/>
  <c r="R1053" i="11"/>
  <c r="Q1053" i="11"/>
  <c r="P1053" i="11"/>
  <c r="O1053" i="11"/>
  <c r="R1052" i="11"/>
  <c r="Q1052" i="11"/>
  <c r="P1052" i="11"/>
  <c r="O1052" i="11"/>
  <c r="R1051" i="11"/>
  <c r="Q1051" i="11"/>
  <c r="P1051" i="11"/>
  <c r="O1051" i="11"/>
  <c r="R1050" i="11"/>
  <c r="Q1050" i="11"/>
  <c r="P1050" i="11"/>
  <c r="O1050" i="11"/>
  <c r="R1049" i="11"/>
  <c r="Q1049" i="11"/>
  <c r="P1049" i="11"/>
  <c r="O1049" i="11"/>
  <c r="R1048" i="11"/>
  <c r="Q1048" i="11"/>
  <c r="P1048" i="11"/>
  <c r="O1048" i="11"/>
  <c r="R1047" i="11"/>
  <c r="Q1047" i="11"/>
  <c r="P1047" i="11"/>
  <c r="O1047" i="11"/>
  <c r="R1046" i="11"/>
  <c r="Q1046" i="11"/>
  <c r="P1046" i="11"/>
  <c r="O1046" i="11"/>
  <c r="R1045" i="11"/>
  <c r="Q1045" i="11"/>
  <c r="P1045" i="11"/>
  <c r="O1045" i="11"/>
  <c r="R1044" i="11"/>
  <c r="Q1044" i="11"/>
  <c r="P1044" i="11"/>
  <c r="O1044" i="11"/>
  <c r="R1043" i="11"/>
  <c r="Q1043" i="11"/>
  <c r="P1043" i="11"/>
  <c r="O1043" i="11"/>
  <c r="R1042" i="11"/>
  <c r="Q1042" i="11"/>
  <c r="P1042" i="11"/>
  <c r="O1042" i="11"/>
  <c r="R1041" i="11"/>
  <c r="Q1041" i="11"/>
  <c r="P1041" i="11"/>
  <c r="O1041" i="11"/>
  <c r="R1040" i="11"/>
  <c r="Q1040" i="11"/>
  <c r="P1040" i="11"/>
  <c r="O1040" i="11"/>
  <c r="R1039" i="11"/>
  <c r="Q1039" i="11"/>
  <c r="P1039" i="11"/>
  <c r="O1039" i="11"/>
  <c r="R1038" i="11"/>
  <c r="Q1038" i="11"/>
  <c r="P1038" i="11"/>
  <c r="O1038" i="11"/>
  <c r="R1037" i="11"/>
  <c r="Q1037" i="11"/>
  <c r="P1037" i="11"/>
  <c r="O1037" i="11"/>
  <c r="R1036" i="11"/>
  <c r="Q1036" i="11"/>
  <c r="P1036" i="11"/>
  <c r="O1036" i="11"/>
  <c r="R1035" i="11"/>
  <c r="Q1035" i="11"/>
  <c r="P1035" i="11"/>
  <c r="O1035" i="11"/>
  <c r="R1034" i="11"/>
  <c r="Q1034" i="11"/>
  <c r="P1034" i="11"/>
  <c r="O1034" i="11"/>
  <c r="R1033" i="11"/>
  <c r="Q1033" i="11"/>
  <c r="P1033" i="11"/>
  <c r="O1033" i="11"/>
  <c r="R1032" i="11"/>
  <c r="Q1032" i="11"/>
  <c r="P1032" i="11"/>
  <c r="O1032" i="11"/>
  <c r="R1031" i="11"/>
  <c r="Q1031" i="11"/>
  <c r="P1031" i="11"/>
  <c r="O1031" i="11"/>
  <c r="R1030" i="11"/>
  <c r="Q1030" i="11"/>
  <c r="P1030" i="11"/>
  <c r="O1030" i="11"/>
  <c r="R1029" i="11"/>
  <c r="Q1029" i="11"/>
  <c r="P1029" i="11"/>
  <c r="O1029" i="11"/>
  <c r="R1028" i="11"/>
  <c r="Q1028" i="11"/>
  <c r="P1028" i="11"/>
  <c r="O1028" i="11"/>
  <c r="R1027" i="11"/>
  <c r="Q1027" i="11"/>
  <c r="P1027" i="11"/>
  <c r="O1027" i="11"/>
  <c r="R1026" i="11"/>
  <c r="Q1026" i="11"/>
  <c r="P1026" i="11"/>
  <c r="O1026" i="11"/>
  <c r="R1025" i="11"/>
  <c r="Q1025" i="11"/>
  <c r="P1025" i="11"/>
  <c r="O1025" i="11"/>
  <c r="R1024" i="11"/>
  <c r="Q1024" i="11"/>
  <c r="P1024" i="11"/>
  <c r="O1024" i="11"/>
  <c r="R1023" i="11"/>
  <c r="Q1023" i="11"/>
  <c r="P1023" i="11"/>
  <c r="O1023" i="11"/>
  <c r="R1022" i="11"/>
  <c r="Q1022" i="11"/>
  <c r="P1022" i="11"/>
  <c r="O1022" i="11"/>
  <c r="R1021" i="11"/>
  <c r="Q1021" i="11"/>
  <c r="P1021" i="11"/>
  <c r="O1021" i="11"/>
  <c r="R1020" i="11"/>
  <c r="Q1020" i="11"/>
  <c r="P1020" i="11"/>
  <c r="O1020" i="11"/>
  <c r="R1019" i="11"/>
  <c r="Q1019" i="11"/>
  <c r="P1019" i="11"/>
  <c r="O1019" i="11"/>
  <c r="R1018" i="11"/>
  <c r="Q1018" i="11"/>
  <c r="P1018" i="11"/>
  <c r="O1018" i="11"/>
  <c r="R1017" i="11"/>
  <c r="Q1017" i="11"/>
  <c r="P1017" i="11"/>
  <c r="O1017" i="11"/>
  <c r="R1016" i="11"/>
  <c r="Q1016" i="11"/>
  <c r="P1016" i="11"/>
  <c r="O1016" i="11"/>
  <c r="R1015" i="11"/>
  <c r="Q1015" i="11"/>
  <c r="P1015" i="11"/>
  <c r="O1015" i="11"/>
  <c r="R1014" i="11"/>
  <c r="Q1014" i="11"/>
  <c r="P1014" i="11"/>
  <c r="O1014" i="11"/>
  <c r="R1013" i="11"/>
  <c r="Q1013" i="11"/>
  <c r="P1013" i="11"/>
  <c r="O1013" i="11"/>
  <c r="R1012" i="11"/>
  <c r="Q1012" i="11"/>
  <c r="P1012" i="11"/>
  <c r="O1012" i="11"/>
  <c r="R1011" i="11"/>
  <c r="Q1011" i="11"/>
  <c r="P1011" i="11"/>
  <c r="O1011" i="11"/>
  <c r="R1010" i="11"/>
  <c r="Q1010" i="11"/>
  <c r="P1010" i="11"/>
  <c r="O1010" i="11"/>
  <c r="R1009" i="11"/>
  <c r="Q1009" i="11"/>
  <c r="P1009" i="11"/>
  <c r="O1009" i="11"/>
  <c r="R1008" i="11"/>
  <c r="Q1008" i="11"/>
  <c r="P1008" i="11"/>
  <c r="O1008" i="11"/>
  <c r="R1007" i="11"/>
  <c r="Q1007" i="11"/>
  <c r="P1007" i="11"/>
  <c r="O1007" i="11"/>
  <c r="R1006" i="11"/>
  <c r="Q1006" i="11"/>
  <c r="P1006" i="11"/>
  <c r="O1006" i="11"/>
  <c r="R1005" i="11"/>
  <c r="Q1005" i="11"/>
  <c r="P1005" i="11"/>
  <c r="O1005" i="11"/>
  <c r="R1004" i="11"/>
  <c r="Q1004" i="11"/>
  <c r="P1004" i="11"/>
  <c r="O1004" i="11"/>
  <c r="R1003" i="11"/>
  <c r="Q1003" i="11"/>
  <c r="P1003" i="11"/>
  <c r="O1003" i="11"/>
  <c r="R1002" i="11"/>
  <c r="Q1002" i="11"/>
  <c r="P1002" i="11"/>
  <c r="O1002" i="11"/>
  <c r="R1001" i="11"/>
  <c r="Q1001" i="11"/>
  <c r="P1001" i="11"/>
  <c r="O1001" i="11"/>
  <c r="R1000" i="11"/>
  <c r="Q1000" i="11"/>
  <c r="P1000" i="11"/>
  <c r="O1000" i="11"/>
  <c r="R999" i="11"/>
  <c r="Q999" i="11"/>
  <c r="P999" i="11"/>
  <c r="O999" i="11"/>
  <c r="R998" i="11"/>
  <c r="Q998" i="11"/>
  <c r="P998" i="11"/>
  <c r="O998" i="11"/>
  <c r="R997" i="11"/>
  <c r="Q997" i="11"/>
  <c r="P997" i="11"/>
  <c r="O997" i="11"/>
  <c r="R996" i="11"/>
  <c r="Q996" i="11"/>
  <c r="P996" i="11"/>
  <c r="O996" i="11"/>
  <c r="R995" i="11"/>
  <c r="Q995" i="11"/>
  <c r="P995" i="11"/>
  <c r="O995" i="11"/>
  <c r="R994" i="11"/>
  <c r="Q994" i="11"/>
  <c r="P994" i="11"/>
  <c r="O994" i="11"/>
  <c r="R993" i="11"/>
  <c r="Q993" i="11"/>
  <c r="P993" i="11"/>
  <c r="O993" i="11"/>
  <c r="R992" i="11"/>
  <c r="Q992" i="11"/>
  <c r="P992" i="11"/>
  <c r="O992" i="11"/>
  <c r="R991" i="11"/>
  <c r="Q991" i="11"/>
  <c r="P991" i="11"/>
  <c r="O991" i="11"/>
  <c r="R990" i="11"/>
  <c r="Q990" i="11"/>
  <c r="P990" i="11"/>
  <c r="O990" i="11"/>
  <c r="R989" i="11"/>
  <c r="Q989" i="11"/>
  <c r="P989" i="11"/>
  <c r="O989" i="11"/>
  <c r="R988" i="11"/>
  <c r="Q988" i="11"/>
  <c r="P988" i="11"/>
  <c r="O988" i="11"/>
  <c r="R987" i="11"/>
  <c r="Q987" i="11"/>
  <c r="P987" i="11"/>
  <c r="O987" i="11"/>
  <c r="R986" i="11"/>
  <c r="Q986" i="11"/>
  <c r="P986" i="11"/>
  <c r="O986" i="11"/>
  <c r="R985" i="11"/>
  <c r="Q985" i="11"/>
  <c r="P985" i="11"/>
  <c r="O985" i="11"/>
  <c r="R984" i="11"/>
  <c r="Q984" i="11"/>
  <c r="P984" i="11"/>
  <c r="O984" i="11"/>
  <c r="R983" i="11"/>
  <c r="Q983" i="11"/>
  <c r="P983" i="11"/>
  <c r="O983" i="11"/>
  <c r="R982" i="11"/>
  <c r="Q982" i="11"/>
  <c r="P982" i="11"/>
  <c r="O982" i="11"/>
  <c r="R981" i="11"/>
  <c r="Q981" i="11"/>
  <c r="P981" i="11"/>
  <c r="O981" i="11"/>
  <c r="R980" i="11"/>
  <c r="Q980" i="11"/>
  <c r="P980" i="11"/>
  <c r="O980" i="11"/>
  <c r="R979" i="11"/>
  <c r="Q979" i="11"/>
  <c r="P979" i="11"/>
  <c r="O979" i="11"/>
  <c r="R978" i="11"/>
  <c r="Q978" i="11"/>
  <c r="P978" i="11"/>
  <c r="O978" i="11"/>
  <c r="R977" i="11"/>
  <c r="Q977" i="11"/>
  <c r="P977" i="11"/>
  <c r="O977" i="11"/>
  <c r="R976" i="11"/>
  <c r="Q976" i="11"/>
  <c r="P976" i="11"/>
  <c r="O976" i="11"/>
  <c r="R975" i="11"/>
  <c r="Q975" i="11"/>
  <c r="P975" i="11"/>
  <c r="O975" i="11"/>
  <c r="R974" i="11"/>
  <c r="Q974" i="11"/>
  <c r="P974" i="11"/>
  <c r="O974" i="11"/>
  <c r="R973" i="11"/>
  <c r="Q973" i="11"/>
  <c r="P973" i="11"/>
  <c r="O973" i="11"/>
  <c r="R972" i="11"/>
  <c r="Q972" i="11"/>
  <c r="P972" i="11"/>
  <c r="O972" i="11"/>
  <c r="R971" i="11"/>
  <c r="Q971" i="11"/>
  <c r="P971" i="11"/>
  <c r="O971" i="11"/>
  <c r="R970" i="11"/>
  <c r="Q970" i="11"/>
  <c r="P970" i="11"/>
  <c r="O970" i="11"/>
  <c r="R969" i="11"/>
  <c r="Q969" i="11"/>
  <c r="P969" i="11"/>
  <c r="O969" i="11"/>
  <c r="R968" i="11"/>
  <c r="Q968" i="11"/>
  <c r="P968" i="11"/>
  <c r="O968" i="11"/>
  <c r="R967" i="11"/>
  <c r="Q967" i="11"/>
  <c r="P967" i="11"/>
  <c r="O967" i="11"/>
  <c r="R966" i="11"/>
  <c r="Q966" i="11"/>
  <c r="P966" i="11"/>
  <c r="O966" i="11"/>
  <c r="R965" i="11"/>
  <c r="Q965" i="11"/>
  <c r="P965" i="11"/>
  <c r="O965" i="11"/>
  <c r="R964" i="11"/>
  <c r="Q964" i="11"/>
  <c r="P964" i="11"/>
  <c r="O964" i="11"/>
  <c r="R963" i="11"/>
  <c r="Q963" i="11"/>
  <c r="P963" i="11"/>
  <c r="O963" i="11"/>
  <c r="R962" i="11"/>
  <c r="Q962" i="11"/>
  <c r="P962" i="11"/>
  <c r="O962" i="11"/>
  <c r="R961" i="11"/>
  <c r="Q961" i="11"/>
  <c r="P961" i="11"/>
  <c r="O961" i="11"/>
  <c r="R960" i="11"/>
  <c r="Q960" i="11"/>
  <c r="P960" i="11"/>
  <c r="O960" i="11"/>
  <c r="R959" i="11"/>
  <c r="Q959" i="11"/>
  <c r="P959" i="11"/>
  <c r="O959" i="11"/>
  <c r="R958" i="11"/>
  <c r="Q958" i="11"/>
  <c r="P958" i="11"/>
  <c r="O958" i="11"/>
  <c r="R957" i="11"/>
  <c r="Q957" i="11"/>
  <c r="P957" i="11"/>
  <c r="O957" i="11"/>
  <c r="R956" i="11"/>
  <c r="Q956" i="11"/>
  <c r="P956" i="11"/>
  <c r="O956" i="11"/>
  <c r="R955" i="11"/>
  <c r="Q955" i="11"/>
  <c r="P955" i="11"/>
  <c r="O955" i="11"/>
  <c r="R954" i="11"/>
  <c r="Q954" i="11"/>
  <c r="P954" i="11"/>
  <c r="O954" i="11"/>
  <c r="R953" i="11"/>
  <c r="Q953" i="11"/>
  <c r="P953" i="11"/>
  <c r="O953" i="11"/>
  <c r="R952" i="11"/>
  <c r="Q952" i="11"/>
  <c r="P952" i="11"/>
  <c r="O952" i="11"/>
  <c r="R951" i="11"/>
  <c r="Q951" i="11"/>
  <c r="P951" i="11"/>
  <c r="O951" i="11"/>
  <c r="R950" i="11"/>
  <c r="Q950" i="11"/>
  <c r="P950" i="11"/>
  <c r="O950" i="11"/>
  <c r="R949" i="11"/>
  <c r="Q949" i="11"/>
  <c r="P949" i="11"/>
  <c r="O949" i="11"/>
  <c r="R948" i="11"/>
  <c r="Q948" i="11"/>
  <c r="P948" i="11"/>
  <c r="O948" i="11"/>
  <c r="R947" i="11"/>
  <c r="Q947" i="11"/>
  <c r="P947" i="11"/>
  <c r="O947" i="11"/>
  <c r="R946" i="11"/>
  <c r="Q946" i="11"/>
  <c r="P946" i="11"/>
  <c r="O946" i="11"/>
  <c r="R945" i="11"/>
  <c r="Q945" i="11"/>
  <c r="P945" i="11"/>
  <c r="O945" i="11"/>
  <c r="R944" i="11"/>
  <c r="Q944" i="11"/>
  <c r="P944" i="11"/>
  <c r="O944" i="11"/>
  <c r="R943" i="11"/>
  <c r="Q943" i="11"/>
  <c r="P943" i="11"/>
  <c r="O943" i="11"/>
  <c r="R942" i="11"/>
  <c r="Q942" i="11"/>
  <c r="P942" i="11"/>
  <c r="O942" i="11"/>
  <c r="R941" i="11"/>
  <c r="Q941" i="11"/>
  <c r="P941" i="11"/>
  <c r="O941" i="11"/>
  <c r="R940" i="11"/>
  <c r="Q940" i="11"/>
  <c r="P940" i="11"/>
  <c r="O940" i="11"/>
  <c r="R939" i="11"/>
  <c r="Q939" i="11"/>
  <c r="P939" i="11"/>
  <c r="O939" i="11"/>
  <c r="R938" i="11"/>
  <c r="Q938" i="11"/>
  <c r="P938" i="11"/>
  <c r="O938" i="11"/>
  <c r="R937" i="11"/>
  <c r="Q937" i="11"/>
  <c r="P937" i="11"/>
  <c r="O937" i="11"/>
  <c r="R936" i="11"/>
  <c r="Q936" i="11"/>
  <c r="P936" i="11"/>
  <c r="O936" i="11"/>
  <c r="R935" i="11"/>
  <c r="Q935" i="11"/>
  <c r="P935" i="11"/>
  <c r="O935" i="11"/>
  <c r="R934" i="11"/>
  <c r="Q934" i="11"/>
  <c r="P934" i="11"/>
  <c r="O934" i="11"/>
  <c r="R933" i="11"/>
  <c r="Q933" i="11"/>
  <c r="P933" i="11"/>
  <c r="O933" i="11"/>
  <c r="R932" i="11"/>
  <c r="Q932" i="11"/>
  <c r="P932" i="11"/>
  <c r="O932" i="11"/>
  <c r="R931" i="11"/>
  <c r="Q931" i="11"/>
  <c r="P931" i="11"/>
  <c r="O931" i="11"/>
  <c r="R930" i="11"/>
  <c r="Q930" i="11"/>
  <c r="P930" i="11"/>
  <c r="O930" i="11"/>
  <c r="R929" i="11"/>
  <c r="Q929" i="11"/>
  <c r="P929" i="11"/>
  <c r="O929" i="11"/>
  <c r="R928" i="11"/>
  <c r="Q928" i="11"/>
  <c r="P928" i="11"/>
  <c r="O928" i="11"/>
  <c r="R927" i="11"/>
  <c r="Q927" i="11"/>
  <c r="P927" i="11"/>
  <c r="O927" i="11"/>
  <c r="R926" i="11"/>
  <c r="Q926" i="11"/>
  <c r="P926" i="11"/>
  <c r="O926" i="11"/>
  <c r="R925" i="11"/>
  <c r="Q925" i="11"/>
  <c r="P925" i="11"/>
  <c r="O925" i="11"/>
  <c r="R924" i="11"/>
  <c r="Q924" i="11"/>
  <c r="P924" i="11"/>
  <c r="O924" i="11"/>
  <c r="R923" i="11"/>
  <c r="Q923" i="11"/>
  <c r="P923" i="11"/>
  <c r="O923" i="11"/>
  <c r="R922" i="11"/>
  <c r="Q922" i="11"/>
  <c r="P922" i="11"/>
  <c r="O922" i="11"/>
  <c r="R921" i="11"/>
  <c r="Q921" i="11"/>
  <c r="P921" i="11"/>
  <c r="O921" i="11"/>
  <c r="R920" i="11"/>
  <c r="Q920" i="11"/>
  <c r="P920" i="11"/>
  <c r="O920" i="11"/>
  <c r="R919" i="11"/>
  <c r="Q919" i="11"/>
  <c r="P919" i="11"/>
  <c r="O919" i="11"/>
  <c r="R918" i="11"/>
  <c r="Q918" i="11"/>
  <c r="P918" i="11"/>
  <c r="O918" i="11"/>
  <c r="R917" i="11"/>
  <c r="Q917" i="11"/>
  <c r="P917" i="11"/>
  <c r="O917" i="11"/>
  <c r="R916" i="11"/>
  <c r="Q916" i="11"/>
  <c r="P916" i="11"/>
  <c r="O916" i="11"/>
  <c r="R915" i="11"/>
  <c r="Q915" i="11"/>
  <c r="P915" i="11"/>
  <c r="O915" i="11"/>
  <c r="R914" i="11"/>
  <c r="Q914" i="11"/>
  <c r="P914" i="11"/>
  <c r="O914" i="11"/>
  <c r="R913" i="11"/>
  <c r="Q913" i="11"/>
  <c r="P913" i="11"/>
  <c r="O913" i="11"/>
  <c r="R912" i="11"/>
  <c r="Q912" i="11"/>
  <c r="P912" i="11"/>
  <c r="O912" i="11"/>
  <c r="R911" i="11"/>
  <c r="Q911" i="11"/>
  <c r="P911" i="11"/>
  <c r="O911" i="11"/>
  <c r="R910" i="11"/>
  <c r="Q910" i="11"/>
  <c r="P910" i="11"/>
  <c r="O910" i="11"/>
  <c r="R909" i="11"/>
  <c r="Q909" i="11"/>
  <c r="P909" i="11"/>
  <c r="O909" i="11"/>
  <c r="R908" i="11"/>
  <c r="Q908" i="11"/>
  <c r="P908" i="11"/>
  <c r="O908" i="11"/>
  <c r="R907" i="11"/>
  <c r="Q907" i="11"/>
  <c r="P907" i="11"/>
  <c r="O907" i="11"/>
  <c r="R906" i="11"/>
  <c r="Q906" i="11"/>
  <c r="P906" i="11"/>
  <c r="O906" i="11"/>
  <c r="R905" i="11"/>
  <c r="Q905" i="11"/>
  <c r="P905" i="11"/>
  <c r="O905" i="11"/>
  <c r="R904" i="11"/>
  <c r="Q904" i="11"/>
  <c r="P904" i="11"/>
  <c r="O904" i="11"/>
  <c r="R903" i="11"/>
  <c r="Q903" i="11"/>
  <c r="P903" i="11"/>
  <c r="O903" i="11"/>
  <c r="R902" i="11"/>
  <c r="Q902" i="11"/>
  <c r="P902" i="11"/>
  <c r="O902" i="11"/>
  <c r="R901" i="11"/>
  <c r="Q901" i="11"/>
  <c r="P901" i="11"/>
  <c r="O901" i="11"/>
  <c r="R900" i="11"/>
  <c r="Q900" i="11"/>
  <c r="P900" i="11"/>
  <c r="O900" i="11"/>
  <c r="R899" i="11"/>
  <c r="Q899" i="11"/>
  <c r="P899" i="11"/>
  <c r="O899" i="11"/>
  <c r="R898" i="11"/>
  <c r="Q898" i="11"/>
  <c r="P898" i="11"/>
  <c r="O898" i="11"/>
  <c r="R897" i="11"/>
  <c r="Q897" i="11"/>
  <c r="P897" i="11"/>
  <c r="O897" i="11"/>
  <c r="R896" i="11"/>
  <c r="Q896" i="11"/>
  <c r="P896" i="11"/>
  <c r="O896" i="11"/>
  <c r="R895" i="11"/>
  <c r="Q895" i="11"/>
  <c r="P895" i="11"/>
  <c r="O895" i="11"/>
  <c r="R894" i="11"/>
  <c r="Q894" i="11"/>
  <c r="P894" i="11"/>
  <c r="O894" i="11"/>
  <c r="R893" i="11"/>
  <c r="Q893" i="11"/>
  <c r="P893" i="11"/>
  <c r="O893" i="11"/>
  <c r="R892" i="11"/>
  <c r="Q892" i="11"/>
  <c r="P892" i="11"/>
  <c r="O892" i="11"/>
  <c r="R891" i="11"/>
  <c r="Q891" i="11"/>
  <c r="P891" i="11"/>
  <c r="O891" i="11"/>
  <c r="R890" i="11"/>
  <c r="Q890" i="11"/>
  <c r="P890" i="11"/>
  <c r="O890" i="11"/>
  <c r="R889" i="11"/>
  <c r="Q889" i="11"/>
  <c r="P889" i="11"/>
  <c r="O889" i="11"/>
  <c r="R888" i="11"/>
  <c r="Q888" i="11"/>
  <c r="P888" i="11"/>
  <c r="O888" i="11"/>
  <c r="R887" i="11"/>
  <c r="Q887" i="11"/>
  <c r="P887" i="11"/>
  <c r="O887" i="11"/>
  <c r="R886" i="11"/>
  <c r="Q886" i="11"/>
  <c r="P886" i="11"/>
  <c r="O886" i="11"/>
  <c r="R885" i="11"/>
  <c r="Q885" i="11"/>
  <c r="P885" i="11"/>
  <c r="O885" i="11"/>
  <c r="R884" i="11"/>
  <c r="Q884" i="11"/>
  <c r="P884" i="11"/>
  <c r="O884" i="11"/>
  <c r="R883" i="11"/>
  <c r="Q883" i="11"/>
  <c r="P883" i="11"/>
  <c r="O883" i="11"/>
  <c r="R882" i="11"/>
  <c r="Q882" i="11"/>
  <c r="P882" i="11"/>
  <c r="O882" i="11"/>
  <c r="R881" i="11"/>
  <c r="Q881" i="11"/>
  <c r="P881" i="11"/>
  <c r="O881" i="11"/>
  <c r="R880" i="11"/>
  <c r="Q880" i="11"/>
  <c r="P880" i="11"/>
  <c r="O880" i="11"/>
  <c r="R879" i="11"/>
  <c r="Q879" i="11"/>
  <c r="P879" i="11"/>
  <c r="O879" i="11"/>
  <c r="R878" i="11"/>
  <c r="Q878" i="11"/>
  <c r="P878" i="11"/>
  <c r="O878" i="11"/>
  <c r="R877" i="11"/>
  <c r="Q877" i="11"/>
  <c r="P877" i="11"/>
  <c r="O877" i="11"/>
  <c r="R876" i="11"/>
  <c r="Q876" i="11"/>
  <c r="P876" i="11"/>
  <c r="O876" i="11"/>
  <c r="R875" i="11"/>
  <c r="Q875" i="11"/>
  <c r="P875" i="11"/>
  <c r="O875" i="11"/>
  <c r="R874" i="11"/>
  <c r="Q874" i="11"/>
  <c r="P874" i="11"/>
  <c r="O874" i="11"/>
  <c r="R873" i="11"/>
  <c r="Q873" i="11"/>
  <c r="P873" i="11"/>
  <c r="O873" i="11"/>
  <c r="R872" i="11"/>
  <c r="Q872" i="11"/>
  <c r="P872" i="11"/>
  <c r="O872" i="11"/>
  <c r="R871" i="11"/>
  <c r="Q871" i="11"/>
  <c r="P871" i="11"/>
  <c r="O871" i="11"/>
  <c r="R870" i="11"/>
  <c r="Q870" i="11"/>
  <c r="P870" i="11"/>
  <c r="O870" i="11"/>
  <c r="R869" i="11"/>
  <c r="Q869" i="11"/>
  <c r="P869" i="11"/>
  <c r="O869" i="11"/>
  <c r="R868" i="11"/>
  <c r="Q868" i="11"/>
  <c r="P868" i="11"/>
  <c r="O868" i="11"/>
  <c r="R867" i="11"/>
  <c r="Q867" i="11"/>
  <c r="P867" i="11"/>
  <c r="O867" i="11"/>
  <c r="R866" i="11"/>
  <c r="Q866" i="11"/>
  <c r="P866" i="11"/>
  <c r="O866" i="11"/>
  <c r="R865" i="11"/>
  <c r="Q865" i="11"/>
  <c r="P865" i="11"/>
  <c r="O865" i="11"/>
  <c r="R864" i="11"/>
  <c r="Q864" i="11"/>
  <c r="P864" i="11"/>
  <c r="O864" i="11"/>
  <c r="R863" i="11"/>
  <c r="Q863" i="11"/>
  <c r="P863" i="11"/>
  <c r="O863" i="11"/>
  <c r="R862" i="11"/>
  <c r="Q862" i="11"/>
  <c r="P862" i="11"/>
  <c r="O862" i="11"/>
  <c r="R861" i="11"/>
  <c r="Q861" i="11"/>
  <c r="P861" i="11"/>
  <c r="O861" i="11"/>
  <c r="R860" i="11"/>
  <c r="Q860" i="11"/>
  <c r="P860" i="11"/>
  <c r="O860" i="11"/>
  <c r="R859" i="11"/>
  <c r="Q859" i="11"/>
  <c r="P859" i="11"/>
  <c r="O859" i="11"/>
  <c r="R858" i="11"/>
  <c r="Q858" i="11"/>
  <c r="P858" i="11"/>
  <c r="O858" i="11"/>
  <c r="R857" i="11"/>
  <c r="Q857" i="11"/>
  <c r="P857" i="11"/>
  <c r="O857" i="11"/>
  <c r="R856" i="11"/>
  <c r="Q856" i="11"/>
  <c r="P856" i="11"/>
  <c r="O856" i="11"/>
  <c r="R855" i="11"/>
  <c r="Q855" i="11"/>
  <c r="P855" i="11"/>
  <c r="O855" i="11"/>
  <c r="R854" i="11"/>
  <c r="Q854" i="11"/>
  <c r="P854" i="11"/>
  <c r="O854" i="11"/>
  <c r="R853" i="11"/>
  <c r="Q853" i="11"/>
  <c r="P853" i="11"/>
  <c r="O853" i="11"/>
  <c r="R852" i="11"/>
  <c r="Q852" i="11"/>
  <c r="P852" i="11"/>
  <c r="O852" i="11"/>
  <c r="R851" i="11"/>
  <c r="Q851" i="11"/>
  <c r="P851" i="11"/>
  <c r="O851" i="11"/>
  <c r="R850" i="11"/>
  <c r="Q850" i="11"/>
  <c r="P850" i="11"/>
  <c r="O850" i="11"/>
  <c r="R849" i="11"/>
  <c r="Q849" i="11"/>
  <c r="P849" i="11"/>
  <c r="O849" i="11"/>
  <c r="R848" i="11"/>
  <c r="Q848" i="11"/>
  <c r="P848" i="11"/>
  <c r="O848" i="11"/>
  <c r="R847" i="11"/>
  <c r="Q847" i="11"/>
  <c r="P847" i="11"/>
  <c r="O847" i="11"/>
  <c r="R846" i="11"/>
  <c r="Q846" i="11"/>
  <c r="P846" i="11"/>
  <c r="O846" i="11"/>
  <c r="R845" i="11"/>
  <c r="Q845" i="11"/>
  <c r="P845" i="11"/>
  <c r="O845" i="11"/>
  <c r="R844" i="11"/>
  <c r="Q844" i="11"/>
  <c r="P844" i="11"/>
  <c r="O844" i="11"/>
  <c r="R843" i="11"/>
  <c r="Q843" i="11"/>
  <c r="P843" i="11"/>
  <c r="O843" i="11"/>
  <c r="R842" i="11"/>
  <c r="Q842" i="11"/>
  <c r="P842" i="11"/>
  <c r="O842" i="11"/>
  <c r="R841" i="11"/>
  <c r="Q841" i="11"/>
  <c r="P841" i="11"/>
  <c r="O841" i="11"/>
  <c r="R840" i="11"/>
  <c r="Q840" i="11"/>
  <c r="P840" i="11"/>
  <c r="O840" i="11"/>
  <c r="R839" i="11"/>
  <c r="Q839" i="11"/>
  <c r="P839" i="11"/>
  <c r="O839" i="11"/>
  <c r="R838" i="11"/>
  <c r="Q838" i="11"/>
  <c r="P838" i="11"/>
  <c r="O838" i="11"/>
  <c r="R837" i="11"/>
  <c r="Q837" i="11"/>
  <c r="P837" i="11"/>
  <c r="O837" i="11"/>
  <c r="R836" i="11"/>
  <c r="Q836" i="11"/>
  <c r="P836" i="11"/>
  <c r="O836" i="11"/>
  <c r="R835" i="11"/>
  <c r="Q835" i="11"/>
  <c r="P835" i="11"/>
  <c r="O835" i="11"/>
  <c r="R834" i="11"/>
  <c r="Q834" i="11"/>
  <c r="P834" i="11"/>
  <c r="O834" i="11"/>
  <c r="R833" i="11"/>
  <c r="Q833" i="11"/>
  <c r="P833" i="11"/>
  <c r="O833" i="11"/>
  <c r="R832" i="11"/>
  <c r="Q832" i="11"/>
  <c r="P832" i="11"/>
  <c r="O832" i="11"/>
  <c r="R831" i="11"/>
  <c r="Q831" i="11"/>
  <c r="P831" i="11"/>
  <c r="O831" i="11"/>
  <c r="R830" i="11"/>
  <c r="Q830" i="11"/>
  <c r="P830" i="11"/>
  <c r="O830" i="11"/>
  <c r="R829" i="11"/>
  <c r="Q829" i="11"/>
  <c r="P829" i="11"/>
  <c r="O829" i="11"/>
  <c r="R828" i="11"/>
  <c r="Q828" i="11"/>
  <c r="P828" i="11"/>
  <c r="O828" i="11"/>
  <c r="R827" i="11"/>
  <c r="Q827" i="11"/>
  <c r="P827" i="11"/>
  <c r="O827" i="11"/>
  <c r="R826" i="11"/>
  <c r="Q826" i="11"/>
  <c r="P826" i="11"/>
  <c r="O826" i="11"/>
  <c r="R825" i="11"/>
  <c r="Q825" i="11"/>
  <c r="P825" i="11"/>
  <c r="O825" i="11"/>
  <c r="R824" i="11"/>
  <c r="Q824" i="11"/>
  <c r="P824" i="11"/>
  <c r="O824" i="11"/>
  <c r="R823" i="11"/>
  <c r="Q823" i="11"/>
  <c r="P823" i="11"/>
  <c r="O823" i="11"/>
  <c r="R822" i="11"/>
  <c r="Q822" i="11"/>
  <c r="P822" i="11"/>
  <c r="O822" i="11"/>
  <c r="R821" i="11"/>
  <c r="Q821" i="11"/>
  <c r="P821" i="11"/>
  <c r="O821" i="11"/>
  <c r="R820" i="11"/>
  <c r="Q820" i="11"/>
  <c r="P820" i="11"/>
  <c r="O820" i="11"/>
  <c r="R819" i="11"/>
  <c r="Q819" i="11"/>
  <c r="P819" i="11"/>
  <c r="O819" i="11"/>
  <c r="R818" i="11"/>
  <c r="Q818" i="11"/>
  <c r="P818" i="11"/>
  <c r="O818" i="11"/>
  <c r="R817" i="11"/>
  <c r="Q817" i="11"/>
  <c r="P817" i="11"/>
  <c r="O817" i="11"/>
  <c r="R816" i="11"/>
  <c r="Q816" i="11"/>
  <c r="P816" i="11"/>
  <c r="O816" i="11"/>
  <c r="R815" i="11"/>
  <c r="Q815" i="11"/>
  <c r="P815" i="11"/>
  <c r="O815" i="11"/>
  <c r="R814" i="11"/>
  <c r="Q814" i="11"/>
  <c r="P814" i="11"/>
  <c r="O814" i="11"/>
  <c r="R813" i="11"/>
  <c r="Q813" i="11"/>
  <c r="P813" i="11"/>
  <c r="O813" i="11"/>
  <c r="R812" i="11"/>
  <c r="Q812" i="11"/>
  <c r="P812" i="11"/>
  <c r="O812" i="11"/>
  <c r="R811" i="11"/>
  <c r="Q811" i="11"/>
  <c r="P811" i="11"/>
  <c r="O811" i="11"/>
  <c r="R810" i="11"/>
  <c r="Q810" i="11"/>
  <c r="P810" i="11"/>
  <c r="O810" i="11"/>
  <c r="R809" i="11"/>
  <c r="Q809" i="11"/>
  <c r="P809" i="11"/>
  <c r="O809" i="11"/>
  <c r="R808" i="11"/>
  <c r="Q808" i="11"/>
  <c r="P808" i="11"/>
  <c r="O808" i="11"/>
  <c r="R807" i="11"/>
  <c r="Q807" i="11"/>
  <c r="P807" i="11"/>
  <c r="O807" i="11"/>
  <c r="R806" i="11"/>
  <c r="Q806" i="11"/>
  <c r="P806" i="11"/>
  <c r="O806" i="11"/>
  <c r="R805" i="11"/>
  <c r="Q805" i="11"/>
  <c r="P805" i="11"/>
  <c r="O805" i="11"/>
  <c r="R804" i="11"/>
  <c r="Q804" i="11"/>
  <c r="P804" i="11"/>
  <c r="O804" i="11"/>
  <c r="R803" i="11"/>
  <c r="Q803" i="11"/>
  <c r="P803" i="11"/>
  <c r="O803" i="11"/>
  <c r="R802" i="11"/>
  <c r="Q802" i="11"/>
  <c r="P802" i="11"/>
  <c r="O802" i="11"/>
  <c r="R801" i="11"/>
  <c r="Q801" i="11"/>
  <c r="P801" i="11"/>
  <c r="O801" i="11"/>
  <c r="R800" i="11"/>
  <c r="Q800" i="11"/>
  <c r="P800" i="11"/>
  <c r="O800" i="11"/>
  <c r="R799" i="11"/>
  <c r="Q799" i="11"/>
  <c r="P799" i="11"/>
  <c r="O799" i="11"/>
  <c r="R798" i="11"/>
  <c r="Q798" i="11"/>
  <c r="P798" i="11"/>
  <c r="O798" i="11"/>
  <c r="R797" i="11"/>
  <c r="Q797" i="11"/>
  <c r="P797" i="11"/>
  <c r="O797" i="11"/>
  <c r="R796" i="11"/>
  <c r="Q796" i="11"/>
  <c r="P796" i="11"/>
  <c r="O796" i="11"/>
  <c r="R795" i="11"/>
  <c r="Q795" i="11"/>
  <c r="P795" i="11"/>
  <c r="O795" i="11"/>
  <c r="R794" i="11"/>
  <c r="Q794" i="11"/>
  <c r="P794" i="11"/>
  <c r="O794" i="11"/>
  <c r="R793" i="11"/>
  <c r="Q793" i="11"/>
  <c r="P793" i="11"/>
  <c r="O793" i="11"/>
  <c r="R792" i="11"/>
  <c r="Q792" i="11"/>
  <c r="P792" i="11"/>
  <c r="O792" i="11"/>
  <c r="R791" i="11"/>
  <c r="Q791" i="11"/>
  <c r="P791" i="11"/>
  <c r="O791" i="11"/>
  <c r="R790" i="11"/>
  <c r="Q790" i="11"/>
  <c r="P790" i="11"/>
  <c r="O790" i="11"/>
  <c r="R789" i="11"/>
  <c r="Q789" i="11"/>
  <c r="P789" i="11"/>
  <c r="O789" i="11"/>
  <c r="R788" i="11"/>
  <c r="Q788" i="11"/>
  <c r="P788" i="11"/>
  <c r="O788" i="11"/>
  <c r="R787" i="11"/>
  <c r="Q787" i="11"/>
  <c r="P787" i="11"/>
  <c r="O787" i="11"/>
  <c r="R786" i="11"/>
  <c r="Q786" i="11"/>
  <c r="P786" i="11"/>
  <c r="O786" i="11"/>
  <c r="R785" i="11"/>
  <c r="Q785" i="11"/>
  <c r="P785" i="11"/>
  <c r="O785" i="11"/>
  <c r="R784" i="11"/>
  <c r="Q784" i="11"/>
  <c r="P784" i="11"/>
  <c r="O784" i="11"/>
  <c r="R783" i="11"/>
  <c r="Q783" i="11"/>
  <c r="P783" i="11"/>
  <c r="O783" i="11"/>
  <c r="R782" i="11"/>
  <c r="Q782" i="11"/>
  <c r="P782" i="11"/>
  <c r="O782" i="11"/>
  <c r="R781" i="11"/>
  <c r="Q781" i="11"/>
  <c r="P781" i="11"/>
  <c r="O781" i="11"/>
  <c r="R780" i="11"/>
  <c r="Q780" i="11"/>
  <c r="P780" i="11"/>
  <c r="O780" i="11"/>
  <c r="R779" i="11"/>
  <c r="Q779" i="11"/>
  <c r="P779" i="11"/>
  <c r="O779" i="11"/>
  <c r="R778" i="11"/>
  <c r="Q778" i="11"/>
  <c r="P778" i="11"/>
  <c r="O778" i="11"/>
  <c r="R777" i="11"/>
  <c r="Q777" i="11"/>
  <c r="P777" i="11"/>
  <c r="O777" i="11"/>
  <c r="R776" i="11"/>
  <c r="Q776" i="11"/>
  <c r="P776" i="11"/>
  <c r="O776" i="11"/>
  <c r="R775" i="11"/>
  <c r="Q775" i="11"/>
  <c r="P775" i="11"/>
  <c r="O775" i="11"/>
  <c r="R774" i="11"/>
  <c r="Q774" i="11"/>
  <c r="P774" i="11"/>
  <c r="O774" i="11"/>
  <c r="R773" i="11"/>
  <c r="Q773" i="11"/>
  <c r="P773" i="11"/>
  <c r="O773" i="11"/>
  <c r="R772" i="11"/>
  <c r="Q772" i="11"/>
  <c r="P772" i="11"/>
  <c r="O772" i="11"/>
  <c r="R771" i="11"/>
  <c r="Q771" i="11"/>
  <c r="P771" i="11"/>
  <c r="O771" i="11"/>
  <c r="R770" i="11"/>
  <c r="Q770" i="11"/>
  <c r="P770" i="11"/>
  <c r="O770" i="11"/>
  <c r="R769" i="11"/>
  <c r="Q769" i="11"/>
  <c r="P769" i="11"/>
  <c r="O769" i="11"/>
  <c r="R768" i="11"/>
  <c r="Q768" i="11"/>
  <c r="P768" i="11"/>
  <c r="O768" i="11"/>
  <c r="R767" i="11"/>
  <c r="Q767" i="11"/>
  <c r="P767" i="11"/>
  <c r="O767" i="11"/>
  <c r="R766" i="11"/>
  <c r="Q766" i="11"/>
  <c r="P766" i="11"/>
  <c r="O766" i="11"/>
  <c r="R765" i="11"/>
  <c r="Q765" i="11"/>
  <c r="P765" i="11"/>
  <c r="O765" i="11"/>
  <c r="R764" i="11"/>
  <c r="Q764" i="11"/>
  <c r="P764" i="11"/>
  <c r="O764" i="11"/>
  <c r="R763" i="11"/>
  <c r="Q763" i="11"/>
  <c r="P763" i="11"/>
  <c r="O763" i="11"/>
  <c r="R762" i="11"/>
  <c r="Q762" i="11"/>
  <c r="P762" i="11"/>
  <c r="O762" i="11"/>
  <c r="R761" i="11"/>
  <c r="Q761" i="11"/>
  <c r="P761" i="11"/>
  <c r="O761" i="11"/>
  <c r="R760" i="11"/>
  <c r="Q760" i="11"/>
  <c r="P760" i="11"/>
  <c r="O760" i="11"/>
  <c r="R759" i="11"/>
  <c r="Q759" i="11"/>
  <c r="P759" i="11"/>
  <c r="O759" i="11"/>
  <c r="R758" i="11"/>
  <c r="Q758" i="11"/>
  <c r="P758" i="11"/>
  <c r="O758" i="11"/>
  <c r="R757" i="11"/>
  <c r="Q757" i="11"/>
  <c r="P757" i="11"/>
  <c r="O757" i="11"/>
  <c r="R756" i="11"/>
  <c r="Q756" i="11"/>
  <c r="P756" i="11"/>
  <c r="O756" i="11"/>
  <c r="R755" i="11"/>
  <c r="Q755" i="11"/>
  <c r="P755" i="11"/>
  <c r="O755" i="11"/>
  <c r="R754" i="11"/>
  <c r="Q754" i="11"/>
  <c r="P754" i="11"/>
  <c r="O754" i="11"/>
  <c r="R753" i="11"/>
  <c r="Q753" i="11"/>
  <c r="P753" i="11"/>
  <c r="O753" i="11"/>
  <c r="R752" i="11"/>
  <c r="Q752" i="11"/>
  <c r="P752" i="11"/>
  <c r="O752" i="11"/>
  <c r="R751" i="11"/>
  <c r="Q751" i="11"/>
  <c r="P751" i="11"/>
  <c r="O751" i="11"/>
  <c r="R750" i="11"/>
  <c r="Q750" i="11"/>
  <c r="P750" i="11"/>
  <c r="O750" i="11"/>
  <c r="R749" i="11"/>
  <c r="Q749" i="11"/>
  <c r="P749" i="11"/>
  <c r="O749" i="11"/>
  <c r="R748" i="11"/>
  <c r="Q748" i="11"/>
  <c r="P748" i="11"/>
  <c r="O748" i="11"/>
  <c r="R747" i="11"/>
  <c r="Q747" i="11"/>
  <c r="P747" i="11"/>
  <c r="O747" i="11"/>
  <c r="R746" i="11"/>
  <c r="Q746" i="11"/>
  <c r="P746" i="11"/>
  <c r="O746" i="11"/>
  <c r="R745" i="11"/>
  <c r="Q745" i="11"/>
  <c r="P745" i="11"/>
  <c r="O745" i="11"/>
  <c r="R744" i="11"/>
  <c r="Q744" i="11"/>
  <c r="P744" i="11"/>
  <c r="O744" i="11"/>
  <c r="R743" i="11"/>
  <c r="Q743" i="11"/>
  <c r="P743" i="11"/>
  <c r="O743" i="11"/>
  <c r="R742" i="11"/>
  <c r="Q742" i="11"/>
  <c r="P742" i="11"/>
  <c r="O742" i="11"/>
  <c r="R741" i="11"/>
  <c r="Q741" i="11"/>
  <c r="P741" i="11"/>
  <c r="O741" i="11"/>
  <c r="R740" i="11"/>
  <c r="Q740" i="11"/>
  <c r="P740" i="11"/>
  <c r="O740" i="11"/>
  <c r="R739" i="11"/>
  <c r="Q739" i="11"/>
  <c r="P739" i="11"/>
  <c r="O739" i="11"/>
  <c r="R738" i="11"/>
  <c r="Q738" i="11"/>
  <c r="P738" i="11"/>
  <c r="O738" i="11"/>
  <c r="R737" i="11"/>
  <c r="Q737" i="11"/>
  <c r="P737" i="11"/>
  <c r="O737" i="11"/>
  <c r="R736" i="11"/>
  <c r="Q736" i="11"/>
  <c r="P736" i="11"/>
  <c r="O736" i="11"/>
  <c r="R735" i="11"/>
  <c r="Q735" i="11"/>
  <c r="P735" i="11"/>
  <c r="O735" i="11"/>
  <c r="R734" i="11"/>
  <c r="Q734" i="11"/>
  <c r="P734" i="11"/>
  <c r="O734" i="11"/>
  <c r="R733" i="11"/>
  <c r="Q733" i="11"/>
  <c r="P733" i="11"/>
  <c r="O733" i="11"/>
  <c r="R732" i="11"/>
  <c r="Q732" i="11"/>
  <c r="P732" i="11"/>
  <c r="O732" i="11"/>
  <c r="R731" i="11"/>
  <c r="Q731" i="11"/>
  <c r="P731" i="11"/>
  <c r="O731" i="11"/>
  <c r="R730" i="11"/>
  <c r="Q730" i="11"/>
  <c r="P730" i="11"/>
  <c r="O730" i="11"/>
  <c r="R729" i="11"/>
  <c r="Q729" i="11"/>
  <c r="P729" i="11"/>
  <c r="O729" i="11"/>
  <c r="R728" i="11"/>
  <c r="Q728" i="11"/>
  <c r="P728" i="11"/>
  <c r="O728" i="11"/>
  <c r="R727" i="11"/>
  <c r="Q727" i="11"/>
  <c r="P727" i="11"/>
  <c r="O727" i="11"/>
  <c r="R726" i="11"/>
  <c r="Q726" i="11"/>
  <c r="P726" i="11"/>
  <c r="O726" i="11"/>
  <c r="R725" i="11"/>
  <c r="Q725" i="11"/>
  <c r="P725" i="11"/>
  <c r="O725" i="11"/>
  <c r="R724" i="11"/>
  <c r="Q724" i="11"/>
  <c r="P724" i="11"/>
  <c r="O724" i="11"/>
  <c r="R723" i="11"/>
  <c r="Q723" i="11"/>
  <c r="P723" i="11"/>
  <c r="O723" i="11"/>
  <c r="R722" i="11"/>
  <c r="Q722" i="11"/>
  <c r="P722" i="11"/>
  <c r="O722" i="11"/>
  <c r="R721" i="11"/>
  <c r="Q721" i="11"/>
  <c r="P721" i="11"/>
  <c r="O721" i="11"/>
  <c r="R720" i="11"/>
  <c r="Q720" i="11"/>
  <c r="P720" i="11"/>
  <c r="O720" i="11"/>
  <c r="R719" i="11"/>
  <c r="Q719" i="11"/>
  <c r="P719" i="11"/>
  <c r="O719" i="11"/>
  <c r="R718" i="11"/>
  <c r="Q718" i="11"/>
  <c r="P718" i="11"/>
  <c r="O718" i="11"/>
  <c r="R717" i="11"/>
  <c r="Q717" i="11"/>
  <c r="P717" i="11"/>
  <c r="O717" i="11"/>
  <c r="R716" i="11"/>
  <c r="Q716" i="11"/>
  <c r="P716" i="11"/>
  <c r="O716" i="11"/>
  <c r="R715" i="11"/>
  <c r="Q715" i="11"/>
  <c r="P715" i="11"/>
  <c r="O715" i="11"/>
  <c r="R714" i="11"/>
  <c r="Q714" i="11"/>
  <c r="P714" i="11"/>
  <c r="O714" i="11"/>
  <c r="R713" i="11"/>
  <c r="Q713" i="11"/>
  <c r="P713" i="11"/>
  <c r="O713" i="11"/>
  <c r="R712" i="11"/>
  <c r="Q712" i="11"/>
  <c r="P712" i="11"/>
  <c r="O712" i="11"/>
  <c r="R711" i="11"/>
  <c r="Q711" i="11"/>
  <c r="P711" i="11"/>
  <c r="O711" i="11"/>
  <c r="R710" i="11"/>
  <c r="Q710" i="11"/>
  <c r="P710" i="11"/>
  <c r="O710" i="11"/>
  <c r="R709" i="11"/>
  <c r="Q709" i="11"/>
  <c r="P709" i="11"/>
  <c r="O709" i="11"/>
  <c r="R708" i="11"/>
  <c r="Q708" i="11"/>
  <c r="P708" i="11"/>
  <c r="O708" i="11"/>
  <c r="R707" i="11"/>
  <c r="Q707" i="11"/>
  <c r="P707" i="11"/>
  <c r="O707" i="11"/>
  <c r="R706" i="11"/>
  <c r="Q706" i="11"/>
  <c r="P706" i="11"/>
  <c r="O706" i="11"/>
  <c r="R705" i="11"/>
  <c r="Q705" i="11"/>
  <c r="P705" i="11"/>
  <c r="O705" i="11"/>
  <c r="R704" i="11"/>
  <c r="Q704" i="11"/>
  <c r="P704" i="11"/>
  <c r="O704" i="11"/>
  <c r="R703" i="11"/>
  <c r="Q703" i="11"/>
  <c r="P703" i="11"/>
  <c r="O703" i="11"/>
  <c r="R702" i="11"/>
  <c r="Q702" i="11"/>
  <c r="P702" i="11"/>
  <c r="O702" i="11"/>
  <c r="R701" i="11"/>
  <c r="Q701" i="11"/>
  <c r="P701" i="11"/>
  <c r="O701" i="11"/>
  <c r="R700" i="11"/>
  <c r="Q700" i="11"/>
  <c r="P700" i="11"/>
  <c r="O700" i="11"/>
  <c r="R699" i="11"/>
  <c r="Q699" i="11"/>
  <c r="P699" i="11"/>
  <c r="O699" i="11"/>
  <c r="R698" i="11"/>
  <c r="Q698" i="11"/>
  <c r="P698" i="11"/>
  <c r="O698" i="11"/>
  <c r="R697" i="11"/>
  <c r="Q697" i="11"/>
  <c r="P697" i="11"/>
  <c r="O697" i="11"/>
  <c r="R696" i="11"/>
  <c r="Q696" i="11"/>
  <c r="P696" i="11"/>
  <c r="O696" i="11"/>
  <c r="R695" i="11"/>
  <c r="Q695" i="11"/>
  <c r="P695" i="11"/>
  <c r="O695" i="11"/>
  <c r="R694" i="11"/>
  <c r="Q694" i="11"/>
  <c r="P694" i="11"/>
  <c r="O694" i="11"/>
  <c r="R693" i="11"/>
  <c r="Q693" i="11"/>
  <c r="P693" i="11"/>
  <c r="O693" i="11"/>
  <c r="R692" i="11"/>
  <c r="Q692" i="11"/>
  <c r="P692" i="11"/>
  <c r="O692" i="11"/>
  <c r="R691" i="11"/>
  <c r="Q691" i="11"/>
  <c r="P691" i="11"/>
  <c r="O691" i="11"/>
  <c r="R690" i="11"/>
  <c r="Q690" i="11"/>
  <c r="P690" i="11"/>
  <c r="O690" i="11"/>
  <c r="R689" i="11"/>
  <c r="Q689" i="11"/>
  <c r="P689" i="11"/>
  <c r="O689" i="11"/>
  <c r="R688" i="11"/>
  <c r="Q688" i="11"/>
  <c r="P688" i="11"/>
  <c r="O688" i="11"/>
  <c r="R687" i="11"/>
  <c r="Q687" i="11"/>
  <c r="P687" i="11"/>
  <c r="O687" i="11"/>
  <c r="R686" i="11"/>
  <c r="Q686" i="11"/>
  <c r="P686" i="11"/>
  <c r="O686" i="11"/>
  <c r="R685" i="11"/>
  <c r="Q685" i="11"/>
  <c r="P685" i="11"/>
  <c r="O685" i="11"/>
  <c r="R684" i="11"/>
  <c r="Q684" i="11"/>
  <c r="P684" i="11"/>
  <c r="O684" i="11"/>
  <c r="R683" i="11"/>
  <c r="Q683" i="11"/>
  <c r="P683" i="11"/>
  <c r="O683" i="11"/>
  <c r="R682" i="11"/>
  <c r="Q682" i="11"/>
  <c r="P682" i="11"/>
  <c r="O682" i="11"/>
  <c r="R681" i="11"/>
  <c r="Q681" i="11"/>
  <c r="P681" i="11"/>
  <c r="O681" i="11"/>
  <c r="R680" i="11"/>
  <c r="Q680" i="11"/>
  <c r="P680" i="11"/>
  <c r="O680" i="11"/>
  <c r="R679" i="11"/>
  <c r="Q679" i="11"/>
  <c r="P679" i="11"/>
  <c r="O679" i="11"/>
  <c r="R678" i="11"/>
  <c r="Q678" i="11"/>
  <c r="P678" i="11"/>
  <c r="O678" i="11"/>
  <c r="R677" i="11"/>
  <c r="Q677" i="11"/>
  <c r="P677" i="11"/>
  <c r="O677" i="11"/>
  <c r="R676" i="11"/>
  <c r="Q676" i="11"/>
  <c r="P676" i="11"/>
  <c r="O676" i="11"/>
  <c r="R675" i="11"/>
  <c r="Q675" i="11"/>
  <c r="P675" i="11"/>
  <c r="O675" i="11"/>
  <c r="R674" i="11"/>
  <c r="Q674" i="11"/>
  <c r="P674" i="11"/>
  <c r="O674" i="11"/>
  <c r="R673" i="11"/>
  <c r="Q673" i="11"/>
  <c r="P673" i="11"/>
  <c r="O673" i="11"/>
  <c r="R672" i="11"/>
  <c r="Q672" i="11"/>
  <c r="P672" i="11"/>
  <c r="O672" i="11"/>
  <c r="R671" i="11"/>
  <c r="Q671" i="11"/>
  <c r="P671" i="11"/>
  <c r="O671" i="11"/>
  <c r="R670" i="11"/>
  <c r="Q670" i="11"/>
  <c r="P670" i="11"/>
  <c r="O670" i="11"/>
  <c r="R669" i="11"/>
  <c r="Q669" i="11"/>
  <c r="P669" i="11"/>
  <c r="O669" i="11"/>
  <c r="R668" i="11"/>
  <c r="Q668" i="11"/>
  <c r="P668" i="11"/>
  <c r="O668" i="11"/>
  <c r="R667" i="11"/>
  <c r="Q667" i="11"/>
  <c r="P667" i="11"/>
  <c r="O667" i="11"/>
  <c r="R666" i="11"/>
  <c r="Q666" i="11"/>
  <c r="P666" i="11"/>
  <c r="O666" i="11"/>
  <c r="R665" i="11"/>
  <c r="Q665" i="11"/>
  <c r="P665" i="11"/>
  <c r="O665" i="11"/>
  <c r="R664" i="11"/>
  <c r="Q664" i="11"/>
  <c r="P664" i="11"/>
  <c r="O664" i="11"/>
  <c r="R663" i="11"/>
  <c r="Q663" i="11"/>
  <c r="P663" i="11"/>
  <c r="O663" i="11"/>
  <c r="R662" i="11"/>
  <c r="Q662" i="11"/>
  <c r="P662" i="11"/>
  <c r="O662" i="11"/>
  <c r="R661" i="11"/>
  <c r="Q661" i="11"/>
  <c r="P661" i="11"/>
  <c r="O661" i="11"/>
  <c r="R660" i="11"/>
  <c r="Q660" i="11"/>
  <c r="P660" i="11"/>
  <c r="O660" i="11"/>
  <c r="R659" i="11"/>
  <c r="Q659" i="11"/>
  <c r="P659" i="11"/>
  <c r="O659" i="11"/>
  <c r="R658" i="11"/>
  <c r="Q658" i="11"/>
  <c r="P658" i="11"/>
  <c r="O658" i="11"/>
  <c r="R657" i="11"/>
  <c r="Q657" i="11"/>
  <c r="P657" i="11"/>
  <c r="O657" i="11"/>
  <c r="R656" i="11"/>
  <c r="Q656" i="11"/>
  <c r="P656" i="11"/>
  <c r="O656" i="11"/>
  <c r="R655" i="11"/>
  <c r="Q655" i="11"/>
  <c r="P655" i="11"/>
  <c r="O655" i="11"/>
  <c r="R654" i="11"/>
  <c r="Q654" i="11"/>
  <c r="P654" i="11"/>
  <c r="O654" i="11"/>
  <c r="R653" i="11"/>
  <c r="Q653" i="11"/>
  <c r="P653" i="11"/>
  <c r="O653" i="11"/>
  <c r="R652" i="11"/>
  <c r="Q652" i="11"/>
  <c r="P652" i="11"/>
  <c r="O652" i="11"/>
  <c r="R651" i="11"/>
  <c r="Q651" i="11"/>
  <c r="P651" i="11"/>
  <c r="O651" i="11"/>
  <c r="R650" i="11"/>
  <c r="Q650" i="11"/>
  <c r="P650" i="11"/>
  <c r="O650" i="11"/>
  <c r="R649" i="11"/>
  <c r="Q649" i="11"/>
  <c r="P649" i="11"/>
  <c r="O649" i="11"/>
  <c r="R648" i="11"/>
  <c r="Q648" i="11"/>
  <c r="P648" i="11"/>
  <c r="O648" i="11"/>
  <c r="R647" i="11"/>
  <c r="Q647" i="11"/>
  <c r="P647" i="11"/>
  <c r="O647" i="11"/>
  <c r="R646" i="11"/>
  <c r="Q646" i="11"/>
  <c r="P646" i="11"/>
  <c r="O646" i="11"/>
  <c r="R645" i="11"/>
  <c r="Q645" i="11"/>
  <c r="P645" i="11"/>
  <c r="O645" i="11"/>
  <c r="R644" i="11"/>
  <c r="Q644" i="11"/>
  <c r="P644" i="11"/>
  <c r="O644" i="11"/>
  <c r="R643" i="11"/>
  <c r="Q643" i="11"/>
  <c r="P643" i="11"/>
  <c r="O643" i="11"/>
  <c r="R642" i="11"/>
  <c r="Q642" i="11"/>
  <c r="P642" i="11"/>
  <c r="O642" i="11"/>
  <c r="R641" i="11"/>
  <c r="Q641" i="11"/>
  <c r="P641" i="11"/>
  <c r="O641" i="11"/>
  <c r="R640" i="11"/>
  <c r="Q640" i="11"/>
  <c r="P640" i="11"/>
  <c r="O640" i="11"/>
  <c r="R639" i="11"/>
  <c r="Q639" i="11"/>
  <c r="P639" i="11"/>
  <c r="O639" i="11"/>
  <c r="R638" i="11"/>
  <c r="Q638" i="11"/>
  <c r="P638" i="11"/>
  <c r="O638" i="11"/>
  <c r="R637" i="11"/>
  <c r="Q637" i="11"/>
  <c r="P637" i="11"/>
  <c r="O637" i="11"/>
  <c r="R636" i="11"/>
  <c r="Q636" i="11"/>
  <c r="P636" i="11"/>
  <c r="O636" i="11"/>
  <c r="R635" i="11"/>
  <c r="Q635" i="11"/>
  <c r="P635" i="11"/>
  <c r="O635" i="11"/>
  <c r="R634" i="11"/>
  <c r="Q634" i="11"/>
  <c r="P634" i="11"/>
  <c r="O634" i="11"/>
  <c r="R633" i="11"/>
  <c r="Q633" i="11"/>
  <c r="P633" i="11"/>
  <c r="O633" i="11"/>
  <c r="R632" i="11"/>
  <c r="Q632" i="11"/>
  <c r="P632" i="11"/>
  <c r="O632" i="11"/>
  <c r="R631" i="11"/>
  <c r="Q631" i="11"/>
  <c r="P631" i="11"/>
  <c r="O631" i="11"/>
  <c r="R630" i="11"/>
  <c r="Q630" i="11"/>
  <c r="P630" i="11"/>
  <c r="O630" i="11"/>
  <c r="R629" i="11"/>
  <c r="Q629" i="11"/>
  <c r="P629" i="11"/>
  <c r="O629" i="11"/>
  <c r="R628" i="11"/>
  <c r="Q628" i="11"/>
  <c r="P628" i="11"/>
  <c r="O628" i="11"/>
  <c r="R627" i="11"/>
  <c r="Q627" i="11"/>
  <c r="P627" i="11"/>
  <c r="O627" i="11"/>
  <c r="R626" i="11"/>
  <c r="Q626" i="11"/>
  <c r="P626" i="11"/>
  <c r="O626" i="11"/>
  <c r="R625" i="11"/>
  <c r="Q625" i="11"/>
  <c r="P625" i="11"/>
  <c r="O625" i="11"/>
  <c r="R624" i="11"/>
  <c r="Q624" i="11"/>
  <c r="P624" i="11"/>
  <c r="O624" i="11"/>
  <c r="R623" i="11"/>
  <c r="Q623" i="11"/>
  <c r="P623" i="11"/>
  <c r="O623" i="11"/>
  <c r="R622" i="11"/>
  <c r="Q622" i="11"/>
  <c r="P622" i="11"/>
  <c r="O622" i="11"/>
  <c r="R621" i="11"/>
  <c r="Q621" i="11"/>
  <c r="P621" i="11"/>
  <c r="O621" i="11"/>
  <c r="R620" i="11"/>
  <c r="Q620" i="11"/>
  <c r="P620" i="11"/>
  <c r="O620" i="11"/>
  <c r="R619" i="11"/>
  <c r="Q619" i="11"/>
  <c r="P619" i="11"/>
  <c r="O619" i="11"/>
  <c r="R618" i="11"/>
  <c r="Q618" i="11"/>
  <c r="P618" i="11"/>
  <c r="O618" i="11"/>
  <c r="R617" i="11"/>
  <c r="Q617" i="11"/>
  <c r="P617" i="11"/>
  <c r="O617" i="11"/>
  <c r="R616" i="11"/>
  <c r="Q616" i="11"/>
  <c r="P616" i="11"/>
  <c r="O616" i="11"/>
  <c r="R615" i="11"/>
  <c r="Q615" i="11"/>
  <c r="P615" i="11"/>
  <c r="O615" i="11"/>
  <c r="R614" i="11"/>
  <c r="Q614" i="11"/>
  <c r="P614" i="11"/>
  <c r="O614" i="11"/>
  <c r="R613" i="11"/>
  <c r="Q613" i="11"/>
  <c r="P613" i="11"/>
  <c r="O613" i="11"/>
  <c r="R612" i="11"/>
  <c r="Q612" i="11"/>
  <c r="P612" i="11"/>
  <c r="O612" i="11"/>
  <c r="R611" i="11"/>
  <c r="Q611" i="11"/>
  <c r="P611" i="11"/>
  <c r="O611" i="11"/>
  <c r="R610" i="11"/>
  <c r="Q610" i="11"/>
  <c r="P610" i="11"/>
  <c r="O610" i="11"/>
  <c r="R609" i="11"/>
  <c r="Q609" i="11"/>
  <c r="P609" i="11"/>
  <c r="O609" i="11"/>
  <c r="R608" i="11"/>
  <c r="Q608" i="11"/>
  <c r="P608" i="11"/>
  <c r="O608" i="11"/>
  <c r="R607" i="11"/>
  <c r="Q607" i="11"/>
  <c r="P607" i="11"/>
  <c r="O607" i="11"/>
  <c r="R606" i="11"/>
  <c r="Q606" i="11"/>
  <c r="P606" i="11"/>
  <c r="O606" i="11"/>
  <c r="R605" i="11"/>
  <c r="Q605" i="11"/>
  <c r="P605" i="11"/>
  <c r="O605" i="11"/>
  <c r="R604" i="11"/>
  <c r="Q604" i="11"/>
  <c r="P604" i="11"/>
  <c r="O604" i="11"/>
  <c r="R603" i="11"/>
  <c r="Q603" i="11"/>
  <c r="P603" i="11"/>
  <c r="O603" i="11"/>
  <c r="R602" i="11"/>
  <c r="Q602" i="11"/>
  <c r="P602" i="11"/>
  <c r="O602" i="11"/>
  <c r="R601" i="11"/>
  <c r="Q601" i="11"/>
  <c r="P601" i="11"/>
  <c r="O601" i="11"/>
  <c r="R600" i="11"/>
  <c r="Q600" i="11"/>
  <c r="P600" i="11"/>
  <c r="O600" i="11"/>
  <c r="R599" i="11"/>
  <c r="Q599" i="11"/>
  <c r="P599" i="11"/>
  <c r="O599" i="11"/>
  <c r="R598" i="11"/>
  <c r="Q598" i="11"/>
  <c r="P598" i="11"/>
  <c r="O598" i="11"/>
  <c r="R597" i="11"/>
  <c r="Q597" i="11"/>
  <c r="P597" i="11"/>
  <c r="O597" i="11"/>
  <c r="R596" i="11"/>
  <c r="Q596" i="11"/>
  <c r="P596" i="11"/>
  <c r="O596" i="11"/>
  <c r="R595" i="11"/>
  <c r="Q595" i="11"/>
  <c r="P595" i="11"/>
  <c r="O595" i="11"/>
  <c r="R594" i="11"/>
  <c r="Q594" i="11"/>
  <c r="P594" i="11"/>
  <c r="O594" i="11"/>
  <c r="R593" i="11"/>
  <c r="Q593" i="11"/>
  <c r="P593" i="11"/>
  <c r="O593" i="11"/>
  <c r="R592" i="11"/>
  <c r="Q592" i="11"/>
  <c r="P592" i="11"/>
  <c r="O592" i="11"/>
  <c r="R591" i="11"/>
  <c r="Q591" i="11"/>
  <c r="P591" i="11"/>
  <c r="O591" i="11"/>
  <c r="R590" i="11"/>
  <c r="Q590" i="11"/>
  <c r="P590" i="11"/>
  <c r="O590" i="11"/>
  <c r="R589" i="11"/>
  <c r="Q589" i="11"/>
  <c r="P589" i="11"/>
  <c r="O589" i="11"/>
  <c r="R588" i="11"/>
  <c r="Q588" i="11"/>
  <c r="P588" i="11"/>
  <c r="O588" i="11"/>
  <c r="R587" i="11"/>
  <c r="Q587" i="11"/>
  <c r="P587" i="11"/>
  <c r="O587" i="11"/>
  <c r="R586" i="11"/>
  <c r="Q586" i="11"/>
  <c r="P586" i="11"/>
  <c r="O586" i="11"/>
  <c r="R585" i="11"/>
  <c r="Q585" i="11"/>
  <c r="P585" i="11"/>
  <c r="O585" i="11"/>
  <c r="R584" i="11"/>
  <c r="Q584" i="11"/>
  <c r="P584" i="11"/>
  <c r="O584" i="11"/>
  <c r="R583" i="11"/>
  <c r="Q583" i="11"/>
  <c r="P583" i="11"/>
  <c r="O583" i="11"/>
  <c r="R582" i="11"/>
  <c r="Q582" i="11"/>
  <c r="P582" i="11"/>
  <c r="O582" i="11"/>
  <c r="R581" i="11"/>
  <c r="Q581" i="11"/>
  <c r="P581" i="11"/>
  <c r="O581" i="11"/>
  <c r="R580" i="11"/>
  <c r="Q580" i="11"/>
  <c r="P580" i="11"/>
  <c r="O580" i="11"/>
  <c r="R579" i="11"/>
  <c r="Q579" i="11"/>
  <c r="P579" i="11"/>
  <c r="O579" i="11"/>
  <c r="R578" i="11"/>
  <c r="Q578" i="11"/>
  <c r="P578" i="11"/>
  <c r="O578" i="11"/>
  <c r="R577" i="11"/>
  <c r="Q577" i="11"/>
  <c r="P577" i="11"/>
  <c r="O577" i="11"/>
  <c r="R576" i="11"/>
  <c r="Q576" i="11"/>
  <c r="P576" i="11"/>
  <c r="O576" i="11"/>
  <c r="R575" i="11"/>
  <c r="Q575" i="11"/>
  <c r="P575" i="11"/>
  <c r="O575" i="11"/>
  <c r="R574" i="11"/>
  <c r="Q574" i="11"/>
  <c r="P574" i="11"/>
  <c r="O574" i="11"/>
  <c r="R573" i="11"/>
  <c r="Q573" i="11"/>
  <c r="P573" i="11"/>
  <c r="O573" i="11"/>
  <c r="R572" i="11"/>
  <c r="Q572" i="11"/>
  <c r="P572" i="11"/>
  <c r="O572" i="11"/>
  <c r="R571" i="11"/>
  <c r="Q571" i="11"/>
  <c r="P571" i="11"/>
  <c r="O571" i="11"/>
  <c r="R570" i="11"/>
  <c r="Q570" i="11"/>
  <c r="P570" i="11"/>
  <c r="O570" i="11"/>
  <c r="R569" i="11"/>
  <c r="Q569" i="11"/>
  <c r="P569" i="11"/>
  <c r="O569" i="11"/>
  <c r="R568" i="11"/>
  <c r="Q568" i="11"/>
  <c r="P568" i="11"/>
  <c r="O568" i="11"/>
  <c r="R567" i="11"/>
  <c r="Q567" i="11"/>
  <c r="P567" i="11"/>
  <c r="O567" i="11"/>
  <c r="R566" i="11"/>
  <c r="Q566" i="11"/>
  <c r="P566" i="11"/>
  <c r="O566" i="11"/>
  <c r="R565" i="11"/>
  <c r="Q565" i="11"/>
  <c r="P565" i="11"/>
  <c r="O565" i="11"/>
  <c r="R564" i="11"/>
  <c r="Q564" i="11"/>
  <c r="P564" i="11"/>
  <c r="O564" i="11"/>
  <c r="R563" i="11"/>
  <c r="Q563" i="11"/>
  <c r="P563" i="11"/>
  <c r="O563" i="11"/>
  <c r="R562" i="11"/>
  <c r="Q562" i="11"/>
  <c r="P562" i="11"/>
  <c r="O562" i="11"/>
  <c r="R561" i="11"/>
  <c r="Q561" i="11"/>
  <c r="P561" i="11"/>
  <c r="O561" i="11"/>
  <c r="R560" i="11"/>
  <c r="Q560" i="11"/>
  <c r="P560" i="11"/>
  <c r="O560" i="11"/>
  <c r="R559" i="11"/>
  <c r="Q559" i="11"/>
  <c r="P559" i="11"/>
  <c r="O559" i="11"/>
  <c r="R558" i="11"/>
  <c r="Q558" i="11"/>
  <c r="P558" i="11"/>
  <c r="O558" i="11"/>
  <c r="R557" i="11"/>
  <c r="Q557" i="11"/>
  <c r="P557" i="11"/>
  <c r="O557" i="11"/>
  <c r="R556" i="11"/>
  <c r="Q556" i="11"/>
  <c r="P556" i="11"/>
  <c r="O556" i="11"/>
  <c r="R555" i="11"/>
  <c r="Q555" i="11"/>
  <c r="P555" i="11"/>
  <c r="O555" i="11"/>
  <c r="R554" i="11"/>
  <c r="Q554" i="11"/>
  <c r="P554" i="11"/>
  <c r="O554" i="11"/>
  <c r="R553" i="11"/>
  <c r="Q553" i="11"/>
  <c r="P553" i="11"/>
  <c r="O553" i="11"/>
  <c r="R552" i="11"/>
  <c r="Q552" i="11"/>
  <c r="P552" i="11"/>
  <c r="O552" i="11"/>
  <c r="R551" i="11"/>
  <c r="Q551" i="11"/>
  <c r="P551" i="11"/>
  <c r="O551" i="11"/>
  <c r="R550" i="11"/>
  <c r="Q550" i="11"/>
  <c r="P550" i="11"/>
  <c r="O550" i="11"/>
  <c r="R549" i="11"/>
  <c r="Q549" i="11"/>
  <c r="P549" i="11"/>
  <c r="O549" i="11"/>
  <c r="R548" i="11"/>
  <c r="Q548" i="11"/>
  <c r="P548" i="11"/>
  <c r="O548" i="11"/>
  <c r="R547" i="11"/>
  <c r="Q547" i="11"/>
  <c r="P547" i="11"/>
  <c r="O547" i="11"/>
  <c r="R546" i="11"/>
  <c r="Q546" i="11"/>
  <c r="P546" i="11"/>
  <c r="O546" i="11"/>
  <c r="R545" i="11"/>
  <c r="Q545" i="11"/>
  <c r="P545" i="11"/>
  <c r="O545" i="11"/>
  <c r="R544" i="11"/>
  <c r="Q544" i="11"/>
  <c r="P544" i="11"/>
  <c r="O544" i="11"/>
  <c r="R543" i="11"/>
  <c r="Q543" i="11"/>
  <c r="P543" i="11"/>
  <c r="O543" i="11"/>
  <c r="R542" i="11"/>
  <c r="Q542" i="11"/>
  <c r="P542" i="11"/>
  <c r="O542" i="11"/>
  <c r="R541" i="11"/>
  <c r="Q541" i="11"/>
  <c r="P541" i="11"/>
  <c r="O541" i="11"/>
  <c r="R540" i="11"/>
  <c r="Q540" i="11"/>
  <c r="P540" i="11"/>
  <c r="O540" i="11"/>
  <c r="R539" i="11"/>
  <c r="Q539" i="11"/>
  <c r="P539" i="11"/>
  <c r="O539" i="11"/>
  <c r="R538" i="11"/>
  <c r="Q538" i="11"/>
  <c r="P538" i="11"/>
  <c r="O538" i="11"/>
  <c r="R537" i="11"/>
  <c r="Q537" i="11"/>
  <c r="P537" i="11"/>
  <c r="O537" i="11"/>
  <c r="R536" i="11"/>
  <c r="Q536" i="11"/>
  <c r="P536" i="11"/>
  <c r="O536" i="11"/>
  <c r="R535" i="11"/>
  <c r="Q535" i="11"/>
  <c r="P535" i="11"/>
  <c r="O535" i="11"/>
  <c r="R534" i="11"/>
  <c r="Q534" i="11"/>
  <c r="P534" i="11"/>
  <c r="O534" i="11"/>
  <c r="R533" i="11"/>
  <c r="Q533" i="11"/>
  <c r="P533" i="11"/>
  <c r="O533" i="11"/>
  <c r="R532" i="11"/>
  <c r="Q532" i="11"/>
  <c r="P532" i="11"/>
  <c r="O532" i="11"/>
  <c r="R531" i="11"/>
  <c r="Q531" i="11"/>
  <c r="P531" i="11"/>
  <c r="O531" i="11"/>
  <c r="R530" i="11"/>
  <c r="Q530" i="11"/>
  <c r="P530" i="11"/>
  <c r="O530" i="11"/>
  <c r="R529" i="11"/>
  <c r="Q529" i="11"/>
  <c r="P529" i="11"/>
  <c r="O529" i="11"/>
  <c r="R528" i="11"/>
  <c r="Q528" i="11"/>
  <c r="P528" i="11"/>
  <c r="O528" i="11"/>
  <c r="R527" i="11"/>
  <c r="Q527" i="11"/>
  <c r="P527" i="11"/>
  <c r="O527" i="11"/>
  <c r="R526" i="11"/>
  <c r="Q526" i="11"/>
  <c r="P526" i="11"/>
  <c r="O526" i="11"/>
  <c r="R525" i="11"/>
  <c r="Q525" i="11"/>
  <c r="P525" i="11"/>
  <c r="O525" i="11"/>
  <c r="R524" i="11"/>
  <c r="Q524" i="11"/>
  <c r="P524" i="11"/>
  <c r="O524" i="11"/>
  <c r="R523" i="11"/>
  <c r="Q523" i="11"/>
  <c r="P523" i="11"/>
  <c r="O523" i="11"/>
  <c r="R522" i="11"/>
  <c r="Q522" i="11"/>
  <c r="P522" i="11"/>
  <c r="O522" i="11"/>
  <c r="R521" i="11"/>
  <c r="Q521" i="11"/>
  <c r="P521" i="11"/>
  <c r="O521" i="11"/>
  <c r="R520" i="11"/>
  <c r="Q520" i="11"/>
  <c r="P520" i="11"/>
  <c r="O520" i="11"/>
  <c r="R519" i="11"/>
  <c r="Q519" i="11"/>
  <c r="P519" i="11"/>
  <c r="O519" i="11"/>
  <c r="R518" i="11"/>
  <c r="Q518" i="11"/>
  <c r="P518" i="11"/>
  <c r="O518" i="11"/>
  <c r="R517" i="11"/>
  <c r="Q517" i="11"/>
  <c r="P517" i="11"/>
  <c r="O517" i="11"/>
  <c r="R516" i="11"/>
  <c r="Q516" i="11"/>
  <c r="P516" i="11"/>
  <c r="O516" i="11"/>
  <c r="R515" i="11"/>
  <c r="Q515" i="11"/>
  <c r="P515" i="11"/>
  <c r="O515" i="11"/>
  <c r="R514" i="11"/>
  <c r="Q514" i="11"/>
  <c r="P514" i="11"/>
  <c r="O514" i="11"/>
  <c r="R513" i="11"/>
  <c r="Q513" i="11"/>
  <c r="P513" i="11"/>
  <c r="O513" i="11"/>
  <c r="R512" i="11"/>
  <c r="Q512" i="11"/>
  <c r="P512" i="11"/>
  <c r="O512" i="11"/>
  <c r="R511" i="11"/>
  <c r="Q511" i="11"/>
  <c r="P511" i="11"/>
  <c r="O511" i="11"/>
  <c r="R510" i="11"/>
  <c r="Q510" i="11"/>
  <c r="P510" i="11"/>
  <c r="O510" i="11"/>
  <c r="R509" i="11"/>
  <c r="Q509" i="11"/>
  <c r="P509" i="11"/>
  <c r="O509" i="11"/>
  <c r="R508" i="11"/>
  <c r="Q508" i="11"/>
  <c r="P508" i="11"/>
  <c r="O508" i="11"/>
  <c r="R507" i="11"/>
  <c r="Q507" i="11"/>
  <c r="P507" i="11"/>
  <c r="O507" i="11"/>
  <c r="R506" i="11"/>
  <c r="Q506" i="11"/>
  <c r="P506" i="11"/>
  <c r="O506" i="11"/>
  <c r="R505" i="11"/>
  <c r="Q505" i="11"/>
  <c r="P505" i="11"/>
  <c r="O505" i="11"/>
  <c r="R504" i="11"/>
  <c r="Q504" i="11"/>
  <c r="P504" i="11"/>
  <c r="O504" i="11"/>
  <c r="R503" i="11"/>
  <c r="Q503" i="11"/>
  <c r="P503" i="11"/>
  <c r="O503" i="11"/>
  <c r="R502" i="11"/>
  <c r="Q502" i="11"/>
  <c r="P502" i="11"/>
  <c r="O502" i="11"/>
  <c r="R501" i="11"/>
  <c r="Q501" i="11"/>
  <c r="P501" i="11"/>
  <c r="O501" i="11"/>
  <c r="R500" i="11"/>
  <c r="Q500" i="11"/>
  <c r="P500" i="11"/>
  <c r="O500" i="11"/>
  <c r="R499" i="11"/>
  <c r="Q499" i="11"/>
  <c r="P499" i="11"/>
  <c r="O499" i="11"/>
  <c r="R498" i="11"/>
  <c r="Q498" i="11"/>
  <c r="P498" i="11"/>
  <c r="O498" i="11"/>
  <c r="R497" i="11"/>
  <c r="Q497" i="11"/>
  <c r="P497" i="11"/>
  <c r="O497" i="11"/>
  <c r="R496" i="11"/>
  <c r="Q496" i="11"/>
  <c r="P496" i="11"/>
  <c r="O496" i="11"/>
  <c r="R495" i="11"/>
  <c r="Q495" i="11"/>
  <c r="P495" i="11"/>
  <c r="O495" i="11"/>
  <c r="R494" i="11"/>
  <c r="Q494" i="11"/>
  <c r="P494" i="11"/>
  <c r="O494" i="11"/>
  <c r="R493" i="11"/>
  <c r="Q493" i="11"/>
  <c r="P493" i="11"/>
  <c r="O493" i="11"/>
  <c r="R492" i="11"/>
  <c r="Q492" i="11"/>
  <c r="P492" i="11"/>
  <c r="O492" i="11"/>
  <c r="R491" i="11"/>
  <c r="Q491" i="11"/>
  <c r="P491" i="11"/>
  <c r="O491" i="11"/>
  <c r="R490" i="11"/>
  <c r="Q490" i="11"/>
  <c r="P490" i="11"/>
  <c r="O490" i="11"/>
  <c r="R489" i="11"/>
  <c r="Q489" i="11"/>
  <c r="P489" i="11"/>
  <c r="O489" i="11"/>
  <c r="R488" i="11"/>
  <c r="Q488" i="11"/>
  <c r="P488" i="11"/>
  <c r="O488" i="11"/>
  <c r="R487" i="11"/>
  <c r="Q487" i="11"/>
  <c r="P487" i="11"/>
  <c r="O487" i="11"/>
  <c r="R486" i="11"/>
  <c r="Q486" i="11"/>
  <c r="P486" i="11"/>
  <c r="O486" i="11"/>
  <c r="R485" i="11"/>
  <c r="Q485" i="11"/>
  <c r="P485" i="11"/>
  <c r="O485" i="11"/>
  <c r="R484" i="11"/>
  <c r="Q484" i="11"/>
  <c r="P484" i="11"/>
  <c r="O484" i="11"/>
  <c r="R483" i="11"/>
  <c r="Q483" i="11"/>
  <c r="P483" i="11"/>
  <c r="O483" i="11"/>
  <c r="R482" i="11"/>
  <c r="Q482" i="11"/>
  <c r="P482" i="11"/>
  <c r="O482" i="11"/>
  <c r="R481" i="11"/>
  <c r="Q481" i="11"/>
  <c r="P481" i="11"/>
  <c r="O481" i="11"/>
  <c r="R480" i="11"/>
  <c r="Q480" i="11"/>
  <c r="P480" i="11"/>
  <c r="O480" i="11"/>
  <c r="R479" i="11"/>
  <c r="Q479" i="11"/>
  <c r="P479" i="11"/>
  <c r="O479" i="11"/>
  <c r="R478" i="11"/>
  <c r="Q478" i="11"/>
  <c r="P478" i="11"/>
  <c r="O478" i="11"/>
  <c r="R477" i="11"/>
  <c r="Q477" i="11"/>
  <c r="P477" i="11"/>
  <c r="O477" i="11"/>
  <c r="R476" i="11"/>
  <c r="Q476" i="11"/>
  <c r="P476" i="11"/>
  <c r="O476" i="11"/>
  <c r="R475" i="11"/>
  <c r="Q475" i="11"/>
  <c r="P475" i="11"/>
  <c r="O475" i="11"/>
  <c r="R474" i="11"/>
  <c r="Q474" i="11"/>
  <c r="P474" i="11"/>
  <c r="O474" i="11"/>
  <c r="R473" i="11"/>
  <c r="Q473" i="11"/>
  <c r="P473" i="11"/>
  <c r="O473" i="11"/>
  <c r="R472" i="11"/>
  <c r="Q472" i="11"/>
  <c r="P472" i="11"/>
  <c r="O472" i="11"/>
  <c r="R471" i="11"/>
  <c r="Q471" i="11"/>
  <c r="P471" i="11"/>
  <c r="O471" i="11"/>
  <c r="R470" i="11"/>
  <c r="Q470" i="11"/>
  <c r="P470" i="11"/>
  <c r="O470" i="11"/>
  <c r="R469" i="11"/>
  <c r="Q469" i="11"/>
  <c r="P469" i="11"/>
  <c r="O469" i="11"/>
  <c r="R468" i="11"/>
  <c r="Q468" i="11"/>
  <c r="P468" i="11"/>
  <c r="O468" i="11"/>
  <c r="R467" i="11"/>
  <c r="Q467" i="11"/>
  <c r="P467" i="11"/>
  <c r="O467" i="11"/>
  <c r="R466" i="11"/>
  <c r="Q466" i="11"/>
  <c r="P466" i="11"/>
  <c r="O466" i="11"/>
  <c r="R465" i="11"/>
  <c r="Q465" i="11"/>
  <c r="P465" i="11"/>
  <c r="O465" i="11"/>
  <c r="R464" i="11"/>
  <c r="Q464" i="11"/>
  <c r="P464" i="11"/>
  <c r="O464" i="11"/>
  <c r="R463" i="11"/>
  <c r="Q463" i="11"/>
  <c r="P463" i="11"/>
  <c r="O463" i="11"/>
  <c r="R462" i="11"/>
  <c r="Q462" i="11"/>
  <c r="P462" i="11"/>
  <c r="O462" i="11"/>
  <c r="R461" i="11"/>
  <c r="Q461" i="11"/>
  <c r="P461" i="11"/>
  <c r="O461" i="11"/>
  <c r="R460" i="11"/>
  <c r="Q460" i="11"/>
  <c r="P460" i="11"/>
  <c r="O460" i="11"/>
  <c r="R459" i="11"/>
  <c r="Q459" i="11"/>
  <c r="P459" i="11"/>
  <c r="O459" i="11"/>
  <c r="R458" i="11"/>
  <c r="Q458" i="11"/>
  <c r="P458" i="11"/>
  <c r="O458" i="11"/>
  <c r="R457" i="11"/>
  <c r="Q457" i="11"/>
  <c r="P457" i="11"/>
  <c r="O457" i="11"/>
  <c r="R456" i="11"/>
  <c r="Q456" i="11"/>
  <c r="P456" i="11"/>
  <c r="O456" i="11"/>
  <c r="R455" i="11"/>
  <c r="Q455" i="11"/>
  <c r="P455" i="11"/>
  <c r="O455" i="11"/>
  <c r="R454" i="11"/>
  <c r="Q454" i="11"/>
  <c r="P454" i="11"/>
  <c r="O454" i="11"/>
  <c r="R453" i="11"/>
  <c r="Q453" i="11"/>
  <c r="P453" i="11"/>
  <c r="O453" i="11"/>
  <c r="R452" i="11"/>
  <c r="Q452" i="11"/>
  <c r="P452" i="11"/>
  <c r="O452" i="11"/>
  <c r="R451" i="11"/>
  <c r="Q451" i="11"/>
  <c r="P451" i="11"/>
  <c r="O451" i="11"/>
  <c r="R450" i="11"/>
  <c r="Q450" i="11"/>
  <c r="P450" i="11"/>
  <c r="O450" i="11"/>
  <c r="R449" i="11"/>
  <c r="Q449" i="11"/>
  <c r="P449" i="11"/>
  <c r="O449" i="11"/>
  <c r="R448" i="11"/>
  <c r="Q448" i="11"/>
  <c r="P448" i="11"/>
  <c r="O448" i="11"/>
  <c r="R447" i="11"/>
  <c r="Q447" i="11"/>
  <c r="P447" i="11"/>
  <c r="O447" i="11"/>
  <c r="R446" i="11"/>
  <c r="Q446" i="11"/>
  <c r="P446" i="11"/>
  <c r="O446" i="11"/>
  <c r="R445" i="11"/>
  <c r="Q445" i="11"/>
  <c r="P445" i="11"/>
  <c r="O445" i="11"/>
  <c r="R444" i="11"/>
  <c r="Q444" i="11"/>
  <c r="P444" i="11"/>
  <c r="O444" i="11"/>
  <c r="R443" i="11"/>
  <c r="Q443" i="11"/>
  <c r="P443" i="11"/>
  <c r="O443" i="11"/>
  <c r="R442" i="11"/>
  <c r="Q442" i="11"/>
  <c r="P442" i="11"/>
  <c r="O442" i="11"/>
  <c r="R441" i="11"/>
  <c r="Q441" i="11"/>
  <c r="P441" i="11"/>
  <c r="O441" i="11"/>
  <c r="R440" i="11"/>
  <c r="Q440" i="11"/>
  <c r="P440" i="11"/>
  <c r="O440" i="11"/>
  <c r="R439" i="11"/>
  <c r="Q439" i="11"/>
  <c r="P439" i="11"/>
  <c r="O439" i="11"/>
  <c r="R438" i="11"/>
  <c r="Q438" i="11"/>
  <c r="P438" i="11"/>
  <c r="O438" i="11"/>
  <c r="R437" i="11"/>
  <c r="Q437" i="11"/>
  <c r="P437" i="11"/>
  <c r="O437" i="11"/>
  <c r="R436" i="11"/>
  <c r="Q436" i="11"/>
  <c r="P436" i="11"/>
  <c r="O436" i="11"/>
  <c r="R435" i="11"/>
  <c r="Q435" i="11"/>
  <c r="P435" i="11"/>
  <c r="O435" i="11"/>
  <c r="R434" i="11"/>
  <c r="Q434" i="11"/>
  <c r="P434" i="11"/>
  <c r="O434" i="11"/>
  <c r="R433" i="11"/>
  <c r="Q433" i="11"/>
  <c r="P433" i="11"/>
  <c r="O433" i="11"/>
  <c r="R432" i="11"/>
  <c r="Q432" i="11"/>
  <c r="P432" i="11"/>
  <c r="O432" i="11"/>
  <c r="R431" i="11"/>
  <c r="Q431" i="11"/>
  <c r="P431" i="11"/>
  <c r="O431" i="11"/>
  <c r="R430" i="11"/>
  <c r="Q430" i="11"/>
  <c r="P430" i="11"/>
  <c r="O430" i="11"/>
  <c r="R429" i="11"/>
  <c r="Q429" i="11"/>
  <c r="P429" i="11"/>
  <c r="O429" i="11"/>
  <c r="R428" i="11"/>
  <c r="Q428" i="11"/>
  <c r="P428" i="11"/>
  <c r="O428" i="11"/>
  <c r="R427" i="11"/>
  <c r="Q427" i="11"/>
  <c r="P427" i="11"/>
  <c r="O427" i="11"/>
  <c r="R426" i="11"/>
  <c r="Q426" i="11"/>
  <c r="P426" i="11"/>
  <c r="O426" i="11"/>
  <c r="R425" i="11"/>
  <c r="Q425" i="11"/>
  <c r="P425" i="11"/>
  <c r="O425" i="11"/>
  <c r="R424" i="11"/>
  <c r="Q424" i="11"/>
  <c r="P424" i="11"/>
  <c r="O424" i="11"/>
  <c r="R423" i="11"/>
  <c r="Q423" i="11"/>
  <c r="P423" i="11"/>
  <c r="O423" i="11"/>
  <c r="R422" i="11"/>
  <c r="Q422" i="11"/>
  <c r="P422" i="11"/>
  <c r="O422" i="11"/>
  <c r="R421" i="11"/>
  <c r="Q421" i="11"/>
  <c r="P421" i="11"/>
  <c r="O421" i="11"/>
  <c r="R420" i="11"/>
  <c r="Q420" i="11"/>
  <c r="P420" i="11"/>
  <c r="O420" i="11"/>
  <c r="R419" i="11"/>
  <c r="Q419" i="11"/>
  <c r="P419" i="11"/>
  <c r="O419" i="11"/>
  <c r="R418" i="11"/>
  <c r="Q418" i="11"/>
  <c r="P418" i="11"/>
  <c r="O418" i="11"/>
  <c r="R417" i="11"/>
  <c r="Q417" i="11"/>
  <c r="P417" i="11"/>
  <c r="O417" i="11"/>
  <c r="R416" i="11"/>
  <c r="Q416" i="11"/>
  <c r="P416" i="11"/>
  <c r="O416" i="11"/>
  <c r="R415" i="11"/>
  <c r="Q415" i="11"/>
  <c r="P415" i="11"/>
  <c r="O415" i="11"/>
  <c r="R414" i="11"/>
  <c r="Q414" i="11"/>
  <c r="P414" i="11"/>
  <c r="O414" i="11"/>
  <c r="R413" i="11"/>
  <c r="Q413" i="11"/>
  <c r="P413" i="11"/>
  <c r="O413" i="11"/>
  <c r="R412" i="11"/>
  <c r="Q412" i="11"/>
  <c r="P412" i="11"/>
  <c r="O412" i="11"/>
  <c r="R411" i="11"/>
  <c r="Q411" i="11"/>
  <c r="P411" i="11"/>
  <c r="O411" i="11"/>
  <c r="R410" i="11"/>
  <c r="Q410" i="11"/>
  <c r="P410" i="11"/>
  <c r="O410" i="11"/>
  <c r="R409" i="11"/>
  <c r="Q409" i="11"/>
  <c r="P409" i="11"/>
  <c r="O409" i="11"/>
  <c r="R408" i="11"/>
  <c r="Q408" i="11"/>
  <c r="P408" i="11"/>
  <c r="O408" i="11"/>
  <c r="R407" i="11"/>
  <c r="Q407" i="11"/>
  <c r="P407" i="11"/>
  <c r="O407" i="11"/>
  <c r="R406" i="11"/>
  <c r="Q406" i="11"/>
  <c r="P406" i="11"/>
  <c r="O406" i="11"/>
  <c r="R405" i="11"/>
  <c r="Q405" i="11"/>
  <c r="P405" i="11"/>
  <c r="O405" i="11"/>
  <c r="R404" i="11"/>
  <c r="Q404" i="11"/>
  <c r="P404" i="11"/>
  <c r="O404" i="11"/>
  <c r="R403" i="11"/>
  <c r="Q403" i="11"/>
  <c r="P403" i="11"/>
  <c r="O403" i="11"/>
  <c r="R402" i="11"/>
  <c r="Q402" i="11"/>
  <c r="P402" i="11"/>
  <c r="O402" i="11"/>
  <c r="R401" i="11"/>
  <c r="Q401" i="11"/>
  <c r="P401" i="11"/>
  <c r="O401" i="11"/>
  <c r="R400" i="11"/>
  <c r="Q400" i="11"/>
  <c r="P400" i="11"/>
  <c r="O400" i="11"/>
  <c r="R399" i="11"/>
  <c r="Q399" i="11"/>
  <c r="P399" i="11"/>
  <c r="O399" i="11"/>
  <c r="R398" i="11"/>
  <c r="Q398" i="11"/>
  <c r="P398" i="11"/>
  <c r="O398" i="11"/>
  <c r="R397" i="11"/>
  <c r="Q397" i="11"/>
  <c r="P397" i="11"/>
  <c r="O397" i="11"/>
  <c r="R396" i="11"/>
  <c r="Q396" i="11"/>
  <c r="P396" i="11"/>
  <c r="O396" i="11"/>
  <c r="R395" i="11"/>
  <c r="Q395" i="11"/>
  <c r="P395" i="11"/>
  <c r="O395" i="11"/>
  <c r="R394" i="11"/>
  <c r="Q394" i="11"/>
  <c r="P394" i="11"/>
  <c r="O394" i="11"/>
  <c r="R393" i="11"/>
  <c r="Q393" i="11"/>
  <c r="P393" i="11"/>
  <c r="O393" i="11"/>
  <c r="R392" i="11"/>
  <c r="Q392" i="11"/>
  <c r="P392" i="11"/>
  <c r="O392" i="11"/>
  <c r="R391" i="11"/>
  <c r="Q391" i="11"/>
  <c r="P391" i="11"/>
  <c r="O391" i="11"/>
  <c r="R390" i="11"/>
  <c r="Q390" i="11"/>
  <c r="P390" i="11"/>
  <c r="O390" i="11"/>
  <c r="R389" i="11"/>
  <c r="Q389" i="11"/>
  <c r="P389" i="11"/>
  <c r="O389" i="11"/>
  <c r="R388" i="11"/>
  <c r="Q388" i="11"/>
  <c r="P388" i="11"/>
  <c r="O388" i="11"/>
  <c r="R387" i="11"/>
  <c r="Q387" i="11"/>
  <c r="P387" i="11"/>
  <c r="O387" i="11"/>
  <c r="R386" i="11"/>
  <c r="Q386" i="11"/>
  <c r="P386" i="11"/>
  <c r="O386" i="11"/>
  <c r="R385" i="11"/>
  <c r="Q385" i="11"/>
  <c r="P385" i="11"/>
  <c r="O385" i="11"/>
  <c r="R384" i="11"/>
  <c r="Q384" i="11"/>
  <c r="P384" i="11"/>
  <c r="O384" i="11"/>
  <c r="R383" i="11"/>
  <c r="Q383" i="11"/>
  <c r="P383" i="11"/>
  <c r="O383" i="11"/>
  <c r="R382" i="11"/>
  <c r="Q382" i="11"/>
  <c r="P382" i="11"/>
  <c r="O382" i="11"/>
  <c r="R381" i="11"/>
  <c r="Q381" i="11"/>
  <c r="P381" i="11"/>
  <c r="O381" i="11"/>
  <c r="R380" i="11"/>
  <c r="Q380" i="11"/>
  <c r="P380" i="11"/>
  <c r="O380" i="11"/>
  <c r="R379" i="11"/>
  <c r="Q379" i="11"/>
  <c r="P379" i="11"/>
  <c r="O379" i="11"/>
  <c r="R378" i="11"/>
  <c r="Q378" i="11"/>
  <c r="P378" i="11"/>
  <c r="O378" i="11"/>
  <c r="R377" i="11"/>
  <c r="Q377" i="11"/>
  <c r="P377" i="11"/>
  <c r="O377" i="11"/>
  <c r="R376" i="11"/>
  <c r="Q376" i="11"/>
  <c r="P376" i="11"/>
  <c r="O376" i="11"/>
  <c r="R375" i="11"/>
  <c r="Q375" i="11"/>
  <c r="P375" i="11"/>
  <c r="O375" i="11"/>
  <c r="R374" i="11"/>
  <c r="Q374" i="11"/>
  <c r="P374" i="11"/>
  <c r="O374" i="11"/>
  <c r="R373" i="11"/>
  <c r="Q373" i="11"/>
  <c r="P373" i="11"/>
  <c r="O373" i="11"/>
  <c r="R372" i="11"/>
  <c r="Q372" i="11"/>
  <c r="P372" i="11"/>
  <c r="O372" i="11"/>
  <c r="R371" i="11"/>
  <c r="Q371" i="11"/>
  <c r="P371" i="11"/>
  <c r="O371" i="11"/>
  <c r="R370" i="11"/>
  <c r="Q370" i="11"/>
  <c r="P370" i="11"/>
  <c r="O370" i="11"/>
  <c r="R369" i="11"/>
  <c r="Q369" i="11"/>
  <c r="P369" i="11"/>
  <c r="O369" i="11"/>
  <c r="R368" i="11"/>
  <c r="Q368" i="11"/>
  <c r="P368" i="11"/>
  <c r="O368" i="11"/>
  <c r="R367" i="11"/>
  <c r="Q367" i="11"/>
  <c r="P367" i="11"/>
  <c r="O367" i="11"/>
  <c r="R366" i="11"/>
  <c r="Q366" i="11"/>
  <c r="P366" i="11"/>
  <c r="O366" i="11"/>
  <c r="R365" i="11"/>
  <c r="Q365" i="11"/>
  <c r="P365" i="11"/>
  <c r="O365" i="11"/>
  <c r="R364" i="11"/>
  <c r="Q364" i="11"/>
  <c r="P364" i="11"/>
  <c r="O364" i="11"/>
  <c r="R363" i="11"/>
  <c r="Q363" i="11"/>
  <c r="P363" i="11"/>
  <c r="O363" i="11"/>
  <c r="R362" i="11"/>
  <c r="Q362" i="11"/>
  <c r="P362" i="11"/>
  <c r="O362" i="11"/>
  <c r="R361" i="11"/>
  <c r="Q361" i="11"/>
  <c r="P361" i="11"/>
  <c r="O361" i="11"/>
  <c r="R360" i="11"/>
  <c r="Q360" i="11"/>
  <c r="P360" i="11"/>
  <c r="O360" i="11"/>
  <c r="R359" i="11"/>
  <c r="Q359" i="11"/>
  <c r="P359" i="11"/>
  <c r="O359" i="11"/>
  <c r="R358" i="11"/>
  <c r="Q358" i="11"/>
  <c r="P358" i="11"/>
  <c r="O358" i="11"/>
  <c r="R357" i="11"/>
  <c r="Q357" i="11"/>
  <c r="P357" i="11"/>
  <c r="O357" i="11"/>
  <c r="R356" i="11"/>
  <c r="Q356" i="11"/>
  <c r="P356" i="11"/>
  <c r="O356" i="11"/>
  <c r="R355" i="11"/>
  <c r="Q355" i="11"/>
  <c r="P355" i="11"/>
  <c r="O355" i="11"/>
  <c r="R354" i="11"/>
  <c r="Q354" i="11"/>
  <c r="P354" i="11"/>
  <c r="O354" i="11"/>
  <c r="R353" i="11"/>
  <c r="Q353" i="11"/>
  <c r="P353" i="11"/>
  <c r="O353" i="11"/>
  <c r="R352" i="11"/>
  <c r="Q352" i="11"/>
  <c r="P352" i="11"/>
  <c r="O352" i="11"/>
  <c r="R351" i="11"/>
  <c r="Q351" i="11"/>
  <c r="P351" i="11"/>
  <c r="O351" i="11"/>
  <c r="R350" i="11"/>
  <c r="Q350" i="11"/>
  <c r="P350" i="11"/>
  <c r="O350" i="11"/>
  <c r="R349" i="11"/>
  <c r="Q349" i="11"/>
  <c r="P349" i="11"/>
  <c r="O349" i="11"/>
  <c r="R348" i="11"/>
  <c r="Q348" i="11"/>
  <c r="P348" i="11"/>
  <c r="O348" i="11"/>
  <c r="R347" i="11"/>
  <c r="Q347" i="11"/>
  <c r="P347" i="11"/>
  <c r="O347" i="11"/>
  <c r="R346" i="11"/>
  <c r="Q346" i="11"/>
  <c r="P346" i="11"/>
  <c r="O346" i="11"/>
  <c r="R345" i="11"/>
  <c r="Q345" i="11"/>
  <c r="P345" i="11"/>
  <c r="O345" i="11"/>
  <c r="R344" i="11"/>
  <c r="Q344" i="11"/>
  <c r="P344" i="11"/>
  <c r="O344" i="11"/>
  <c r="R343" i="11"/>
  <c r="Q343" i="11"/>
  <c r="P343" i="11"/>
  <c r="O343" i="11"/>
  <c r="R342" i="11"/>
  <c r="Q342" i="11"/>
  <c r="P342" i="11"/>
  <c r="O342" i="11"/>
  <c r="R341" i="11"/>
  <c r="Q341" i="11"/>
  <c r="P341" i="11"/>
  <c r="O341" i="11"/>
  <c r="R340" i="11"/>
  <c r="Q340" i="11"/>
  <c r="P340" i="11"/>
  <c r="O340" i="11"/>
  <c r="R339" i="11"/>
  <c r="Q339" i="11"/>
  <c r="P339" i="11"/>
  <c r="O339" i="11"/>
  <c r="R338" i="11"/>
  <c r="Q338" i="11"/>
  <c r="P338" i="11"/>
  <c r="O338" i="11"/>
  <c r="R337" i="11"/>
  <c r="Q337" i="11"/>
  <c r="P337" i="11"/>
  <c r="O337" i="11"/>
  <c r="R336" i="11"/>
  <c r="Q336" i="11"/>
  <c r="P336" i="11"/>
  <c r="O336" i="11"/>
  <c r="R335" i="11"/>
  <c r="Q335" i="11"/>
  <c r="P335" i="11"/>
  <c r="O335" i="11"/>
  <c r="R334" i="11"/>
  <c r="Q334" i="11"/>
  <c r="P334" i="11"/>
  <c r="O334" i="11"/>
  <c r="R333" i="11"/>
  <c r="Q333" i="11"/>
  <c r="P333" i="11"/>
  <c r="O333" i="11"/>
  <c r="R332" i="11"/>
  <c r="Q332" i="11"/>
  <c r="P332" i="11"/>
  <c r="O332" i="11"/>
  <c r="R331" i="11"/>
  <c r="Q331" i="11"/>
  <c r="P331" i="11"/>
  <c r="O331" i="11"/>
  <c r="R330" i="11"/>
  <c r="Q330" i="11"/>
  <c r="P330" i="11"/>
  <c r="O330" i="11"/>
  <c r="R329" i="11"/>
  <c r="Q329" i="11"/>
  <c r="P329" i="11"/>
  <c r="O329" i="11"/>
  <c r="R328" i="11"/>
  <c r="Q328" i="11"/>
  <c r="P328" i="11"/>
  <c r="O328" i="11"/>
  <c r="R327" i="11"/>
  <c r="Q327" i="11"/>
  <c r="P327" i="11"/>
  <c r="O327" i="11"/>
  <c r="R326" i="11"/>
  <c r="Q326" i="11"/>
  <c r="P326" i="11"/>
  <c r="O326" i="11"/>
  <c r="R325" i="11"/>
  <c r="Q325" i="11"/>
  <c r="P325" i="11"/>
  <c r="O325" i="11"/>
  <c r="R324" i="11"/>
  <c r="Q324" i="11"/>
  <c r="P324" i="11"/>
  <c r="O324" i="11"/>
  <c r="R323" i="11"/>
  <c r="Q323" i="11"/>
  <c r="P323" i="11"/>
  <c r="O323" i="11"/>
  <c r="R322" i="11"/>
  <c r="Q322" i="11"/>
  <c r="P322" i="11"/>
  <c r="O322" i="11"/>
  <c r="R321" i="11"/>
  <c r="Q321" i="11"/>
  <c r="P321" i="11"/>
  <c r="O321" i="11"/>
  <c r="R320" i="11"/>
  <c r="Q320" i="11"/>
  <c r="P320" i="11"/>
  <c r="O320" i="11"/>
  <c r="R319" i="11"/>
  <c r="Q319" i="11"/>
  <c r="P319" i="11"/>
  <c r="O319" i="11"/>
  <c r="R318" i="11"/>
  <c r="Q318" i="11"/>
  <c r="P318" i="11"/>
  <c r="O318" i="11"/>
  <c r="R317" i="11"/>
  <c r="Q317" i="11"/>
  <c r="P317" i="11"/>
  <c r="O317" i="11"/>
  <c r="R316" i="11"/>
  <c r="Q316" i="11"/>
  <c r="P316" i="11"/>
  <c r="O316" i="11"/>
  <c r="R315" i="11"/>
  <c r="Q315" i="11"/>
  <c r="P315" i="11"/>
  <c r="O315" i="11"/>
  <c r="R314" i="11"/>
  <c r="Q314" i="11"/>
  <c r="P314" i="11"/>
  <c r="O314" i="11"/>
  <c r="R313" i="11"/>
  <c r="Q313" i="11"/>
  <c r="P313" i="11"/>
  <c r="O313" i="11"/>
  <c r="R312" i="11"/>
  <c r="Q312" i="11"/>
  <c r="P312" i="11"/>
  <c r="O312" i="11"/>
  <c r="R311" i="11"/>
  <c r="Q311" i="11"/>
  <c r="P311" i="11"/>
  <c r="O311" i="11"/>
  <c r="R310" i="11"/>
  <c r="Q310" i="11"/>
  <c r="P310" i="11"/>
  <c r="O310" i="11"/>
  <c r="R309" i="11"/>
  <c r="Q309" i="11"/>
  <c r="P309" i="11"/>
  <c r="O309" i="11"/>
  <c r="R308" i="11"/>
  <c r="Q308" i="11"/>
  <c r="P308" i="11"/>
  <c r="O308" i="11"/>
  <c r="R307" i="11"/>
  <c r="Q307" i="11"/>
  <c r="P307" i="11"/>
  <c r="O307" i="11"/>
  <c r="R306" i="11"/>
  <c r="Q306" i="11"/>
  <c r="P306" i="11"/>
  <c r="O306" i="11"/>
  <c r="R305" i="11"/>
  <c r="Q305" i="11"/>
  <c r="P305" i="11"/>
  <c r="O305" i="11"/>
  <c r="R304" i="11"/>
  <c r="Q304" i="11"/>
  <c r="P304" i="11"/>
  <c r="O304" i="11"/>
  <c r="R303" i="11"/>
  <c r="Q303" i="11"/>
  <c r="P303" i="11"/>
  <c r="O303" i="11"/>
  <c r="R302" i="11"/>
  <c r="Q302" i="11"/>
  <c r="P302" i="11"/>
  <c r="O302" i="11"/>
  <c r="R301" i="11"/>
  <c r="Q301" i="11"/>
  <c r="P301" i="11"/>
  <c r="O301" i="11"/>
  <c r="R300" i="11"/>
  <c r="Q300" i="11"/>
  <c r="P300" i="11"/>
  <c r="O300" i="11"/>
  <c r="R299" i="11"/>
  <c r="Q299" i="11"/>
  <c r="P299" i="11"/>
  <c r="O299" i="11"/>
  <c r="R298" i="11"/>
  <c r="Q298" i="11"/>
  <c r="P298" i="11"/>
  <c r="O298" i="11"/>
  <c r="R297" i="11"/>
  <c r="Q297" i="11"/>
  <c r="P297" i="11"/>
  <c r="O297" i="11"/>
  <c r="R296" i="11"/>
  <c r="Q296" i="11"/>
  <c r="P296" i="11"/>
  <c r="O296" i="11"/>
  <c r="R295" i="11"/>
  <c r="Q295" i="11"/>
  <c r="P295" i="11"/>
  <c r="O295" i="11"/>
  <c r="R294" i="11"/>
  <c r="Q294" i="11"/>
  <c r="P294" i="11"/>
  <c r="O294" i="11"/>
  <c r="R293" i="11"/>
  <c r="Q293" i="11"/>
  <c r="P293" i="11"/>
  <c r="O293" i="11"/>
  <c r="R292" i="11"/>
  <c r="Q292" i="11"/>
  <c r="P292" i="11"/>
  <c r="O292" i="11"/>
  <c r="R291" i="11"/>
  <c r="Q291" i="11"/>
  <c r="P291" i="11"/>
  <c r="O291" i="11"/>
  <c r="R290" i="11"/>
  <c r="Q290" i="11"/>
  <c r="P290" i="11"/>
  <c r="O290" i="11"/>
  <c r="R289" i="11"/>
  <c r="Q289" i="11"/>
  <c r="P289" i="11"/>
  <c r="O289" i="11"/>
  <c r="R288" i="11"/>
  <c r="Q288" i="11"/>
  <c r="P288" i="11"/>
  <c r="O288" i="11"/>
  <c r="R287" i="11"/>
  <c r="Q287" i="11"/>
  <c r="P287" i="11"/>
  <c r="O287" i="11"/>
  <c r="R286" i="11"/>
  <c r="Q286" i="11"/>
  <c r="P286" i="11"/>
  <c r="O286" i="11"/>
  <c r="R285" i="11"/>
  <c r="Q285" i="11"/>
  <c r="P285" i="11"/>
  <c r="O285" i="11"/>
  <c r="R284" i="11"/>
  <c r="Q284" i="11"/>
  <c r="P284" i="11"/>
  <c r="O284" i="11"/>
  <c r="R283" i="11"/>
  <c r="Q283" i="11"/>
  <c r="P283" i="11"/>
  <c r="O283" i="11"/>
  <c r="R282" i="11"/>
  <c r="Q282" i="11"/>
  <c r="P282" i="11"/>
  <c r="O282" i="11"/>
  <c r="R281" i="11"/>
  <c r="Q281" i="11"/>
  <c r="P281" i="11"/>
  <c r="O281" i="11"/>
  <c r="R280" i="11"/>
  <c r="Q280" i="11"/>
  <c r="P280" i="11"/>
  <c r="O280" i="11"/>
  <c r="R279" i="11"/>
  <c r="Q279" i="11"/>
  <c r="P279" i="11"/>
  <c r="O279" i="11"/>
  <c r="R278" i="11"/>
  <c r="Q278" i="11"/>
  <c r="P278" i="11"/>
  <c r="O278" i="11"/>
  <c r="R277" i="11"/>
  <c r="Q277" i="11"/>
  <c r="P277" i="11"/>
  <c r="O277" i="11"/>
  <c r="R276" i="11"/>
  <c r="Q276" i="11"/>
  <c r="P276" i="11"/>
  <c r="O276" i="11"/>
  <c r="R275" i="11"/>
  <c r="Q275" i="11"/>
  <c r="P275" i="11"/>
  <c r="O275" i="11"/>
  <c r="R274" i="11"/>
  <c r="Q274" i="11"/>
  <c r="P274" i="11"/>
  <c r="O274" i="11"/>
  <c r="R273" i="11"/>
  <c r="Q273" i="11"/>
  <c r="P273" i="11"/>
  <c r="O273" i="11"/>
  <c r="R272" i="11"/>
  <c r="Q272" i="11"/>
  <c r="P272" i="11"/>
  <c r="O272" i="11"/>
  <c r="R271" i="11"/>
  <c r="Q271" i="11"/>
  <c r="P271" i="11"/>
  <c r="O271" i="11"/>
  <c r="R270" i="11"/>
  <c r="Q270" i="11"/>
  <c r="P270" i="11"/>
  <c r="O270" i="11"/>
  <c r="R269" i="11"/>
  <c r="Q269" i="11"/>
  <c r="P269" i="11"/>
  <c r="O269" i="11"/>
  <c r="R268" i="11"/>
  <c r="Q268" i="11"/>
  <c r="P268" i="11"/>
  <c r="O268" i="11"/>
  <c r="R267" i="11"/>
  <c r="Q267" i="11"/>
  <c r="P267" i="11"/>
  <c r="O267" i="11"/>
  <c r="R266" i="11"/>
  <c r="Q266" i="11"/>
  <c r="P266" i="11"/>
  <c r="O266" i="11"/>
  <c r="R265" i="11"/>
  <c r="Q265" i="11"/>
  <c r="P265" i="11"/>
  <c r="O265" i="11"/>
  <c r="R264" i="11"/>
  <c r="Q264" i="11"/>
  <c r="P264" i="11"/>
  <c r="O264" i="11"/>
  <c r="R263" i="11"/>
  <c r="Q263" i="11"/>
  <c r="P263" i="11"/>
  <c r="O263" i="11"/>
  <c r="R262" i="11"/>
  <c r="Q262" i="11"/>
  <c r="P262" i="11"/>
  <c r="O262" i="11"/>
  <c r="R261" i="11"/>
  <c r="Q261" i="11"/>
  <c r="P261" i="11"/>
  <c r="O261" i="11"/>
  <c r="R260" i="11"/>
  <c r="Q260" i="11"/>
  <c r="P260" i="11"/>
  <c r="O260" i="11"/>
  <c r="R259" i="11"/>
  <c r="Q259" i="11"/>
  <c r="P259" i="11"/>
  <c r="O259" i="11"/>
  <c r="R258" i="11"/>
  <c r="Q258" i="11"/>
  <c r="P258" i="11"/>
  <c r="O258" i="11"/>
  <c r="R257" i="11"/>
  <c r="Q257" i="11"/>
  <c r="P257" i="11"/>
  <c r="O257" i="11"/>
  <c r="R256" i="11"/>
  <c r="Q256" i="11"/>
  <c r="P256" i="11"/>
  <c r="O256" i="11"/>
  <c r="R255" i="11"/>
  <c r="Q255" i="11"/>
  <c r="P255" i="11"/>
  <c r="O255" i="11"/>
  <c r="R254" i="11"/>
  <c r="Q254" i="11"/>
  <c r="P254" i="11"/>
  <c r="O254" i="11"/>
  <c r="R253" i="11"/>
  <c r="Q253" i="11"/>
  <c r="P253" i="11"/>
  <c r="O253" i="11"/>
  <c r="R252" i="11"/>
  <c r="Q252" i="11"/>
  <c r="P252" i="11"/>
  <c r="O252" i="11"/>
  <c r="R251" i="11"/>
  <c r="Q251" i="11"/>
  <c r="P251" i="11"/>
  <c r="O251" i="11"/>
  <c r="R250" i="11"/>
  <c r="Q250" i="11"/>
  <c r="P250" i="11"/>
  <c r="O250" i="11"/>
  <c r="R249" i="11"/>
  <c r="Q249" i="11"/>
  <c r="P249" i="11"/>
  <c r="O249" i="11"/>
  <c r="R248" i="11"/>
  <c r="Q248" i="11"/>
  <c r="P248" i="11"/>
  <c r="O248" i="11"/>
  <c r="R247" i="11"/>
  <c r="Q247" i="11"/>
  <c r="P247" i="11"/>
  <c r="O247" i="11"/>
  <c r="R246" i="11"/>
  <c r="Q246" i="11"/>
  <c r="P246" i="11"/>
  <c r="O246" i="11"/>
  <c r="R245" i="11"/>
  <c r="Q245" i="11"/>
  <c r="P245" i="11"/>
  <c r="O245" i="11"/>
  <c r="R244" i="11"/>
  <c r="Q244" i="11"/>
  <c r="P244" i="11"/>
  <c r="O244" i="11"/>
  <c r="R243" i="11"/>
  <c r="Q243" i="11"/>
  <c r="P243" i="11"/>
  <c r="O243" i="11"/>
  <c r="R242" i="11"/>
  <c r="Q242" i="11"/>
  <c r="P242" i="11"/>
  <c r="O242" i="11"/>
  <c r="R241" i="11"/>
  <c r="Q241" i="11"/>
  <c r="P241" i="11"/>
  <c r="O241" i="11"/>
  <c r="R240" i="11"/>
  <c r="Q240" i="11"/>
  <c r="P240" i="11"/>
  <c r="O240" i="11"/>
  <c r="R239" i="11"/>
  <c r="Q239" i="11"/>
  <c r="P239" i="11"/>
  <c r="O239" i="11"/>
  <c r="R238" i="11"/>
  <c r="Q238" i="11"/>
  <c r="P238" i="11"/>
  <c r="O238" i="11"/>
  <c r="R237" i="11"/>
  <c r="Q237" i="11"/>
  <c r="P237" i="11"/>
  <c r="O237" i="11"/>
  <c r="R236" i="11"/>
  <c r="Q236" i="11"/>
  <c r="P236" i="11"/>
  <c r="O236" i="11"/>
  <c r="R235" i="11"/>
  <c r="Q235" i="11"/>
  <c r="P235" i="11"/>
  <c r="O235" i="11"/>
  <c r="R234" i="11"/>
  <c r="Q234" i="11"/>
  <c r="P234" i="11"/>
  <c r="O234" i="11"/>
  <c r="R233" i="11"/>
  <c r="Q233" i="11"/>
  <c r="P233" i="11"/>
  <c r="O233" i="11"/>
  <c r="R232" i="11"/>
  <c r="Q232" i="11"/>
  <c r="P232" i="11"/>
  <c r="O232" i="11"/>
  <c r="R231" i="11"/>
  <c r="Q231" i="11"/>
  <c r="P231" i="11"/>
  <c r="O231" i="11"/>
  <c r="R230" i="11"/>
  <c r="Q230" i="11"/>
  <c r="P230" i="11"/>
  <c r="O230" i="11"/>
  <c r="R229" i="11"/>
  <c r="Q229" i="11"/>
  <c r="P229" i="11"/>
  <c r="O229" i="11"/>
  <c r="R228" i="11"/>
  <c r="Q228" i="11"/>
  <c r="P228" i="11"/>
  <c r="O228" i="11"/>
  <c r="R227" i="11"/>
  <c r="Q227" i="11"/>
  <c r="P227" i="11"/>
  <c r="O227" i="11"/>
  <c r="R226" i="11"/>
  <c r="Q226" i="11"/>
  <c r="P226" i="11"/>
  <c r="O226" i="11"/>
  <c r="R225" i="11"/>
  <c r="Q225" i="11"/>
  <c r="P225" i="11"/>
  <c r="O225" i="11"/>
  <c r="R224" i="11"/>
  <c r="Q224" i="11"/>
  <c r="P224" i="11"/>
  <c r="O224" i="11"/>
  <c r="R223" i="11"/>
  <c r="Q223" i="11"/>
  <c r="P223" i="11"/>
  <c r="O223" i="11"/>
  <c r="R222" i="11"/>
  <c r="Q222" i="11"/>
  <c r="P222" i="11"/>
  <c r="O222" i="11"/>
  <c r="R221" i="11"/>
  <c r="Q221" i="11"/>
  <c r="P221" i="11"/>
  <c r="O221" i="11"/>
  <c r="R220" i="11"/>
  <c r="Q220" i="11"/>
  <c r="P220" i="11"/>
  <c r="O220" i="11"/>
  <c r="R219" i="11"/>
  <c r="Q219" i="11"/>
  <c r="P219" i="11"/>
  <c r="O219" i="11"/>
  <c r="R218" i="11"/>
  <c r="Q218" i="11"/>
  <c r="P218" i="11"/>
  <c r="O218" i="11"/>
  <c r="R217" i="11"/>
  <c r="Q217" i="11"/>
  <c r="P217" i="11"/>
  <c r="O217" i="11"/>
  <c r="R216" i="11"/>
  <c r="Q216" i="11"/>
  <c r="P216" i="11"/>
  <c r="O216" i="11"/>
  <c r="R215" i="11"/>
  <c r="Q215" i="11"/>
  <c r="P215" i="11"/>
  <c r="O215" i="11"/>
  <c r="R214" i="11"/>
  <c r="Q214" i="11"/>
  <c r="P214" i="11"/>
  <c r="O214" i="11"/>
  <c r="R213" i="11"/>
  <c r="Q213" i="11"/>
  <c r="P213" i="11"/>
  <c r="O213" i="11"/>
  <c r="R212" i="11"/>
  <c r="Q212" i="11"/>
  <c r="P212" i="11"/>
  <c r="O212" i="11"/>
  <c r="R211" i="11"/>
  <c r="Q211" i="11"/>
  <c r="P211" i="11"/>
  <c r="O211" i="11"/>
  <c r="R210" i="11"/>
  <c r="Q210" i="11"/>
  <c r="P210" i="11"/>
  <c r="O210" i="11"/>
  <c r="R209" i="11"/>
  <c r="Q209" i="11"/>
  <c r="P209" i="11"/>
  <c r="O209" i="11"/>
  <c r="R208" i="11"/>
  <c r="Q208" i="11"/>
  <c r="P208" i="11"/>
  <c r="O208" i="11"/>
  <c r="R207" i="11"/>
  <c r="Q207" i="11"/>
  <c r="P207" i="11"/>
  <c r="O207" i="11"/>
  <c r="R206" i="11"/>
  <c r="Q206" i="11"/>
  <c r="P206" i="11"/>
  <c r="O206" i="11"/>
  <c r="R205" i="11"/>
  <c r="Q205" i="11"/>
  <c r="P205" i="11"/>
  <c r="O205" i="11"/>
  <c r="R204" i="11"/>
  <c r="Q204" i="11"/>
  <c r="P204" i="11"/>
  <c r="O204" i="11"/>
  <c r="R203" i="11"/>
  <c r="Q203" i="11"/>
  <c r="P203" i="11"/>
  <c r="O203" i="11"/>
  <c r="R202" i="11"/>
  <c r="Q202" i="11"/>
  <c r="P202" i="11"/>
  <c r="O202" i="11"/>
  <c r="R201" i="11"/>
  <c r="Q201" i="11"/>
  <c r="P201" i="11"/>
  <c r="O201" i="11"/>
  <c r="R200" i="11"/>
  <c r="Q200" i="11"/>
  <c r="P200" i="11"/>
  <c r="O200" i="11"/>
  <c r="R199" i="11"/>
  <c r="Q199" i="11"/>
  <c r="P199" i="11"/>
  <c r="O199" i="11"/>
  <c r="R198" i="11"/>
  <c r="Q198" i="11"/>
  <c r="P198" i="11"/>
  <c r="O198" i="11"/>
  <c r="R197" i="11"/>
  <c r="Q197" i="11"/>
  <c r="P197" i="11"/>
  <c r="O197" i="11"/>
  <c r="R196" i="11"/>
  <c r="Q196" i="11"/>
  <c r="P196" i="11"/>
  <c r="O196" i="11"/>
  <c r="R195" i="11"/>
  <c r="Q195" i="11"/>
  <c r="P195" i="11"/>
  <c r="O195" i="11"/>
  <c r="R194" i="11"/>
  <c r="Q194" i="11"/>
  <c r="P194" i="11"/>
  <c r="O194" i="11"/>
  <c r="R193" i="11"/>
  <c r="Q193" i="11"/>
  <c r="P193" i="11"/>
  <c r="O193" i="11"/>
  <c r="R192" i="11"/>
  <c r="Q192" i="11"/>
  <c r="P192" i="11"/>
  <c r="O192" i="11"/>
  <c r="R191" i="11"/>
  <c r="Q191" i="11"/>
  <c r="P191" i="11"/>
  <c r="O191" i="11"/>
  <c r="R190" i="11"/>
  <c r="Q190" i="11"/>
  <c r="P190" i="11"/>
  <c r="O190" i="11"/>
  <c r="R189" i="11"/>
  <c r="Q189" i="11"/>
  <c r="P189" i="11"/>
  <c r="O189" i="11"/>
  <c r="R188" i="11"/>
  <c r="Q188" i="11"/>
  <c r="P188" i="11"/>
  <c r="O188" i="11"/>
  <c r="R187" i="11"/>
  <c r="Q187" i="11"/>
  <c r="P187" i="11"/>
  <c r="O187" i="11"/>
  <c r="R186" i="11"/>
  <c r="Q186" i="11"/>
  <c r="P186" i="11"/>
  <c r="O186" i="11"/>
  <c r="R185" i="11"/>
  <c r="Q185" i="11"/>
  <c r="P185" i="11"/>
  <c r="O185" i="11"/>
  <c r="R184" i="11"/>
  <c r="Q184" i="11"/>
  <c r="P184" i="11"/>
  <c r="O184" i="11"/>
  <c r="R183" i="11"/>
  <c r="Q183" i="11"/>
  <c r="P183" i="11"/>
  <c r="O183" i="11"/>
  <c r="R182" i="11"/>
  <c r="Q182" i="11"/>
  <c r="P182" i="11"/>
  <c r="O182" i="11"/>
  <c r="R181" i="11"/>
  <c r="Q181" i="11"/>
  <c r="P181" i="11"/>
  <c r="O181" i="11"/>
  <c r="R180" i="11"/>
  <c r="Q180" i="11"/>
  <c r="P180" i="11"/>
  <c r="O180" i="11"/>
  <c r="R179" i="11"/>
  <c r="Q179" i="11"/>
  <c r="P179" i="11"/>
  <c r="O179" i="11"/>
  <c r="R178" i="11"/>
  <c r="Q178" i="11"/>
  <c r="P178" i="11"/>
  <c r="O178" i="11"/>
  <c r="R177" i="11"/>
  <c r="Q177" i="11"/>
  <c r="P177" i="11"/>
  <c r="O177" i="11"/>
  <c r="R176" i="11"/>
  <c r="Q176" i="11"/>
  <c r="P176" i="11"/>
  <c r="O176" i="11"/>
  <c r="R175" i="11"/>
  <c r="Q175" i="11"/>
  <c r="P175" i="11"/>
  <c r="O175" i="11"/>
  <c r="R174" i="11"/>
  <c r="Q174" i="11"/>
  <c r="P174" i="11"/>
  <c r="O174" i="11"/>
  <c r="R173" i="11"/>
  <c r="Q173" i="11"/>
  <c r="P173" i="11"/>
  <c r="O173" i="11"/>
  <c r="R172" i="11"/>
  <c r="Q172" i="11"/>
  <c r="P172" i="11"/>
  <c r="O172" i="11"/>
  <c r="R171" i="11"/>
  <c r="Q171" i="11"/>
  <c r="P171" i="11"/>
  <c r="O171" i="11"/>
  <c r="R170" i="11"/>
  <c r="Q170" i="11"/>
  <c r="P170" i="11"/>
  <c r="O170" i="11"/>
  <c r="R169" i="11"/>
  <c r="Q169" i="11"/>
  <c r="P169" i="11"/>
  <c r="O169" i="11"/>
  <c r="R168" i="11"/>
  <c r="Q168" i="11"/>
  <c r="P168" i="11"/>
  <c r="O168" i="11"/>
  <c r="R167" i="11"/>
  <c r="Q167" i="11"/>
  <c r="P167" i="11"/>
  <c r="O167" i="11"/>
  <c r="R166" i="11"/>
  <c r="Q166" i="11"/>
  <c r="P166" i="11"/>
  <c r="O166" i="11"/>
  <c r="R165" i="11"/>
  <c r="Q165" i="11"/>
  <c r="P165" i="11"/>
  <c r="O165" i="11"/>
  <c r="R164" i="11"/>
  <c r="Q164" i="11"/>
  <c r="P164" i="11"/>
  <c r="O164" i="11"/>
  <c r="R163" i="11"/>
  <c r="Q163" i="11"/>
  <c r="P163" i="11"/>
  <c r="O163" i="11"/>
  <c r="R162" i="11"/>
  <c r="Q162" i="11"/>
  <c r="P162" i="11"/>
  <c r="O162" i="11"/>
  <c r="R161" i="11"/>
  <c r="Q161" i="11"/>
  <c r="P161" i="11"/>
  <c r="O161" i="11"/>
  <c r="R160" i="11"/>
  <c r="Q160" i="11"/>
  <c r="P160" i="11"/>
  <c r="O160" i="11"/>
  <c r="R159" i="11"/>
  <c r="Q159" i="11"/>
  <c r="P159" i="11"/>
  <c r="O159" i="11"/>
  <c r="R158" i="11"/>
  <c r="Q158" i="11"/>
  <c r="P158" i="11"/>
  <c r="O158" i="11"/>
  <c r="R157" i="11"/>
  <c r="Q157" i="11"/>
  <c r="P157" i="11"/>
  <c r="O157" i="11"/>
  <c r="R156" i="11"/>
  <c r="Q156" i="11"/>
  <c r="P156" i="11"/>
  <c r="O156" i="11"/>
  <c r="R155" i="11"/>
  <c r="Q155" i="11"/>
  <c r="P155" i="11"/>
  <c r="O155" i="11"/>
  <c r="R154" i="11"/>
  <c r="Q154" i="11"/>
  <c r="P154" i="11"/>
  <c r="O154" i="11"/>
  <c r="R153" i="11"/>
  <c r="Q153" i="11"/>
  <c r="P153" i="11"/>
  <c r="O153" i="11"/>
  <c r="R152" i="11"/>
  <c r="Q152" i="11"/>
  <c r="P152" i="11"/>
  <c r="O152" i="11"/>
  <c r="R151" i="11"/>
  <c r="Q151" i="11"/>
  <c r="P151" i="11"/>
  <c r="O151" i="11"/>
  <c r="R150" i="11"/>
  <c r="Q150" i="11"/>
  <c r="P150" i="11"/>
  <c r="O150" i="11"/>
  <c r="R149" i="11"/>
  <c r="Q149" i="11"/>
  <c r="P149" i="11"/>
  <c r="O149" i="11"/>
  <c r="R148" i="11"/>
  <c r="Q148" i="11"/>
  <c r="P148" i="11"/>
  <c r="O148" i="11"/>
  <c r="R147" i="11"/>
  <c r="Q147" i="11"/>
  <c r="P147" i="11"/>
  <c r="O147" i="11"/>
  <c r="R146" i="11"/>
  <c r="Q146" i="11"/>
  <c r="P146" i="11"/>
  <c r="O146" i="11"/>
  <c r="R145" i="11"/>
  <c r="Q145" i="11"/>
  <c r="P145" i="11"/>
  <c r="O145" i="11"/>
  <c r="R144" i="11"/>
  <c r="Q144" i="11"/>
  <c r="P144" i="11"/>
  <c r="O144" i="11"/>
  <c r="R143" i="11"/>
  <c r="Q143" i="11"/>
  <c r="P143" i="11"/>
  <c r="O143" i="11"/>
  <c r="R142" i="11"/>
  <c r="Q142" i="11"/>
  <c r="P142" i="11"/>
  <c r="O142" i="11"/>
  <c r="R141" i="11"/>
  <c r="Q141" i="11"/>
  <c r="P141" i="11"/>
  <c r="O141" i="11"/>
  <c r="R140" i="11"/>
  <c r="Q140" i="11"/>
  <c r="P140" i="11"/>
  <c r="O140" i="11"/>
  <c r="R139" i="11"/>
  <c r="Q139" i="11"/>
  <c r="P139" i="11"/>
  <c r="O139" i="11"/>
  <c r="R138" i="11"/>
  <c r="Q138" i="11"/>
  <c r="P138" i="11"/>
  <c r="O138" i="11"/>
  <c r="R137" i="11"/>
  <c r="Q137" i="11"/>
  <c r="P137" i="11"/>
  <c r="O137" i="11"/>
  <c r="R136" i="11"/>
  <c r="Q136" i="11"/>
  <c r="P136" i="11"/>
  <c r="O136" i="11"/>
  <c r="R135" i="11"/>
  <c r="Q135" i="11"/>
  <c r="P135" i="11"/>
  <c r="O135" i="11"/>
  <c r="R134" i="11"/>
  <c r="Q134" i="11"/>
  <c r="P134" i="11"/>
  <c r="O134" i="11"/>
  <c r="R133" i="11"/>
  <c r="Q133" i="11"/>
  <c r="P133" i="11"/>
  <c r="O133" i="11"/>
  <c r="R132" i="11"/>
  <c r="Q132" i="11"/>
  <c r="P132" i="11"/>
  <c r="O132" i="11"/>
  <c r="R131" i="11"/>
  <c r="Q131" i="11"/>
  <c r="P131" i="11"/>
  <c r="O131" i="11"/>
  <c r="R130" i="11"/>
  <c r="Q130" i="11"/>
  <c r="P130" i="11"/>
  <c r="O130" i="11"/>
  <c r="R129" i="11"/>
  <c r="Q129" i="11"/>
  <c r="P129" i="11"/>
  <c r="O129" i="11"/>
  <c r="R128" i="11"/>
  <c r="Q128" i="11"/>
  <c r="P128" i="11"/>
  <c r="O128" i="11"/>
  <c r="R127" i="11"/>
  <c r="Q127" i="11"/>
  <c r="P127" i="11"/>
  <c r="O127" i="11"/>
  <c r="R126" i="11"/>
  <c r="Q126" i="11"/>
  <c r="P126" i="11"/>
  <c r="O126" i="11"/>
  <c r="R125" i="11"/>
  <c r="Q125" i="11"/>
  <c r="P125" i="11"/>
  <c r="O125" i="11"/>
  <c r="R124" i="11"/>
  <c r="Q124" i="11"/>
  <c r="P124" i="11"/>
  <c r="O124" i="11"/>
  <c r="R123" i="11"/>
  <c r="Q123" i="11"/>
  <c r="P123" i="11"/>
  <c r="O123" i="11"/>
  <c r="R122" i="11"/>
  <c r="Q122" i="11"/>
  <c r="P122" i="11"/>
  <c r="O122" i="11"/>
  <c r="R121" i="11"/>
  <c r="Q121" i="11"/>
  <c r="P121" i="11"/>
  <c r="O121" i="11"/>
  <c r="R120" i="11"/>
  <c r="Q120" i="11"/>
  <c r="P120" i="11"/>
  <c r="O120" i="11"/>
  <c r="R119" i="11"/>
  <c r="Q119" i="11"/>
  <c r="P119" i="11"/>
  <c r="O119" i="11"/>
  <c r="R118" i="11"/>
  <c r="Q118" i="11"/>
  <c r="P118" i="11"/>
  <c r="O118" i="11"/>
  <c r="R117" i="11"/>
  <c r="Q117" i="11"/>
  <c r="P117" i="11"/>
  <c r="O117" i="11"/>
  <c r="R116" i="11"/>
  <c r="Q116" i="11"/>
  <c r="P116" i="11"/>
  <c r="O116" i="11"/>
  <c r="R115" i="11"/>
  <c r="Q115" i="11"/>
  <c r="P115" i="11"/>
  <c r="O115" i="11"/>
  <c r="R114" i="11"/>
  <c r="Q114" i="11"/>
  <c r="P114" i="11"/>
  <c r="O114" i="11"/>
  <c r="R113" i="11"/>
  <c r="Q113" i="11"/>
  <c r="P113" i="11"/>
  <c r="O113" i="11"/>
  <c r="R112" i="11"/>
  <c r="Q112" i="11"/>
  <c r="P112" i="11"/>
  <c r="O112" i="11"/>
  <c r="R111" i="11"/>
  <c r="Q111" i="11"/>
  <c r="P111" i="11"/>
  <c r="O111" i="11"/>
  <c r="R110" i="11"/>
  <c r="Q110" i="11"/>
  <c r="P110" i="11"/>
  <c r="O110" i="11"/>
  <c r="R109" i="11"/>
  <c r="Q109" i="11"/>
  <c r="P109" i="11"/>
  <c r="O109" i="11"/>
  <c r="R108" i="11"/>
  <c r="Q108" i="11"/>
  <c r="P108" i="11"/>
  <c r="O108" i="11"/>
  <c r="R107" i="11"/>
  <c r="Q107" i="11"/>
  <c r="P107" i="11"/>
  <c r="O107" i="11"/>
  <c r="R106" i="11"/>
  <c r="Q106" i="11"/>
  <c r="P106" i="11"/>
  <c r="O106" i="11"/>
  <c r="R105" i="11"/>
  <c r="Q105" i="11"/>
  <c r="P105" i="11"/>
  <c r="O105" i="11"/>
  <c r="R104" i="11"/>
  <c r="Q104" i="11"/>
  <c r="P104" i="11"/>
  <c r="O104" i="11"/>
  <c r="R103" i="11"/>
  <c r="Q103" i="11"/>
  <c r="P103" i="11"/>
  <c r="O103" i="11"/>
  <c r="R102" i="11"/>
  <c r="Q102" i="11"/>
  <c r="P102" i="11"/>
  <c r="O102" i="11"/>
  <c r="R101" i="11"/>
  <c r="Q101" i="11"/>
  <c r="P101" i="11"/>
  <c r="O101" i="11"/>
  <c r="R100" i="11"/>
  <c r="Q100" i="11"/>
  <c r="P100" i="11"/>
  <c r="O100" i="11"/>
  <c r="R99" i="11"/>
  <c r="Q99" i="11"/>
  <c r="P99" i="11"/>
  <c r="O99" i="11"/>
  <c r="R98" i="11"/>
  <c r="Q98" i="11"/>
  <c r="P98" i="11"/>
  <c r="O98" i="11"/>
  <c r="R97" i="11"/>
  <c r="Q97" i="11"/>
  <c r="P97" i="11"/>
  <c r="O97" i="11"/>
  <c r="R96" i="11"/>
  <c r="Q96" i="11"/>
  <c r="P96" i="11"/>
  <c r="O96" i="11"/>
  <c r="R95" i="11"/>
  <c r="Q95" i="11"/>
  <c r="P95" i="11"/>
  <c r="O95" i="11"/>
  <c r="R94" i="11"/>
  <c r="Q94" i="11"/>
  <c r="P94" i="11"/>
  <c r="O94" i="11"/>
  <c r="R93" i="11"/>
  <c r="Q93" i="11"/>
  <c r="P93" i="11"/>
  <c r="O93" i="11"/>
  <c r="R92" i="11"/>
  <c r="Q92" i="11"/>
  <c r="P92" i="11"/>
  <c r="O92" i="11"/>
  <c r="R91" i="11"/>
  <c r="Q91" i="11"/>
  <c r="P91" i="11"/>
  <c r="O91" i="11"/>
  <c r="R90" i="11"/>
  <c r="Q90" i="11"/>
  <c r="P90" i="11"/>
  <c r="O90" i="11"/>
  <c r="R89" i="11"/>
  <c r="Q89" i="11"/>
  <c r="P89" i="11"/>
  <c r="O89" i="11"/>
  <c r="R88" i="11"/>
  <c r="Q88" i="11"/>
  <c r="P88" i="11"/>
  <c r="O88" i="11"/>
  <c r="R87" i="11"/>
  <c r="Q87" i="11"/>
  <c r="P87" i="11"/>
  <c r="O87" i="11"/>
  <c r="R86" i="11"/>
  <c r="Q86" i="11"/>
  <c r="P86" i="11"/>
  <c r="O86" i="11"/>
  <c r="R85" i="11"/>
  <c r="Q85" i="11"/>
  <c r="P85" i="11"/>
  <c r="O85" i="11"/>
  <c r="R84" i="11"/>
  <c r="Q84" i="11"/>
  <c r="P84" i="11"/>
  <c r="O84" i="11"/>
  <c r="R83" i="11"/>
  <c r="Q83" i="11"/>
  <c r="P83" i="11"/>
  <c r="O83" i="11"/>
  <c r="R82" i="11"/>
  <c r="Q82" i="11"/>
  <c r="P82" i="11"/>
  <c r="O82" i="11"/>
  <c r="R81" i="11"/>
  <c r="Q81" i="11"/>
  <c r="P81" i="11"/>
  <c r="O81" i="11"/>
  <c r="R80" i="11"/>
  <c r="Q80" i="11"/>
  <c r="P80" i="11"/>
  <c r="O80" i="11"/>
  <c r="R79" i="11"/>
  <c r="Q79" i="11"/>
  <c r="P79" i="11"/>
  <c r="O79" i="11"/>
  <c r="R78" i="11"/>
  <c r="Q78" i="11"/>
  <c r="P78" i="11"/>
  <c r="O78" i="11"/>
  <c r="R77" i="11"/>
  <c r="Q77" i="11"/>
  <c r="P77" i="11"/>
  <c r="O77" i="11"/>
  <c r="R76" i="11"/>
  <c r="Q76" i="11"/>
  <c r="P76" i="11"/>
  <c r="O76" i="11"/>
  <c r="R75" i="11"/>
  <c r="Q75" i="11"/>
  <c r="P75" i="11"/>
  <c r="O75" i="11"/>
  <c r="R74" i="11"/>
  <c r="Q74" i="11"/>
  <c r="P74" i="11"/>
  <c r="O74" i="11"/>
  <c r="R73" i="11"/>
  <c r="Q73" i="11"/>
  <c r="P73" i="11"/>
  <c r="O73" i="11"/>
  <c r="R72" i="11"/>
  <c r="Q72" i="11"/>
  <c r="P72" i="11"/>
  <c r="O72" i="11"/>
  <c r="R71" i="11"/>
  <c r="Q71" i="11"/>
  <c r="P71" i="11"/>
  <c r="O71" i="11"/>
  <c r="R70" i="11"/>
  <c r="Q70" i="11"/>
  <c r="P70" i="11"/>
  <c r="O70" i="11"/>
  <c r="R69" i="11"/>
  <c r="Q69" i="11"/>
  <c r="P69" i="11"/>
  <c r="O69" i="11"/>
  <c r="R68" i="11"/>
  <c r="Q68" i="11"/>
  <c r="P68" i="11"/>
  <c r="O68" i="11"/>
  <c r="R67" i="11"/>
  <c r="Q67" i="11"/>
  <c r="P67" i="11"/>
  <c r="O67" i="11"/>
  <c r="R66" i="11"/>
  <c r="Q66" i="11"/>
  <c r="P66" i="11"/>
  <c r="O66" i="11"/>
  <c r="R65" i="11"/>
  <c r="Q65" i="11"/>
  <c r="P65" i="11"/>
  <c r="O65" i="11"/>
  <c r="R64" i="11"/>
  <c r="Q64" i="11"/>
  <c r="P64" i="11"/>
  <c r="O64" i="11"/>
  <c r="R63" i="11"/>
  <c r="Q63" i="11"/>
  <c r="P63" i="11"/>
  <c r="O63" i="11"/>
  <c r="R62" i="11"/>
  <c r="Q62" i="11"/>
  <c r="P62" i="11"/>
  <c r="O62" i="11"/>
  <c r="R61" i="11"/>
  <c r="Q61" i="11"/>
  <c r="P61" i="11"/>
  <c r="O61" i="11"/>
  <c r="R60" i="11"/>
  <c r="Q60" i="11"/>
  <c r="P60" i="11"/>
  <c r="O60" i="11"/>
  <c r="R59" i="11"/>
  <c r="Q59" i="11"/>
  <c r="P59" i="11"/>
  <c r="O59" i="11"/>
  <c r="R58" i="11"/>
  <c r="Q58" i="11"/>
  <c r="P58" i="11"/>
  <c r="O58" i="11"/>
  <c r="R57" i="11"/>
  <c r="Q57" i="11"/>
  <c r="P57" i="11"/>
  <c r="O57" i="11"/>
  <c r="R56" i="11"/>
  <c r="Q56" i="11"/>
  <c r="P56" i="11"/>
  <c r="O56" i="11"/>
  <c r="R55" i="11"/>
  <c r="Q55" i="11"/>
  <c r="P55" i="11"/>
  <c r="O55" i="11"/>
  <c r="R54" i="11"/>
  <c r="Q54" i="11"/>
  <c r="P54" i="11"/>
  <c r="O54" i="11"/>
  <c r="R53" i="11"/>
  <c r="Q53" i="11"/>
  <c r="P53" i="11"/>
  <c r="O53" i="11"/>
  <c r="R52" i="11"/>
  <c r="Q52" i="11"/>
  <c r="P52" i="11"/>
  <c r="O52" i="11"/>
  <c r="R51" i="11"/>
  <c r="Q51" i="11"/>
  <c r="P51" i="11"/>
  <c r="O51" i="11"/>
  <c r="R50" i="11"/>
  <c r="Q50" i="11"/>
  <c r="P50" i="11"/>
  <c r="O50" i="11"/>
  <c r="R49" i="11"/>
  <c r="Q49" i="11"/>
  <c r="P49" i="11"/>
  <c r="O49" i="11"/>
  <c r="R48" i="11"/>
  <c r="Q48" i="11"/>
  <c r="P48" i="11"/>
  <c r="O48" i="11"/>
  <c r="R47" i="11"/>
  <c r="Q47" i="11"/>
  <c r="P47" i="11"/>
  <c r="O47" i="11"/>
  <c r="R46" i="11"/>
  <c r="Q46" i="11"/>
  <c r="P46" i="11"/>
  <c r="O46" i="11"/>
  <c r="R45" i="11"/>
  <c r="Q45" i="11"/>
  <c r="P45" i="11"/>
  <c r="O45" i="11"/>
  <c r="R44" i="11"/>
  <c r="Q44" i="11"/>
  <c r="P44" i="11"/>
  <c r="O44" i="11"/>
  <c r="R43" i="11"/>
  <c r="Q43" i="11"/>
  <c r="P43" i="11"/>
  <c r="O43" i="11"/>
  <c r="R42" i="11"/>
  <c r="Q42" i="11"/>
  <c r="P42" i="11"/>
  <c r="O42" i="11"/>
  <c r="R41" i="11"/>
  <c r="Q41" i="11"/>
  <c r="P41" i="11"/>
  <c r="O41" i="11"/>
  <c r="R40" i="11"/>
  <c r="Q40" i="11"/>
  <c r="P40" i="11"/>
  <c r="O40" i="11"/>
  <c r="R39" i="11"/>
  <c r="Q39" i="11"/>
  <c r="P39" i="11"/>
  <c r="O39" i="11"/>
  <c r="R38" i="11"/>
  <c r="Q38" i="11"/>
  <c r="P38" i="11"/>
  <c r="O38" i="11"/>
  <c r="R37" i="11"/>
  <c r="Q37" i="11"/>
  <c r="P37" i="11"/>
  <c r="O37" i="11"/>
  <c r="R36" i="11"/>
  <c r="Q36" i="11"/>
  <c r="P36" i="11"/>
  <c r="O36" i="11"/>
  <c r="R35" i="11"/>
  <c r="Q35" i="11"/>
  <c r="P35" i="11"/>
  <c r="O35" i="11"/>
  <c r="R34" i="11"/>
  <c r="Q34" i="11"/>
  <c r="P34" i="11"/>
  <c r="O34" i="11"/>
  <c r="R33" i="11"/>
  <c r="Q33" i="11"/>
  <c r="P33" i="11"/>
  <c r="O33" i="11"/>
  <c r="R32" i="11"/>
  <c r="Q32" i="11"/>
  <c r="P32" i="11"/>
  <c r="O32" i="11"/>
  <c r="R31" i="11"/>
  <c r="Q31" i="11"/>
  <c r="P31" i="11"/>
  <c r="O31" i="11"/>
  <c r="R30" i="11"/>
  <c r="Q30" i="11"/>
  <c r="P30" i="11"/>
  <c r="O30" i="11"/>
  <c r="R29" i="11"/>
  <c r="Q29" i="11"/>
  <c r="P29" i="11"/>
  <c r="O29" i="11"/>
  <c r="R28" i="11"/>
  <c r="Q28" i="11"/>
  <c r="P28" i="11"/>
  <c r="O28" i="11"/>
  <c r="R27" i="11"/>
  <c r="Q27" i="11"/>
  <c r="P27" i="11"/>
  <c r="O27" i="11"/>
  <c r="R26" i="11"/>
  <c r="Q26" i="11"/>
  <c r="P26" i="11"/>
  <c r="O26" i="11"/>
  <c r="R25" i="11"/>
  <c r="Q25" i="11"/>
  <c r="P25" i="11"/>
  <c r="O25" i="11"/>
  <c r="R24" i="11"/>
  <c r="Q24" i="11"/>
  <c r="P24" i="11"/>
  <c r="O24" i="11"/>
  <c r="R23" i="11"/>
  <c r="Q23" i="11"/>
  <c r="P23" i="11"/>
  <c r="O23" i="11"/>
  <c r="R22" i="11"/>
  <c r="Q22" i="11"/>
  <c r="P22" i="11"/>
  <c r="O22" i="11"/>
  <c r="R21" i="11"/>
  <c r="Q21" i="11"/>
  <c r="P21" i="11"/>
  <c r="O21" i="11"/>
  <c r="R20" i="11"/>
  <c r="Q20" i="11"/>
  <c r="P20" i="11"/>
  <c r="O20" i="11"/>
  <c r="R19" i="11"/>
  <c r="Q19" i="11"/>
  <c r="P19" i="11"/>
  <c r="O19" i="11"/>
  <c r="R18" i="11"/>
  <c r="Q18" i="11"/>
  <c r="P18" i="11"/>
  <c r="O18" i="11"/>
  <c r="R17" i="11"/>
  <c r="Q17" i="11"/>
  <c r="P17" i="11"/>
  <c r="O17" i="11"/>
  <c r="R16" i="11"/>
  <c r="Q16" i="11"/>
  <c r="P16" i="11"/>
  <c r="O16" i="11"/>
  <c r="R15" i="11"/>
  <c r="Q15" i="11"/>
  <c r="P15" i="11"/>
  <c r="O15" i="11"/>
  <c r="R14" i="11"/>
  <c r="Q14" i="11"/>
  <c r="P14" i="11"/>
  <c r="O14" i="11"/>
  <c r="R13" i="11"/>
  <c r="Q13" i="11"/>
  <c r="P13" i="11"/>
  <c r="O13" i="11"/>
  <c r="R12" i="11"/>
  <c r="Q12" i="11"/>
  <c r="P12" i="11"/>
  <c r="O12" i="11"/>
  <c r="R11" i="11"/>
  <c r="Q11" i="11"/>
  <c r="P11" i="11"/>
  <c r="O11" i="11"/>
  <c r="R10" i="11"/>
  <c r="Q10" i="11"/>
  <c r="P10" i="11"/>
  <c r="O10" i="11"/>
  <c r="R9" i="11"/>
  <c r="Q9" i="11"/>
  <c r="P9" i="11"/>
  <c r="O9" i="11"/>
  <c r="R8" i="11"/>
  <c r="Q8" i="11"/>
  <c r="P8" i="11"/>
  <c r="O8" i="11"/>
  <c r="R7" i="11"/>
  <c r="Q7" i="11"/>
  <c r="P7" i="11"/>
  <c r="O7" i="11"/>
  <c r="R6" i="11"/>
  <c r="Q6" i="11"/>
  <c r="P6" i="11"/>
  <c r="O6" i="11"/>
  <c r="R5" i="11"/>
  <c r="Q5" i="11"/>
  <c r="P5" i="11"/>
  <c r="O5" i="11"/>
  <c r="R4" i="11"/>
  <c r="Q4" i="11"/>
  <c r="P4" i="11"/>
  <c r="O4" i="11"/>
  <c r="R3" i="11"/>
  <c r="Q3" i="11"/>
  <c r="P3" i="11"/>
  <c r="O3" i="11"/>
  <c r="R2" i="11"/>
  <c r="Q2" i="11"/>
  <c r="P2" i="11"/>
  <c r="O2" i="1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<sst xmlns="http://schemas.openxmlformats.org/spreadsheetml/2006/main" count="39737" uniqueCount="2411">
  <si>
    <t>product_id</t>
  </si>
  <si>
    <t>category</t>
  </si>
  <si>
    <t>brand</t>
  </si>
  <si>
    <t>season</t>
  </si>
  <si>
    <t>size</t>
  </si>
  <si>
    <t>color</t>
  </si>
  <si>
    <t>original_price</t>
  </si>
  <si>
    <t>markdown_percentage</t>
  </si>
  <si>
    <t>current_price</t>
  </si>
  <si>
    <t>purchase_date</t>
  </si>
  <si>
    <t>stock_quantity</t>
  </si>
  <si>
    <t>customer_rating</t>
  </si>
  <si>
    <t>is_returned</t>
  </si>
  <si>
    <t>return_reason</t>
  </si>
  <si>
    <t>FB000001</t>
  </si>
  <si>
    <t>FB000002</t>
  </si>
  <si>
    <t>FB000003</t>
  </si>
  <si>
    <t>FB000004</t>
  </si>
  <si>
    <t>FB000005</t>
  </si>
  <si>
    <t>FB000006</t>
  </si>
  <si>
    <t>FB000007</t>
  </si>
  <si>
    <t>FB000008</t>
  </si>
  <si>
    <t>FB000009</t>
  </si>
  <si>
    <t>FB000010</t>
  </si>
  <si>
    <t>FB000011</t>
  </si>
  <si>
    <t>FB000012</t>
  </si>
  <si>
    <t>FB000013</t>
  </si>
  <si>
    <t>FB000014</t>
  </si>
  <si>
    <t>FB000015</t>
  </si>
  <si>
    <t>FB000016</t>
  </si>
  <si>
    <t>FB000017</t>
  </si>
  <si>
    <t>FB000018</t>
  </si>
  <si>
    <t>FB000019</t>
  </si>
  <si>
    <t>FB000020</t>
  </si>
  <si>
    <t>FB000021</t>
  </si>
  <si>
    <t>FB000022</t>
  </si>
  <si>
    <t>FB000023</t>
  </si>
  <si>
    <t>FB000024</t>
  </si>
  <si>
    <t>FB000025</t>
  </si>
  <si>
    <t>FB000026</t>
  </si>
  <si>
    <t>FB000027</t>
  </si>
  <si>
    <t>FB000028</t>
  </si>
  <si>
    <t>FB000029</t>
  </si>
  <si>
    <t>FB000030</t>
  </si>
  <si>
    <t>FB000031</t>
  </si>
  <si>
    <t>FB000032</t>
  </si>
  <si>
    <t>FB000033</t>
  </si>
  <si>
    <t>FB000034</t>
  </si>
  <si>
    <t>FB000035</t>
  </si>
  <si>
    <t>FB000036</t>
  </si>
  <si>
    <t>FB000037</t>
  </si>
  <si>
    <t>FB000038</t>
  </si>
  <si>
    <t>FB000039</t>
  </si>
  <si>
    <t>FB000040</t>
  </si>
  <si>
    <t>FB000041</t>
  </si>
  <si>
    <t>FB000042</t>
  </si>
  <si>
    <t>FB000043</t>
  </si>
  <si>
    <t>FB000044</t>
  </si>
  <si>
    <t>FB000045</t>
  </si>
  <si>
    <t>FB000046</t>
  </si>
  <si>
    <t>FB000047</t>
  </si>
  <si>
    <t>FB000048</t>
  </si>
  <si>
    <t>FB000049</t>
  </si>
  <si>
    <t>FB000050</t>
  </si>
  <si>
    <t>FB000051</t>
  </si>
  <si>
    <t>FB000052</t>
  </si>
  <si>
    <t>FB000053</t>
  </si>
  <si>
    <t>FB000054</t>
  </si>
  <si>
    <t>FB000055</t>
  </si>
  <si>
    <t>FB000056</t>
  </si>
  <si>
    <t>FB000057</t>
  </si>
  <si>
    <t>FB000058</t>
  </si>
  <si>
    <t>FB000059</t>
  </si>
  <si>
    <t>FB000060</t>
  </si>
  <si>
    <t>FB000061</t>
  </si>
  <si>
    <t>FB000062</t>
  </si>
  <si>
    <t>FB000063</t>
  </si>
  <si>
    <t>FB000064</t>
  </si>
  <si>
    <t>FB000065</t>
  </si>
  <si>
    <t>FB000066</t>
  </si>
  <si>
    <t>FB000067</t>
  </si>
  <si>
    <t>FB000068</t>
  </si>
  <si>
    <t>FB000069</t>
  </si>
  <si>
    <t>FB000070</t>
  </si>
  <si>
    <t>FB000071</t>
  </si>
  <si>
    <t>FB000072</t>
  </si>
  <si>
    <t>FB000073</t>
  </si>
  <si>
    <t>FB000074</t>
  </si>
  <si>
    <t>FB000075</t>
  </si>
  <si>
    <t>FB000076</t>
  </si>
  <si>
    <t>FB000077</t>
  </si>
  <si>
    <t>FB000078</t>
  </si>
  <si>
    <t>FB000079</t>
  </si>
  <si>
    <t>FB000080</t>
  </si>
  <si>
    <t>FB000081</t>
  </si>
  <si>
    <t>FB000082</t>
  </si>
  <si>
    <t>FB000083</t>
  </si>
  <si>
    <t>FB000084</t>
  </si>
  <si>
    <t>FB000085</t>
  </si>
  <si>
    <t>FB000086</t>
  </si>
  <si>
    <t>FB000087</t>
  </si>
  <si>
    <t>FB000088</t>
  </si>
  <si>
    <t>FB000089</t>
  </si>
  <si>
    <t>FB000090</t>
  </si>
  <si>
    <t>FB000091</t>
  </si>
  <si>
    <t>FB000092</t>
  </si>
  <si>
    <t>FB000093</t>
  </si>
  <si>
    <t>FB000094</t>
  </si>
  <si>
    <t>FB000095</t>
  </si>
  <si>
    <t>FB000096</t>
  </si>
  <si>
    <t>FB000097</t>
  </si>
  <si>
    <t>FB000098</t>
  </si>
  <si>
    <t>FB000099</t>
  </si>
  <si>
    <t>FB000100</t>
  </si>
  <si>
    <t>FB000101</t>
  </si>
  <si>
    <t>FB000102</t>
  </si>
  <si>
    <t>FB000103</t>
  </si>
  <si>
    <t>FB000104</t>
  </si>
  <si>
    <t>FB000105</t>
  </si>
  <si>
    <t>FB000106</t>
  </si>
  <si>
    <t>FB000107</t>
  </si>
  <si>
    <t>FB000108</t>
  </si>
  <si>
    <t>FB000109</t>
  </si>
  <si>
    <t>FB000110</t>
  </si>
  <si>
    <t>FB000111</t>
  </si>
  <si>
    <t>FB000112</t>
  </si>
  <si>
    <t>FB000113</t>
  </si>
  <si>
    <t>FB000114</t>
  </si>
  <si>
    <t>FB000115</t>
  </si>
  <si>
    <t>FB000116</t>
  </si>
  <si>
    <t>FB000117</t>
  </si>
  <si>
    <t>FB000118</t>
  </si>
  <si>
    <t>FB000119</t>
  </si>
  <si>
    <t>FB000120</t>
  </si>
  <si>
    <t>FB000121</t>
  </si>
  <si>
    <t>FB000122</t>
  </si>
  <si>
    <t>FB000123</t>
  </si>
  <si>
    <t>FB000124</t>
  </si>
  <si>
    <t>FB000125</t>
  </si>
  <si>
    <t>FB000126</t>
  </si>
  <si>
    <t>FB000127</t>
  </si>
  <si>
    <t>FB000128</t>
  </si>
  <si>
    <t>FB000129</t>
  </si>
  <si>
    <t>FB000130</t>
  </si>
  <si>
    <t>FB000131</t>
  </si>
  <si>
    <t>FB000132</t>
  </si>
  <si>
    <t>FB000133</t>
  </si>
  <si>
    <t>FB000134</t>
  </si>
  <si>
    <t>FB000135</t>
  </si>
  <si>
    <t>FB000136</t>
  </si>
  <si>
    <t>FB000137</t>
  </si>
  <si>
    <t>FB000138</t>
  </si>
  <si>
    <t>FB000139</t>
  </si>
  <si>
    <t>FB000140</t>
  </si>
  <si>
    <t>FB000141</t>
  </si>
  <si>
    <t>FB000142</t>
  </si>
  <si>
    <t>FB000143</t>
  </si>
  <si>
    <t>FB000144</t>
  </si>
  <si>
    <t>FB000145</t>
  </si>
  <si>
    <t>FB000146</t>
  </si>
  <si>
    <t>FB000147</t>
  </si>
  <si>
    <t>FB000148</t>
  </si>
  <si>
    <t>FB000149</t>
  </si>
  <si>
    <t>FB000150</t>
  </si>
  <si>
    <t>FB000151</t>
  </si>
  <si>
    <t>FB000152</t>
  </si>
  <si>
    <t>FB000153</t>
  </si>
  <si>
    <t>FB000154</t>
  </si>
  <si>
    <t>FB000155</t>
  </si>
  <si>
    <t>FB000156</t>
  </si>
  <si>
    <t>FB000157</t>
  </si>
  <si>
    <t>FB000158</t>
  </si>
  <si>
    <t>FB000159</t>
  </si>
  <si>
    <t>FB000160</t>
  </si>
  <si>
    <t>FB000161</t>
  </si>
  <si>
    <t>FB000162</t>
  </si>
  <si>
    <t>FB000163</t>
  </si>
  <si>
    <t>FB000164</t>
  </si>
  <si>
    <t>FB000165</t>
  </si>
  <si>
    <t>FB000166</t>
  </si>
  <si>
    <t>FB000167</t>
  </si>
  <si>
    <t>FB000168</t>
  </si>
  <si>
    <t>FB000169</t>
  </si>
  <si>
    <t>FB000170</t>
  </si>
  <si>
    <t>FB000171</t>
  </si>
  <si>
    <t>FB000172</t>
  </si>
  <si>
    <t>FB000173</t>
  </si>
  <si>
    <t>FB000174</t>
  </si>
  <si>
    <t>FB000175</t>
  </si>
  <si>
    <t>FB000176</t>
  </si>
  <si>
    <t>FB000177</t>
  </si>
  <si>
    <t>FB000178</t>
  </si>
  <si>
    <t>FB000179</t>
  </si>
  <si>
    <t>FB000180</t>
  </si>
  <si>
    <t>FB000181</t>
  </si>
  <si>
    <t>FB000182</t>
  </si>
  <si>
    <t>FB000183</t>
  </si>
  <si>
    <t>FB000184</t>
  </si>
  <si>
    <t>FB000185</t>
  </si>
  <si>
    <t>FB000186</t>
  </si>
  <si>
    <t>FB000187</t>
  </si>
  <si>
    <t>FB000188</t>
  </si>
  <si>
    <t>FB000189</t>
  </si>
  <si>
    <t>FB000190</t>
  </si>
  <si>
    <t>FB000191</t>
  </si>
  <si>
    <t>FB000192</t>
  </si>
  <si>
    <t>FB000193</t>
  </si>
  <si>
    <t>FB000194</t>
  </si>
  <si>
    <t>FB000195</t>
  </si>
  <si>
    <t>FB000196</t>
  </si>
  <si>
    <t>FB000197</t>
  </si>
  <si>
    <t>FB000198</t>
  </si>
  <si>
    <t>FB000199</t>
  </si>
  <si>
    <t>FB000200</t>
  </si>
  <si>
    <t>FB000201</t>
  </si>
  <si>
    <t>FB000202</t>
  </si>
  <si>
    <t>FB000203</t>
  </si>
  <si>
    <t>FB000204</t>
  </si>
  <si>
    <t>FB000205</t>
  </si>
  <si>
    <t>FB000206</t>
  </si>
  <si>
    <t>FB000207</t>
  </si>
  <si>
    <t>FB000208</t>
  </si>
  <si>
    <t>FB000209</t>
  </si>
  <si>
    <t>FB000210</t>
  </si>
  <si>
    <t>FB000211</t>
  </si>
  <si>
    <t>FB000212</t>
  </si>
  <si>
    <t>FB000213</t>
  </si>
  <si>
    <t>FB000214</t>
  </si>
  <si>
    <t>FB000215</t>
  </si>
  <si>
    <t>FB000216</t>
  </si>
  <si>
    <t>FB000217</t>
  </si>
  <si>
    <t>FB000218</t>
  </si>
  <si>
    <t>FB000219</t>
  </si>
  <si>
    <t>FB000220</t>
  </si>
  <si>
    <t>FB000221</t>
  </si>
  <si>
    <t>FB000222</t>
  </si>
  <si>
    <t>FB000223</t>
  </si>
  <si>
    <t>FB000224</t>
  </si>
  <si>
    <t>FB000225</t>
  </si>
  <si>
    <t>FB000226</t>
  </si>
  <si>
    <t>FB000227</t>
  </si>
  <si>
    <t>FB000228</t>
  </si>
  <si>
    <t>FB000229</t>
  </si>
  <si>
    <t>FB000230</t>
  </si>
  <si>
    <t>FB000231</t>
  </si>
  <si>
    <t>FB000232</t>
  </si>
  <si>
    <t>FB000233</t>
  </si>
  <si>
    <t>FB000234</t>
  </si>
  <si>
    <t>FB000235</t>
  </si>
  <si>
    <t>FB000236</t>
  </si>
  <si>
    <t>FB000237</t>
  </si>
  <si>
    <t>FB000238</t>
  </si>
  <si>
    <t>FB000239</t>
  </si>
  <si>
    <t>FB000240</t>
  </si>
  <si>
    <t>FB000241</t>
  </si>
  <si>
    <t>FB000242</t>
  </si>
  <si>
    <t>FB000243</t>
  </si>
  <si>
    <t>FB000244</t>
  </si>
  <si>
    <t>FB000245</t>
  </si>
  <si>
    <t>FB000246</t>
  </si>
  <si>
    <t>FB000247</t>
  </si>
  <si>
    <t>FB000248</t>
  </si>
  <si>
    <t>FB000249</t>
  </si>
  <si>
    <t>FB000250</t>
  </si>
  <si>
    <t>FB000251</t>
  </si>
  <si>
    <t>FB000252</t>
  </si>
  <si>
    <t>FB000253</t>
  </si>
  <si>
    <t>FB000254</t>
  </si>
  <si>
    <t>FB000255</t>
  </si>
  <si>
    <t>FB000256</t>
  </si>
  <si>
    <t>FB000257</t>
  </si>
  <si>
    <t>FB000258</t>
  </si>
  <si>
    <t>FB000259</t>
  </si>
  <si>
    <t>FB000260</t>
  </si>
  <si>
    <t>FB000261</t>
  </si>
  <si>
    <t>FB000262</t>
  </si>
  <si>
    <t>FB000263</t>
  </si>
  <si>
    <t>FB000264</t>
  </si>
  <si>
    <t>FB000265</t>
  </si>
  <si>
    <t>FB000266</t>
  </si>
  <si>
    <t>FB000267</t>
  </si>
  <si>
    <t>FB000268</t>
  </si>
  <si>
    <t>FB000269</t>
  </si>
  <si>
    <t>FB000270</t>
  </si>
  <si>
    <t>FB000271</t>
  </si>
  <si>
    <t>FB000272</t>
  </si>
  <si>
    <t>FB000273</t>
  </si>
  <si>
    <t>FB000274</t>
  </si>
  <si>
    <t>FB000275</t>
  </si>
  <si>
    <t>FB000276</t>
  </si>
  <si>
    <t>FB000277</t>
  </si>
  <si>
    <t>FB000278</t>
  </si>
  <si>
    <t>FB000279</t>
  </si>
  <si>
    <t>FB000280</t>
  </si>
  <si>
    <t>FB000281</t>
  </si>
  <si>
    <t>FB000282</t>
  </si>
  <si>
    <t>FB000283</t>
  </si>
  <si>
    <t>FB000284</t>
  </si>
  <si>
    <t>FB000285</t>
  </si>
  <si>
    <t>FB000286</t>
  </si>
  <si>
    <t>FB000287</t>
  </si>
  <si>
    <t>FB000288</t>
  </si>
  <si>
    <t>FB000289</t>
  </si>
  <si>
    <t>FB000290</t>
  </si>
  <si>
    <t>FB000291</t>
  </si>
  <si>
    <t>FB000292</t>
  </si>
  <si>
    <t>FB000293</t>
  </si>
  <si>
    <t>FB000294</t>
  </si>
  <si>
    <t>FB000295</t>
  </si>
  <si>
    <t>FB000296</t>
  </si>
  <si>
    <t>FB000297</t>
  </si>
  <si>
    <t>FB000298</t>
  </si>
  <si>
    <t>FB000299</t>
  </si>
  <si>
    <t>FB000300</t>
  </si>
  <si>
    <t>FB000301</t>
  </si>
  <si>
    <t>FB000302</t>
  </si>
  <si>
    <t>FB000303</t>
  </si>
  <si>
    <t>FB000304</t>
  </si>
  <si>
    <t>FB000305</t>
  </si>
  <si>
    <t>FB000306</t>
  </si>
  <si>
    <t>FB000307</t>
  </si>
  <si>
    <t>FB000308</t>
  </si>
  <si>
    <t>FB000309</t>
  </si>
  <si>
    <t>FB000310</t>
  </si>
  <si>
    <t>FB000311</t>
  </si>
  <si>
    <t>FB000312</t>
  </si>
  <si>
    <t>FB000313</t>
  </si>
  <si>
    <t>FB000314</t>
  </si>
  <si>
    <t>FB000315</t>
  </si>
  <si>
    <t>FB000316</t>
  </si>
  <si>
    <t>FB000317</t>
  </si>
  <si>
    <t>FB000318</t>
  </si>
  <si>
    <t>FB000319</t>
  </si>
  <si>
    <t>FB000320</t>
  </si>
  <si>
    <t>FB000321</t>
  </si>
  <si>
    <t>FB000322</t>
  </si>
  <si>
    <t>FB000323</t>
  </si>
  <si>
    <t>FB000324</t>
  </si>
  <si>
    <t>FB000325</t>
  </si>
  <si>
    <t>FB000326</t>
  </si>
  <si>
    <t>FB000327</t>
  </si>
  <si>
    <t>FB000328</t>
  </si>
  <si>
    <t>FB000329</t>
  </si>
  <si>
    <t>FB000330</t>
  </si>
  <si>
    <t>FB000331</t>
  </si>
  <si>
    <t>FB000332</t>
  </si>
  <si>
    <t>FB000333</t>
  </si>
  <si>
    <t>FB000334</t>
  </si>
  <si>
    <t>FB000335</t>
  </si>
  <si>
    <t>FB000336</t>
  </si>
  <si>
    <t>FB000337</t>
  </si>
  <si>
    <t>FB000338</t>
  </si>
  <si>
    <t>FB000339</t>
  </si>
  <si>
    <t>FB000340</t>
  </si>
  <si>
    <t>FB000341</t>
  </si>
  <si>
    <t>FB000342</t>
  </si>
  <si>
    <t>FB000343</t>
  </si>
  <si>
    <t>FB000344</t>
  </si>
  <si>
    <t>FB000345</t>
  </si>
  <si>
    <t>FB000346</t>
  </si>
  <si>
    <t>FB000347</t>
  </si>
  <si>
    <t>FB000348</t>
  </si>
  <si>
    <t>FB000349</t>
  </si>
  <si>
    <t>FB000350</t>
  </si>
  <si>
    <t>FB000351</t>
  </si>
  <si>
    <t>FB000352</t>
  </si>
  <si>
    <t>FB000353</t>
  </si>
  <si>
    <t>FB000354</t>
  </si>
  <si>
    <t>FB000355</t>
  </si>
  <si>
    <t>FB000356</t>
  </si>
  <si>
    <t>FB000357</t>
  </si>
  <si>
    <t>FB000358</t>
  </si>
  <si>
    <t>FB000359</t>
  </si>
  <si>
    <t>FB000360</t>
  </si>
  <si>
    <t>FB000361</t>
  </si>
  <si>
    <t>FB000362</t>
  </si>
  <si>
    <t>FB000363</t>
  </si>
  <si>
    <t>FB000364</t>
  </si>
  <si>
    <t>FB000365</t>
  </si>
  <si>
    <t>FB000366</t>
  </si>
  <si>
    <t>FB000367</t>
  </si>
  <si>
    <t>FB000368</t>
  </si>
  <si>
    <t>FB000369</t>
  </si>
  <si>
    <t>FB000370</t>
  </si>
  <si>
    <t>FB000371</t>
  </si>
  <si>
    <t>FB000372</t>
  </si>
  <si>
    <t>FB000373</t>
  </si>
  <si>
    <t>FB000374</t>
  </si>
  <si>
    <t>FB000375</t>
  </si>
  <si>
    <t>FB000376</t>
  </si>
  <si>
    <t>FB000377</t>
  </si>
  <si>
    <t>FB000378</t>
  </si>
  <si>
    <t>FB000379</t>
  </si>
  <si>
    <t>FB000380</t>
  </si>
  <si>
    <t>FB000381</t>
  </si>
  <si>
    <t>FB000382</t>
  </si>
  <si>
    <t>FB000383</t>
  </si>
  <si>
    <t>FB000384</t>
  </si>
  <si>
    <t>FB000385</t>
  </si>
  <si>
    <t>FB000386</t>
  </si>
  <si>
    <t>FB000387</t>
  </si>
  <si>
    <t>FB000388</t>
  </si>
  <si>
    <t>FB000389</t>
  </si>
  <si>
    <t>FB000390</t>
  </si>
  <si>
    <t>FB000391</t>
  </si>
  <si>
    <t>FB000392</t>
  </si>
  <si>
    <t>FB000393</t>
  </si>
  <si>
    <t>FB000394</t>
  </si>
  <si>
    <t>FB000395</t>
  </si>
  <si>
    <t>FB000396</t>
  </si>
  <si>
    <t>FB000397</t>
  </si>
  <si>
    <t>FB000398</t>
  </si>
  <si>
    <t>FB000399</t>
  </si>
  <si>
    <t>FB000400</t>
  </si>
  <si>
    <t>FB000401</t>
  </si>
  <si>
    <t>FB000402</t>
  </si>
  <si>
    <t>FB000403</t>
  </si>
  <si>
    <t>FB000404</t>
  </si>
  <si>
    <t>FB000405</t>
  </si>
  <si>
    <t>FB000406</t>
  </si>
  <si>
    <t>FB000407</t>
  </si>
  <si>
    <t>FB000408</t>
  </si>
  <si>
    <t>FB000409</t>
  </si>
  <si>
    <t>FB000410</t>
  </si>
  <si>
    <t>FB000411</t>
  </si>
  <si>
    <t>FB000412</t>
  </si>
  <si>
    <t>FB000413</t>
  </si>
  <si>
    <t>FB000414</t>
  </si>
  <si>
    <t>FB000415</t>
  </si>
  <si>
    <t>FB000416</t>
  </si>
  <si>
    <t>FB000417</t>
  </si>
  <si>
    <t>FB000418</t>
  </si>
  <si>
    <t>FB000419</t>
  </si>
  <si>
    <t>FB000420</t>
  </si>
  <si>
    <t>FB000421</t>
  </si>
  <si>
    <t>FB000422</t>
  </si>
  <si>
    <t>FB000423</t>
  </si>
  <si>
    <t>FB000424</t>
  </si>
  <si>
    <t>FB000425</t>
  </si>
  <si>
    <t>FB000426</t>
  </si>
  <si>
    <t>FB000427</t>
  </si>
  <si>
    <t>FB000428</t>
  </si>
  <si>
    <t>FB000429</t>
  </si>
  <si>
    <t>FB000430</t>
  </si>
  <si>
    <t>FB000431</t>
  </si>
  <si>
    <t>FB000432</t>
  </si>
  <si>
    <t>FB000433</t>
  </si>
  <si>
    <t>FB000434</t>
  </si>
  <si>
    <t>FB000435</t>
  </si>
  <si>
    <t>FB000436</t>
  </si>
  <si>
    <t>FB000437</t>
  </si>
  <si>
    <t>FB000438</t>
  </si>
  <si>
    <t>FB000439</t>
  </si>
  <si>
    <t>FB000440</t>
  </si>
  <si>
    <t>FB000441</t>
  </si>
  <si>
    <t>FB000442</t>
  </si>
  <si>
    <t>FB000443</t>
  </si>
  <si>
    <t>FB000444</t>
  </si>
  <si>
    <t>FB000445</t>
  </si>
  <si>
    <t>FB000446</t>
  </si>
  <si>
    <t>FB000447</t>
  </si>
  <si>
    <t>FB000448</t>
  </si>
  <si>
    <t>FB000449</t>
  </si>
  <si>
    <t>FB000450</t>
  </si>
  <si>
    <t>FB000451</t>
  </si>
  <si>
    <t>FB000452</t>
  </si>
  <si>
    <t>FB000453</t>
  </si>
  <si>
    <t>FB000454</t>
  </si>
  <si>
    <t>FB000455</t>
  </si>
  <si>
    <t>FB000456</t>
  </si>
  <si>
    <t>FB000457</t>
  </si>
  <si>
    <t>FB000458</t>
  </si>
  <si>
    <t>FB000459</t>
  </si>
  <si>
    <t>FB000460</t>
  </si>
  <si>
    <t>FB000461</t>
  </si>
  <si>
    <t>FB000462</t>
  </si>
  <si>
    <t>FB000463</t>
  </si>
  <si>
    <t>FB000464</t>
  </si>
  <si>
    <t>FB000465</t>
  </si>
  <si>
    <t>FB000466</t>
  </si>
  <si>
    <t>FB000467</t>
  </si>
  <si>
    <t>FB000468</t>
  </si>
  <si>
    <t>FB000469</t>
  </si>
  <si>
    <t>FB000470</t>
  </si>
  <si>
    <t>FB000471</t>
  </si>
  <si>
    <t>FB000472</t>
  </si>
  <si>
    <t>FB000473</t>
  </si>
  <si>
    <t>FB000474</t>
  </si>
  <si>
    <t>FB000475</t>
  </si>
  <si>
    <t>FB000476</t>
  </si>
  <si>
    <t>FB000477</t>
  </si>
  <si>
    <t>FB000478</t>
  </si>
  <si>
    <t>FB000479</t>
  </si>
  <si>
    <t>FB000480</t>
  </si>
  <si>
    <t>FB000481</t>
  </si>
  <si>
    <t>FB000482</t>
  </si>
  <si>
    <t>FB000483</t>
  </si>
  <si>
    <t>FB000484</t>
  </si>
  <si>
    <t>FB000485</t>
  </si>
  <si>
    <t>FB000486</t>
  </si>
  <si>
    <t>FB000487</t>
  </si>
  <si>
    <t>FB000488</t>
  </si>
  <si>
    <t>FB000489</t>
  </si>
  <si>
    <t>FB000490</t>
  </si>
  <si>
    <t>FB000491</t>
  </si>
  <si>
    <t>FB000492</t>
  </si>
  <si>
    <t>FB000493</t>
  </si>
  <si>
    <t>FB000494</t>
  </si>
  <si>
    <t>FB000495</t>
  </si>
  <si>
    <t>FB000496</t>
  </si>
  <si>
    <t>FB000497</t>
  </si>
  <si>
    <t>FB000498</t>
  </si>
  <si>
    <t>FB000499</t>
  </si>
  <si>
    <t>FB000500</t>
  </si>
  <si>
    <t>FB000501</t>
  </si>
  <si>
    <t>FB000502</t>
  </si>
  <si>
    <t>FB000503</t>
  </si>
  <si>
    <t>FB000504</t>
  </si>
  <si>
    <t>FB000505</t>
  </si>
  <si>
    <t>FB000506</t>
  </si>
  <si>
    <t>FB000507</t>
  </si>
  <si>
    <t>FB000508</t>
  </si>
  <si>
    <t>FB000509</t>
  </si>
  <si>
    <t>FB000510</t>
  </si>
  <si>
    <t>FB000511</t>
  </si>
  <si>
    <t>FB000512</t>
  </si>
  <si>
    <t>FB000513</t>
  </si>
  <si>
    <t>FB000514</t>
  </si>
  <si>
    <t>FB000515</t>
  </si>
  <si>
    <t>FB000516</t>
  </si>
  <si>
    <t>FB000517</t>
  </si>
  <si>
    <t>FB000518</t>
  </si>
  <si>
    <t>FB000519</t>
  </si>
  <si>
    <t>FB000520</t>
  </si>
  <si>
    <t>FB000521</t>
  </si>
  <si>
    <t>FB000522</t>
  </si>
  <si>
    <t>FB000523</t>
  </si>
  <si>
    <t>FB000524</t>
  </si>
  <si>
    <t>FB000525</t>
  </si>
  <si>
    <t>FB000526</t>
  </si>
  <si>
    <t>FB000527</t>
  </si>
  <si>
    <t>FB000528</t>
  </si>
  <si>
    <t>FB000529</t>
  </si>
  <si>
    <t>FB000530</t>
  </si>
  <si>
    <t>FB000531</t>
  </si>
  <si>
    <t>FB000532</t>
  </si>
  <si>
    <t>FB000533</t>
  </si>
  <si>
    <t>FB000534</t>
  </si>
  <si>
    <t>FB000535</t>
  </si>
  <si>
    <t>FB000536</t>
  </si>
  <si>
    <t>FB000537</t>
  </si>
  <si>
    <t>FB000538</t>
  </si>
  <si>
    <t>FB000539</t>
  </si>
  <si>
    <t>FB000540</t>
  </si>
  <si>
    <t>FB000541</t>
  </si>
  <si>
    <t>FB000542</t>
  </si>
  <si>
    <t>FB000543</t>
  </si>
  <si>
    <t>FB000544</t>
  </si>
  <si>
    <t>FB000545</t>
  </si>
  <si>
    <t>FB000546</t>
  </si>
  <si>
    <t>FB000547</t>
  </si>
  <si>
    <t>FB000548</t>
  </si>
  <si>
    <t>FB000549</t>
  </si>
  <si>
    <t>FB000550</t>
  </si>
  <si>
    <t>FB000551</t>
  </si>
  <si>
    <t>FB000552</t>
  </si>
  <si>
    <t>FB000553</t>
  </si>
  <si>
    <t>FB000554</t>
  </si>
  <si>
    <t>FB000555</t>
  </si>
  <si>
    <t>FB000556</t>
  </si>
  <si>
    <t>FB000557</t>
  </si>
  <si>
    <t>FB000558</t>
  </si>
  <si>
    <t>FB000559</t>
  </si>
  <si>
    <t>FB000560</t>
  </si>
  <si>
    <t>FB000561</t>
  </si>
  <si>
    <t>FB000562</t>
  </si>
  <si>
    <t>FB000563</t>
  </si>
  <si>
    <t>FB000564</t>
  </si>
  <si>
    <t>FB000565</t>
  </si>
  <si>
    <t>FB000566</t>
  </si>
  <si>
    <t>FB000567</t>
  </si>
  <si>
    <t>FB000568</t>
  </si>
  <si>
    <t>FB000569</t>
  </si>
  <si>
    <t>FB000570</t>
  </si>
  <si>
    <t>FB000571</t>
  </si>
  <si>
    <t>FB000572</t>
  </si>
  <si>
    <t>FB000573</t>
  </si>
  <si>
    <t>FB000574</t>
  </si>
  <si>
    <t>FB000575</t>
  </si>
  <si>
    <t>FB000576</t>
  </si>
  <si>
    <t>FB000577</t>
  </si>
  <si>
    <t>FB000578</t>
  </si>
  <si>
    <t>FB000579</t>
  </si>
  <si>
    <t>FB000580</t>
  </si>
  <si>
    <t>FB000581</t>
  </si>
  <si>
    <t>FB000582</t>
  </si>
  <si>
    <t>FB000583</t>
  </si>
  <si>
    <t>FB000584</t>
  </si>
  <si>
    <t>FB000585</t>
  </si>
  <si>
    <t>FB000586</t>
  </si>
  <si>
    <t>FB000587</t>
  </si>
  <si>
    <t>FB000588</t>
  </si>
  <si>
    <t>FB000589</t>
  </si>
  <si>
    <t>FB000590</t>
  </si>
  <si>
    <t>FB000591</t>
  </si>
  <si>
    <t>FB000592</t>
  </si>
  <si>
    <t>FB000593</t>
  </si>
  <si>
    <t>FB000594</t>
  </si>
  <si>
    <t>FB000595</t>
  </si>
  <si>
    <t>FB000596</t>
  </si>
  <si>
    <t>FB000597</t>
  </si>
  <si>
    <t>FB000598</t>
  </si>
  <si>
    <t>FB000599</t>
  </si>
  <si>
    <t>FB000600</t>
  </si>
  <si>
    <t>FB000601</t>
  </si>
  <si>
    <t>FB000602</t>
  </si>
  <si>
    <t>FB000603</t>
  </si>
  <si>
    <t>FB000604</t>
  </si>
  <si>
    <t>FB000605</t>
  </si>
  <si>
    <t>FB000606</t>
  </si>
  <si>
    <t>FB000607</t>
  </si>
  <si>
    <t>FB000608</t>
  </si>
  <si>
    <t>FB000609</t>
  </si>
  <si>
    <t>FB000610</t>
  </si>
  <si>
    <t>FB000611</t>
  </si>
  <si>
    <t>FB000612</t>
  </si>
  <si>
    <t>FB000613</t>
  </si>
  <si>
    <t>FB000614</t>
  </si>
  <si>
    <t>FB000615</t>
  </si>
  <si>
    <t>FB000616</t>
  </si>
  <si>
    <t>FB000617</t>
  </si>
  <si>
    <t>FB000618</t>
  </si>
  <si>
    <t>FB000619</t>
  </si>
  <si>
    <t>FB000620</t>
  </si>
  <si>
    <t>FB000621</t>
  </si>
  <si>
    <t>FB000622</t>
  </si>
  <si>
    <t>FB000623</t>
  </si>
  <si>
    <t>FB000624</t>
  </si>
  <si>
    <t>FB000625</t>
  </si>
  <si>
    <t>FB000626</t>
  </si>
  <si>
    <t>FB000627</t>
  </si>
  <si>
    <t>FB000628</t>
  </si>
  <si>
    <t>FB000629</t>
  </si>
  <si>
    <t>FB000630</t>
  </si>
  <si>
    <t>FB000631</t>
  </si>
  <si>
    <t>FB000632</t>
  </si>
  <si>
    <t>FB000633</t>
  </si>
  <si>
    <t>FB000634</t>
  </si>
  <si>
    <t>FB000635</t>
  </si>
  <si>
    <t>FB000636</t>
  </si>
  <si>
    <t>FB000637</t>
  </si>
  <si>
    <t>FB000638</t>
  </si>
  <si>
    <t>FB000639</t>
  </si>
  <si>
    <t>FB000640</t>
  </si>
  <si>
    <t>FB000641</t>
  </si>
  <si>
    <t>FB000642</t>
  </si>
  <si>
    <t>FB000643</t>
  </si>
  <si>
    <t>FB000644</t>
  </si>
  <si>
    <t>FB000645</t>
  </si>
  <si>
    <t>FB000646</t>
  </si>
  <si>
    <t>FB000647</t>
  </si>
  <si>
    <t>FB000648</t>
  </si>
  <si>
    <t>FB000649</t>
  </si>
  <si>
    <t>FB000650</t>
  </si>
  <si>
    <t>FB000651</t>
  </si>
  <si>
    <t>FB000652</t>
  </si>
  <si>
    <t>FB000653</t>
  </si>
  <si>
    <t>FB000654</t>
  </si>
  <si>
    <t>FB000655</t>
  </si>
  <si>
    <t>FB000656</t>
  </si>
  <si>
    <t>FB000657</t>
  </si>
  <si>
    <t>FB000658</t>
  </si>
  <si>
    <t>FB000659</t>
  </si>
  <si>
    <t>FB000660</t>
  </si>
  <si>
    <t>FB000661</t>
  </si>
  <si>
    <t>FB000662</t>
  </si>
  <si>
    <t>FB000663</t>
  </si>
  <si>
    <t>FB000664</t>
  </si>
  <si>
    <t>FB000665</t>
  </si>
  <si>
    <t>FB000666</t>
  </si>
  <si>
    <t>FB000667</t>
  </si>
  <si>
    <t>FB000668</t>
  </si>
  <si>
    <t>FB000669</t>
  </si>
  <si>
    <t>FB000670</t>
  </si>
  <si>
    <t>FB000671</t>
  </si>
  <si>
    <t>FB000672</t>
  </si>
  <si>
    <t>FB000673</t>
  </si>
  <si>
    <t>FB000674</t>
  </si>
  <si>
    <t>FB000675</t>
  </si>
  <si>
    <t>FB000676</t>
  </si>
  <si>
    <t>FB000677</t>
  </si>
  <si>
    <t>FB000678</t>
  </si>
  <si>
    <t>FB000679</t>
  </si>
  <si>
    <t>FB000680</t>
  </si>
  <si>
    <t>FB000681</t>
  </si>
  <si>
    <t>FB000682</t>
  </si>
  <si>
    <t>FB000683</t>
  </si>
  <si>
    <t>FB000684</t>
  </si>
  <si>
    <t>FB000685</t>
  </si>
  <si>
    <t>FB000686</t>
  </si>
  <si>
    <t>FB000687</t>
  </si>
  <si>
    <t>FB000688</t>
  </si>
  <si>
    <t>FB000689</t>
  </si>
  <si>
    <t>FB000690</t>
  </si>
  <si>
    <t>FB000691</t>
  </si>
  <si>
    <t>FB000692</t>
  </si>
  <si>
    <t>FB000693</t>
  </si>
  <si>
    <t>FB000694</t>
  </si>
  <si>
    <t>FB000695</t>
  </si>
  <si>
    <t>FB000696</t>
  </si>
  <si>
    <t>FB000697</t>
  </si>
  <si>
    <t>FB000698</t>
  </si>
  <si>
    <t>FB000699</t>
  </si>
  <si>
    <t>FB000700</t>
  </si>
  <si>
    <t>FB000701</t>
  </si>
  <si>
    <t>FB000702</t>
  </si>
  <si>
    <t>FB000703</t>
  </si>
  <si>
    <t>FB000704</t>
  </si>
  <si>
    <t>FB000705</t>
  </si>
  <si>
    <t>FB000706</t>
  </si>
  <si>
    <t>FB000707</t>
  </si>
  <si>
    <t>FB000708</t>
  </si>
  <si>
    <t>FB000709</t>
  </si>
  <si>
    <t>FB000710</t>
  </si>
  <si>
    <t>FB000711</t>
  </si>
  <si>
    <t>FB000712</t>
  </si>
  <si>
    <t>FB000713</t>
  </si>
  <si>
    <t>FB000714</t>
  </si>
  <si>
    <t>FB000715</t>
  </si>
  <si>
    <t>FB000716</t>
  </si>
  <si>
    <t>FB000717</t>
  </si>
  <si>
    <t>FB000718</t>
  </si>
  <si>
    <t>FB000719</t>
  </si>
  <si>
    <t>FB000720</t>
  </si>
  <si>
    <t>FB000721</t>
  </si>
  <si>
    <t>FB000722</t>
  </si>
  <si>
    <t>FB000723</t>
  </si>
  <si>
    <t>FB000724</t>
  </si>
  <si>
    <t>FB000725</t>
  </si>
  <si>
    <t>FB000726</t>
  </si>
  <si>
    <t>FB000727</t>
  </si>
  <si>
    <t>FB000728</t>
  </si>
  <si>
    <t>FB000729</t>
  </si>
  <si>
    <t>FB000730</t>
  </si>
  <si>
    <t>FB000731</t>
  </si>
  <si>
    <t>FB000732</t>
  </si>
  <si>
    <t>FB000733</t>
  </si>
  <si>
    <t>FB000734</t>
  </si>
  <si>
    <t>FB000735</t>
  </si>
  <si>
    <t>FB000736</t>
  </si>
  <si>
    <t>FB000737</t>
  </si>
  <si>
    <t>FB000738</t>
  </si>
  <si>
    <t>FB000739</t>
  </si>
  <si>
    <t>FB000740</t>
  </si>
  <si>
    <t>FB000741</t>
  </si>
  <si>
    <t>FB000742</t>
  </si>
  <si>
    <t>FB000743</t>
  </si>
  <si>
    <t>FB000744</t>
  </si>
  <si>
    <t>FB000745</t>
  </si>
  <si>
    <t>FB000746</t>
  </si>
  <si>
    <t>FB000747</t>
  </si>
  <si>
    <t>FB000748</t>
  </si>
  <si>
    <t>FB000749</t>
  </si>
  <si>
    <t>FB000750</t>
  </si>
  <si>
    <t>FB000751</t>
  </si>
  <si>
    <t>FB000752</t>
  </si>
  <si>
    <t>FB000753</t>
  </si>
  <si>
    <t>FB000754</t>
  </si>
  <si>
    <t>FB000755</t>
  </si>
  <si>
    <t>FB000756</t>
  </si>
  <si>
    <t>FB000757</t>
  </si>
  <si>
    <t>FB000758</t>
  </si>
  <si>
    <t>FB000759</t>
  </si>
  <si>
    <t>FB000760</t>
  </si>
  <si>
    <t>FB000761</t>
  </si>
  <si>
    <t>FB000762</t>
  </si>
  <si>
    <t>FB000763</t>
  </si>
  <si>
    <t>FB000764</t>
  </si>
  <si>
    <t>FB000765</t>
  </si>
  <si>
    <t>FB000766</t>
  </si>
  <si>
    <t>FB000767</t>
  </si>
  <si>
    <t>FB000768</t>
  </si>
  <si>
    <t>FB000769</t>
  </si>
  <si>
    <t>FB000770</t>
  </si>
  <si>
    <t>FB000771</t>
  </si>
  <si>
    <t>FB000772</t>
  </si>
  <si>
    <t>FB000773</t>
  </si>
  <si>
    <t>FB000774</t>
  </si>
  <si>
    <t>FB000775</t>
  </si>
  <si>
    <t>FB000776</t>
  </si>
  <si>
    <t>FB000777</t>
  </si>
  <si>
    <t>FB000778</t>
  </si>
  <si>
    <t>FB000779</t>
  </si>
  <si>
    <t>FB000780</t>
  </si>
  <si>
    <t>FB000781</t>
  </si>
  <si>
    <t>FB000782</t>
  </si>
  <si>
    <t>FB000783</t>
  </si>
  <si>
    <t>FB000784</t>
  </si>
  <si>
    <t>FB000785</t>
  </si>
  <si>
    <t>FB000786</t>
  </si>
  <si>
    <t>FB000787</t>
  </si>
  <si>
    <t>FB000788</t>
  </si>
  <si>
    <t>FB000789</t>
  </si>
  <si>
    <t>FB000790</t>
  </si>
  <si>
    <t>FB000791</t>
  </si>
  <si>
    <t>FB000792</t>
  </si>
  <si>
    <t>FB000793</t>
  </si>
  <si>
    <t>FB000794</t>
  </si>
  <si>
    <t>FB000795</t>
  </si>
  <si>
    <t>FB000796</t>
  </si>
  <si>
    <t>FB000797</t>
  </si>
  <si>
    <t>FB000798</t>
  </si>
  <si>
    <t>FB000799</t>
  </si>
  <si>
    <t>FB000800</t>
  </si>
  <si>
    <t>FB000801</t>
  </si>
  <si>
    <t>FB000802</t>
  </si>
  <si>
    <t>FB000803</t>
  </si>
  <si>
    <t>FB000804</t>
  </si>
  <si>
    <t>FB000805</t>
  </si>
  <si>
    <t>FB000806</t>
  </si>
  <si>
    <t>FB000807</t>
  </si>
  <si>
    <t>FB000808</t>
  </si>
  <si>
    <t>FB000809</t>
  </si>
  <si>
    <t>FB000810</t>
  </si>
  <si>
    <t>FB000811</t>
  </si>
  <si>
    <t>FB000812</t>
  </si>
  <si>
    <t>FB000813</t>
  </si>
  <si>
    <t>FB000814</t>
  </si>
  <si>
    <t>FB000815</t>
  </si>
  <si>
    <t>FB000816</t>
  </si>
  <si>
    <t>FB000817</t>
  </si>
  <si>
    <t>FB000818</t>
  </si>
  <si>
    <t>FB000819</t>
  </si>
  <si>
    <t>FB000820</t>
  </si>
  <si>
    <t>FB000821</t>
  </si>
  <si>
    <t>FB000822</t>
  </si>
  <si>
    <t>FB000823</t>
  </si>
  <si>
    <t>FB000824</t>
  </si>
  <si>
    <t>FB000825</t>
  </si>
  <si>
    <t>FB000826</t>
  </si>
  <si>
    <t>FB000827</t>
  </si>
  <si>
    <t>FB000828</t>
  </si>
  <si>
    <t>FB000829</t>
  </si>
  <si>
    <t>FB000830</t>
  </si>
  <si>
    <t>FB000831</t>
  </si>
  <si>
    <t>FB000832</t>
  </si>
  <si>
    <t>FB000833</t>
  </si>
  <si>
    <t>FB000834</t>
  </si>
  <si>
    <t>FB000835</t>
  </si>
  <si>
    <t>FB000836</t>
  </si>
  <si>
    <t>FB000837</t>
  </si>
  <si>
    <t>FB000838</t>
  </si>
  <si>
    <t>FB000839</t>
  </si>
  <si>
    <t>FB000840</t>
  </si>
  <si>
    <t>FB000841</t>
  </si>
  <si>
    <t>FB000842</t>
  </si>
  <si>
    <t>FB000843</t>
  </si>
  <si>
    <t>FB000844</t>
  </si>
  <si>
    <t>FB000845</t>
  </si>
  <si>
    <t>FB000846</t>
  </si>
  <si>
    <t>FB000847</t>
  </si>
  <si>
    <t>FB000848</t>
  </si>
  <si>
    <t>FB000849</t>
  </si>
  <si>
    <t>FB000850</t>
  </si>
  <si>
    <t>FB000851</t>
  </si>
  <si>
    <t>FB000852</t>
  </si>
  <si>
    <t>FB000853</t>
  </si>
  <si>
    <t>FB000854</t>
  </si>
  <si>
    <t>FB000855</t>
  </si>
  <si>
    <t>FB000856</t>
  </si>
  <si>
    <t>FB000857</t>
  </si>
  <si>
    <t>FB000858</t>
  </si>
  <si>
    <t>FB000859</t>
  </si>
  <si>
    <t>FB000860</t>
  </si>
  <si>
    <t>FB000861</t>
  </si>
  <si>
    <t>FB000862</t>
  </si>
  <si>
    <t>FB000863</t>
  </si>
  <si>
    <t>FB000864</t>
  </si>
  <si>
    <t>FB000865</t>
  </si>
  <si>
    <t>FB000866</t>
  </si>
  <si>
    <t>FB000867</t>
  </si>
  <si>
    <t>FB000868</t>
  </si>
  <si>
    <t>FB000869</t>
  </si>
  <si>
    <t>FB000870</t>
  </si>
  <si>
    <t>FB000871</t>
  </si>
  <si>
    <t>FB000872</t>
  </si>
  <si>
    <t>FB000873</t>
  </si>
  <si>
    <t>FB000874</t>
  </si>
  <si>
    <t>FB000875</t>
  </si>
  <si>
    <t>FB000876</t>
  </si>
  <si>
    <t>FB000877</t>
  </si>
  <si>
    <t>FB000878</t>
  </si>
  <si>
    <t>FB000879</t>
  </si>
  <si>
    <t>FB000880</t>
  </si>
  <si>
    <t>FB000881</t>
  </si>
  <si>
    <t>FB000882</t>
  </si>
  <si>
    <t>FB000883</t>
  </si>
  <si>
    <t>FB000884</t>
  </si>
  <si>
    <t>FB000885</t>
  </si>
  <si>
    <t>FB000886</t>
  </si>
  <si>
    <t>FB000887</t>
  </si>
  <si>
    <t>FB000888</t>
  </si>
  <si>
    <t>FB000889</t>
  </si>
  <si>
    <t>FB000890</t>
  </si>
  <si>
    <t>FB000891</t>
  </si>
  <si>
    <t>FB000892</t>
  </si>
  <si>
    <t>FB000893</t>
  </si>
  <si>
    <t>FB000894</t>
  </si>
  <si>
    <t>FB000895</t>
  </si>
  <si>
    <t>FB000896</t>
  </si>
  <si>
    <t>FB000897</t>
  </si>
  <si>
    <t>FB000898</t>
  </si>
  <si>
    <t>FB000899</t>
  </si>
  <si>
    <t>FB000900</t>
  </si>
  <si>
    <t>FB000901</t>
  </si>
  <si>
    <t>FB000902</t>
  </si>
  <si>
    <t>FB000903</t>
  </si>
  <si>
    <t>FB000904</t>
  </si>
  <si>
    <t>FB000905</t>
  </si>
  <si>
    <t>FB000906</t>
  </si>
  <si>
    <t>FB000907</t>
  </si>
  <si>
    <t>FB000908</t>
  </si>
  <si>
    <t>FB000909</t>
  </si>
  <si>
    <t>FB000910</t>
  </si>
  <si>
    <t>FB000911</t>
  </si>
  <si>
    <t>FB000912</t>
  </si>
  <si>
    <t>FB000913</t>
  </si>
  <si>
    <t>FB000914</t>
  </si>
  <si>
    <t>FB000915</t>
  </si>
  <si>
    <t>FB000916</t>
  </si>
  <si>
    <t>FB000917</t>
  </si>
  <si>
    <t>FB000918</t>
  </si>
  <si>
    <t>FB000919</t>
  </si>
  <si>
    <t>FB000920</t>
  </si>
  <si>
    <t>FB000921</t>
  </si>
  <si>
    <t>FB000922</t>
  </si>
  <si>
    <t>FB000923</t>
  </si>
  <si>
    <t>FB000924</t>
  </si>
  <si>
    <t>FB000925</t>
  </si>
  <si>
    <t>FB000926</t>
  </si>
  <si>
    <t>FB000927</t>
  </si>
  <si>
    <t>FB000928</t>
  </si>
  <si>
    <t>FB000929</t>
  </si>
  <si>
    <t>FB000930</t>
  </si>
  <si>
    <t>FB000931</t>
  </si>
  <si>
    <t>FB000932</t>
  </si>
  <si>
    <t>FB000933</t>
  </si>
  <si>
    <t>FB000934</t>
  </si>
  <si>
    <t>FB000935</t>
  </si>
  <si>
    <t>FB000936</t>
  </si>
  <si>
    <t>FB000937</t>
  </si>
  <si>
    <t>FB000938</t>
  </si>
  <si>
    <t>FB000939</t>
  </si>
  <si>
    <t>FB000940</t>
  </si>
  <si>
    <t>FB000941</t>
  </si>
  <si>
    <t>FB000942</t>
  </si>
  <si>
    <t>FB000943</t>
  </si>
  <si>
    <t>FB000944</t>
  </si>
  <si>
    <t>FB000945</t>
  </si>
  <si>
    <t>FB000946</t>
  </si>
  <si>
    <t>FB000947</t>
  </si>
  <si>
    <t>FB000948</t>
  </si>
  <si>
    <t>FB000949</t>
  </si>
  <si>
    <t>FB000950</t>
  </si>
  <si>
    <t>FB000951</t>
  </si>
  <si>
    <t>FB000952</t>
  </si>
  <si>
    <t>FB000953</t>
  </si>
  <si>
    <t>FB000954</t>
  </si>
  <si>
    <t>FB000955</t>
  </si>
  <si>
    <t>FB000956</t>
  </si>
  <si>
    <t>FB000957</t>
  </si>
  <si>
    <t>FB000958</t>
  </si>
  <si>
    <t>FB000959</t>
  </si>
  <si>
    <t>FB000960</t>
  </si>
  <si>
    <t>FB000961</t>
  </si>
  <si>
    <t>FB000962</t>
  </si>
  <si>
    <t>FB000963</t>
  </si>
  <si>
    <t>FB000964</t>
  </si>
  <si>
    <t>FB000965</t>
  </si>
  <si>
    <t>FB000966</t>
  </si>
  <si>
    <t>FB000967</t>
  </si>
  <si>
    <t>FB000968</t>
  </si>
  <si>
    <t>FB000969</t>
  </si>
  <si>
    <t>FB000970</t>
  </si>
  <si>
    <t>FB000971</t>
  </si>
  <si>
    <t>FB000972</t>
  </si>
  <si>
    <t>FB000973</t>
  </si>
  <si>
    <t>FB000974</t>
  </si>
  <si>
    <t>FB000975</t>
  </si>
  <si>
    <t>FB000976</t>
  </si>
  <si>
    <t>FB000977</t>
  </si>
  <si>
    <t>FB000978</t>
  </si>
  <si>
    <t>FB000979</t>
  </si>
  <si>
    <t>FB000980</t>
  </si>
  <si>
    <t>FB000981</t>
  </si>
  <si>
    <t>FB000982</t>
  </si>
  <si>
    <t>FB000983</t>
  </si>
  <si>
    <t>FB000984</t>
  </si>
  <si>
    <t>FB000985</t>
  </si>
  <si>
    <t>FB000986</t>
  </si>
  <si>
    <t>FB000987</t>
  </si>
  <si>
    <t>FB000988</t>
  </si>
  <si>
    <t>FB000989</t>
  </si>
  <si>
    <t>FB000990</t>
  </si>
  <si>
    <t>FB000991</t>
  </si>
  <si>
    <t>FB000992</t>
  </si>
  <si>
    <t>FB000993</t>
  </si>
  <si>
    <t>FB000994</t>
  </si>
  <si>
    <t>FB000995</t>
  </si>
  <si>
    <t>FB000996</t>
  </si>
  <si>
    <t>FB000997</t>
  </si>
  <si>
    <t>FB000998</t>
  </si>
  <si>
    <t>FB000999</t>
  </si>
  <si>
    <t>FB001000</t>
  </si>
  <si>
    <t>FB001001</t>
  </si>
  <si>
    <t>FB001002</t>
  </si>
  <si>
    <t>FB001003</t>
  </si>
  <si>
    <t>FB001004</t>
  </si>
  <si>
    <t>FB001005</t>
  </si>
  <si>
    <t>FB001006</t>
  </si>
  <si>
    <t>FB001007</t>
  </si>
  <si>
    <t>FB001008</t>
  </si>
  <si>
    <t>FB001009</t>
  </si>
  <si>
    <t>FB001010</t>
  </si>
  <si>
    <t>FB001011</t>
  </si>
  <si>
    <t>FB001012</t>
  </si>
  <si>
    <t>FB001013</t>
  </si>
  <si>
    <t>FB001014</t>
  </si>
  <si>
    <t>FB001015</t>
  </si>
  <si>
    <t>FB001016</t>
  </si>
  <si>
    <t>FB001017</t>
  </si>
  <si>
    <t>FB001018</t>
  </si>
  <si>
    <t>FB001019</t>
  </si>
  <si>
    <t>FB001020</t>
  </si>
  <si>
    <t>FB001021</t>
  </si>
  <si>
    <t>FB001022</t>
  </si>
  <si>
    <t>FB001023</t>
  </si>
  <si>
    <t>FB001024</t>
  </si>
  <si>
    <t>FB001025</t>
  </si>
  <si>
    <t>FB001026</t>
  </si>
  <si>
    <t>FB001027</t>
  </si>
  <si>
    <t>FB001028</t>
  </si>
  <si>
    <t>FB001029</t>
  </si>
  <si>
    <t>FB001030</t>
  </si>
  <si>
    <t>FB001031</t>
  </si>
  <si>
    <t>FB001032</t>
  </si>
  <si>
    <t>FB001033</t>
  </si>
  <si>
    <t>FB001034</t>
  </si>
  <si>
    <t>FB001035</t>
  </si>
  <si>
    <t>FB001036</t>
  </si>
  <si>
    <t>FB001037</t>
  </si>
  <si>
    <t>FB001038</t>
  </si>
  <si>
    <t>FB001039</t>
  </si>
  <si>
    <t>FB001040</t>
  </si>
  <si>
    <t>FB001041</t>
  </si>
  <si>
    <t>FB001042</t>
  </si>
  <si>
    <t>FB001043</t>
  </si>
  <si>
    <t>FB001044</t>
  </si>
  <si>
    <t>FB001045</t>
  </si>
  <si>
    <t>FB001046</t>
  </si>
  <si>
    <t>FB001047</t>
  </si>
  <si>
    <t>FB001048</t>
  </si>
  <si>
    <t>FB001049</t>
  </si>
  <si>
    <t>FB001050</t>
  </si>
  <si>
    <t>FB001051</t>
  </si>
  <si>
    <t>FB001052</t>
  </si>
  <si>
    <t>FB001053</t>
  </si>
  <si>
    <t>FB001054</t>
  </si>
  <si>
    <t>FB001055</t>
  </si>
  <si>
    <t>FB001056</t>
  </si>
  <si>
    <t>FB001057</t>
  </si>
  <si>
    <t>FB001058</t>
  </si>
  <si>
    <t>FB001059</t>
  </si>
  <si>
    <t>FB001060</t>
  </si>
  <si>
    <t>FB001061</t>
  </si>
  <si>
    <t>FB001062</t>
  </si>
  <si>
    <t>FB001063</t>
  </si>
  <si>
    <t>FB001064</t>
  </si>
  <si>
    <t>FB001065</t>
  </si>
  <si>
    <t>FB001066</t>
  </si>
  <si>
    <t>FB001067</t>
  </si>
  <si>
    <t>FB001068</t>
  </si>
  <si>
    <t>FB001069</t>
  </si>
  <si>
    <t>FB001070</t>
  </si>
  <si>
    <t>FB001071</t>
  </si>
  <si>
    <t>FB001072</t>
  </si>
  <si>
    <t>FB001073</t>
  </si>
  <si>
    <t>FB001074</t>
  </si>
  <si>
    <t>FB001075</t>
  </si>
  <si>
    <t>FB001076</t>
  </si>
  <si>
    <t>FB001077</t>
  </si>
  <si>
    <t>FB001078</t>
  </si>
  <si>
    <t>FB001079</t>
  </si>
  <si>
    <t>FB001080</t>
  </si>
  <si>
    <t>FB001081</t>
  </si>
  <si>
    <t>FB001082</t>
  </si>
  <si>
    <t>FB001083</t>
  </si>
  <si>
    <t>FB001084</t>
  </si>
  <si>
    <t>FB001085</t>
  </si>
  <si>
    <t>FB001086</t>
  </si>
  <si>
    <t>FB001087</t>
  </si>
  <si>
    <t>FB001088</t>
  </si>
  <si>
    <t>FB001089</t>
  </si>
  <si>
    <t>FB001090</t>
  </si>
  <si>
    <t>FB001091</t>
  </si>
  <si>
    <t>FB001092</t>
  </si>
  <si>
    <t>FB001093</t>
  </si>
  <si>
    <t>FB001094</t>
  </si>
  <si>
    <t>FB001095</t>
  </si>
  <si>
    <t>FB001096</t>
  </si>
  <si>
    <t>FB001097</t>
  </si>
  <si>
    <t>FB001098</t>
  </si>
  <si>
    <t>FB001099</t>
  </si>
  <si>
    <t>FB001100</t>
  </si>
  <si>
    <t>FB001101</t>
  </si>
  <si>
    <t>FB001102</t>
  </si>
  <si>
    <t>FB001103</t>
  </si>
  <si>
    <t>FB001104</t>
  </si>
  <si>
    <t>FB001105</t>
  </si>
  <si>
    <t>FB001106</t>
  </si>
  <si>
    <t>FB001107</t>
  </si>
  <si>
    <t>FB001108</t>
  </si>
  <si>
    <t>FB001109</t>
  </si>
  <si>
    <t>FB001110</t>
  </si>
  <si>
    <t>FB001111</t>
  </si>
  <si>
    <t>FB001112</t>
  </si>
  <si>
    <t>FB001113</t>
  </si>
  <si>
    <t>FB001114</t>
  </si>
  <si>
    <t>FB001115</t>
  </si>
  <si>
    <t>FB001116</t>
  </si>
  <si>
    <t>FB001117</t>
  </si>
  <si>
    <t>FB001118</t>
  </si>
  <si>
    <t>FB001119</t>
  </si>
  <si>
    <t>FB001120</t>
  </si>
  <si>
    <t>FB001121</t>
  </si>
  <si>
    <t>FB001122</t>
  </si>
  <si>
    <t>FB001123</t>
  </si>
  <si>
    <t>FB001124</t>
  </si>
  <si>
    <t>FB001125</t>
  </si>
  <si>
    <t>FB001126</t>
  </si>
  <si>
    <t>FB001127</t>
  </si>
  <si>
    <t>FB001128</t>
  </si>
  <si>
    <t>FB001129</t>
  </si>
  <si>
    <t>FB001130</t>
  </si>
  <si>
    <t>FB001131</t>
  </si>
  <si>
    <t>FB001132</t>
  </si>
  <si>
    <t>FB001133</t>
  </si>
  <si>
    <t>FB001134</t>
  </si>
  <si>
    <t>FB001135</t>
  </si>
  <si>
    <t>FB001136</t>
  </si>
  <si>
    <t>FB001137</t>
  </si>
  <si>
    <t>FB001138</t>
  </si>
  <si>
    <t>FB001139</t>
  </si>
  <si>
    <t>FB001140</t>
  </si>
  <si>
    <t>FB001141</t>
  </si>
  <si>
    <t>FB001142</t>
  </si>
  <si>
    <t>FB001143</t>
  </si>
  <si>
    <t>FB001144</t>
  </si>
  <si>
    <t>FB001145</t>
  </si>
  <si>
    <t>FB001146</t>
  </si>
  <si>
    <t>FB001147</t>
  </si>
  <si>
    <t>FB001148</t>
  </si>
  <si>
    <t>FB001149</t>
  </si>
  <si>
    <t>FB001150</t>
  </si>
  <si>
    <t>FB001151</t>
  </si>
  <si>
    <t>FB001152</t>
  </si>
  <si>
    <t>FB001153</t>
  </si>
  <si>
    <t>FB001154</t>
  </si>
  <si>
    <t>FB001155</t>
  </si>
  <si>
    <t>FB001156</t>
  </si>
  <si>
    <t>FB001157</t>
  </si>
  <si>
    <t>FB001158</t>
  </si>
  <si>
    <t>FB001159</t>
  </si>
  <si>
    <t>FB001160</t>
  </si>
  <si>
    <t>FB001161</t>
  </si>
  <si>
    <t>FB001162</t>
  </si>
  <si>
    <t>FB001163</t>
  </si>
  <si>
    <t>FB001164</t>
  </si>
  <si>
    <t>FB001165</t>
  </si>
  <si>
    <t>FB001166</t>
  </si>
  <si>
    <t>FB001167</t>
  </si>
  <si>
    <t>FB001168</t>
  </si>
  <si>
    <t>FB001169</t>
  </si>
  <si>
    <t>FB001170</t>
  </si>
  <si>
    <t>FB001171</t>
  </si>
  <si>
    <t>FB001172</t>
  </si>
  <si>
    <t>FB001173</t>
  </si>
  <si>
    <t>FB001174</t>
  </si>
  <si>
    <t>FB001175</t>
  </si>
  <si>
    <t>FB001176</t>
  </si>
  <si>
    <t>FB001177</t>
  </si>
  <si>
    <t>FB001178</t>
  </si>
  <si>
    <t>FB001179</t>
  </si>
  <si>
    <t>FB001180</t>
  </si>
  <si>
    <t>FB001181</t>
  </si>
  <si>
    <t>FB001182</t>
  </si>
  <si>
    <t>FB001183</t>
  </si>
  <si>
    <t>FB001184</t>
  </si>
  <si>
    <t>FB001185</t>
  </si>
  <si>
    <t>FB001186</t>
  </si>
  <si>
    <t>FB001187</t>
  </si>
  <si>
    <t>FB001188</t>
  </si>
  <si>
    <t>FB001189</t>
  </si>
  <si>
    <t>FB001190</t>
  </si>
  <si>
    <t>FB001191</t>
  </si>
  <si>
    <t>FB001192</t>
  </si>
  <si>
    <t>FB001193</t>
  </si>
  <si>
    <t>FB001194</t>
  </si>
  <si>
    <t>FB001195</t>
  </si>
  <si>
    <t>FB001196</t>
  </si>
  <si>
    <t>FB001197</t>
  </si>
  <si>
    <t>FB001198</t>
  </si>
  <si>
    <t>FB001199</t>
  </si>
  <si>
    <t>FB001200</t>
  </si>
  <si>
    <t>FB001201</t>
  </si>
  <si>
    <t>FB001202</t>
  </si>
  <si>
    <t>FB001203</t>
  </si>
  <si>
    <t>FB001204</t>
  </si>
  <si>
    <t>FB001205</t>
  </si>
  <si>
    <t>FB001206</t>
  </si>
  <si>
    <t>FB001207</t>
  </si>
  <si>
    <t>FB001208</t>
  </si>
  <si>
    <t>FB001209</t>
  </si>
  <si>
    <t>FB001210</t>
  </si>
  <si>
    <t>FB001211</t>
  </si>
  <si>
    <t>FB001212</t>
  </si>
  <si>
    <t>FB001213</t>
  </si>
  <si>
    <t>FB001214</t>
  </si>
  <si>
    <t>FB001215</t>
  </si>
  <si>
    <t>FB001216</t>
  </si>
  <si>
    <t>FB001217</t>
  </si>
  <si>
    <t>FB001218</t>
  </si>
  <si>
    <t>FB001219</t>
  </si>
  <si>
    <t>FB001220</t>
  </si>
  <si>
    <t>FB001221</t>
  </si>
  <si>
    <t>FB001222</t>
  </si>
  <si>
    <t>FB001223</t>
  </si>
  <si>
    <t>FB001224</t>
  </si>
  <si>
    <t>FB001225</t>
  </si>
  <si>
    <t>FB001226</t>
  </si>
  <si>
    <t>FB001227</t>
  </si>
  <si>
    <t>FB001228</t>
  </si>
  <si>
    <t>FB001229</t>
  </si>
  <si>
    <t>FB001230</t>
  </si>
  <si>
    <t>FB001231</t>
  </si>
  <si>
    <t>FB001232</t>
  </si>
  <si>
    <t>FB001233</t>
  </si>
  <si>
    <t>FB001234</t>
  </si>
  <si>
    <t>FB001235</t>
  </si>
  <si>
    <t>FB001236</t>
  </si>
  <si>
    <t>FB001237</t>
  </si>
  <si>
    <t>FB001238</t>
  </si>
  <si>
    <t>FB001239</t>
  </si>
  <si>
    <t>FB001240</t>
  </si>
  <si>
    <t>FB001241</t>
  </si>
  <si>
    <t>FB001242</t>
  </si>
  <si>
    <t>FB001243</t>
  </si>
  <si>
    <t>FB001244</t>
  </si>
  <si>
    <t>FB001245</t>
  </si>
  <si>
    <t>FB001246</t>
  </si>
  <si>
    <t>FB001247</t>
  </si>
  <si>
    <t>FB001248</t>
  </si>
  <si>
    <t>FB001249</t>
  </si>
  <si>
    <t>FB001250</t>
  </si>
  <si>
    <t>FB001251</t>
  </si>
  <si>
    <t>FB001252</t>
  </si>
  <si>
    <t>FB001253</t>
  </si>
  <si>
    <t>FB001254</t>
  </si>
  <si>
    <t>FB001255</t>
  </si>
  <si>
    <t>FB001256</t>
  </si>
  <si>
    <t>FB001257</t>
  </si>
  <si>
    <t>FB001258</t>
  </si>
  <si>
    <t>FB001259</t>
  </si>
  <si>
    <t>FB001260</t>
  </si>
  <si>
    <t>FB001261</t>
  </si>
  <si>
    <t>FB001262</t>
  </si>
  <si>
    <t>FB001263</t>
  </si>
  <si>
    <t>FB001264</t>
  </si>
  <si>
    <t>FB001265</t>
  </si>
  <si>
    <t>FB001266</t>
  </si>
  <si>
    <t>FB001267</t>
  </si>
  <si>
    <t>FB001268</t>
  </si>
  <si>
    <t>FB001269</t>
  </si>
  <si>
    <t>FB001270</t>
  </si>
  <si>
    <t>FB001271</t>
  </si>
  <si>
    <t>FB001272</t>
  </si>
  <si>
    <t>FB001273</t>
  </si>
  <si>
    <t>FB001274</t>
  </si>
  <si>
    <t>FB001275</t>
  </si>
  <si>
    <t>FB001276</t>
  </si>
  <si>
    <t>FB001277</t>
  </si>
  <si>
    <t>FB001278</t>
  </si>
  <si>
    <t>FB001279</t>
  </si>
  <si>
    <t>FB001280</t>
  </si>
  <si>
    <t>FB001281</t>
  </si>
  <si>
    <t>FB001282</t>
  </si>
  <si>
    <t>FB001283</t>
  </si>
  <si>
    <t>FB001284</t>
  </si>
  <si>
    <t>FB001285</t>
  </si>
  <si>
    <t>FB001286</t>
  </si>
  <si>
    <t>FB001287</t>
  </si>
  <si>
    <t>FB001288</t>
  </si>
  <si>
    <t>FB001289</t>
  </si>
  <si>
    <t>FB001290</t>
  </si>
  <si>
    <t>FB001291</t>
  </si>
  <si>
    <t>FB001292</t>
  </si>
  <si>
    <t>FB001293</t>
  </si>
  <si>
    <t>FB001294</t>
  </si>
  <si>
    <t>FB001295</t>
  </si>
  <si>
    <t>FB001296</t>
  </si>
  <si>
    <t>FB001297</t>
  </si>
  <si>
    <t>FB001298</t>
  </si>
  <si>
    <t>FB001299</t>
  </si>
  <si>
    <t>FB001300</t>
  </si>
  <si>
    <t>FB001301</t>
  </si>
  <si>
    <t>FB001302</t>
  </si>
  <si>
    <t>FB001303</t>
  </si>
  <si>
    <t>FB001304</t>
  </si>
  <si>
    <t>FB001305</t>
  </si>
  <si>
    <t>FB001306</t>
  </si>
  <si>
    <t>FB001307</t>
  </si>
  <si>
    <t>FB001308</t>
  </si>
  <si>
    <t>FB001309</t>
  </si>
  <si>
    <t>FB001310</t>
  </si>
  <si>
    <t>FB001311</t>
  </si>
  <si>
    <t>FB001312</t>
  </si>
  <si>
    <t>FB001313</t>
  </si>
  <si>
    <t>FB001314</t>
  </si>
  <si>
    <t>FB001315</t>
  </si>
  <si>
    <t>FB001316</t>
  </si>
  <si>
    <t>FB001317</t>
  </si>
  <si>
    <t>FB001318</t>
  </si>
  <si>
    <t>FB001319</t>
  </si>
  <si>
    <t>FB001320</t>
  </si>
  <si>
    <t>FB001321</t>
  </si>
  <si>
    <t>FB001322</t>
  </si>
  <si>
    <t>FB001323</t>
  </si>
  <si>
    <t>FB001324</t>
  </si>
  <si>
    <t>FB001325</t>
  </si>
  <si>
    <t>FB001326</t>
  </si>
  <si>
    <t>FB001327</t>
  </si>
  <si>
    <t>FB001328</t>
  </si>
  <si>
    <t>FB001329</t>
  </si>
  <si>
    <t>FB001330</t>
  </si>
  <si>
    <t>FB001331</t>
  </si>
  <si>
    <t>FB001332</t>
  </si>
  <si>
    <t>FB001333</t>
  </si>
  <si>
    <t>FB001334</t>
  </si>
  <si>
    <t>FB001335</t>
  </si>
  <si>
    <t>FB001336</t>
  </si>
  <si>
    <t>FB001337</t>
  </si>
  <si>
    <t>FB001338</t>
  </si>
  <si>
    <t>FB001339</t>
  </si>
  <si>
    <t>FB001340</t>
  </si>
  <si>
    <t>FB001341</t>
  </si>
  <si>
    <t>FB001342</t>
  </si>
  <si>
    <t>FB001343</t>
  </si>
  <si>
    <t>FB001344</t>
  </si>
  <si>
    <t>FB001345</t>
  </si>
  <si>
    <t>FB001346</t>
  </si>
  <si>
    <t>FB001347</t>
  </si>
  <si>
    <t>FB001348</t>
  </si>
  <si>
    <t>FB001349</t>
  </si>
  <si>
    <t>FB001350</t>
  </si>
  <si>
    <t>FB001351</t>
  </si>
  <si>
    <t>FB001352</t>
  </si>
  <si>
    <t>FB001353</t>
  </si>
  <si>
    <t>FB001354</t>
  </si>
  <si>
    <t>FB001355</t>
  </si>
  <si>
    <t>FB001356</t>
  </si>
  <si>
    <t>FB001357</t>
  </si>
  <si>
    <t>FB001358</t>
  </si>
  <si>
    <t>FB001359</t>
  </si>
  <si>
    <t>FB001360</t>
  </si>
  <si>
    <t>FB001361</t>
  </si>
  <si>
    <t>FB001362</t>
  </si>
  <si>
    <t>FB001363</t>
  </si>
  <si>
    <t>FB001364</t>
  </si>
  <si>
    <t>FB001365</t>
  </si>
  <si>
    <t>FB001366</t>
  </si>
  <si>
    <t>FB001367</t>
  </si>
  <si>
    <t>FB001368</t>
  </si>
  <si>
    <t>FB001369</t>
  </si>
  <si>
    <t>FB001370</t>
  </si>
  <si>
    <t>FB001371</t>
  </si>
  <si>
    <t>FB001372</t>
  </si>
  <si>
    <t>FB001373</t>
  </si>
  <si>
    <t>FB001374</t>
  </si>
  <si>
    <t>FB001375</t>
  </si>
  <si>
    <t>FB001376</t>
  </si>
  <si>
    <t>FB001377</t>
  </si>
  <si>
    <t>FB001378</t>
  </si>
  <si>
    <t>FB001379</t>
  </si>
  <si>
    <t>FB001380</t>
  </si>
  <si>
    <t>FB001381</t>
  </si>
  <si>
    <t>FB001382</t>
  </si>
  <si>
    <t>FB001383</t>
  </si>
  <si>
    <t>FB001384</t>
  </si>
  <si>
    <t>FB001385</t>
  </si>
  <si>
    <t>FB001386</t>
  </si>
  <si>
    <t>FB001387</t>
  </si>
  <si>
    <t>FB001388</t>
  </si>
  <si>
    <t>FB001389</t>
  </si>
  <si>
    <t>FB001390</t>
  </si>
  <si>
    <t>FB001391</t>
  </si>
  <si>
    <t>FB001392</t>
  </si>
  <si>
    <t>FB001393</t>
  </si>
  <si>
    <t>FB001394</t>
  </si>
  <si>
    <t>FB001395</t>
  </si>
  <si>
    <t>FB001396</t>
  </si>
  <si>
    <t>FB001397</t>
  </si>
  <si>
    <t>FB001398</t>
  </si>
  <si>
    <t>FB001399</t>
  </si>
  <si>
    <t>FB001400</t>
  </si>
  <si>
    <t>FB001401</t>
  </si>
  <si>
    <t>FB001402</t>
  </si>
  <si>
    <t>FB001403</t>
  </si>
  <si>
    <t>FB001404</t>
  </si>
  <si>
    <t>FB001405</t>
  </si>
  <si>
    <t>FB001406</t>
  </si>
  <si>
    <t>FB001407</t>
  </si>
  <si>
    <t>FB001408</t>
  </si>
  <si>
    <t>FB001409</t>
  </si>
  <si>
    <t>FB001410</t>
  </si>
  <si>
    <t>FB001411</t>
  </si>
  <si>
    <t>FB001412</t>
  </si>
  <si>
    <t>FB001413</t>
  </si>
  <si>
    <t>FB001414</t>
  </si>
  <si>
    <t>FB001415</t>
  </si>
  <si>
    <t>FB001416</t>
  </si>
  <si>
    <t>FB001417</t>
  </si>
  <si>
    <t>FB001418</t>
  </si>
  <si>
    <t>FB001419</t>
  </si>
  <si>
    <t>FB001420</t>
  </si>
  <si>
    <t>FB001421</t>
  </si>
  <si>
    <t>FB001422</t>
  </si>
  <si>
    <t>FB001423</t>
  </si>
  <si>
    <t>FB001424</t>
  </si>
  <si>
    <t>FB001425</t>
  </si>
  <si>
    <t>FB001426</t>
  </si>
  <si>
    <t>FB001427</t>
  </si>
  <si>
    <t>FB001428</t>
  </si>
  <si>
    <t>FB001429</t>
  </si>
  <si>
    <t>FB001430</t>
  </si>
  <si>
    <t>FB001431</t>
  </si>
  <si>
    <t>FB001432</t>
  </si>
  <si>
    <t>FB001433</t>
  </si>
  <si>
    <t>FB001434</t>
  </si>
  <si>
    <t>FB001435</t>
  </si>
  <si>
    <t>FB001436</t>
  </si>
  <si>
    <t>FB001437</t>
  </si>
  <si>
    <t>FB001438</t>
  </si>
  <si>
    <t>FB001439</t>
  </si>
  <si>
    <t>FB001440</t>
  </si>
  <si>
    <t>FB001441</t>
  </si>
  <si>
    <t>FB001442</t>
  </si>
  <si>
    <t>FB001443</t>
  </si>
  <si>
    <t>FB001444</t>
  </si>
  <si>
    <t>FB001445</t>
  </si>
  <si>
    <t>FB001446</t>
  </si>
  <si>
    <t>FB001447</t>
  </si>
  <si>
    <t>FB001448</t>
  </si>
  <si>
    <t>FB001449</t>
  </si>
  <si>
    <t>FB001450</t>
  </si>
  <si>
    <t>FB001451</t>
  </si>
  <si>
    <t>FB001452</t>
  </si>
  <si>
    <t>FB001453</t>
  </si>
  <si>
    <t>FB001454</t>
  </si>
  <si>
    <t>FB001455</t>
  </si>
  <si>
    <t>FB001456</t>
  </si>
  <si>
    <t>FB001457</t>
  </si>
  <si>
    <t>FB001458</t>
  </si>
  <si>
    <t>FB001459</t>
  </si>
  <si>
    <t>FB001460</t>
  </si>
  <si>
    <t>FB001461</t>
  </si>
  <si>
    <t>FB001462</t>
  </si>
  <si>
    <t>FB001463</t>
  </si>
  <si>
    <t>FB001464</t>
  </si>
  <si>
    <t>FB001465</t>
  </si>
  <si>
    <t>FB001466</t>
  </si>
  <si>
    <t>FB001467</t>
  </si>
  <si>
    <t>FB001468</t>
  </si>
  <si>
    <t>FB001469</t>
  </si>
  <si>
    <t>FB001470</t>
  </si>
  <si>
    <t>FB001471</t>
  </si>
  <si>
    <t>FB001472</t>
  </si>
  <si>
    <t>FB001473</t>
  </si>
  <si>
    <t>FB001474</t>
  </si>
  <si>
    <t>FB001475</t>
  </si>
  <si>
    <t>FB001476</t>
  </si>
  <si>
    <t>FB001477</t>
  </si>
  <si>
    <t>FB001478</t>
  </si>
  <si>
    <t>FB001479</t>
  </si>
  <si>
    <t>FB001480</t>
  </si>
  <si>
    <t>FB001481</t>
  </si>
  <si>
    <t>FB001482</t>
  </si>
  <si>
    <t>FB001483</t>
  </si>
  <si>
    <t>FB001484</t>
  </si>
  <si>
    <t>FB001485</t>
  </si>
  <si>
    <t>FB001486</t>
  </si>
  <si>
    <t>FB001487</t>
  </si>
  <si>
    <t>FB001488</t>
  </si>
  <si>
    <t>FB001489</t>
  </si>
  <si>
    <t>FB001490</t>
  </si>
  <si>
    <t>FB001491</t>
  </si>
  <si>
    <t>FB001492</t>
  </si>
  <si>
    <t>FB001493</t>
  </si>
  <si>
    <t>FB001494</t>
  </si>
  <si>
    <t>FB001495</t>
  </si>
  <si>
    <t>FB001496</t>
  </si>
  <si>
    <t>FB001497</t>
  </si>
  <si>
    <t>FB001498</t>
  </si>
  <si>
    <t>FB001499</t>
  </si>
  <si>
    <t>FB001500</t>
  </si>
  <si>
    <t>FB001501</t>
  </si>
  <si>
    <t>FB001502</t>
  </si>
  <si>
    <t>FB001503</t>
  </si>
  <si>
    <t>FB001504</t>
  </si>
  <si>
    <t>FB001505</t>
  </si>
  <si>
    <t>FB001506</t>
  </si>
  <si>
    <t>FB001507</t>
  </si>
  <si>
    <t>FB001508</t>
  </si>
  <si>
    <t>FB001509</t>
  </si>
  <si>
    <t>FB001510</t>
  </si>
  <si>
    <t>FB001511</t>
  </si>
  <si>
    <t>FB001512</t>
  </si>
  <si>
    <t>FB001513</t>
  </si>
  <si>
    <t>FB001514</t>
  </si>
  <si>
    <t>FB001515</t>
  </si>
  <si>
    <t>FB001516</t>
  </si>
  <si>
    <t>FB001517</t>
  </si>
  <si>
    <t>FB001518</t>
  </si>
  <si>
    <t>FB001519</t>
  </si>
  <si>
    <t>FB001520</t>
  </si>
  <si>
    <t>FB001521</t>
  </si>
  <si>
    <t>FB001522</t>
  </si>
  <si>
    <t>FB001523</t>
  </si>
  <si>
    <t>FB001524</t>
  </si>
  <si>
    <t>FB001525</t>
  </si>
  <si>
    <t>FB001526</t>
  </si>
  <si>
    <t>FB001527</t>
  </si>
  <si>
    <t>FB001528</t>
  </si>
  <si>
    <t>FB001529</t>
  </si>
  <si>
    <t>FB001530</t>
  </si>
  <si>
    <t>FB001531</t>
  </si>
  <si>
    <t>FB001532</t>
  </si>
  <si>
    <t>FB001533</t>
  </si>
  <si>
    <t>FB001534</t>
  </si>
  <si>
    <t>FB001535</t>
  </si>
  <si>
    <t>FB001536</t>
  </si>
  <si>
    <t>FB001537</t>
  </si>
  <si>
    <t>FB001538</t>
  </si>
  <si>
    <t>FB001539</t>
  </si>
  <si>
    <t>FB001540</t>
  </si>
  <si>
    <t>FB001541</t>
  </si>
  <si>
    <t>FB001542</t>
  </si>
  <si>
    <t>FB001543</t>
  </si>
  <si>
    <t>FB001544</t>
  </si>
  <si>
    <t>FB001545</t>
  </si>
  <si>
    <t>FB001546</t>
  </si>
  <si>
    <t>FB001547</t>
  </si>
  <si>
    <t>FB001548</t>
  </si>
  <si>
    <t>FB001549</t>
  </si>
  <si>
    <t>FB001550</t>
  </si>
  <si>
    <t>FB001551</t>
  </si>
  <si>
    <t>FB001552</t>
  </si>
  <si>
    <t>FB001553</t>
  </si>
  <si>
    <t>FB001554</t>
  </si>
  <si>
    <t>FB001555</t>
  </si>
  <si>
    <t>FB001556</t>
  </si>
  <si>
    <t>FB001557</t>
  </si>
  <si>
    <t>FB001558</t>
  </si>
  <si>
    <t>FB001559</t>
  </si>
  <si>
    <t>FB001560</t>
  </si>
  <si>
    <t>FB001561</t>
  </si>
  <si>
    <t>FB001562</t>
  </si>
  <si>
    <t>FB001563</t>
  </si>
  <si>
    <t>FB001564</t>
  </si>
  <si>
    <t>FB001565</t>
  </si>
  <si>
    <t>FB001566</t>
  </si>
  <si>
    <t>FB001567</t>
  </si>
  <si>
    <t>FB001568</t>
  </si>
  <si>
    <t>FB001569</t>
  </si>
  <si>
    <t>FB001570</t>
  </si>
  <si>
    <t>FB001571</t>
  </si>
  <si>
    <t>FB001572</t>
  </si>
  <si>
    <t>FB001573</t>
  </si>
  <si>
    <t>FB001574</t>
  </si>
  <si>
    <t>FB001575</t>
  </si>
  <si>
    <t>FB001576</t>
  </si>
  <si>
    <t>FB001577</t>
  </si>
  <si>
    <t>FB001578</t>
  </si>
  <si>
    <t>FB001579</t>
  </si>
  <si>
    <t>FB001580</t>
  </si>
  <si>
    <t>FB001581</t>
  </si>
  <si>
    <t>FB001582</t>
  </si>
  <si>
    <t>FB001583</t>
  </si>
  <si>
    <t>FB001584</t>
  </si>
  <si>
    <t>FB001585</t>
  </si>
  <si>
    <t>FB001586</t>
  </si>
  <si>
    <t>FB001587</t>
  </si>
  <si>
    <t>FB001588</t>
  </si>
  <si>
    <t>FB001589</t>
  </si>
  <si>
    <t>FB001590</t>
  </si>
  <si>
    <t>FB001591</t>
  </si>
  <si>
    <t>FB001592</t>
  </si>
  <si>
    <t>FB001593</t>
  </si>
  <si>
    <t>FB001594</t>
  </si>
  <si>
    <t>FB001595</t>
  </si>
  <si>
    <t>FB001596</t>
  </si>
  <si>
    <t>FB001597</t>
  </si>
  <si>
    <t>FB001598</t>
  </si>
  <si>
    <t>FB001599</t>
  </si>
  <si>
    <t>FB001600</t>
  </si>
  <si>
    <t>FB001601</t>
  </si>
  <si>
    <t>FB001602</t>
  </si>
  <si>
    <t>FB001603</t>
  </si>
  <si>
    <t>FB001604</t>
  </si>
  <si>
    <t>FB001605</t>
  </si>
  <si>
    <t>FB001606</t>
  </si>
  <si>
    <t>FB001607</t>
  </si>
  <si>
    <t>FB001608</t>
  </si>
  <si>
    <t>FB001609</t>
  </si>
  <si>
    <t>FB001610</t>
  </si>
  <si>
    <t>FB001611</t>
  </si>
  <si>
    <t>FB001612</t>
  </si>
  <si>
    <t>FB001613</t>
  </si>
  <si>
    <t>FB001614</t>
  </si>
  <si>
    <t>FB001615</t>
  </si>
  <si>
    <t>FB001616</t>
  </si>
  <si>
    <t>FB001617</t>
  </si>
  <si>
    <t>FB001618</t>
  </si>
  <si>
    <t>FB001619</t>
  </si>
  <si>
    <t>FB001620</t>
  </si>
  <si>
    <t>FB001621</t>
  </si>
  <si>
    <t>FB001622</t>
  </si>
  <si>
    <t>FB001623</t>
  </si>
  <si>
    <t>FB001624</t>
  </si>
  <si>
    <t>FB001625</t>
  </si>
  <si>
    <t>FB001626</t>
  </si>
  <si>
    <t>FB001627</t>
  </si>
  <si>
    <t>FB001628</t>
  </si>
  <si>
    <t>FB001629</t>
  </si>
  <si>
    <t>FB001630</t>
  </si>
  <si>
    <t>FB001631</t>
  </si>
  <si>
    <t>FB001632</t>
  </si>
  <si>
    <t>FB001633</t>
  </si>
  <si>
    <t>FB001634</t>
  </si>
  <si>
    <t>FB001635</t>
  </si>
  <si>
    <t>FB001636</t>
  </si>
  <si>
    <t>FB001637</t>
  </si>
  <si>
    <t>FB001638</t>
  </si>
  <si>
    <t>FB001639</t>
  </si>
  <si>
    <t>FB001640</t>
  </si>
  <si>
    <t>FB001641</t>
  </si>
  <si>
    <t>FB001642</t>
  </si>
  <si>
    <t>FB001643</t>
  </si>
  <si>
    <t>FB001644</t>
  </si>
  <si>
    <t>FB001645</t>
  </si>
  <si>
    <t>FB001646</t>
  </si>
  <si>
    <t>FB001647</t>
  </si>
  <si>
    <t>FB001648</t>
  </si>
  <si>
    <t>FB001649</t>
  </si>
  <si>
    <t>FB001650</t>
  </si>
  <si>
    <t>FB001651</t>
  </si>
  <si>
    <t>FB001652</t>
  </si>
  <si>
    <t>FB001653</t>
  </si>
  <si>
    <t>FB001654</t>
  </si>
  <si>
    <t>FB001655</t>
  </si>
  <si>
    <t>FB001656</t>
  </si>
  <si>
    <t>FB001657</t>
  </si>
  <si>
    <t>FB001658</t>
  </si>
  <si>
    <t>FB001659</t>
  </si>
  <si>
    <t>FB001660</t>
  </si>
  <si>
    <t>FB001661</t>
  </si>
  <si>
    <t>FB001662</t>
  </si>
  <si>
    <t>FB001663</t>
  </si>
  <si>
    <t>FB001664</t>
  </si>
  <si>
    <t>FB001665</t>
  </si>
  <si>
    <t>FB001666</t>
  </si>
  <si>
    <t>FB001667</t>
  </si>
  <si>
    <t>FB001668</t>
  </si>
  <si>
    <t>FB001669</t>
  </si>
  <si>
    <t>FB001670</t>
  </si>
  <si>
    <t>FB001671</t>
  </si>
  <si>
    <t>FB001672</t>
  </si>
  <si>
    <t>FB001673</t>
  </si>
  <si>
    <t>FB001674</t>
  </si>
  <si>
    <t>FB001675</t>
  </si>
  <si>
    <t>FB001676</t>
  </si>
  <si>
    <t>FB001677</t>
  </si>
  <si>
    <t>FB001678</t>
  </si>
  <si>
    <t>FB001679</t>
  </si>
  <si>
    <t>FB001680</t>
  </si>
  <si>
    <t>FB001681</t>
  </si>
  <si>
    <t>FB001682</t>
  </si>
  <si>
    <t>FB001683</t>
  </si>
  <si>
    <t>FB001684</t>
  </si>
  <si>
    <t>FB001685</t>
  </si>
  <si>
    <t>FB001686</t>
  </si>
  <si>
    <t>FB001687</t>
  </si>
  <si>
    <t>FB001688</t>
  </si>
  <si>
    <t>FB001689</t>
  </si>
  <si>
    <t>FB001690</t>
  </si>
  <si>
    <t>FB001691</t>
  </si>
  <si>
    <t>FB001692</t>
  </si>
  <si>
    <t>FB001693</t>
  </si>
  <si>
    <t>FB001694</t>
  </si>
  <si>
    <t>FB001695</t>
  </si>
  <si>
    <t>FB001696</t>
  </si>
  <si>
    <t>FB001697</t>
  </si>
  <si>
    <t>FB001698</t>
  </si>
  <si>
    <t>FB001699</t>
  </si>
  <si>
    <t>FB001700</t>
  </si>
  <si>
    <t>FB001701</t>
  </si>
  <si>
    <t>FB001702</t>
  </si>
  <si>
    <t>FB001703</t>
  </si>
  <si>
    <t>FB001704</t>
  </si>
  <si>
    <t>FB001705</t>
  </si>
  <si>
    <t>FB001706</t>
  </si>
  <si>
    <t>FB001707</t>
  </si>
  <si>
    <t>FB001708</t>
  </si>
  <si>
    <t>FB001709</t>
  </si>
  <si>
    <t>FB001710</t>
  </si>
  <si>
    <t>FB001711</t>
  </si>
  <si>
    <t>FB001712</t>
  </si>
  <si>
    <t>FB001713</t>
  </si>
  <si>
    <t>FB001714</t>
  </si>
  <si>
    <t>FB001715</t>
  </si>
  <si>
    <t>FB001716</t>
  </si>
  <si>
    <t>FB001717</t>
  </si>
  <si>
    <t>FB001718</t>
  </si>
  <si>
    <t>FB001719</t>
  </si>
  <si>
    <t>FB001720</t>
  </si>
  <si>
    <t>FB001721</t>
  </si>
  <si>
    <t>FB001722</t>
  </si>
  <si>
    <t>FB001723</t>
  </si>
  <si>
    <t>FB001724</t>
  </si>
  <si>
    <t>FB001725</t>
  </si>
  <si>
    <t>FB001726</t>
  </si>
  <si>
    <t>FB001727</t>
  </si>
  <si>
    <t>FB001728</t>
  </si>
  <si>
    <t>FB001729</t>
  </si>
  <si>
    <t>FB001730</t>
  </si>
  <si>
    <t>FB001731</t>
  </si>
  <si>
    <t>FB001732</t>
  </si>
  <si>
    <t>FB001733</t>
  </si>
  <si>
    <t>FB001734</t>
  </si>
  <si>
    <t>FB001735</t>
  </si>
  <si>
    <t>FB001736</t>
  </si>
  <si>
    <t>FB001737</t>
  </si>
  <si>
    <t>FB001738</t>
  </si>
  <si>
    <t>FB001739</t>
  </si>
  <si>
    <t>FB001740</t>
  </si>
  <si>
    <t>FB001741</t>
  </si>
  <si>
    <t>FB001742</t>
  </si>
  <si>
    <t>FB001743</t>
  </si>
  <si>
    <t>FB001744</t>
  </si>
  <si>
    <t>FB001745</t>
  </si>
  <si>
    <t>FB001746</t>
  </si>
  <si>
    <t>FB001747</t>
  </si>
  <si>
    <t>FB001748</t>
  </si>
  <si>
    <t>FB001749</t>
  </si>
  <si>
    <t>FB001750</t>
  </si>
  <si>
    <t>FB001751</t>
  </si>
  <si>
    <t>FB001752</t>
  </si>
  <si>
    <t>FB001753</t>
  </si>
  <si>
    <t>FB001754</t>
  </si>
  <si>
    <t>FB001755</t>
  </si>
  <si>
    <t>FB001756</t>
  </si>
  <si>
    <t>FB001757</t>
  </si>
  <si>
    <t>FB001758</t>
  </si>
  <si>
    <t>FB001759</t>
  </si>
  <si>
    <t>FB001760</t>
  </si>
  <si>
    <t>FB001761</t>
  </si>
  <si>
    <t>FB001762</t>
  </si>
  <si>
    <t>FB001763</t>
  </si>
  <si>
    <t>FB001764</t>
  </si>
  <si>
    <t>FB001765</t>
  </si>
  <si>
    <t>FB001766</t>
  </si>
  <si>
    <t>FB001767</t>
  </si>
  <si>
    <t>FB001768</t>
  </si>
  <si>
    <t>FB001769</t>
  </si>
  <si>
    <t>FB001770</t>
  </si>
  <si>
    <t>FB001771</t>
  </si>
  <si>
    <t>FB001772</t>
  </si>
  <si>
    <t>FB001773</t>
  </si>
  <si>
    <t>FB001774</t>
  </si>
  <si>
    <t>FB001775</t>
  </si>
  <si>
    <t>FB001776</t>
  </si>
  <si>
    <t>FB001777</t>
  </si>
  <si>
    <t>FB001778</t>
  </si>
  <si>
    <t>FB001779</t>
  </si>
  <si>
    <t>FB001780</t>
  </si>
  <si>
    <t>FB001781</t>
  </si>
  <si>
    <t>FB001782</t>
  </si>
  <si>
    <t>FB001783</t>
  </si>
  <si>
    <t>FB001784</t>
  </si>
  <si>
    <t>FB001785</t>
  </si>
  <si>
    <t>FB001786</t>
  </si>
  <si>
    <t>FB001787</t>
  </si>
  <si>
    <t>FB001788</t>
  </si>
  <si>
    <t>FB001789</t>
  </si>
  <si>
    <t>FB001790</t>
  </si>
  <si>
    <t>FB001791</t>
  </si>
  <si>
    <t>FB001792</t>
  </si>
  <si>
    <t>FB001793</t>
  </si>
  <si>
    <t>FB001794</t>
  </si>
  <si>
    <t>FB001795</t>
  </si>
  <si>
    <t>FB001796</t>
  </si>
  <si>
    <t>FB001797</t>
  </si>
  <si>
    <t>FB001798</t>
  </si>
  <si>
    <t>FB001799</t>
  </si>
  <si>
    <t>FB001800</t>
  </si>
  <si>
    <t>FB001801</t>
  </si>
  <si>
    <t>FB001802</t>
  </si>
  <si>
    <t>FB001803</t>
  </si>
  <si>
    <t>FB001804</t>
  </si>
  <si>
    <t>FB001805</t>
  </si>
  <si>
    <t>FB001806</t>
  </si>
  <si>
    <t>FB001807</t>
  </si>
  <si>
    <t>FB001808</t>
  </si>
  <si>
    <t>FB001809</t>
  </si>
  <si>
    <t>FB001810</t>
  </si>
  <si>
    <t>FB001811</t>
  </si>
  <si>
    <t>FB001812</t>
  </si>
  <si>
    <t>FB001813</t>
  </si>
  <si>
    <t>FB001814</t>
  </si>
  <si>
    <t>FB001815</t>
  </si>
  <si>
    <t>FB001816</t>
  </si>
  <si>
    <t>FB001817</t>
  </si>
  <si>
    <t>FB001818</t>
  </si>
  <si>
    <t>FB001819</t>
  </si>
  <si>
    <t>FB001820</t>
  </si>
  <si>
    <t>FB001821</t>
  </si>
  <si>
    <t>FB001822</t>
  </si>
  <si>
    <t>FB001823</t>
  </si>
  <si>
    <t>FB001824</t>
  </si>
  <si>
    <t>FB001825</t>
  </si>
  <si>
    <t>FB001826</t>
  </si>
  <si>
    <t>FB001827</t>
  </si>
  <si>
    <t>FB001828</t>
  </si>
  <si>
    <t>FB001829</t>
  </si>
  <si>
    <t>FB001830</t>
  </si>
  <si>
    <t>FB001831</t>
  </si>
  <si>
    <t>FB001832</t>
  </si>
  <si>
    <t>FB001833</t>
  </si>
  <si>
    <t>FB001834</t>
  </si>
  <si>
    <t>FB001835</t>
  </si>
  <si>
    <t>FB001836</t>
  </si>
  <si>
    <t>FB001837</t>
  </si>
  <si>
    <t>FB001838</t>
  </si>
  <si>
    <t>FB001839</t>
  </si>
  <si>
    <t>FB001840</t>
  </si>
  <si>
    <t>FB001841</t>
  </si>
  <si>
    <t>FB001842</t>
  </si>
  <si>
    <t>FB001843</t>
  </si>
  <si>
    <t>FB001844</t>
  </si>
  <si>
    <t>FB001845</t>
  </si>
  <si>
    <t>FB001846</t>
  </si>
  <si>
    <t>FB001847</t>
  </si>
  <si>
    <t>FB001848</t>
  </si>
  <si>
    <t>FB001849</t>
  </si>
  <si>
    <t>FB001850</t>
  </si>
  <si>
    <t>FB001851</t>
  </si>
  <si>
    <t>FB001852</t>
  </si>
  <si>
    <t>FB001853</t>
  </si>
  <si>
    <t>FB001854</t>
  </si>
  <si>
    <t>FB001855</t>
  </si>
  <si>
    <t>FB001856</t>
  </si>
  <si>
    <t>FB001857</t>
  </si>
  <si>
    <t>FB001858</t>
  </si>
  <si>
    <t>FB001859</t>
  </si>
  <si>
    <t>FB001860</t>
  </si>
  <si>
    <t>FB001861</t>
  </si>
  <si>
    <t>FB001862</t>
  </si>
  <si>
    <t>FB001863</t>
  </si>
  <si>
    <t>FB001864</t>
  </si>
  <si>
    <t>FB001865</t>
  </si>
  <si>
    <t>FB001866</t>
  </si>
  <si>
    <t>FB001867</t>
  </si>
  <si>
    <t>FB001868</t>
  </si>
  <si>
    <t>FB001869</t>
  </si>
  <si>
    <t>FB001870</t>
  </si>
  <si>
    <t>FB001871</t>
  </si>
  <si>
    <t>FB001872</t>
  </si>
  <si>
    <t>FB001873</t>
  </si>
  <si>
    <t>FB001874</t>
  </si>
  <si>
    <t>FB001875</t>
  </si>
  <si>
    <t>FB001876</t>
  </si>
  <si>
    <t>FB001877</t>
  </si>
  <si>
    <t>FB001878</t>
  </si>
  <si>
    <t>FB001879</t>
  </si>
  <si>
    <t>FB001880</t>
  </si>
  <si>
    <t>FB001881</t>
  </si>
  <si>
    <t>FB001882</t>
  </si>
  <si>
    <t>FB001883</t>
  </si>
  <si>
    <t>FB001884</t>
  </si>
  <si>
    <t>FB001885</t>
  </si>
  <si>
    <t>FB001886</t>
  </si>
  <si>
    <t>FB001887</t>
  </si>
  <si>
    <t>FB001888</t>
  </si>
  <si>
    <t>FB001889</t>
  </si>
  <si>
    <t>FB001890</t>
  </si>
  <si>
    <t>FB001891</t>
  </si>
  <si>
    <t>FB001892</t>
  </si>
  <si>
    <t>FB001893</t>
  </si>
  <si>
    <t>FB001894</t>
  </si>
  <si>
    <t>FB001895</t>
  </si>
  <si>
    <t>FB001896</t>
  </si>
  <si>
    <t>FB001897</t>
  </si>
  <si>
    <t>FB001898</t>
  </si>
  <si>
    <t>FB001899</t>
  </si>
  <si>
    <t>FB001900</t>
  </si>
  <si>
    <t>FB001901</t>
  </si>
  <si>
    <t>FB001902</t>
  </si>
  <si>
    <t>FB001903</t>
  </si>
  <si>
    <t>FB001904</t>
  </si>
  <si>
    <t>FB001905</t>
  </si>
  <si>
    <t>FB001906</t>
  </si>
  <si>
    <t>FB001907</t>
  </si>
  <si>
    <t>FB001908</t>
  </si>
  <si>
    <t>FB001909</t>
  </si>
  <si>
    <t>FB001910</t>
  </si>
  <si>
    <t>FB001911</t>
  </si>
  <si>
    <t>FB001912</t>
  </si>
  <si>
    <t>FB001913</t>
  </si>
  <si>
    <t>FB001914</t>
  </si>
  <si>
    <t>FB001915</t>
  </si>
  <si>
    <t>FB001916</t>
  </si>
  <si>
    <t>FB001917</t>
  </si>
  <si>
    <t>FB001918</t>
  </si>
  <si>
    <t>FB001919</t>
  </si>
  <si>
    <t>FB001920</t>
  </si>
  <si>
    <t>FB001921</t>
  </si>
  <si>
    <t>FB001922</t>
  </si>
  <si>
    <t>FB001923</t>
  </si>
  <si>
    <t>FB001924</t>
  </si>
  <si>
    <t>FB001925</t>
  </si>
  <si>
    <t>FB001926</t>
  </si>
  <si>
    <t>FB001927</t>
  </si>
  <si>
    <t>FB001928</t>
  </si>
  <si>
    <t>FB001929</t>
  </si>
  <si>
    <t>FB001930</t>
  </si>
  <si>
    <t>FB001931</t>
  </si>
  <si>
    <t>FB001932</t>
  </si>
  <si>
    <t>FB001933</t>
  </si>
  <si>
    <t>FB001934</t>
  </si>
  <si>
    <t>FB001935</t>
  </si>
  <si>
    <t>FB001936</t>
  </si>
  <si>
    <t>FB001937</t>
  </si>
  <si>
    <t>FB001938</t>
  </si>
  <si>
    <t>FB001939</t>
  </si>
  <si>
    <t>FB001940</t>
  </si>
  <si>
    <t>FB001941</t>
  </si>
  <si>
    <t>FB001942</t>
  </si>
  <si>
    <t>FB001943</t>
  </si>
  <si>
    <t>FB001944</t>
  </si>
  <si>
    <t>FB001945</t>
  </si>
  <si>
    <t>FB001946</t>
  </si>
  <si>
    <t>FB001947</t>
  </si>
  <si>
    <t>FB001948</t>
  </si>
  <si>
    <t>FB001949</t>
  </si>
  <si>
    <t>FB001950</t>
  </si>
  <si>
    <t>FB001951</t>
  </si>
  <si>
    <t>FB001952</t>
  </si>
  <si>
    <t>FB001953</t>
  </si>
  <si>
    <t>FB001954</t>
  </si>
  <si>
    <t>FB001955</t>
  </si>
  <si>
    <t>FB001956</t>
  </si>
  <si>
    <t>FB001957</t>
  </si>
  <si>
    <t>FB001958</t>
  </si>
  <si>
    <t>FB001959</t>
  </si>
  <si>
    <t>FB001960</t>
  </si>
  <si>
    <t>FB001961</t>
  </si>
  <si>
    <t>FB001962</t>
  </si>
  <si>
    <t>FB001963</t>
  </si>
  <si>
    <t>FB001964</t>
  </si>
  <si>
    <t>FB001965</t>
  </si>
  <si>
    <t>FB001966</t>
  </si>
  <si>
    <t>FB001967</t>
  </si>
  <si>
    <t>FB001968</t>
  </si>
  <si>
    <t>FB001969</t>
  </si>
  <si>
    <t>FB001970</t>
  </si>
  <si>
    <t>FB001971</t>
  </si>
  <si>
    <t>FB001972</t>
  </si>
  <si>
    <t>FB001973</t>
  </si>
  <si>
    <t>FB001974</t>
  </si>
  <si>
    <t>FB001975</t>
  </si>
  <si>
    <t>FB001976</t>
  </si>
  <si>
    <t>FB001977</t>
  </si>
  <si>
    <t>FB001978</t>
  </si>
  <si>
    <t>FB001979</t>
  </si>
  <si>
    <t>FB001980</t>
  </si>
  <si>
    <t>FB001981</t>
  </si>
  <si>
    <t>FB001982</t>
  </si>
  <si>
    <t>FB001983</t>
  </si>
  <si>
    <t>FB001984</t>
  </si>
  <si>
    <t>FB001985</t>
  </si>
  <si>
    <t>FB001986</t>
  </si>
  <si>
    <t>FB001987</t>
  </si>
  <si>
    <t>FB001988</t>
  </si>
  <si>
    <t>FB001989</t>
  </si>
  <si>
    <t>FB001990</t>
  </si>
  <si>
    <t>FB001991</t>
  </si>
  <si>
    <t>FB001992</t>
  </si>
  <si>
    <t>FB001993</t>
  </si>
  <si>
    <t>FB001994</t>
  </si>
  <si>
    <t>FB001995</t>
  </si>
  <si>
    <t>FB001996</t>
  </si>
  <si>
    <t>FB001997</t>
  </si>
  <si>
    <t>FB001998</t>
  </si>
  <si>
    <t>FB001999</t>
  </si>
  <si>
    <t>FB002000</t>
  </si>
  <si>
    <t>FB002001</t>
  </si>
  <si>
    <t>FB002002</t>
  </si>
  <si>
    <t>FB002003</t>
  </si>
  <si>
    <t>FB002004</t>
  </si>
  <si>
    <t>FB002005</t>
  </si>
  <si>
    <t>FB002006</t>
  </si>
  <si>
    <t>FB002007</t>
  </si>
  <si>
    <t>FB002008</t>
  </si>
  <si>
    <t>FB002009</t>
  </si>
  <si>
    <t>FB002010</t>
  </si>
  <si>
    <t>FB002011</t>
  </si>
  <si>
    <t>FB002012</t>
  </si>
  <si>
    <t>FB002013</t>
  </si>
  <si>
    <t>FB002014</t>
  </si>
  <si>
    <t>FB002015</t>
  </si>
  <si>
    <t>FB002016</t>
  </si>
  <si>
    <t>FB002017</t>
  </si>
  <si>
    <t>FB002018</t>
  </si>
  <si>
    <t>FB002019</t>
  </si>
  <si>
    <t>FB002020</t>
  </si>
  <si>
    <t>FB002021</t>
  </si>
  <si>
    <t>FB002022</t>
  </si>
  <si>
    <t>FB002023</t>
  </si>
  <si>
    <t>FB002024</t>
  </si>
  <si>
    <t>FB002025</t>
  </si>
  <si>
    <t>FB002026</t>
  </si>
  <si>
    <t>FB002027</t>
  </si>
  <si>
    <t>FB002028</t>
  </si>
  <si>
    <t>FB002029</t>
  </si>
  <si>
    <t>FB002030</t>
  </si>
  <si>
    <t>FB002031</t>
  </si>
  <si>
    <t>FB002032</t>
  </si>
  <si>
    <t>FB002033</t>
  </si>
  <si>
    <t>FB002034</t>
  </si>
  <si>
    <t>FB002035</t>
  </si>
  <si>
    <t>FB002036</t>
  </si>
  <si>
    <t>FB002037</t>
  </si>
  <si>
    <t>FB002038</t>
  </si>
  <si>
    <t>FB002039</t>
  </si>
  <si>
    <t>FB002040</t>
  </si>
  <si>
    <t>FB002041</t>
  </si>
  <si>
    <t>FB002042</t>
  </si>
  <si>
    <t>FB002043</t>
  </si>
  <si>
    <t>FB002044</t>
  </si>
  <si>
    <t>FB002045</t>
  </si>
  <si>
    <t>FB002046</t>
  </si>
  <si>
    <t>FB002047</t>
  </si>
  <si>
    <t>FB002048</t>
  </si>
  <si>
    <t>FB002049</t>
  </si>
  <si>
    <t>FB002050</t>
  </si>
  <si>
    <t>FB002051</t>
  </si>
  <si>
    <t>FB002052</t>
  </si>
  <si>
    <t>FB002053</t>
  </si>
  <si>
    <t>FB002054</t>
  </si>
  <si>
    <t>FB002055</t>
  </si>
  <si>
    <t>FB002056</t>
  </si>
  <si>
    <t>FB002057</t>
  </si>
  <si>
    <t>FB002058</t>
  </si>
  <si>
    <t>FB002059</t>
  </si>
  <si>
    <t>FB002060</t>
  </si>
  <si>
    <t>FB002061</t>
  </si>
  <si>
    <t>FB002062</t>
  </si>
  <si>
    <t>FB002063</t>
  </si>
  <si>
    <t>FB002064</t>
  </si>
  <si>
    <t>FB002065</t>
  </si>
  <si>
    <t>FB002066</t>
  </si>
  <si>
    <t>FB002067</t>
  </si>
  <si>
    <t>FB002068</t>
  </si>
  <si>
    <t>FB002069</t>
  </si>
  <si>
    <t>FB002070</t>
  </si>
  <si>
    <t>FB002071</t>
  </si>
  <si>
    <t>FB002072</t>
  </si>
  <si>
    <t>FB002073</t>
  </si>
  <si>
    <t>FB002074</t>
  </si>
  <si>
    <t>FB002075</t>
  </si>
  <si>
    <t>FB002076</t>
  </si>
  <si>
    <t>FB002077</t>
  </si>
  <si>
    <t>FB002078</t>
  </si>
  <si>
    <t>FB002079</t>
  </si>
  <si>
    <t>FB002080</t>
  </si>
  <si>
    <t>FB002081</t>
  </si>
  <si>
    <t>FB002082</t>
  </si>
  <si>
    <t>FB002083</t>
  </si>
  <si>
    <t>FB002084</t>
  </si>
  <si>
    <t>FB002085</t>
  </si>
  <si>
    <t>FB002086</t>
  </si>
  <si>
    <t>FB002087</t>
  </si>
  <si>
    <t>FB002088</t>
  </si>
  <si>
    <t>FB002089</t>
  </si>
  <si>
    <t>FB002090</t>
  </si>
  <si>
    <t>FB002091</t>
  </si>
  <si>
    <t>FB002092</t>
  </si>
  <si>
    <t>FB002093</t>
  </si>
  <si>
    <t>FB002094</t>
  </si>
  <si>
    <t>FB002095</t>
  </si>
  <si>
    <t>FB002096</t>
  </si>
  <si>
    <t>FB002097</t>
  </si>
  <si>
    <t>FB002098</t>
  </si>
  <si>
    <t>FB002099</t>
  </si>
  <si>
    <t>FB002100</t>
  </si>
  <si>
    <t>FB002101</t>
  </si>
  <si>
    <t>FB002102</t>
  </si>
  <si>
    <t>FB002103</t>
  </si>
  <si>
    <t>FB002104</t>
  </si>
  <si>
    <t>FB002105</t>
  </si>
  <si>
    <t>FB002106</t>
  </si>
  <si>
    <t>FB002107</t>
  </si>
  <si>
    <t>FB002108</t>
  </si>
  <si>
    <t>FB002109</t>
  </si>
  <si>
    <t>FB002110</t>
  </si>
  <si>
    <t>FB002111</t>
  </si>
  <si>
    <t>FB002112</t>
  </si>
  <si>
    <t>FB002113</t>
  </si>
  <si>
    <t>FB002114</t>
  </si>
  <si>
    <t>FB002115</t>
  </si>
  <si>
    <t>FB002116</t>
  </si>
  <si>
    <t>FB002117</t>
  </si>
  <si>
    <t>FB002118</t>
  </si>
  <si>
    <t>FB002119</t>
  </si>
  <si>
    <t>FB002120</t>
  </si>
  <si>
    <t>FB002121</t>
  </si>
  <si>
    <t>FB002122</t>
  </si>
  <si>
    <t>FB002123</t>
  </si>
  <si>
    <t>FB002124</t>
  </si>
  <si>
    <t>FB002125</t>
  </si>
  <si>
    <t>FB002126</t>
  </si>
  <si>
    <t>FB002127</t>
  </si>
  <si>
    <t>FB002128</t>
  </si>
  <si>
    <t>FB002129</t>
  </si>
  <si>
    <t>FB002130</t>
  </si>
  <si>
    <t>FB002131</t>
  </si>
  <si>
    <t>FB002132</t>
  </si>
  <si>
    <t>FB002133</t>
  </si>
  <si>
    <t>FB002134</t>
  </si>
  <si>
    <t>FB002135</t>
  </si>
  <si>
    <t>FB002136</t>
  </si>
  <si>
    <t>FB002137</t>
  </si>
  <si>
    <t>FB002138</t>
  </si>
  <si>
    <t>FB002139</t>
  </si>
  <si>
    <t>FB002140</t>
  </si>
  <si>
    <t>FB002141</t>
  </si>
  <si>
    <t>FB002142</t>
  </si>
  <si>
    <t>FB002143</t>
  </si>
  <si>
    <t>FB002144</t>
  </si>
  <si>
    <t>FB002145</t>
  </si>
  <si>
    <t>FB002146</t>
  </si>
  <si>
    <t>FB002147</t>
  </si>
  <si>
    <t>FB002148</t>
  </si>
  <si>
    <t>FB002149</t>
  </si>
  <si>
    <t>FB002150</t>
  </si>
  <si>
    <t>FB002151</t>
  </si>
  <si>
    <t>FB002152</t>
  </si>
  <si>
    <t>FB002153</t>
  </si>
  <si>
    <t>FB002154</t>
  </si>
  <si>
    <t>FB002155</t>
  </si>
  <si>
    <t>FB002156</t>
  </si>
  <si>
    <t>FB002157</t>
  </si>
  <si>
    <t>FB002158</t>
  </si>
  <si>
    <t>FB002159</t>
  </si>
  <si>
    <t>FB002160</t>
  </si>
  <si>
    <t>FB002161</t>
  </si>
  <si>
    <t>FB002162</t>
  </si>
  <si>
    <t>FB002163</t>
  </si>
  <si>
    <t>FB002164</t>
  </si>
  <si>
    <t>FB002165</t>
  </si>
  <si>
    <t>FB002166</t>
  </si>
  <si>
    <t>FB002167</t>
  </si>
  <si>
    <t>FB002168</t>
  </si>
  <si>
    <t>FB002169</t>
  </si>
  <si>
    <t>FB002170</t>
  </si>
  <si>
    <t>FB002171</t>
  </si>
  <si>
    <t>FB002172</t>
  </si>
  <si>
    <t>FB002173</t>
  </si>
  <si>
    <t>FB002174</t>
  </si>
  <si>
    <t>FB002175</t>
  </si>
  <si>
    <t>FB002176</t>
  </si>
  <si>
    <t>Outerwear</t>
  </si>
  <si>
    <t>Tops</t>
  </si>
  <si>
    <t>Accessories</t>
  </si>
  <si>
    <t>Shoes</t>
  </si>
  <si>
    <t>Bottoms</t>
  </si>
  <si>
    <t>Dresses</t>
  </si>
  <si>
    <t>Zara</t>
  </si>
  <si>
    <t>Uniqlo</t>
  </si>
  <si>
    <t>Banana Republic</t>
  </si>
  <si>
    <t>Mango</t>
  </si>
  <si>
    <t>H&amp;M</t>
  </si>
  <si>
    <t>Ann Taylor</t>
  </si>
  <si>
    <t>Gap</t>
  </si>
  <si>
    <t>Forever21</t>
  </si>
  <si>
    <t>Spring</t>
  </si>
  <si>
    <t>Winter</t>
  </si>
  <si>
    <t>Fall</t>
  </si>
  <si>
    <t>Summer</t>
  </si>
  <si>
    <t>XL</t>
  </si>
  <si>
    <t>L</t>
  </si>
  <si>
    <t>S</t>
  </si>
  <si>
    <t>XXL</t>
  </si>
  <si>
    <t>XS</t>
  </si>
  <si>
    <t>M</t>
  </si>
  <si>
    <t>Red</t>
  </si>
  <si>
    <t>Pink</t>
  </si>
  <si>
    <t>Black</t>
  </si>
  <si>
    <t>White</t>
  </si>
  <si>
    <t>Gray</t>
  </si>
  <si>
    <t>Blue</t>
  </si>
  <si>
    <t>Green</t>
  </si>
  <si>
    <t>Beige</t>
  </si>
  <si>
    <t>Navy</t>
  </si>
  <si>
    <t>Purple</t>
  </si>
  <si>
    <t>Brown</t>
  </si>
  <si>
    <t>Color Mismatch</t>
  </si>
  <si>
    <t>Size Issue</t>
  </si>
  <si>
    <t>Damaged</t>
  </si>
  <si>
    <t>Quality Issue</t>
  </si>
  <si>
    <t>Changed Mind</t>
  </si>
  <si>
    <t>Wrong Item</t>
  </si>
  <si>
    <t>customer_rating_fix</t>
  </si>
  <si>
    <t>KPI (Key Performance Indicators)</t>
  </si>
  <si>
    <t>A.</t>
  </si>
  <si>
    <t xml:space="preserve">Sales Performance </t>
  </si>
  <si>
    <t xml:space="preserve">Total Penjualan </t>
  </si>
  <si>
    <t>Revenue per store</t>
  </si>
  <si>
    <t>Revenue per product</t>
  </si>
  <si>
    <t>B.</t>
  </si>
  <si>
    <t>Inventory Metrics</t>
  </si>
  <si>
    <t>Stock oh Hand (SOH)</t>
  </si>
  <si>
    <t>Stock Value (at cost or at price</t>
  </si>
  <si>
    <t>Markdown Impact</t>
  </si>
  <si>
    <t>Age Inventory</t>
  </si>
  <si>
    <t>Potential Revenue</t>
  </si>
  <si>
    <t>Discounted Stock Ratio</t>
  </si>
  <si>
    <t>C.</t>
  </si>
  <si>
    <t>Customer Behaviour Studies</t>
  </si>
  <si>
    <t>Price sensitivity</t>
  </si>
  <si>
    <t>Product Preference</t>
  </si>
  <si>
    <t>Customer Satisfaction</t>
  </si>
  <si>
    <t>Demand Timing &amp; Seasonality</t>
  </si>
  <si>
    <t>Behaviour Segmentation</t>
  </si>
  <si>
    <t>Linking Pricing &amp; Behaviour</t>
  </si>
  <si>
    <t>Sum of current_price</t>
  </si>
  <si>
    <t>Revenue per Brand</t>
  </si>
  <si>
    <t>Row Labels</t>
  </si>
  <si>
    <t>Grand Total</t>
  </si>
  <si>
    <t>Revenue per Category</t>
  </si>
  <si>
    <t>Sum of stock_quantity</t>
  </si>
  <si>
    <t>Column Labels</t>
  </si>
  <si>
    <t>Stock Value (Original Price)</t>
  </si>
  <si>
    <t>Sum of Current value</t>
  </si>
  <si>
    <t>Sum of original value</t>
  </si>
  <si>
    <t>Sum of Markdown loss2</t>
  </si>
  <si>
    <t>Inventory  Age</t>
  </si>
  <si>
    <t>Age of Inventory</t>
  </si>
  <si>
    <t>Accessories Total</t>
  </si>
  <si>
    <t>Min of Inventory  Age</t>
  </si>
  <si>
    <t>Age Inventory (Accessories)</t>
  </si>
  <si>
    <t>Stock Value (Current Price) / Potential Revenue</t>
  </si>
  <si>
    <t>Stock on Hand (SOH)</t>
  </si>
  <si>
    <t>Bottoms Total</t>
  </si>
  <si>
    <t>Shoes Total</t>
  </si>
  <si>
    <t>Age Inventory (without Accessories)</t>
  </si>
  <si>
    <t>Dresses Total</t>
  </si>
  <si>
    <t>Outerwear Total</t>
  </si>
  <si>
    <t>non discounted stock ratio</t>
  </si>
  <si>
    <t>Discounted Stock Ratio Inventory</t>
  </si>
  <si>
    <t>diskon x stock</t>
  </si>
  <si>
    <t>apakah customer lebih banyak beli saat ada diskon besar?</t>
  </si>
  <si>
    <t>Max of markdown_percentage</t>
  </si>
  <si>
    <t>perbandingan rating dan return produk diskon dan non diskon</t>
  </si>
  <si>
    <t xml:space="preserve">rata rata rating </t>
  </si>
  <si>
    <t>range rating</t>
  </si>
  <si>
    <t>Color mismatch</t>
  </si>
  <si>
    <t>Count of is_returned</t>
  </si>
  <si>
    <t>Is returned (0/1)</t>
  </si>
  <si>
    <t>TRUE</t>
  </si>
  <si>
    <t>Kategory dan brand spesifik yang paling banyak direturn adalah</t>
  </si>
  <si>
    <t>Accessories dari Forever21</t>
  </si>
  <si>
    <t>Jumlah</t>
  </si>
  <si>
    <t xml:space="preserve">alasan </t>
  </si>
  <si>
    <t>Accessories dari Zara</t>
  </si>
  <si>
    <t>Tops Total</t>
  </si>
  <si>
    <t>Average of customer_rating_fix</t>
  </si>
  <si>
    <t>Perbandingan antara produk diskon dan non diskon</t>
  </si>
  <si>
    <t>Customer satisfication</t>
  </si>
  <si>
    <t>rata rata rating</t>
  </si>
  <si>
    <t>barang dan brand yang paling banyak direturn</t>
  </si>
  <si>
    <t>Count of category</t>
  </si>
  <si>
    <t>Count of purchase_date</t>
  </si>
  <si>
    <t>Count of current_price</t>
  </si>
  <si>
    <t>Brand mana yang loyal dipilih walaupun tanpa diskon</t>
  </si>
  <si>
    <t>Diskon dan tanpa diskon</t>
  </si>
  <si>
    <t>Diskon</t>
  </si>
  <si>
    <t>Non diskon</t>
  </si>
  <si>
    <t>Count of brand</t>
  </si>
  <si>
    <t>Categori mana yg laku musiman</t>
  </si>
  <si>
    <t>Kategori mana yang lebih banyak laku kalau ada markdown</t>
  </si>
  <si>
    <t>Rating</t>
  </si>
  <si>
    <t>Sum of Return</t>
  </si>
  <si>
    <t>Average of MP</t>
  </si>
  <si>
    <t>Reason of Return</t>
  </si>
  <si>
    <t>Frequency of return reason</t>
  </si>
  <si>
    <t>&gt;3</t>
  </si>
  <si>
    <t>&lt;3</t>
  </si>
  <si>
    <t>Markdown Precentage</t>
  </si>
  <si>
    <t>Average of Customer Rating</t>
  </si>
  <si>
    <t>&gt;29%</t>
  </si>
  <si>
    <t>&lt;29%</t>
  </si>
  <si>
    <t>&gt;50</t>
  </si>
  <si>
    <t>The Reason of Return</t>
  </si>
  <si>
    <t>Frequency</t>
  </si>
  <si>
    <t>Key Performance Indicators of Fashion Boutique Dataset</t>
  </si>
  <si>
    <t>Total Revenue</t>
  </si>
  <si>
    <t>Jan</t>
  </si>
  <si>
    <t>Feb</t>
  </si>
  <si>
    <t>Mar</t>
  </si>
  <si>
    <t>Apr</t>
  </si>
  <si>
    <t>May</t>
  </si>
  <si>
    <t>Jun</t>
  </si>
  <si>
    <t>Jul</t>
  </si>
  <si>
    <t>Aug</t>
  </si>
  <si>
    <t>Sep</t>
  </si>
  <si>
    <t>Oct</t>
  </si>
  <si>
    <t>Nov</t>
  </si>
  <si>
    <t>Dec</t>
  </si>
  <si>
    <t>2024</t>
  </si>
  <si>
    <t>2025</t>
  </si>
  <si>
    <t>Total Markdown Loss</t>
  </si>
  <si>
    <t>Age of Inventory per Category</t>
  </si>
  <si>
    <t>Category</t>
  </si>
  <si>
    <t>Brand</t>
  </si>
  <si>
    <t>Size</t>
  </si>
  <si>
    <t>Season</t>
  </si>
  <si>
    <t>Color</t>
  </si>
  <si>
    <t>Customer Behaviour</t>
  </si>
  <si>
    <t>max stock</t>
  </si>
  <si>
    <t>Stock Quantity</t>
  </si>
  <si>
    <t>Max of Markdown Precentage</t>
  </si>
  <si>
    <t>Discount Range</t>
  </si>
  <si>
    <t>0%-59,9%</t>
  </si>
  <si>
    <t>Markdown Average</t>
  </si>
  <si>
    <t>Cust Rating Range</t>
  </si>
  <si>
    <t xml:space="preserve">1-5 </t>
  </si>
  <si>
    <t>Rating Average</t>
  </si>
  <si>
    <t>Frequency Return</t>
  </si>
  <si>
    <t>Total Return</t>
  </si>
  <si>
    <t>10.</t>
  </si>
  <si>
    <t>9.</t>
  </si>
  <si>
    <t>Rata-rata Markdown Precentage</t>
  </si>
  <si>
    <t>Lihat produk yg markdownnya tinggi dan stocknya sedikit</t>
  </si>
  <si>
    <t>11.</t>
  </si>
  <si>
    <t>Markdown Precentage range</t>
  </si>
  <si>
    <t xml:space="preserve">Total Revenue </t>
  </si>
  <si>
    <t>Total Sales</t>
  </si>
  <si>
    <t>Total Sales per Brand</t>
  </si>
  <si>
    <t>Stock Inventory</t>
  </si>
  <si>
    <t>Stock Inventory for most longest inventory age per category</t>
  </si>
  <si>
    <t>Stock Habis</t>
  </si>
  <si>
    <t xml:space="preserve">Maximal Stock </t>
  </si>
  <si>
    <t>Percentage of Markdown Loss</t>
  </si>
  <si>
    <t>Markdown Loss</t>
  </si>
  <si>
    <t>Total Original Value</t>
  </si>
  <si>
    <t>Peak of Markdown loss</t>
  </si>
  <si>
    <t>Avg Markdown Percentage</t>
  </si>
  <si>
    <t>Avg Original Price</t>
  </si>
  <si>
    <t>Stock on Hand</t>
  </si>
  <si>
    <t>Total Penjualan</t>
  </si>
  <si>
    <t>Total Original Value/Potential Revenue</t>
  </si>
  <si>
    <t>Markdown Percentage</t>
  </si>
  <si>
    <t>mp &gt; 12%</t>
  </si>
  <si>
    <t>mp &lt; 12%</t>
  </si>
  <si>
    <t>% of Total Sales</t>
  </si>
  <si>
    <t>%of Total Stock</t>
  </si>
  <si>
    <t>%of Total Stock2</t>
  </si>
  <si>
    <t>mp &gt; 30%</t>
  </si>
  <si>
    <t>mp &lt; 30%</t>
  </si>
  <si>
    <t>&gt;30</t>
  </si>
  <si>
    <t>rata rata stock</t>
  </si>
  <si>
    <t>0&lt;mp&lt;30</t>
  </si>
  <si>
    <t>0&lt;mp&lt;50</t>
  </si>
  <si>
    <t>Avg of Stock Quantity</t>
  </si>
  <si>
    <t>&gt;58</t>
  </si>
  <si>
    <t>0% &lt; mp &lt; 30%</t>
  </si>
  <si>
    <t>mp=0</t>
  </si>
  <si>
    <t>Avg Quantity Stock</t>
  </si>
  <si>
    <t>mp=0%</t>
  </si>
  <si>
    <t>Total Stock on Hand</t>
  </si>
  <si>
    <t>Discount Vs Return</t>
  </si>
  <si>
    <t>Markdown Persentage</t>
  </si>
  <si>
    <t>is returned</t>
  </si>
  <si>
    <t>mp&gt;30</t>
  </si>
  <si>
    <t>mp&gt;40</t>
  </si>
  <si>
    <t>mp&gt;50</t>
  </si>
  <si>
    <t>sum of produk discount</t>
  </si>
  <si>
    <t>Percentage</t>
  </si>
  <si>
    <t>Percentage of is return discount product</t>
  </si>
  <si>
    <t>Percentage of Returned Product with Certain Rating</t>
  </si>
  <si>
    <t xml:space="preserve">Key Performance Indicators of Fashion Boutique Data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</si>
</sst>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 #,##0_-;_-* &quot;-&quot;_-;_-@_-"/>
    <numFmt numFmtId="164" formatCode="yyyy\-mm\-dd"/>
    <numFmt numFmtId="165" formatCode="_-[$$-409]* #,##0.00_ ;_-[$$-409]* \-#,##0.00\ ;_-[$$-409]* &quot;-&quot;??_ ;_-@_ "/>
    <numFmt numFmtId="166" formatCode="0.0"/>
    <numFmt numFmtId="167" formatCode="[$$-409]#,##0"/>
    <numFmt numFmtId="168" formatCode="[$$-409]#,##0_ ;\-[$$-409]#,##0\ "/>
    <numFmt numFmtId="169" formatCode="[$$-409]#,##0.0000000"/>
  </numFmts>
  <fonts count="18" x14ac:knownFonts="1">
    <font>
      <sz val="11"/>
      <color theme="1"/>
      <name val="Century Gothic"/>
      <family val="2"/>
      <scheme val="minor"/>
    </font>
    <font>
      <sz val="11"/>
      <color theme="1"/>
      <name val="Century Gothic"/>
      <family val="2"/>
      <scheme val="minor"/>
    </font>
    <font>
      <sz val="14"/>
      <color theme="1"/>
      <name val="Century Gothic"/>
      <family val="2"/>
      <scheme val="minor"/>
    </font>
    <font>
      <b/>
      <sz val="14"/>
      <color theme="1"/>
      <name val="Century Gothic"/>
      <family val="2"/>
      <scheme val="minor"/>
    </font>
    <font>
      <sz val="12"/>
      <color theme="1"/>
      <name val="Century Gothic"/>
      <family val="2"/>
      <scheme val="minor"/>
    </font>
    <font>
      <b/>
      <sz val="12"/>
      <color theme="1"/>
      <name val="Century Gothic"/>
      <family val="2"/>
      <scheme val="minor"/>
    </font>
    <font>
      <b/>
      <sz val="24"/>
      <color theme="0"/>
      <name val="Century Gothic"/>
      <family val="2"/>
      <scheme val="minor"/>
    </font>
    <font>
      <b/>
      <sz val="18"/>
      <color theme="0"/>
      <name val="Century Gothic"/>
      <family val="2"/>
      <scheme val="minor"/>
    </font>
    <font>
      <b/>
      <sz val="11"/>
      <color theme="1"/>
      <name val="Calibri"/>
      <family val="2"/>
    </font>
    <font>
      <sz val="11"/>
      <color theme="1"/>
      <name val="Calibri"/>
      <family val="2"/>
    </font>
    <font>
      <b/>
      <sz val="11"/>
      <color theme="0"/>
      <name val="Calibri"/>
      <family val="2"/>
    </font>
    <font>
      <sz val="10"/>
      <color theme="1"/>
      <name val="Calibri"/>
      <family val="2"/>
    </font>
    <font>
      <sz val="9"/>
      <name val="Century Gothic"/>
      <family val="2"/>
      <scheme val="minor"/>
    </font>
    <font>
      <b/>
      <sz val="8"/>
      <name val="Century Gothic"/>
      <family val="2"/>
      <scheme val="minor"/>
    </font>
    <font>
      <sz val="8"/>
      <color theme="1"/>
      <name val="Century Gothic"/>
      <family val="2"/>
      <scheme val="minor"/>
    </font>
    <font>
      <b/>
      <sz val="8"/>
      <color theme="0"/>
      <name val="Century Gothic"/>
      <family val="2"/>
      <scheme val="minor"/>
    </font>
    <font>
      <sz val="11"/>
      <color theme="0"/>
      <name val="Calibri"/>
      <family val="2"/>
    </font>
    <font>
      <sz val="11"/>
      <color theme="1"/>
      <name val="Calibri"/>
      <family val="2"/>
    </font>
  </fonts>
  <fills count="17">
    <fill>
      <patternFill patternType="none"/>
    </fill>
    <fill>
      <patternFill patternType="gray125"/>
    </fill>
    <fill>
      <patternFill patternType="solid">
        <fgColor rgb="FFFF0000"/>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4" tint="0.59999389629810485"/>
        <bgColor theme="4" tint="0.59999389629810485"/>
      </patternFill>
    </fill>
    <fill>
      <patternFill patternType="solid">
        <fgColor theme="5"/>
        <bgColor indexed="64"/>
      </patternFill>
    </fill>
    <fill>
      <patternFill patternType="solid">
        <fgColor theme="8"/>
        <bgColor indexed="64"/>
      </patternFill>
    </fill>
    <fill>
      <patternFill patternType="solid">
        <fgColor theme="9"/>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4"/>
        <bgColor indexed="64"/>
      </patternFill>
    </fill>
  </fills>
  <borders count="2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s>
  <cellStyleXfs count="3">
    <xf numFmtId="0" fontId="0" fillId="0" borderId="0"/>
    <xf numFmtId="9" fontId="1" fillId="0" borderId="0" applyFont="0" applyFill="0" applyBorder="0" applyAlignment="0" applyProtection="0"/>
    <xf numFmtId="41" fontId="1" fillId="0" borderId="0" applyFont="0" applyFill="0" applyBorder="0" applyAlignment="0" applyProtection="0"/>
  </cellStyleXfs>
  <cellXfs count="130">
    <xf numFmtId="0" fontId="0" fillId="0" borderId="0" xfId="0"/>
    <xf numFmtId="0" fontId="3" fillId="0" borderId="0" xfId="0" applyFont="1"/>
    <xf numFmtId="0" fontId="2" fillId="0" borderId="0" xfId="0" applyFont="1" applyAlignment="1"/>
    <xf numFmtId="0" fontId="3" fillId="0" borderId="5" xfId="0" applyFont="1" applyBorder="1" applyAlignment="1">
      <alignment horizontal="center"/>
    </xf>
    <xf numFmtId="1" fontId="5" fillId="0" borderId="5" xfId="0" applyNumberFormat="1" applyFont="1" applyBorder="1" applyAlignment="1">
      <alignment horizontal="center"/>
    </xf>
    <xf numFmtId="1" fontId="3" fillId="0" borderId="5" xfId="0" quotePrefix="1" applyNumberFormat="1" applyFont="1" applyBorder="1" applyAlignment="1">
      <alignment horizontal="center"/>
    </xf>
    <xf numFmtId="167" fontId="3" fillId="0" borderId="5" xfId="0" applyNumberFormat="1" applyFont="1" applyBorder="1" applyAlignment="1">
      <alignment horizontal="center" vertical="center"/>
    </xf>
    <xf numFmtId="0" fontId="0" fillId="8" borderId="0" xfId="0" applyFill="1" applyAlignment="1">
      <alignment vertical="center"/>
    </xf>
    <xf numFmtId="0" fontId="4" fillId="0" borderId="5" xfId="0" applyFont="1" applyBorder="1" applyAlignment="1">
      <alignment horizontal="center"/>
    </xf>
    <xf numFmtId="0" fontId="5" fillId="9" borderId="5" xfId="0" applyFont="1" applyFill="1" applyBorder="1" applyAlignment="1">
      <alignment horizontal="center" wrapText="1"/>
    </xf>
    <xf numFmtId="167" fontId="3" fillId="0" borderId="5" xfId="0" applyNumberFormat="1" applyFont="1" applyBorder="1" applyAlignment="1">
      <alignment horizontal="center"/>
    </xf>
    <xf numFmtId="9" fontId="3" fillId="0" borderId="5" xfId="1" applyFont="1" applyBorder="1" applyAlignment="1">
      <alignment horizontal="center"/>
    </xf>
    <xf numFmtId="0" fontId="8" fillId="0" borderId="0" xfId="0" applyFont="1"/>
    <xf numFmtId="0" fontId="9" fillId="0" borderId="0" xfId="0" applyFont="1"/>
    <xf numFmtId="0" fontId="9" fillId="0" borderId="0" xfId="0" applyNumberFormat="1" applyFont="1"/>
    <xf numFmtId="0" fontId="9" fillId="0" borderId="0" xfId="0" pivotButton="1" applyFont="1"/>
    <xf numFmtId="0" fontId="9" fillId="0" borderId="0" xfId="0" applyFont="1" applyAlignment="1">
      <alignment horizontal="left"/>
    </xf>
    <xf numFmtId="168" fontId="9" fillId="0" borderId="0" xfId="0" applyNumberFormat="1" applyFont="1" applyAlignment="1">
      <alignment horizontal="center"/>
    </xf>
    <xf numFmtId="165" fontId="9" fillId="0" borderId="0" xfId="0" applyNumberFormat="1" applyFont="1"/>
    <xf numFmtId="0" fontId="8" fillId="0" borderId="4" xfId="0" applyNumberFormat="1" applyFont="1" applyBorder="1"/>
    <xf numFmtId="0" fontId="9" fillId="0" borderId="0" xfId="0" applyFont="1" applyAlignment="1">
      <alignment horizontal="left" indent="1"/>
    </xf>
    <xf numFmtId="0" fontId="9" fillId="0" borderId="0" xfId="0" applyFont="1" applyAlignment="1">
      <alignment horizontal="left" indent="2"/>
    </xf>
    <xf numFmtId="0" fontId="8" fillId="0" borderId="1" xfId="0" applyFont="1" applyBorder="1" applyAlignment="1">
      <alignment horizontal="center" vertical="top"/>
    </xf>
    <xf numFmtId="0" fontId="8" fillId="0" borderId="2" xfId="0" applyFont="1" applyFill="1" applyBorder="1" applyAlignment="1">
      <alignment horizontal="center" vertical="top"/>
    </xf>
    <xf numFmtId="164" fontId="9" fillId="0" borderId="0" xfId="0" applyNumberFormat="1" applyFont="1"/>
    <xf numFmtId="1" fontId="9" fillId="0" borderId="0" xfId="0" applyNumberFormat="1" applyFont="1"/>
    <xf numFmtId="167" fontId="9" fillId="0" borderId="0" xfId="0" applyNumberFormat="1" applyFont="1"/>
    <xf numFmtId="0" fontId="9" fillId="0" borderId="0" xfId="0" applyFont="1" applyFill="1"/>
    <xf numFmtId="0" fontId="8" fillId="0" borderId="0" xfId="0" applyNumberFormat="1" applyFont="1" applyBorder="1"/>
    <xf numFmtId="0" fontId="9" fillId="0" borderId="0" xfId="0" applyFont="1" applyBorder="1"/>
    <xf numFmtId="0" fontId="9" fillId="0" borderId="8" xfId="0" applyFont="1" applyBorder="1" applyAlignment="1">
      <alignment horizontal="center"/>
    </xf>
    <xf numFmtId="0" fontId="9" fillId="0" borderId="5" xfId="0" applyFont="1" applyBorder="1"/>
    <xf numFmtId="0" fontId="9" fillId="0" borderId="9" xfId="0" applyFont="1" applyBorder="1" applyAlignment="1">
      <alignment horizontal="center"/>
    </xf>
    <xf numFmtId="0" fontId="9" fillId="0" borderId="10" xfId="0" applyFont="1" applyBorder="1" applyAlignment="1">
      <alignment horizontal="center"/>
    </xf>
    <xf numFmtId="0" fontId="9" fillId="0" borderId="11" xfId="0" applyFont="1" applyBorder="1" applyAlignment="1">
      <alignment horizontal="center"/>
    </xf>
    <xf numFmtId="0" fontId="9" fillId="0" borderId="11" xfId="0" applyFont="1" applyBorder="1"/>
    <xf numFmtId="0" fontId="9" fillId="0" borderId="12" xfId="0" applyFont="1" applyBorder="1" applyAlignment="1">
      <alignment horizontal="center"/>
    </xf>
    <xf numFmtId="2" fontId="9" fillId="0" borderId="9" xfId="0" applyNumberFormat="1" applyFont="1" applyBorder="1" applyAlignment="1">
      <alignment horizontal="center"/>
    </xf>
    <xf numFmtId="2" fontId="9" fillId="0" borderId="12" xfId="0" applyNumberFormat="1" applyFont="1" applyBorder="1" applyAlignment="1">
      <alignment horizontal="center"/>
    </xf>
    <xf numFmtId="0" fontId="9" fillId="0" borderId="5" xfId="0" applyFont="1" applyFill="1" applyBorder="1" applyAlignment="1">
      <alignment horizontal="left"/>
    </xf>
    <xf numFmtId="0" fontId="9" fillId="0" borderId="5" xfId="0" applyFont="1" applyFill="1" applyBorder="1" applyAlignment="1">
      <alignment horizontal="center"/>
    </xf>
    <xf numFmtId="0" fontId="9" fillId="0" borderId="5" xfId="0" applyFont="1" applyFill="1" applyBorder="1"/>
    <xf numFmtId="0" fontId="9" fillId="0" borderId="11" xfId="0" applyFont="1" applyFill="1" applyBorder="1"/>
    <xf numFmtId="0" fontId="9" fillId="0" borderId="11" xfId="0" applyFont="1" applyFill="1" applyBorder="1" applyAlignment="1">
      <alignment horizontal="center"/>
    </xf>
    <xf numFmtId="166" fontId="9" fillId="0" borderId="0" xfId="0" applyNumberFormat="1" applyFont="1"/>
    <xf numFmtId="0" fontId="9" fillId="4" borderId="3" xfId="0" applyFont="1" applyFill="1" applyBorder="1" applyAlignment="1">
      <alignment horizontal="center"/>
    </xf>
    <xf numFmtId="0" fontId="9" fillId="4" borderId="7" xfId="0" applyFont="1" applyFill="1" applyBorder="1" applyAlignment="1">
      <alignment horizontal="center"/>
    </xf>
    <xf numFmtId="0" fontId="9" fillId="4" borderId="13" xfId="0" applyFont="1" applyFill="1" applyBorder="1" applyAlignment="1">
      <alignment horizontal="center"/>
    </xf>
    <xf numFmtId="0" fontId="9" fillId="0" borderId="8" xfId="0" applyFont="1" applyBorder="1"/>
    <xf numFmtId="0" fontId="9" fillId="0" borderId="1" xfId="0" applyFont="1" applyBorder="1"/>
    <xf numFmtId="0" fontId="9" fillId="0" borderId="9" xfId="0" applyFont="1" applyBorder="1"/>
    <xf numFmtId="0" fontId="9" fillId="3" borderId="0" xfId="0" applyNumberFormat="1" applyFont="1" applyFill="1"/>
    <xf numFmtId="0" fontId="9" fillId="0" borderId="8" xfId="0" applyFont="1" applyFill="1" applyBorder="1"/>
    <xf numFmtId="0" fontId="9" fillId="4" borderId="0" xfId="0" applyNumberFormat="1" applyFont="1" applyFill="1"/>
    <xf numFmtId="0" fontId="9" fillId="0" borderId="10" xfId="0" applyFont="1" applyBorder="1"/>
    <xf numFmtId="0" fontId="9" fillId="0" borderId="12" xfId="0" applyFont="1" applyBorder="1"/>
    <xf numFmtId="0" fontId="9" fillId="5" borderId="5" xfId="0" applyFont="1" applyFill="1" applyBorder="1" applyAlignment="1">
      <alignment horizontal="center"/>
    </xf>
    <xf numFmtId="0" fontId="9" fillId="2" borderId="0" xfId="0" applyNumberFormat="1" applyFont="1" applyFill="1"/>
    <xf numFmtId="164" fontId="9" fillId="0" borderId="0" xfId="0" applyNumberFormat="1" applyFont="1" applyAlignment="1">
      <alignment horizontal="left" indent="1"/>
    </xf>
    <xf numFmtId="9" fontId="9" fillId="0" borderId="5" xfId="1" applyFont="1" applyBorder="1" applyAlignment="1">
      <alignment horizontal="center"/>
    </xf>
    <xf numFmtId="9" fontId="9" fillId="11" borderId="5" xfId="1" applyFont="1" applyFill="1" applyBorder="1" applyAlignment="1">
      <alignment horizontal="center"/>
    </xf>
    <xf numFmtId="0" fontId="9" fillId="10" borderId="5" xfId="0" applyFont="1" applyFill="1" applyBorder="1" applyAlignment="1">
      <alignment horizontal="center"/>
    </xf>
    <xf numFmtId="0" fontId="9" fillId="0" borderId="0" xfId="0" applyFont="1" applyAlignment="1">
      <alignment wrapText="1"/>
    </xf>
    <xf numFmtId="0" fontId="9" fillId="0" borderId="0" xfId="0" applyNumberFormat="1" applyFont="1" applyAlignment="1">
      <alignment horizontal="center"/>
    </xf>
    <xf numFmtId="1" fontId="9" fillId="0" borderId="5" xfId="0" applyNumberFormat="1" applyFont="1" applyBorder="1" applyAlignment="1">
      <alignment horizontal="center"/>
    </xf>
    <xf numFmtId="0" fontId="9" fillId="10" borderId="6" xfId="0" applyFont="1" applyFill="1" applyBorder="1" applyAlignment="1">
      <alignment horizontal="center"/>
    </xf>
    <xf numFmtId="0" fontId="9" fillId="10" borderId="3" xfId="0" applyFont="1" applyFill="1" applyBorder="1" applyAlignment="1">
      <alignment horizontal="center"/>
    </xf>
    <xf numFmtId="0" fontId="9" fillId="10" borderId="7" xfId="0" applyFont="1" applyFill="1" applyBorder="1" applyAlignment="1">
      <alignment horizontal="center"/>
    </xf>
    <xf numFmtId="0" fontId="9" fillId="4" borderId="6" xfId="0" applyFont="1" applyFill="1" applyBorder="1" applyAlignment="1">
      <alignment horizontal="left" vertical="center"/>
    </xf>
    <xf numFmtId="0" fontId="0" fillId="6" borderId="0" xfId="0" applyFill="1" applyAlignment="1">
      <alignment vertical="center"/>
    </xf>
    <xf numFmtId="0" fontId="5" fillId="0" borderId="5" xfId="0" applyFont="1" applyBorder="1" applyAlignment="1">
      <alignment horizontal="center"/>
    </xf>
    <xf numFmtId="16" fontId="5" fillId="0" borderId="5" xfId="0" applyNumberFormat="1" applyFont="1" applyBorder="1" applyAlignment="1">
      <alignment horizontal="center"/>
    </xf>
    <xf numFmtId="167" fontId="9" fillId="0" borderId="0" xfId="0" applyNumberFormat="1" applyFont="1" applyAlignment="1">
      <alignment horizontal="center" vertical="center"/>
    </xf>
    <xf numFmtId="3" fontId="3" fillId="0" borderId="5" xfId="0" applyNumberFormat="1" applyFont="1" applyBorder="1" applyAlignment="1">
      <alignment horizontal="center" vertical="center"/>
    </xf>
    <xf numFmtId="0" fontId="2" fillId="0" borderId="5" xfId="0" applyFont="1" applyBorder="1" applyAlignment="1">
      <alignment horizontal="center"/>
    </xf>
    <xf numFmtId="3" fontId="9" fillId="0" borderId="0" xfId="0" applyNumberFormat="1" applyFont="1" applyAlignment="1">
      <alignment horizontal="center" vertical="center"/>
    </xf>
    <xf numFmtId="0" fontId="10" fillId="13" borderId="0" xfId="0" applyFont="1" applyFill="1" applyBorder="1"/>
    <xf numFmtId="0" fontId="10" fillId="13" borderId="15" xfId="0" applyFont="1" applyFill="1" applyBorder="1"/>
    <xf numFmtId="0" fontId="11" fillId="5" borderId="16" xfId="0" applyFont="1" applyFill="1" applyBorder="1"/>
    <xf numFmtId="0" fontId="11" fillId="5" borderId="17" xfId="0" applyFont="1" applyFill="1" applyBorder="1"/>
    <xf numFmtId="0" fontId="11" fillId="12" borderId="18" xfId="0" applyFont="1" applyFill="1" applyBorder="1"/>
    <xf numFmtId="0" fontId="11" fillId="12" borderId="14" xfId="0" applyFont="1" applyFill="1" applyBorder="1"/>
    <xf numFmtId="0" fontId="11" fillId="5" borderId="18" xfId="0" applyFont="1" applyFill="1" applyBorder="1"/>
    <xf numFmtId="0" fontId="11" fillId="5" borderId="14" xfId="0" applyFont="1" applyFill="1" applyBorder="1"/>
    <xf numFmtId="0" fontId="11" fillId="12" borderId="14" xfId="0" applyNumberFormat="1" applyFont="1" applyFill="1" applyBorder="1"/>
    <xf numFmtId="0" fontId="0" fillId="0" borderId="10" xfId="0" applyBorder="1" applyAlignment="1">
      <alignment horizontal="center"/>
    </xf>
    <xf numFmtId="0" fontId="12" fillId="15" borderId="6" xfId="0" applyFont="1" applyFill="1" applyBorder="1" applyAlignment="1">
      <alignment horizontal="center"/>
    </xf>
    <xf numFmtId="167" fontId="8" fillId="12" borderId="5" xfId="0" applyNumberFormat="1" applyFont="1" applyFill="1" applyBorder="1" applyAlignment="1">
      <alignment horizontal="center"/>
    </xf>
    <xf numFmtId="1" fontId="9" fillId="0" borderId="5" xfId="2" quotePrefix="1" applyNumberFormat="1" applyFont="1" applyBorder="1" applyAlignment="1">
      <alignment horizontal="center" vertical="center"/>
    </xf>
    <xf numFmtId="0" fontId="9" fillId="14" borderId="5" xfId="0" applyFont="1" applyFill="1" applyBorder="1" applyAlignment="1">
      <alignment horizontal="center" vertical="center"/>
    </xf>
    <xf numFmtId="167" fontId="9" fillId="0" borderId="5" xfId="0" applyNumberFormat="1" applyFont="1" applyBorder="1" applyAlignment="1">
      <alignment horizontal="center"/>
    </xf>
    <xf numFmtId="0" fontId="9" fillId="0" borderId="5" xfId="0" pivotButton="1" applyFont="1" applyBorder="1" applyAlignment="1">
      <alignment horizontal="center"/>
    </xf>
    <xf numFmtId="1" fontId="14" fillId="5" borderId="5" xfId="0" applyNumberFormat="1" applyFont="1" applyFill="1" applyBorder="1" applyAlignment="1">
      <alignment horizontal="center"/>
    </xf>
    <xf numFmtId="0" fontId="13" fillId="14" borderId="12" xfId="0" applyFont="1" applyFill="1" applyBorder="1" applyAlignment="1">
      <alignment horizontal="center"/>
    </xf>
    <xf numFmtId="0" fontId="15" fillId="13" borderId="12" xfId="0" applyFont="1" applyFill="1" applyBorder="1" applyAlignment="1">
      <alignment horizontal="center"/>
    </xf>
    <xf numFmtId="169" fontId="15" fillId="13" borderId="11" xfId="0" applyNumberFormat="1" applyFont="1" applyFill="1" applyBorder="1" applyAlignment="1">
      <alignment horizontal="center"/>
    </xf>
    <xf numFmtId="0" fontId="14" fillId="5" borderId="9" xfId="0" applyFont="1" applyFill="1" applyBorder="1" applyAlignment="1">
      <alignment horizontal="center"/>
    </xf>
    <xf numFmtId="169" fontId="14" fillId="5" borderId="9" xfId="0" applyNumberFormat="1" applyFont="1" applyFill="1" applyBorder="1" applyAlignment="1">
      <alignment horizontal="center"/>
    </xf>
    <xf numFmtId="1" fontId="14" fillId="5" borderId="9" xfId="0" applyNumberFormat="1" applyFont="1" applyFill="1" applyBorder="1" applyAlignment="1">
      <alignment horizontal="center"/>
    </xf>
    <xf numFmtId="0" fontId="9" fillId="5" borderId="20" xfId="0" applyFont="1" applyFill="1" applyBorder="1"/>
    <xf numFmtId="0" fontId="9" fillId="12" borderId="21" xfId="0" applyFont="1" applyFill="1" applyBorder="1"/>
    <xf numFmtId="0" fontId="10" fillId="13" borderId="23" xfId="0" applyFont="1" applyFill="1" applyBorder="1"/>
    <xf numFmtId="0" fontId="10" fillId="13" borderId="24" xfId="0" applyFont="1" applyFill="1" applyBorder="1"/>
    <xf numFmtId="0" fontId="10" fillId="13" borderId="25" xfId="0" applyFont="1" applyFill="1" applyBorder="1"/>
    <xf numFmtId="0" fontId="0" fillId="0" borderId="10" xfId="0" applyBorder="1"/>
    <xf numFmtId="0" fontId="0" fillId="0" borderId="7" xfId="0" applyBorder="1"/>
    <xf numFmtId="0" fontId="0" fillId="0" borderId="6" xfId="0" applyBorder="1"/>
    <xf numFmtId="0" fontId="0" fillId="0" borderId="0" xfId="0" pivotButton="1"/>
    <xf numFmtId="0" fontId="0" fillId="0" borderId="0" xfId="0" applyAlignment="1">
      <alignment horizontal="left"/>
    </xf>
    <xf numFmtId="0" fontId="0" fillId="0" borderId="0" xfId="0" applyNumberFormat="1"/>
    <xf numFmtId="166" fontId="9" fillId="0" borderId="5" xfId="0" applyNumberFormat="1" applyFont="1" applyBorder="1" applyAlignment="1">
      <alignment horizontal="center"/>
    </xf>
    <xf numFmtId="0" fontId="9" fillId="5" borderId="19" xfId="0" applyFont="1" applyFill="1" applyBorder="1" applyAlignment="1">
      <alignment wrapText="1"/>
    </xf>
    <xf numFmtId="0" fontId="17" fillId="0" borderId="0" xfId="0" applyFont="1"/>
    <xf numFmtId="1" fontId="9" fillId="0" borderId="0" xfId="1" applyNumberFormat="1" applyFont="1"/>
    <xf numFmtId="1" fontId="9" fillId="5" borderId="20" xfId="1" applyNumberFormat="1" applyFont="1" applyFill="1" applyBorder="1"/>
    <xf numFmtId="1" fontId="9" fillId="12" borderId="22" xfId="1" applyNumberFormat="1" applyFont="1" applyFill="1" applyBorder="1"/>
    <xf numFmtId="1" fontId="9" fillId="5" borderId="22" xfId="1" applyNumberFormat="1" applyFont="1" applyFill="1" applyBorder="1"/>
    <xf numFmtId="1" fontId="9" fillId="12" borderId="20" xfId="1" applyNumberFormat="1" applyFont="1" applyFill="1" applyBorder="1"/>
    <xf numFmtId="0" fontId="9" fillId="5" borderId="21" xfId="0" applyFont="1" applyFill="1" applyBorder="1"/>
    <xf numFmtId="0" fontId="0" fillId="0" borderId="5" xfId="0" applyBorder="1"/>
    <xf numFmtId="0" fontId="0" fillId="0" borderId="8" xfId="0" applyBorder="1"/>
    <xf numFmtId="166" fontId="0" fillId="0" borderId="9" xfId="0" applyNumberFormat="1" applyBorder="1"/>
    <xf numFmtId="166" fontId="0" fillId="0" borderId="12" xfId="0" applyNumberFormat="1" applyBorder="1"/>
    <xf numFmtId="1" fontId="0" fillId="0" borderId="5" xfId="0" applyNumberFormat="1" applyBorder="1"/>
    <xf numFmtId="0" fontId="9" fillId="0" borderId="5" xfId="0" applyFont="1" applyBorder="1" applyAlignment="1">
      <alignment horizontal="center"/>
    </xf>
    <xf numFmtId="0" fontId="16" fillId="16" borderId="5" xfId="0" applyFont="1" applyFill="1" applyBorder="1" applyAlignment="1">
      <alignment horizontal="center"/>
    </xf>
    <xf numFmtId="0" fontId="9" fillId="0" borderId="5" xfId="0" applyFont="1" applyBorder="1" applyAlignment="1">
      <alignment horizontal="center"/>
    </xf>
    <xf numFmtId="0" fontId="7" fillId="6" borderId="0" xfId="0" applyFont="1" applyFill="1" applyAlignment="1">
      <alignment horizontal="center" vertical="center"/>
    </xf>
    <xf numFmtId="0" fontId="7" fillId="7" borderId="0" xfId="0" applyFont="1" applyFill="1" applyAlignment="1">
      <alignment horizontal="center" vertical="center"/>
    </xf>
    <xf numFmtId="0" fontId="6" fillId="7" borderId="0" xfId="0" applyFont="1" applyFill="1" applyAlignment="1">
      <alignment horizontal="center" vertical="center"/>
    </xf>
  </cellXfs>
  <cellStyles count="3">
    <cellStyle name="Comma [0]" xfId="2" builtinId="6"/>
    <cellStyle name="Normal" xfId="0" builtinId="0"/>
    <cellStyle name="Percent" xfId="1" builtinId="5"/>
  </cellStyles>
  <dxfs count="193">
    <dxf>
      <alignment horizontal="center" readingOrder="0"/>
    </dxf>
    <dxf>
      <numFmt numFmtId="3" formatCode="#,##0"/>
    </dxf>
    <dxf>
      <numFmt numFmtId="170" formatCode="&quot;Rp&quot;#,##0"/>
    </dxf>
    <dxf>
      <alignment vertical="center" readingOrder="0"/>
    </dxf>
    <dxf>
      <alignment horizontal="center" readingOrder="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numFmt numFmtId="165" formatCode="_-[$$-409]* #,##0.00_ ;_-[$$-409]* \-#,##0.00\ ;_-[$$-409]* &quot;-&quot;??_ ;_-@_ "/>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409]#,##0"/>
    </dxf>
    <dxf>
      <font>
        <sz val="12"/>
      </font>
    </dxf>
    <dxf>
      <font>
        <sz val="14"/>
      </font>
    </dxf>
    <dxf>
      <alignment horizontal="center" readingOrder="0"/>
    </dxf>
    <dxf>
      <alignment horizontal="center" readingOrder="0"/>
    </dxf>
    <dxf>
      <numFmt numFmtId="165" formatCode="_-[$$-409]* #,##0.00_ ;_-[$$-409]* \-#,##0.00\ ;_-[$$-409]* &quot;-&quot;??_ ;_-@_ "/>
    </dxf>
    <dxf>
      <alignment horizontal="center" readingOrder="0"/>
    </dxf>
    <dxf>
      <numFmt numFmtId="167" formatCode="[$$-409]#,##0"/>
    </dxf>
    <dxf>
      <numFmt numFmtId="170" formatCode="&quot;Rp&quot;#,##0"/>
    </dxf>
    <dxf>
      <alignment vertical="center" readingOrder="0"/>
    </dxf>
    <dxf>
      <alignment horizontal="center" readingOrder="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numFmt numFmtId="165" formatCode="_-[$$-409]* #,##0.00_ ;_-[$$-409]* \-#,##0.00\ ;_-[$$-409]* &quot;-&quot;??_ ;_-@_ "/>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fill>
        <patternFill patternType="solid">
          <fgColor theme="4" tint="0.59999389629810485"/>
          <bgColor theme="4" tint="0.59999389629810485"/>
        </patternFill>
      </fill>
      <border diagonalUp="0" diagonalDown="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fill>
        <patternFill patternType="solid">
          <fgColor theme="4" tint="0.59999389629810485"/>
          <bgColor theme="4" tint="0.59999389629810485"/>
        </patternFill>
      </fill>
      <border diagonalUp="0" diagonalDown="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fill>
        <patternFill patternType="solid">
          <fgColor theme="4" tint="0.59999389629810485"/>
          <bgColor theme="4" tint="0.5999938962981048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0" formatCode="General"/>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0" formatCode="General"/>
    </dxf>
    <dxf>
      <font>
        <strike val="0"/>
        <outline val="0"/>
        <shadow val="0"/>
        <u val="none"/>
        <vertAlign val="baseline"/>
        <sz val="11"/>
        <color theme="1"/>
        <name val="Calibri"/>
        <scheme val="none"/>
      </font>
      <alignment horizontal="left" vertical="bottom" textRotation="0" wrapText="0" indent="0" justifyLastLine="0" shrinkToFit="0" readingOrder="0"/>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0" formatCode="General"/>
      <alignment horizontal="center" vertical="bottom"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1"/>
        <color theme="1"/>
        <name val="Calibri"/>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border diagonalUp="0" diagonalDown="0">
        <left style="thin">
          <color auto="1"/>
        </left>
        <right style="thin">
          <color auto="1"/>
        </right>
        <top style="thin">
          <color auto="1"/>
        </top>
        <bottom style="thin">
          <color auto="1"/>
        </bottom>
      </border>
    </dxf>
    <dxf>
      <font>
        <strike val="0"/>
        <outline val="0"/>
        <shadow val="0"/>
        <u val="none"/>
        <vertAlign val="baseline"/>
        <sz val="11"/>
        <color theme="1"/>
        <name val="Calibri"/>
        <scheme val="none"/>
      </font>
      <border diagonalUp="0" diagonalDown="0">
        <left/>
        <right style="thin">
          <color indexed="64"/>
        </right>
        <top style="thin">
          <color indexed="64"/>
        </top>
        <bottom style="thin">
          <color indexed="64"/>
        </bottom>
      </border>
    </dxf>
    <dxf>
      <border outline="0">
        <top style="thin">
          <color indexed="64"/>
        </top>
      </border>
    </dxf>
    <dxf>
      <border outline="0">
        <left style="thin">
          <color auto="1"/>
        </left>
        <right style="thin">
          <color auto="1"/>
        </right>
        <top style="thin">
          <color indexed="64"/>
        </top>
        <bottom style="thin">
          <color indexed="64"/>
        </bottom>
      </border>
    </dxf>
    <dxf>
      <font>
        <strike val="0"/>
        <outline val="0"/>
        <shadow val="0"/>
        <u val="none"/>
        <vertAlign val="baseline"/>
        <sz val="11"/>
        <color theme="1"/>
        <name val="Calibri"/>
        <scheme val="none"/>
      </font>
    </dxf>
    <dxf>
      <border outline="0">
        <bottom style="thin">
          <color indexed="64"/>
        </bottom>
      </border>
    </dxf>
    <dxf>
      <font>
        <strike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fill>
        <patternFill patternType="none">
          <fgColor indexed="64"/>
          <bgColor indexed="65"/>
        </patternFill>
      </fill>
      <border diagonalUp="0" diagonalDown="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2"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1"/>
        <color theme="1"/>
        <name val="Calibri"/>
        <scheme val="none"/>
      </font>
      <fill>
        <patternFill patternType="solid">
          <fgColor indexed="64"/>
          <bgColor theme="4" tint="0.7999816888943144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1"/>
        <name val="Calibri"/>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1"/>
        <color theme="1"/>
        <name val="Calibri"/>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scheme val="none"/>
      </font>
    </dxf>
    <dxf>
      <border>
        <bottom style="thin">
          <color indexed="64"/>
        </bottom>
      </border>
    </dxf>
    <dxf>
      <font>
        <strike val="0"/>
        <outline val="0"/>
        <shadow val="0"/>
        <u val="none"/>
        <vertAlign val="baseline"/>
        <sz val="11"/>
        <color theme="1"/>
        <name val="Calibri"/>
        <scheme val="none"/>
      </font>
      <fill>
        <patternFill patternType="solid">
          <fgColor indexed="64"/>
          <bgColor theme="4" tint="0.7999816888943144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name val="Calibri"/>
        <scheme val="none"/>
      </font>
    </dxf>
    <dxf>
      <font>
        <name val="Calibri"/>
        <scheme val="none"/>
      </font>
    </dxf>
    <dxf>
      <fill>
        <patternFill patternType="solid">
          <bgColor theme="9" tint="-0.249977111117893"/>
        </patternFill>
      </fill>
    </dxf>
    <dxf>
      <fill>
        <patternFill>
          <bgColor theme="9" tint="-0.499984740745262"/>
        </patternFill>
      </fill>
    </dxf>
    <dxf>
      <fill>
        <patternFill patternType="solid">
          <bgColor theme="9" tint="-0.249977111117893"/>
        </patternFill>
      </fill>
    </dxf>
    <dxf>
      <fill>
        <patternFill patternType="solid">
          <bgColor rgb="FFFF0000"/>
        </patternFill>
      </fill>
    </dxf>
    <dxf>
      <fill>
        <patternFill patternType="solid">
          <bgColor rgb="FFFF0000"/>
        </patternFill>
      </fill>
    </dxf>
    <dxf>
      <font>
        <name val="Calibri"/>
        <scheme val="none"/>
      </font>
    </dxf>
    <dxf>
      <font>
        <name val="Calibri"/>
        <scheme val="none"/>
      </font>
    </dxf>
    <dxf>
      <font>
        <name val="Calibri"/>
        <scheme val="none"/>
      </font>
    </dxf>
    <dxf>
      <numFmt numFmtId="166" formatCode="0.0"/>
    </dxf>
    <dxf>
      <font>
        <name val="Calibri"/>
        <scheme val="none"/>
      </font>
    </dxf>
    <dxf>
      <fill>
        <patternFill patternType="solid">
          <bgColor theme="9" tint="-0.249977111117893"/>
        </patternFill>
      </fill>
    </dxf>
    <dxf>
      <fill>
        <patternFill>
          <bgColor theme="9" tint="-0.499984740745262"/>
        </patternFill>
      </fill>
    </dxf>
    <dxf>
      <fill>
        <patternFill patternType="solid">
          <bgColor theme="9" tint="-0.249977111117893"/>
        </patternFill>
      </fill>
    </dxf>
    <dxf>
      <fill>
        <patternFill patternType="solid">
          <bgColor rgb="FFFF0000"/>
        </patternFill>
      </fill>
    </dxf>
    <dxf>
      <fill>
        <patternFill patternType="solid">
          <bgColor rgb="FFFF0000"/>
        </patternFill>
      </fill>
    </dxf>
    <dxf>
      <font>
        <name val="Calibri"/>
        <scheme val="none"/>
      </font>
    </dxf>
    <dxf>
      <font>
        <name val="Calibri"/>
        <scheme val="none"/>
      </font>
    </dxf>
    <dxf>
      <font>
        <name val="Calibri"/>
        <scheme val="none"/>
      </font>
    </dxf>
    <dxf>
      <font>
        <name val="Calibri"/>
        <scheme val="none"/>
      </font>
    </dxf>
    <dxf>
      <numFmt numFmtId="166" formatCode="0.0"/>
      <border diagonalUp="0" diagonalDown="0">
        <left style="thin">
          <color indexed="64"/>
        </left>
        <right/>
        <top style="thin">
          <color indexed="64"/>
        </top>
        <bottom style="thin">
          <color indexed="64"/>
        </bottom>
      </border>
    </dxf>
    <dxf>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right style="thin">
          <color indexed="64"/>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9"/>
        <color auto="1"/>
        <name val="Century Gothic"/>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scheme val="none"/>
      </font>
      <fill>
        <patternFill patternType="solid">
          <fgColor theme="4" tint="0.59999389629810485"/>
          <bgColor theme="4" tint="0.59999389629810485"/>
        </patternFill>
      </fill>
      <border diagonalUp="0" diagonalDown="0">
        <left style="thin">
          <color theme="0"/>
        </left>
        <right/>
        <top style="thick">
          <color theme="0"/>
        </top>
        <bottom/>
      </border>
    </dxf>
    <dxf>
      <font>
        <strike val="0"/>
        <outline val="0"/>
        <shadow val="0"/>
        <u val="none"/>
        <vertAlign val="baseline"/>
        <sz val="10"/>
        <color theme="1"/>
        <name val="Calibri"/>
        <scheme val="none"/>
      </font>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border diagonalUp="0" diagonalDown="0">
        <left style="thin">
          <color theme="0"/>
        </left>
        <right/>
        <top style="thin">
          <color theme="0"/>
        </top>
        <bottom/>
      </border>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border diagonalUp="0" diagonalDown="0">
        <left style="thin">
          <color theme="0"/>
        </left>
        <right/>
        <top style="thin">
          <color theme="0"/>
        </top>
        <bottom/>
      </border>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border diagonalUp="0" diagonalDown="0">
        <left style="thin">
          <color theme="0"/>
        </left>
        <right/>
        <top style="thin">
          <color theme="0"/>
        </top>
        <bottom/>
      </border>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border diagonalUp="0" diagonalDown="0">
        <left style="thin">
          <color theme="0"/>
        </left>
        <right/>
        <top style="thin">
          <color theme="0"/>
        </top>
        <bottom/>
      </border>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border diagonalUp="0" diagonalDown="0">
        <left/>
        <right/>
        <top style="thin">
          <color theme="0"/>
        </top>
        <bottom/>
      </border>
    </dxf>
    <dxf>
      <font>
        <b val="0"/>
        <i val="0"/>
        <strike val="0"/>
        <condense val="0"/>
        <extend val="0"/>
        <outline val="0"/>
        <shadow val="0"/>
        <u val="none"/>
        <vertAlign val="baseline"/>
        <sz val="10"/>
        <color theme="1"/>
        <name val="Calibri"/>
        <scheme val="none"/>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scheme val="none"/>
      </font>
      <fill>
        <patternFill patternType="solid">
          <fgColor theme="4"/>
          <bgColor theme="4"/>
        </patternFill>
      </fill>
      <border diagonalUp="0" diagonalDown="0" outline="0">
        <left style="thin">
          <color theme="0"/>
        </left>
        <right style="thin">
          <color theme="0"/>
        </right>
        <top/>
        <bottom/>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409]#,##0"/>
    </dxf>
    <dxf>
      <font>
        <name val="Calibri"/>
        <scheme val="none"/>
      </font>
    </dxf>
    <dxf>
      <numFmt numFmtId="165" formatCode="_-[$$-409]* #,##0.00_ ;_-[$$-409]* \-#,##0.00\ ;_-[$$-409]* &quot;-&quot;??_ ;_-@_ "/>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name val="Calibri"/>
        <scheme val="none"/>
      </font>
    </dxf>
    <dxf>
      <font>
        <name val="Calibri"/>
        <scheme val="none"/>
      </font>
    </dxf>
    <dxf>
      <numFmt numFmtId="167" formatCode="[$$-409]#,##0"/>
    </dxf>
    <dxf>
      <font>
        <name val="Calibri"/>
        <scheme val="none"/>
      </font>
    </dxf>
    <dxf>
      <numFmt numFmtId="165" formatCode="_-[$$-409]* #,##0.00_ ;_-[$$-409]* \-#,##0.00\ ;_-[$$-409]* &quot;-&quot;??_ ;_-@_ "/>
    </dxf>
    <dxf>
      <numFmt numFmtId="3" formatCode="#,##0"/>
    </dxf>
    <dxf>
      <font>
        <name val="Calibri"/>
        <scheme val="none"/>
      </font>
    </dxf>
    <dxf>
      <alignment horizontal="center" readingOrder="0"/>
    </dxf>
    <dxf>
      <alignment vertical="center" readingOrder="0"/>
    </dxf>
    <dxf>
      <numFmt numFmtId="171" formatCode="_-[$$-409]* #,##0_ ;_-[$$-409]* \-#,##0\ ;_-[$$-409]* &quot;-&quot;??_ ;_-@_ "/>
    </dxf>
    <dxf>
      <numFmt numFmtId="165" formatCode="_-[$$-409]* #,##0.00_ ;_-[$$-409]* \-#,##0.00\ ;_-[$$-409]* &quot;-&quot;??_ ;_-@_ "/>
    </dxf>
    <dxf>
      <font>
        <name val="Calibri"/>
        <scheme val="none"/>
      </font>
    </dxf>
    <dxf>
      <numFmt numFmtId="165" formatCode="_-[$$-409]* #,##0.00_ ;_-[$$-409]* \-#,##0.00\ ;_-[$$-409]* &quot;-&quot;??_ ;_-@_ "/>
    </dxf>
    <dxf>
      <numFmt numFmtId="167" formatCode="[$$-409]#,##0"/>
    </dxf>
    <dxf>
      <font>
        <name val="Calibri"/>
        <scheme val="none"/>
      </font>
    </dxf>
    <dxf>
      <numFmt numFmtId="165" formatCode="_-[$$-409]* #,##0.00_ ;_-[$$-409]* \-#,##0.00\ ;_-[$$-409]* &quot;-&quot;??_ ;_-@_ "/>
    </dxf>
    <dxf>
      <font>
        <name val="Calibri"/>
        <scheme val="none"/>
      </font>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409]#,##0"/>
    </dxf>
    <dxf>
      <font>
        <name val="Calibri"/>
        <scheme val="none"/>
      </font>
    </dxf>
    <dxf>
      <numFmt numFmtId="165" formatCode="_-[$$-409]* #,##0.00_ ;_-[$$-409]* \-#,##0.00\ ;_-[$$-409]* &quot;-&quot;??_ ;_-@_ "/>
    </dxf>
    <dxf>
      <numFmt numFmtId="3" formatCode="#,##0"/>
    </dxf>
    <dxf>
      <font>
        <name val="Calibri"/>
        <scheme val="none"/>
      </font>
    </dxf>
    <dxf>
      <alignment horizontal="center" readingOrder="0"/>
    </dxf>
    <dxf>
      <alignment vertical="center" readingOrder="0"/>
    </dxf>
    <dxf>
      <numFmt numFmtId="171" formatCode="_-[$$-409]* #,##0_ ;_-[$$-409]* \-#,##0\ ;_-[$$-409]* &quot;-&quot;??_ ;_-@_ "/>
    </dxf>
    <dxf>
      <numFmt numFmtId="167" formatCode="[$$-409]#,##0"/>
    </dxf>
    <dxf>
      <font>
        <name val="Calibri"/>
        <scheme val="none"/>
      </font>
    </dxf>
    <dxf>
      <alignment horizontal="center" readingOrder="0"/>
    </dxf>
    <dxf>
      <alignment vertical="center" readingOrder="0"/>
    </dxf>
    <dxf>
      <numFmt numFmtId="171" formatCode="_-[$$-409]* #,##0_ ;_-[$$-409]* \-#,##0\ ;_-[$$-409]* &quot;-&quot;??_ ;_-@_ "/>
    </dxf>
    <dxf>
      <numFmt numFmtId="165" formatCode="_-[$$-409]* #,##0.00_ ;_-[$$-409]* \-#,##0.00\ ;_-[$$-409]* &quot;-&quot;??_ ;_-@_ "/>
    </dxf>
    <dxf>
      <font>
        <name val="Calibri"/>
        <scheme val="none"/>
      </font>
    </dxf>
    <dxf>
      <alignment horizontal="center" readingOrder="0"/>
    </dxf>
    <dxf>
      <font>
        <name val="Calibri"/>
        <scheme val="none"/>
      </font>
    </dxf>
    <dxf>
      <font>
        <name val="Calibri"/>
        <scheme val="none"/>
      </font>
    </dxf>
    <dxf>
      <alignment horizontal="center" readingOrder="0"/>
    </dxf>
    <dxf>
      <numFmt numFmtId="168" formatCode="[$$-409]#,##0_ ;\-[$$-409]#,##0\ "/>
    </dxf>
    <dxf>
      <numFmt numFmtId="171" formatCode="_-[$$-409]* #,##0_ ;_-[$$-409]* \-#,##0\ ;_-[$$-409]* &quot;-&quot;??_ ;_-@_ "/>
    </dxf>
    <dxf>
      <numFmt numFmtId="167" formatCode="[$$-409]#,##0"/>
    </dxf>
    <dxf>
      <font>
        <name val="Calibri"/>
        <scheme val="none"/>
      </font>
    </dxf>
    <dxf>
      <numFmt numFmtId="165" formatCode="_-[$$-409]* #,##0.00_ ;_-[$$-409]* \-#,##0.00\ ;_-[$$-409]* &quot;-&quot;??_ ;_-@_ "/>
    </dxf>
    <dxf>
      <numFmt numFmtId="165" formatCode="_-[$$-409]* #,##0.00_ ;_-[$$-409]* \-#,##0.00\ ;_-[$$-409]* &quot;-&quot;??_ ;_-@_ "/>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1" formatCode="0"/>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166" formatCode="0.0"/>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numFmt numFmtId="164" formatCode="yyyy\-mm\-dd"/>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0!PivotTable2</c:name>
    <c:fmtId val="0"/>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'Pivot Table 0'!$F$8</c:f>
              <c:strCache>
                <c:ptCount val="1"/>
                <c:pt idx="0">
                  <c:v>Total</c:v>
                </c:pt>
              </c:strCache>
            </c:strRef>
          </c:tx>
          <c:invertIfNegative val="0"/>
          <c:dLbls>
            <c:delete val="1"/>
          </c:dLbls>
          <c:cat>
            <c:strRef>
              <c:f>'Pivot Table 0'!$E$9:$E$17</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0'!$F$9:$F$17</c:f>
              <c:numCache>
                <c:formatCode>[$$-409]#,##0</c:formatCode>
                <c:ptCount val="8"/>
                <c:pt idx="0">
                  <c:v>21685.289999999994</c:v>
                </c:pt>
                <c:pt idx="1">
                  <c:v>25556.000000000018</c:v>
                </c:pt>
                <c:pt idx="2">
                  <c:v>20061.699999999997</c:v>
                </c:pt>
                <c:pt idx="3">
                  <c:v>18986.280000000006</c:v>
                </c:pt>
                <c:pt idx="4">
                  <c:v>24283.710000000003</c:v>
                </c:pt>
                <c:pt idx="5">
                  <c:v>25100.039999999994</c:v>
                </c:pt>
                <c:pt idx="6">
                  <c:v>23830.509999999995</c:v>
                </c:pt>
                <c:pt idx="7">
                  <c:v>26543.589999999997</c:v>
                </c:pt>
              </c:numCache>
            </c:numRef>
          </c:val>
        </c:ser>
        <c:dLbls>
          <c:dLblPos val="outEnd"/>
          <c:showLegendKey val="0"/>
          <c:showVal val="1"/>
          <c:showCatName val="0"/>
          <c:showSerName val="0"/>
          <c:showPercent val="0"/>
          <c:showBubbleSize val="0"/>
        </c:dLbls>
        <c:gapWidth val="150"/>
        <c:axId val="299005056"/>
        <c:axId val="299006592"/>
      </c:barChart>
      <c:catAx>
        <c:axId val="299005056"/>
        <c:scaling>
          <c:orientation val="minMax"/>
        </c:scaling>
        <c:delete val="0"/>
        <c:axPos val="b"/>
        <c:majorTickMark val="out"/>
        <c:minorTickMark val="none"/>
        <c:tickLblPos val="nextTo"/>
        <c:crossAx val="299006592"/>
        <c:crosses val="autoZero"/>
        <c:auto val="1"/>
        <c:lblAlgn val="ctr"/>
        <c:lblOffset val="100"/>
        <c:noMultiLvlLbl val="0"/>
      </c:catAx>
      <c:valAx>
        <c:axId val="299006592"/>
        <c:scaling>
          <c:orientation val="minMax"/>
        </c:scaling>
        <c:delete val="0"/>
        <c:axPos val="l"/>
        <c:majorGridlines/>
        <c:numFmt formatCode="[$$-409]#,##0" sourceLinked="1"/>
        <c:majorTickMark val="out"/>
        <c:minorTickMark val="none"/>
        <c:tickLblPos val="nextTo"/>
        <c:crossAx val="299005056"/>
        <c:crosses val="autoZero"/>
        <c:crossBetween val="between"/>
      </c:valAx>
    </c:plotArea>
    <c:legend>
      <c:legendPos val="r"/>
      <c:overlay val="0"/>
    </c:legend>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0!PivotTable3</c:name>
    <c:fmtId val="0"/>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'Pivot Table 0'!$F$20</c:f>
              <c:strCache>
                <c:ptCount val="1"/>
                <c:pt idx="0">
                  <c:v>Total</c:v>
                </c:pt>
              </c:strCache>
            </c:strRef>
          </c:tx>
          <c:invertIfNegative val="0"/>
          <c:cat>
            <c:strRef>
              <c:f>'Pivot Table 0'!$E$21:$E$27</c:f>
              <c:strCache>
                <c:ptCount val="6"/>
                <c:pt idx="0">
                  <c:v>Accessories</c:v>
                </c:pt>
                <c:pt idx="1">
                  <c:v>Bottoms</c:v>
                </c:pt>
                <c:pt idx="2">
                  <c:v>Dresses</c:v>
                </c:pt>
                <c:pt idx="3">
                  <c:v>Outerwear</c:v>
                </c:pt>
                <c:pt idx="4">
                  <c:v>Shoes</c:v>
                </c:pt>
                <c:pt idx="5">
                  <c:v>Tops</c:v>
                </c:pt>
              </c:strCache>
            </c:strRef>
          </c:cat>
          <c:val>
            <c:numRef>
              <c:f>'Pivot Table 0'!$F$21:$F$27</c:f>
              <c:numCache>
                <c:formatCode>[$$-409]#,##0_ ;\-[$$-409]#,##0\ </c:formatCode>
                <c:ptCount val="6"/>
                <c:pt idx="0">
                  <c:v>17393.880000000008</c:v>
                </c:pt>
                <c:pt idx="1">
                  <c:v>24079.389999999996</c:v>
                </c:pt>
                <c:pt idx="2">
                  <c:v>31028.350000000002</c:v>
                </c:pt>
                <c:pt idx="3">
                  <c:v>48672.81</c:v>
                </c:pt>
                <c:pt idx="4">
                  <c:v>41152.779999999948</c:v>
                </c:pt>
                <c:pt idx="5">
                  <c:v>23719.909999999989</c:v>
                </c:pt>
              </c:numCache>
            </c:numRef>
          </c:val>
        </c:ser>
        <c:dLbls>
          <c:showLegendKey val="0"/>
          <c:showVal val="0"/>
          <c:showCatName val="0"/>
          <c:showSerName val="0"/>
          <c:showPercent val="0"/>
          <c:showBubbleSize val="0"/>
        </c:dLbls>
        <c:gapWidth val="150"/>
        <c:axId val="302357888"/>
        <c:axId val="302613632"/>
      </c:barChart>
      <c:catAx>
        <c:axId val="302357888"/>
        <c:scaling>
          <c:orientation val="minMax"/>
        </c:scaling>
        <c:delete val="0"/>
        <c:axPos val="b"/>
        <c:majorTickMark val="out"/>
        <c:minorTickMark val="none"/>
        <c:tickLblPos val="nextTo"/>
        <c:crossAx val="302613632"/>
        <c:crosses val="autoZero"/>
        <c:auto val="1"/>
        <c:lblAlgn val="ctr"/>
        <c:lblOffset val="100"/>
        <c:noMultiLvlLbl val="0"/>
      </c:catAx>
      <c:valAx>
        <c:axId val="302613632"/>
        <c:scaling>
          <c:orientation val="minMax"/>
        </c:scaling>
        <c:delete val="0"/>
        <c:axPos val="l"/>
        <c:majorGridlines/>
        <c:numFmt formatCode="[$$-409]#,##0_ ;\-[$$-409]#,##0\ " sourceLinked="1"/>
        <c:majorTickMark val="out"/>
        <c:minorTickMark val="none"/>
        <c:tickLblPos val="nextTo"/>
        <c:crossAx val="3023578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0'!$F$31:$F$32</c:f>
              <c:strCache>
                <c:ptCount val="1"/>
                <c:pt idx="0">
                  <c:v>Accessories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0'!$F$33:$F$41</c:f>
              <c:numCache>
                <c:formatCode>General</c:formatCode>
                <c:ptCount val="8"/>
                <c:pt idx="0">
                  <c:v>1472</c:v>
                </c:pt>
                <c:pt idx="1">
                  <c:v>1005</c:v>
                </c:pt>
                <c:pt idx="2">
                  <c:v>1491</c:v>
                </c:pt>
                <c:pt idx="3">
                  <c:v>1414</c:v>
                </c:pt>
                <c:pt idx="4">
                  <c:v>825</c:v>
                </c:pt>
                <c:pt idx="5">
                  <c:v>1128</c:v>
                </c:pt>
                <c:pt idx="6">
                  <c:v>1571</c:v>
                </c:pt>
                <c:pt idx="7">
                  <c:v>1635</c:v>
                </c:pt>
              </c:numCache>
            </c:numRef>
          </c:val>
        </c:ser>
        <c:ser>
          <c:idx val="1"/>
          <c:order val="1"/>
          <c:tx>
            <c:strRef>
              <c:f>'Pivot Table 0'!$G$31:$G$32</c:f>
              <c:strCache>
                <c:ptCount val="1"/>
                <c:pt idx="0">
                  <c:v>Bottoms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0'!$G$33:$G$41</c:f>
              <c:numCache>
                <c:formatCode>General</c:formatCode>
                <c:ptCount val="8"/>
                <c:pt idx="0">
                  <c:v>1021</c:v>
                </c:pt>
                <c:pt idx="1">
                  <c:v>1141</c:v>
                </c:pt>
                <c:pt idx="2">
                  <c:v>1197</c:v>
                </c:pt>
                <c:pt idx="3">
                  <c:v>966</c:v>
                </c:pt>
                <c:pt idx="4">
                  <c:v>1140</c:v>
                </c:pt>
                <c:pt idx="5">
                  <c:v>1384</c:v>
                </c:pt>
                <c:pt idx="6">
                  <c:v>794</c:v>
                </c:pt>
                <c:pt idx="7">
                  <c:v>1799</c:v>
                </c:pt>
              </c:numCache>
            </c:numRef>
          </c:val>
        </c:ser>
        <c:ser>
          <c:idx val="2"/>
          <c:order val="2"/>
          <c:tx>
            <c:strRef>
              <c:f>'Pivot Table 0'!$H$31:$H$32</c:f>
              <c:strCache>
                <c:ptCount val="1"/>
                <c:pt idx="0">
                  <c:v>Dresses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0'!$H$33:$H$41</c:f>
              <c:numCache>
                <c:formatCode>General</c:formatCode>
                <c:ptCount val="8"/>
                <c:pt idx="0">
                  <c:v>953</c:v>
                </c:pt>
                <c:pt idx="1">
                  <c:v>1135</c:v>
                </c:pt>
                <c:pt idx="2">
                  <c:v>1135</c:v>
                </c:pt>
                <c:pt idx="3">
                  <c:v>747</c:v>
                </c:pt>
                <c:pt idx="4">
                  <c:v>1024</c:v>
                </c:pt>
                <c:pt idx="5">
                  <c:v>1261</c:v>
                </c:pt>
                <c:pt idx="6">
                  <c:v>690</c:v>
                </c:pt>
                <c:pt idx="7">
                  <c:v>983</c:v>
                </c:pt>
              </c:numCache>
            </c:numRef>
          </c:val>
        </c:ser>
        <c:ser>
          <c:idx val="3"/>
          <c:order val="3"/>
          <c:tx>
            <c:strRef>
              <c:f>'Pivot Table 0'!$I$31:$I$32</c:f>
              <c:strCache>
                <c:ptCount val="1"/>
                <c:pt idx="0">
                  <c:v>Outerwear</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0'!$I$33:$I$41</c:f>
              <c:numCache>
                <c:formatCode>General</c:formatCode>
                <c:ptCount val="8"/>
                <c:pt idx="0">
                  <c:v>1043</c:v>
                </c:pt>
                <c:pt idx="1">
                  <c:v>1342</c:v>
                </c:pt>
                <c:pt idx="2">
                  <c:v>844</c:v>
                </c:pt>
                <c:pt idx="3">
                  <c:v>880</c:v>
                </c:pt>
                <c:pt idx="4">
                  <c:v>1044</c:v>
                </c:pt>
                <c:pt idx="5">
                  <c:v>1141</c:v>
                </c:pt>
                <c:pt idx="6">
                  <c:v>1153</c:v>
                </c:pt>
                <c:pt idx="7">
                  <c:v>921</c:v>
                </c:pt>
              </c:numCache>
            </c:numRef>
          </c:val>
        </c:ser>
        <c:ser>
          <c:idx val="4"/>
          <c:order val="4"/>
          <c:tx>
            <c:strRef>
              <c:f>'Pivot Table 0'!$J$31:$J$32</c:f>
              <c:strCache>
                <c:ptCount val="1"/>
                <c:pt idx="0">
                  <c:v>Shoes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0'!$J$33:$J$41</c:f>
              <c:numCache>
                <c:formatCode>General</c:formatCode>
                <c:ptCount val="8"/>
                <c:pt idx="0">
                  <c:v>984</c:v>
                </c:pt>
                <c:pt idx="1">
                  <c:v>1326</c:v>
                </c:pt>
                <c:pt idx="2">
                  <c:v>938</c:v>
                </c:pt>
                <c:pt idx="3">
                  <c:v>939</c:v>
                </c:pt>
                <c:pt idx="4">
                  <c:v>1345</c:v>
                </c:pt>
                <c:pt idx="5">
                  <c:v>1180</c:v>
                </c:pt>
                <c:pt idx="6">
                  <c:v>1300</c:v>
                </c:pt>
                <c:pt idx="7">
                  <c:v>1106</c:v>
                </c:pt>
              </c:numCache>
            </c:numRef>
          </c:val>
        </c:ser>
        <c:ser>
          <c:idx val="5"/>
          <c:order val="5"/>
          <c:tx>
            <c:strRef>
              <c:f>'Pivot Table 0'!$K$31:$K$32</c:f>
              <c:strCache>
                <c:ptCount val="1"/>
                <c:pt idx="0">
                  <c:v>Tops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0'!$K$33:$K$41</c:f>
              <c:numCache>
                <c:formatCode>General</c:formatCode>
                <c:ptCount val="8"/>
                <c:pt idx="0">
                  <c:v>1191</c:v>
                </c:pt>
                <c:pt idx="1">
                  <c:v>1005</c:v>
                </c:pt>
                <c:pt idx="2">
                  <c:v>823</c:v>
                </c:pt>
                <c:pt idx="3">
                  <c:v>1164</c:v>
                </c:pt>
                <c:pt idx="4">
                  <c:v>1180</c:v>
                </c:pt>
                <c:pt idx="5">
                  <c:v>1104</c:v>
                </c:pt>
                <c:pt idx="6">
                  <c:v>1022</c:v>
                </c:pt>
                <c:pt idx="7">
                  <c:v>1379</c:v>
                </c:pt>
              </c:numCache>
            </c:numRef>
          </c:val>
        </c:ser>
        <c:dLbls>
          <c:showLegendKey val="0"/>
          <c:showVal val="0"/>
          <c:showCatName val="0"/>
          <c:showSerName val="0"/>
          <c:showPercent val="0"/>
          <c:showBubbleSize val="0"/>
        </c:dLbls>
        <c:gapWidth val="150"/>
        <c:axId val="344200704"/>
        <c:axId val="344202240"/>
      </c:barChart>
      <c:catAx>
        <c:axId val="344200704"/>
        <c:scaling>
          <c:orientation val="minMax"/>
        </c:scaling>
        <c:delete val="0"/>
        <c:axPos val="b"/>
        <c:majorTickMark val="out"/>
        <c:minorTickMark val="none"/>
        <c:tickLblPos val="nextTo"/>
        <c:crossAx val="344202240"/>
        <c:crosses val="autoZero"/>
        <c:auto val="1"/>
        <c:lblAlgn val="ctr"/>
        <c:lblOffset val="100"/>
        <c:noMultiLvlLbl val="0"/>
      </c:catAx>
      <c:valAx>
        <c:axId val="344202240"/>
        <c:scaling>
          <c:orientation val="minMax"/>
        </c:scaling>
        <c:delete val="0"/>
        <c:axPos val="l"/>
        <c:majorGridlines/>
        <c:numFmt formatCode="General" sourceLinked="1"/>
        <c:majorTickMark val="out"/>
        <c:minorTickMark val="none"/>
        <c:tickLblPos val="nextTo"/>
        <c:crossAx val="3442007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0!PivotTable6</c:name>
    <c:fmtId val="0"/>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0'!$F$45:$F$46</c:f>
              <c:strCache>
                <c:ptCount val="1"/>
                <c:pt idx="0">
                  <c:v>Accessories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0'!$F$47:$F$55</c:f>
              <c:numCache>
                <c:formatCode>_-[$$-409]* #,##0.00_ ;_-[$$-409]* \-#,##0.00\ ;_-[$$-409]* "-"??_ ;_-@_ </c:formatCode>
                <c:ptCount val="8"/>
                <c:pt idx="0">
                  <c:v>3389338.8799999994</c:v>
                </c:pt>
                <c:pt idx="1">
                  <c:v>1937760.6000000003</c:v>
                </c:pt>
                <c:pt idx="2">
                  <c:v>3514465.92</c:v>
                </c:pt>
                <c:pt idx="3">
                  <c:v>3938824.2600000002</c:v>
                </c:pt>
                <c:pt idx="4">
                  <c:v>1715059.4999999998</c:v>
                </c:pt>
                <c:pt idx="5">
                  <c:v>2739630</c:v>
                </c:pt>
                <c:pt idx="6">
                  <c:v>4436692.5199999986</c:v>
                </c:pt>
                <c:pt idx="7">
                  <c:v>4903136.1000000006</c:v>
                </c:pt>
              </c:numCache>
            </c:numRef>
          </c:val>
        </c:ser>
        <c:ser>
          <c:idx val="1"/>
          <c:order val="1"/>
          <c:tx>
            <c:strRef>
              <c:f>'Pivot Table 0'!$G$45:$G$46</c:f>
              <c:strCache>
                <c:ptCount val="1"/>
                <c:pt idx="0">
                  <c:v>Bottoms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0'!$G$47:$G$55</c:f>
              <c:numCache>
                <c:formatCode>General</c:formatCode>
                <c:ptCount val="8"/>
                <c:pt idx="0">
                  <c:v>2721802.22</c:v>
                </c:pt>
                <c:pt idx="1">
                  <c:v>3887695.0700000003</c:v>
                </c:pt>
                <c:pt idx="2">
                  <c:v>4762120.8599999994</c:v>
                </c:pt>
                <c:pt idx="3">
                  <c:v>2342173.2600000002</c:v>
                </c:pt>
                <c:pt idx="4">
                  <c:v>4241780.4000000004</c:v>
                </c:pt>
                <c:pt idx="5">
                  <c:v>5781784.5599999987</c:v>
                </c:pt>
                <c:pt idx="6">
                  <c:v>1738304.2000000002</c:v>
                </c:pt>
                <c:pt idx="7">
                  <c:v>9122189.3000000007</c:v>
                </c:pt>
              </c:numCache>
            </c:numRef>
          </c:val>
        </c:ser>
        <c:ser>
          <c:idx val="2"/>
          <c:order val="2"/>
          <c:tx>
            <c:strRef>
              <c:f>'Pivot Table 0'!$H$45:$H$46</c:f>
              <c:strCache>
                <c:ptCount val="1"/>
                <c:pt idx="0">
                  <c:v>Dresses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0'!$H$47:$H$55</c:f>
              <c:numCache>
                <c:formatCode>_-[$$-409]* #,##0.00_ ;_-[$$-409]* \-#,##0.00\ ;_-[$$-409]* "-"??_ ;_-@_ </c:formatCode>
                <c:ptCount val="8"/>
                <c:pt idx="0">
                  <c:v>4283239.4399999995</c:v>
                </c:pt>
                <c:pt idx="1">
                  <c:v>5293571.9000000004</c:v>
                </c:pt>
                <c:pt idx="2">
                  <c:v>4937533.7500000009</c:v>
                </c:pt>
                <c:pt idx="3">
                  <c:v>2139071.8499999996</c:v>
                </c:pt>
                <c:pt idx="4">
                  <c:v>5065953.2800000003</c:v>
                </c:pt>
                <c:pt idx="5">
                  <c:v>6935184.7500000037</c:v>
                </c:pt>
                <c:pt idx="6">
                  <c:v>2524233.8999999994</c:v>
                </c:pt>
                <c:pt idx="7">
                  <c:v>5085707.78</c:v>
                </c:pt>
              </c:numCache>
            </c:numRef>
          </c:val>
        </c:ser>
        <c:ser>
          <c:idx val="3"/>
          <c:order val="3"/>
          <c:tx>
            <c:strRef>
              <c:f>'Pivot Table 0'!$I$45:$I$46</c:f>
              <c:strCache>
                <c:ptCount val="1"/>
                <c:pt idx="0">
                  <c:v>Outerwear</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0'!$I$47:$I$55</c:f>
              <c:numCache>
                <c:formatCode>_-[$$-409]* #,##0.00_ ;_-[$$-409]* \-#,##0.00\ ;_-[$$-409]* "-"??_ ;_-@_ </c:formatCode>
                <c:ptCount val="8"/>
                <c:pt idx="0">
                  <c:v>7238534.7300000004</c:v>
                </c:pt>
                <c:pt idx="1">
                  <c:v>11222327.380000001</c:v>
                </c:pt>
                <c:pt idx="2">
                  <c:v>5297155.0000000009</c:v>
                </c:pt>
                <c:pt idx="3">
                  <c:v>4723584.7999999989</c:v>
                </c:pt>
                <c:pt idx="4">
                  <c:v>6975120.6000000015</c:v>
                </c:pt>
                <c:pt idx="5">
                  <c:v>7036763.7899999991</c:v>
                </c:pt>
                <c:pt idx="6">
                  <c:v>9218373.3599999994</c:v>
                </c:pt>
                <c:pt idx="7">
                  <c:v>6188760.8100000005</c:v>
                </c:pt>
              </c:numCache>
            </c:numRef>
          </c:val>
        </c:ser>
        <c:ser>
          <c:idx val="4"/>
          <c:order val="4"/>
          <c:tx>
            <c:strRef>
              <c:f>'Pivot Table 0'!$J$45:$J$46</c:f>
              <c:strCache>
                <c:ptCount val="1"/>
                <c:pt idx="0">
                  <c:v>Shoes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0'!$J$47:$J$55</c:f>
              <c:numCache>
                <c:formatCode>_-[$$-409]* #,##0.00_ ;_-[$$-409]* \-#,##0.00\ ;_-[$$-409]* "-"??_ ;_-@_ </c:formatCode>
                <c:ptCount val="8"/>
                <c:pt idx="0">
                  <c:v>4393579.68</c:v>
                </c:pt>
                <c:pt idx="1">
                  <c:v>10045961.640000001</c:v>
                </c:pt>
                <c:pt idx="2">
                  <c:v>3479342.1599999992</c:v>
                </c:pt>
                <c:pt idx="3">
                  <c:v>4948858.6499999994</c:v>
                </c:pt>
                <c:pt idx="4">
                  <c:v>9369646.6000000015</c:v>
                </c:pt>
                <c:pt idx="5">
                  <c:v>8155747</c:v>
                </c:pt>
                <c:pt idx="6">
                  <c:v>8194861.9999999981</c:v>
                </c:pt>
                <c:pt idx="7">
                  <c:v>6811621.7400000039</c:v>
                </c:pt>
              </c:numCache>
            </c:numRef>
          </c:val>
        </c:ser>
        <c:ser>
          <c:idx val="5"/>
          <c:order val="5"/>
          <c:tx>
            <c:strRef>
              <c:f>'Pivot Table 0'!$K$45:$K$46</c:f>
              <c:strCache>
                <c:ptCount val="1"/>
                <c:pt idx="0">
                  <c:v>Tops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0'!$K$47:$K$55</c:f>
              <c:numCache>
                <c:formatCode>_-[$$-409]* #,##0.00_ ;_-[$$-409]* \-#,##0.00\ ;_-[$$-409]* "-"??_ ;_-@_ </c:formatCode>
                <c:ptCount val="8"/>
                <c:pt idx="0">
                  <c:v>4047625.41</c:v>
                </c:pt>
                <c:pt idx="1">
                  <c:v>3174513.6000000006</c:v>
                </c:pt>
                <c:pt idx="2">
                  <c:v>2182406.71</c:v>
                </c:pt>
                <c:pt idx="3">
                  <c:v>4131466.6800000011</c:v>
                </c:pt>
                <c:pt idx="4">
                  <c:v>3876760.1999999997</c:v>
                </c:pt>
                <c:pt idx="5">
                  <c:v>3904417.4399999995</c:v>
                </c:pt>
                <c:pt idx="6">
                  <c:v>3292219.6999999997</c:v>
                </c:pt>
                <c:pt idx="7">
                  <c:v>5303289.2500000009</c:v>
                </c:pt>
              </c:numCache>
            </c:numRef>
          </c:val>
        </c:ser>
        <c:dLbls>
          <c:showLegendKey val="0"/>
          <c:showVal val="0"/>
          <c:showCatName val="0"/>
          <c:showSerName val="0"/>
          <c:showPercent val="0"/>
          <c:showBubbleSize val="0"/>
        </c:dLbls>
        <c:gapWidth val="150"/>
        <c:axId val="353604736"/>
        <c:axId val="353606656"/>
      </c:barChart>
      <c:catAx>
        <c:axId val="353604736"/>
        <c:scaling>
          <c:orientation val="minMax"/>
        </c:scaling>
        <c:delete val="0"/>
        <c:axPos val="b"/>
        <c:majorTickMark val="out"/>
        <c:minorTickMark val="none"/>
        <c:tickLblPos val="nextTo"/>
        <c:crossAx val="353606656"/>
        <c:crosses val="autoZero"/>
        <c:auto val="1"/>
        <c:lblAlgn val="ctr"/>
        <c:lblOffset val="100"/>
        <c:noMultiLvlLbl val="0"/>
      </c:catAx>
      <c:valAx>
        <c:axId val="353606656"/>
        <c:scaling>
          <c:orientation val="minMax"/>
        </c:scaling>
        <c:delete val="0"/>
        <c:axPos val="l"/>
        <c:majorGridlines/>
        <c:numFmt formatCode="_-[$$-409]* #,##0.00_ ;_-[$$-409]* \-#,##0.00\ ;_-[$$-409]* &quot;-&quot;??_ ;_-@_ " sourceLinked="1"/>
        <c:majorTickMark val="out"/>
        <c:minorTickMark val="none"/>
        <c:tickLblPos val="nextTo"/>
        <c:crossAx val="353604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0!PivotTable7</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0'!$F$58:$F$59</c:f>
              <c:strCache>
                <c:ptCount val="1"/>
                <c:pt idx="0">
                  <c:v>Accessories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0'!$F$60:$F$68</c:f>
              <c:numCache>
                <c:formatCode>_-[$$-409]* #,##0.00_ ;_-[$$-409]* \-#,##0.00\ ;_-[$$-409]* "-"??_ ;_-@_ </c:formatCode>
                <c:ptCount val="8"/>
                <c:pt idx="0">
                  <c:v>2950403.2</c:v>
                </c:pt>
                <c:pt idx="1">
                  <c:v>1677314.85</c:v>
                </c:pt>
                <c:pt idx="2">
                  <c:v>3126194.61</c:v>
                </c:pt>
                <c:pt idx="3">
                  <c:v>3427875.3599999989</c:v>
                </c:pt>
                <c:pt idx="4">
                  <c:v>1472773.4999999998</c:v>
                </c:pt>
                <c:pt idx="5">
                  <c:v>2417067.12</c:v>
                </c:pt>
                <c:pt idx="6">
                  <c:v>4055913.5399999982</c:v>
                </c:pt>
                <c:pt idx="7">
                  <c:v>4397986.4999999991</c:v>
                </c:pt>
              </c:numCache>
            </c:numRef>
          </c:val>
        </c:ser>
        <c:ser>
          <c:idx val="1"/>
          <c:order val="1"/>
          <c:tx>
            <c:strRef>
              <c:f>'Pivot Table 0'!$G$58:$G$59</c:f>
              <c:strCache>
                <c:ptCount val="1"/>
                <c:pt idx="0">
                  <c:v>Bottoms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0'!$G$60:$G$68</c:f>
              <c:numCache>
                <c:formatCode>General</c:formatCode>
                <c:ptCount val="8"/>
                <c:pt idx="0">
                  <c:v>2324081.88</c:v>
                </c:pt>
                <c:pt idx="1">
                  <c:v>3452586.1300000004</c:v>
                </c:pt>
                <c:pt idx="2">
                  <c:v>4240767.51</c:v>
                </c:pt>
                <c:pt idx="3">
                  <c:v>1992432.96</c:v>
                </c:pt>
                <c:pt idx="4">
                  <c:v>3687261.600000001</c:v>
                </c:pt>
                <c:pt idx="5">
                  <c:v>4793968.3999999994</c:v>
                </c:pt>
                <c:pt idx="6">
                  <c:v>1569341.0000000002</c:v>
                </c:pt>
                <c:pt idx="7">
                  <c:v>8090102.9999999963</c:v>
                </c:pt>
              </c:numCache>
            </c:numRef>
          </c:val>
        </c:ser>
        <c:ser>
          <c:idx val="2"/>
          <c:order val="2"/>
          <c:tx>
            <c:strRef>
              <c:f>'Pivot Table 0'!$H$58:$H$59</c:f>
              <c:strCache>
                <c:ptCount val="1"/>
                <c:pt idx="0">
                  <c:v>Dresses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0'!$H$60:$H$68</c:f>
              <c:numCache>
                <c:formatCode>_-[$$-409]* #,##0.00_ ;_-[$$-409]* \-#,##0.00\ ;_-[$$-409]* "-"??_ ;_-@_ </c:formatCode>
                <c:ptCount val="8"/>
                <c:pt idx="0">
                  <c:v>3766103.5199999991</c:v>
                </c:pt>
                <c:pt idx="1">
                  <c:v>4896991.5500000017</c:v>
                </c:pt>
                <c:pt idx="2">
                  <c:v>4132671.2000000016</c:v>
                </c:pt>
                <c:pt idx="3">
                  <c:v>1772137.9799999997</c:v>
                </c:pt>
                <c:pt idx="4">
                  <c:v>4447262.7200000007</c:v>
                </c:pt>
                <c:pt idx="5">
                  <c:v>5906196.1399999997</c:v>
                </c:pt>
                <c:pt idx="6">
                  <c:v>2224311.5999999996</c:v>
                </c:pt>
                <c:pt idx="7">
                  <c:v>4421642.13</c:v>
                </c:pt>
              </c:numCache>
            </c:numRef>
          </c:val>
        </c:ser>
        <c:ser>
          <c:idx val="3"/>
          <c:order val="3"/>
          <c:tx>
            <c:strRef>
              <c:f>'Pivot Table 0'!$I$58:$I$59</c:f>
              <c:strCache>
                <c:ptCount val="1"/>
                <c:pt idx="0">
                  <c:v>Outerwear</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0'!$I$60:$I$68</c:f>
              <c:numCache>
                <c:formatCode>_-[$$-409]* #,##0.00_ ;_-[$$-409]* \-#,##0.00\ ;_-[$$-409]* "-"??_ ;_-@_ </c:formatCode>
                <c:ptCount val="8"/>
                <c:pt idx="0">
                  <c:v>6884206.7700000005</c:v>
                </c:pt>
                <c:pt idx="1">
                  <c:v>9497347.4199999999</c:v>
                </c:pt>
                <c:pt idx="2">
                  <c:v>4678671.7999999989</c:v>
                </c:pt>
                <c:pt idx="3">
                  <c:v>4201384</c:v>
                </c:pt>
                <c:pt idx="4">
                  <c:v>6313391.6400000015</c:v>
                </c:pt>
                <c:pt idx="5">
                  <c:v>6210873.7599999979</c:v>
                </c:pt>
                <c:pt idx="6">
                  <c:v>8315851.080000001</c:v>
                </c:pt>
                <c:pt idx="7">
                  <c:v>5502634.2300000004</c:v>
                </c:pt>
              </c:numCache>
            </c:numRef>
          </c:val>
        </c:ser>
        <c:ser>
          <c:idx val="4"/>
          <c:order val="4"/>
          <c:tx>
            <c:strRef>
              <c:f>'Pivot Table 0'!$J$58:$J$59</c:f>
              <c:strCache>
                <c:ptCount val="1"/>
                <c:pt idx="0">
                  <c:v>Shoes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0'!$J$60:$J$68</c:f>
              <c:numCache>
                <c:formatCode>_-[$$-409]* #,##0.00_ ;_-[$$-409]* \-#,##0.00\ ;_-[$$-409]* "-"??_ ;_-@_ </c:formatCode>
                <c:ptCount val="8"/>
                <c:pt idx="0">
                  <c:v>3737399.2800000007</c:v>
                </c:pt>
                <c:pt idx="1">
                  <c:v>9003261.5400000028</c:v>
                </c:pt>
                <c:pt idx="2">
                  <c:v>2690540.4399999995</c:v>
                </c:pt>
                <c:pt idx="3">
                  <c:v>3978477.2700000005</c:v>
                </c:pt>
                <c:pt idx="4">
                  <c:v>8070578.3500000006</c:v>
                </c:pt>
                <c:pt idx="5">
                  <c:v>7199828.9999999991</c:v>
                </c:pt>
                <c:pt idx="6">
                  <c:v>7464652</c:v>
                </c:pt>
                <c:pt idx="7">
                  <c:v>6210731.9400000013</c:v>
                </c:pt>
              </c:numCache>
            </c:numRef>
          </c:val>
        </c:ser>
        <c:ser>
          <c:idx val="5"/>
          <c:order val="5"/>
          <c:tx>
            <c:strRef>
              <c:f>'Pivot Table 0'!$K$58:$K$59</c:f>
              <c:strCache>
                <c:ptCount val="1"/>
                <c:pt idx="0">
                  <c:v>Tops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0'!$K$60:$K$68</c:f>
              <c:numCache>
                <c:formatCode>_-[$$-409]* #,##0.00_ ;_-[$$-409]* \-#,##0.00\ ;_-[$$-409]* "-"??_ ;_-@_ </c:formatCode>
                <c:ptCount val="8"/>
                <c:pt idx="0">
                  <c:v>3637623.6600000006</c:v>
                </c:pt>
                <c:pt idx="1">
                  <c:v>2693168.8500000006</c:v>
                </c:pt>
                <c:pt idx="2">
                  <c:v>1949859.8300000003</c:v>
                </c:pt>
                <c:pt idx="3">
                  <c:v>3626919.24</c:v>
                </c:pt>
                <c:pt idx="4">
                  <c:v>3390517.5999999987</c:v>
                </c:pt>
                <c:pt idx="5">
                  <c:v>3604284.0000000005</c:v>
                </c:pt>
                <c:pt idx="6">
                  <c:v>3162303.06</c:v>
                </c:pt>
                <c:pt idx="7">
                  <c:v>4507206.3400000017</c:v>
                </c:pt>
              </c:numCache>
            </c:numRef>
          </c:val>
        </c:ser>
        <c:dLbls>
          <c:showLegendKey val="0"/>
          <c:showVal val="0"/>
          <c:showCatName val="0"/>
          <c:showSerName val="0"/>
          <c:showPercent val="0"/>
          <c:showBubbleSize val="0"/>
        </c:dLbls>
        <c:gapWidth val="150"/>
        <c:axId val="379960704"/>
        <c:axId val="380241024"/>
      </c:barChart>
      <c:catAx>
        <c:axId val="379960704"/>
        <c:scaling>
          <c:orientation val="minMax"/>
        </c:scaling>
        <c:delete val="0"/>
        <c:axPos val="b"/>
        <c:majorTickMark val="out"/>
        <c:minorTickMark val="none"/>
        <c:tickLblPos val="nextTo"/>
        <c:crossAx val="380241024"/>
        <c:crosses val="autoZero"/>
        <c:auto val="1"/>
        <c:lblAlgn val="ctr"/>
        <c:lblOffset val="100"/>
        <c:noMultiLvlLbl val="0"/>
      </c:catAx>
      <c:valAx>
        <c:axId val="380241024"/>
        <c:scaling>
          <c:orientation val="minMax"/>
        </c:scaling>
        <c:delete val="0"/>
        <c:axPos val="l"/>
        <c:majorGridlines/>
        <c:numFmt formatCode="_-[$$-409]* #,##0.00_ ;_-[$$-409]* \-#,##0.00\ ;_-[$$-409]* &quot;-&quot;??_ ;_-@_ " sourceLinked="1"/>
        <c:majorTickMark val="out"/>
        <c:minorTickMark val="none"/>
        <c:tickLblPos val="nextTo"/>
        <c:crossAx val="3799607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0!PivotTable8</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'Pivot Table 0'!$F$71:$F$72</c:f>
              <c:strCache>
                <c:ptCount val="1"/>
                <c:pt idx="0">
                  <c:v>Accessories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0'!$F$73:$F$81</c:f>
              <c:numCache>
                <c:formatCode>[$$-409]#,##0</c:formatCode>
                <c:ptCount val="8"/>
                <c:pt idx="0">
                  <c:v>438935.67999999906</c:v>
                </c:pt>
                <c:pt idx="1">
                  <c:v>260445.75000000032</c:v>
                </c:pt>
                <c:pt idx="2">
                  <c:v>388271.30999999976</c:v>
                </c:pt>
                <c:pt idx="3">
                  <c:v>510948.90000000113</c:v>
                </c:pt>
                <c:pt idx="4">
                  <c:v>242285.99999999985</c:v>
                </c:pt>
                <c:pt idx="5">
                  <c:v>322562.88000000006</c:v>
                </c:pt>
                <c:pt idx="6">
                  <c:v>380778.98000000016</c:v>
                </c:pt>
                <c:pt idx="7">
                  <c:v>505149.60000000079</c:v>
                </c:pt>
              </c:numCache>
            </c:numRef>
          </c:val>
          <c:smooth val="0"/>
        </c:ser>
        <c:ser>
          <c:idx val="1"/>
          <c:order val="1"/>
          <c:tx>
            <c:strRef>
              <c:f>'Pivot Table 0'!$G$71:$G$72</c:f>
              <c:strCache>
                <c:ptCount val="1"/>
                <c:pt idx="0">
                  <c:v>Bottoms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0'!$G$73:$G$81</c:f>
              <c:numCache>
                <c:formatCode>[$$-409]#,##0</c:formatCode>
                <c:ptCount val="8"/>
                <c:pt idx="0">
                  <c:v>397720.34000000043</c:v>
                </c:pt>
                <c:pt idx="1">
                  <c:v>435108.94000000018</c:v>
                </c:pt>
                <c:pt idx="2">
                  <c:v>521353.3499999991</c:v>
                </c:pt>
                <c:pt idx="3">
                  <c:v>349740.30000000016</c:v>
                </c:pt>
                <c:pt idx="4">
                  <c:v>554518.799999999</c:v>
                </c:pt>
                <c:pt idx="5">
                  <c:v>987816.15999999968</c:v>
                </c:pt>
                <c:pt idx="6">
                  <c:v>168963.19999999995</c:v>
                </c:pt>
                <c:pt idx="7">
                  <c:v>1032086.3000000046</c:v>
                </c:pt>
              </c:numCache>
            </c:numRef>
          </c:val>
          <c:smooth val="0"/>
        </c:ser>
        <c:ser>
          <c:idx val="2"/>
          <c:order val="2"/>
          <c:tx>
            <c:strRef>
              <c:f>'Pivot Table 0'!$H$71:$H$72</c:f>
              <c:strCache>
                <c:ptCount val="1"/>
                <c:pt idx="0">
                  <c:v>Dresses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0'!$H$73:$H$81</c:f>
              <c:numCache>
                <c:formatCode>[$$-409]#,##0</c:formatCode>
                <c:ptCount val="8"/>
                <c:pt idx="0">
                  <c:v>517135.92000000033</c:v>
                </c:pt>
                <c:pt idx="1">
                  <c:v>396580.34999999881</c:v>
                </c:pt>
                <c:pt idx="2">
                  <c:v>804862.54999999958</c:v>
                </c:pt>
                <c:pt idx="3">
                  <c:v>366933.87000000005</c:v>
                </c:pt>
                <c:pt idx="4">
                  <c:v>618690.55999999959</c:v>
                </c:pt>
                <c:pt idx="5">
                  <c:v>1028988.6100000037</c:v>
                </c:pt>
                <c:pt idx="6">
                  <c:v>299922.30000000005</c:v>
                </c:pt>
                <c:pt idx="7">
                  <c:v>664065.65000000014</c:v>
                </c:pt>
              </c:numCache>
            </c:numRef>
          </c:val>
          <c:smooth val="0"/>
        </c:ser>
        <c:ser>
          <c:idx val="3"/>
          <c:order val="3"/>
          <c:tx>
            <c:strRef>
              <c:f>'Pivot Table 0'!$I$71:$I$72</c:f>
              <c:strCache>
                <c:ptCount val="1"/>
                <c:pt idx="0">
                  <c:v>Outerwear</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0'!$I$73:$I$81</c:f>
              <c:numCache>
                <c:formatCode>[$$-409]#,##0</c:formatCode>
                <c:ptCount val="8"/>
                <c:pt idx="0">
                  <c:v>354327.96000000025</c:v>
                </c:pt>
                <c:pt idx="1">
                  <c:v>1724979.9600000014</c:v>
                </c:pt>
                <c:pt idx="2">
                  <c:v>618483.2000000017</c:v>
                </c:pt>
                <c:pt idx="3">
                  <c:v>522200.79999999906</c:v>
                </c:pt>
                <c:pt idx="4">
                  <c:v>661728.9600000002</c:v>
                </c:pt>
                <c:pt idx="5">
                  <c:v>825890.03000000201</c:v>
                </c:pt>
                <c:pt idx="6">
                  <c:v>902522.27999999921</c:v>
                </c:pt>
                <c:pt idx="7">
                  <c:v>686126.58000000042</c:v>
                </c:pt>
              </c:numCache>
            </c:numRef>
          </c:val>
          <c:smooth val="0"/>
        </c:ser>
        <c:ser>
          <c:idx val="4"/>
          <c:order val="4"/>
          <c:tx>
            <c:strRef>
              <c:f>'Pivot Table 0'!$J$71:$J$72</c:f>
              <c:strCache>
                <c:ptCount val="1"/>
                <c:pt idx="0">
                  <c:v>Shoes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0'!$J$73:$J$81</c:f>
              <c:numCache>
                <c:formatCode>[$$-409]#,##0</c:formatCode>
                <c:ptCount val="8"/>
                <c:pt idx="0">
                  <c:v>656180.39999999898</c:v>
                </c:pt>
                <c:pt idx="1">
                  <c:v>1042700.0999999981</c:v>
                </c:pt>
                <c:pt idx="2">
                  <c:v>788801.72000000009</c:v>
                </c:pt>
                <c:pt idx="3">
                  <c:v>970381.37999999919</c:v>
                </c:pt>
                <c:pt idx="4">
                  <c:v>1299068.2500000005</c:v>
                </c:pt>
                <c:pt idx="5">
                  <c:v>955918.00000000047</c:v>
                </c:pt>
                <c:pt idx="6">
                  <c:v>730209.9999999986</c:v>
                </c:pt>
                <c:pt idx="7">
                  <c:v>600889.80000000226</c:v>
                </c:pt>
              </c:numCache>
            </c:numRef>
          </c:val>
          <c:smooth val="0"/>
        </c:ser>
        <c:ser>
          <c:idx val="5"/>
          <c:order val="5"/>
          <c:tx>
            <c:strRef>
              <c:f>'Pivot Table 0'!$K$71:$K$72</c:f>
              <c:strCache>
                <c:ptCount val="1"/>
                <c:pt idx="0">
                  <c:v>Tops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0'!$K$73:$K$81</c:f>
              <c:numCache>
                <c:formatCode>[$$-409]#,##0</c:formatCode>
                <c:ptCount val="8"/>
                <c:pt idx="0">
                  <c:v>410001.74999999948</c:v>
                </c:pt>
                <c:pt idx="1">
                  <c:v>481344.75000000029</c:v>
                </c:pt>
                <c:pt idx="2">
                  <c:v>232546.87999999957</c:v>
                </c:pt>
                <c:pt idx="3">
                  <c:v>504547.44000000058</c:v>
                </c:pt>
                <c:pt idx="4">
                  <c:v>486242.60000000126</c:v>
                </c:pt>
                <c:pt idx="5">
                  <c:v>300133.43999999913</c:v>
                </c:pt>
                <c:pt idx="6">
                  <c:v>129916.63999999988</c:v>
                </c:pt>
                <c:pt idx="7">
                  <c:v>796082.90999999992</c:v>
                </c:pt>
              </c:numCache>
            </c:numRef>
          </c:val>
          <c:smooth val="0"/>
        </c:ser>
        <c:dLbls>
          <c:showLegendKey val="0"/>
          <c:showVal val="0"/>
          <c:showCatName val="0"/>
          <c:showSerName val="0"/>
          <c:showPercent val="0"/>
          <c:showBubbleSize val="0"/>
        </c:dLbls>
        <c:marker val="1"/>
        <c:smooth val="0"/>
        <c:axId val="279135744"/>
        <c:axId val="279137280"/>
      </c:lineChart>
      <c:catAx>
        <c:axId val="279135744"/>
        <c:scaling>
          <c:orientation val="minMax"/>
        </c:scaling>
        <c:delete val="0"/>
        <c:axPos val="b"/>
        <c:majorTickMark val="out"/>
        <c:minorTickMark val="none"/>
        <c:tickLblPos val="nextTo"/>
        <c:crossAx val="279137280"/>
        <c:crosses val="autoZero"/>
        <c:auto val="1"/>
        <c:lblAlgn val="ctr"/>
        <c:lblOffset val="100"/>
        <c:noMultiLvlLbl val="0"/>
      </c:catAx>
      <c:valAx>
        <c:axId val="279137280"/>
        <c:scaling>
          <c:orientation val="minMax"/>
        </c:scaling>
        <c:delete val="0"/>
        <c:axPos val="l"/>
        <c:majorGridlines/>
        <c:numFmt formatCode="[$$-409]#,##0" sourceLinked="1"/>
        <c:majorTickMark val="out"/>
        <c:minorTickMark val="none"/>
        <c:tickLblPos val="nextTo"/>
        <c:crossAx val="279135744"/>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'Pivot Table 0'!$Y$85</c:f>
              <c:strCache>
                <c:ptCount val="1"/>
                <c:pt idx="0">
                  <c:v>Age of Inventory</c:v>
                </c:pt>
              </c:strCache>
            </c:strRef>
          </c:tx>
          <c:marker>
            <c:symbol val="none"/>
          </c:marker>
          <c:cat>
            <c:multiLvlStrRef>
              <c:f>'Pivot Table 0'!$T$86:$X$91</c:f>
              <c:multiLvlStrCache>
                <c:ptCount val="6"/>
                <c:lvl>
                  <c:pt idx="0">
                    <c:v>Brown</c:v>
                  </c:pt>
                  <c:pt idx="1">
                    <c:v>Purple</c:v>
                  </c:pt>
                  <c:pt idx="2">
                    <c:v>Pink</c:v>
                  </c:pt>
                  <c:pt idx="3">
                    <c:v>Red</c:v>
                  </c:pt>
                  <c:pt idx="4">
                    <c:v>White</c:v>
                  </c:pt>
                  <c:pt idx="5">
                    <c:v>White</c:v>
                  </c:pt>
                </c:lvl>
                <c:lvl>
                  <c:pt idx="0">
                    <c:v>Spring</c:v>
                  </c:pt>
                  <c:pt idx="1">
                    <c:v>Spring</c:v>
                  </c:pt>
                  <c:pt idx="2">
                    <c:v>Spring</c:v>
                  </c:pt>
                  <c:pt idx="3">
                    <c:v>Spring</c:v>
                  </c:pt>
                  <c:pt idx="4">
                    <c:v>Spring</c:v>
                  </c:pt>
                  <c:pt idx="5">
                    <c:v>Spring</c:v>
                  </c:pt>
                </c:lvl>
                <c:lvl>
                  <c:pt idx="1">
                    <c:v>L</c:v>
                  </c:pt>
                  <c:pt idx="2">
                    <c:v>XS</c:v>
                  </c:pt>
                  <c:pt idx="3">
                    <c:v>XS</c:v>
                  </c:pt>
                  <c:pt idx="4">
                    <c:v>XS</c:v>
                  </c:pt>
                  <c:pt idx="5">
                    <c:v>L</c:v>
                  </c:pt>
                </c:lvl>
                <c:lvl>
                  <c:pt idx="0">
                    <c:v>Forever21</c:v>
                  </c:pt>
                  <c:pt idx="1">
                    <c:v>Uniqlo</c:v>
                  </c:pt>
                  <c:pt idx="2">
                    <c:v>Mango</c:v>
                  </c:pt>
                  <c:pt idx="3">
                    <c:v>Uniqlo</c:v>
                  </c:pt>
                  <c:pt idx="4">
                    <c:v>Mango</c:v>
                  </c:pt>
                  <c:pt idx="5">
                    <c:v>H&amp;M</c:v>
                  </c:pt>
                </c:lvl>
                <c:lvl>
                  <c:pt idx="0">
                    <c:v>Accessories</c:v>
                  </c:pt>
                  <c:pt idx="1">
                    <c:v>Dresses</c:v>
                  </c:pt>
                  <c:pt idx="2">
                    <c:v>Shoes</c:v>
                  </c:pt>
                  <c:pt idx="3">
                    <c:v>Tops</c:v>
                  </c:pt>
                  <c:pt idx="4">
                    <c:v>Outerwear</c:v>
                  </c:pt>
                  <c:pt idx="5">
                    <c:v>Bottoms</c:v>
                  </c:pt>
                </c:lvl>
              </c:multiLvlStrCache>
            </c:multiLvlStrRef>
          </c:cat>
          <c:val>
            <c:numRef>
              <c:f>'Pivot Table 0'!$Y$86:$Y$91</c:f>
              <c:numCache>
                <c:formatCode>General</c:formatCode>
                <c:ptCount val="6"/>
                <c:pt idx="0">
                  <c:v>392</c:v>
                </c:pt>
                <c:pt idx="1">
                  <c:v>391</c:v>
                </c:pt>
                <c:pt idx="2">
                  <c:v>390</c:v>
                </c:pt>
                <c:pt idx="3">
                  <c:v>388</c:v>
                </c:pt>
                <c:pt idx="4">
                  <c:v>386</c:v>
                </c:pt>
                <c:pt idx="5">
                  <c:v>382</c:v>
                </c:pt>
              </c:numCache>
            </c:numRef>
          </c:val>
          <c:smooth val="1"/>
        </c:ser>
        <c:dLbls>
          <c:dLblPos val="t"/>
          <c:showLegendKey val="0"/>
          <c:showVal val="1"/>
          <c:showCatName val="0"/>
          <c:showSerName val="0"/>
          <c:showPercent val="0"/>
          <c:showBubbleSize val="0"/>
        </c:dLbls>
        <c:marker val="1"/>
        <c:smooth val="0"/>
        <c:axId val="279149952"/>
        <c:axId val="279155840"/>
      </c:lineChart>
      <c:catAx>
        <c:axId val="279149952"/>
        <c:scaling>
          <c:orientation val="minMax"/>
        </c:scaling>
        <c:delete val="0"/>
        <c:axPos val="b"/>
        <c:numFmt formatCode="General" sourceLinked="1"/>
        <c:majorTickMark val="none"/>
        <c:minorTickMark val="none"/>
        <c:tickLblPos val="nextTo"/>
        <c:spPr>
          <a:ln w="9525">
            <a:noFill/>
          </a:ln>
        </c:spPr>
        <c:crossAx val="279155840"/>
        <c:crosses val="autoZero"/>
        <c:auto val="1"/>
        <c:lblAlgn val="ctr"/>
        <c:lblOffset val="100"/>
        <c:noMultiLvlLbl val="0"/>
      </c:catAx>
      <c:valAx>
        <c:axId val="279155840"/>
        <c:scaling>
          <c:orientation val="minMax"/>
        </c:scaling>
        <c:delete val="1"/>
        <c:axPos val="l"/>
        <c:numFmt formatCode="General" sourceLinked="1"/>
        <c:majorTickMark val="none"/>
        <c:minorTickMark val="none"/>
        <c:tickLblPos val="nextTo"/>
        <c:crossAx val="2791499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0!PivotTable12</c:name>
    <c:fmtId val="9"/>
  </c:pivotSource>
  <c:chart>
    <c:title>
      <c:tx>
        <c:rich>
          <a:bodyPr/>
          <a:lstStyle/>
          <a:p>
            <a:pPr>
              <a:defRPr/>
            </a:pPr>
            <a:r>
              <a:rPr lang="en-US"/>
              <a:t>Total</a:t>
            </a:r>
            <a:r>
              <a:rPr lang="id-ID"/>
              <a:t> Sales Per Brand</a:t>
            </a:r>
            <a:endParaRPr lang="en-US"/>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Table 0'!$Q$8</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 Table 0'!$P$9:$P$17</c:f>
              <c:strCache>
                <c:ptCount val="8"/>
                <c:pt idx="0">
                  <c:v>Ann Taylor</c:v>
                </c:pt>
                <c:pt idx="1">
                  <c:v>Banana Republic</c:v>
                </c:pt>
                <c:pt idx="2">
                  <c:v>Forever21</c:v>
                </c:pt>
                <c:pt idx="3">
                  <c:v>Gap</c:v>
                </c:pt>
                <c:pt idx="4">
                  <c:v>H&amp;M</c:v>
                </c:pt>
                <c:pt idx="5">
                  <c:v>Mango</c:v>
                </c:pt>
                <c:pt idx="6">
                  <c:v>Uniqlo</c:v>
                </c:pt>
                <c:pt idx="7">
                  <c:v>Zara</c:v>
                </c:pt>
              </c:strCache>
            </c:strRef>
          </c:cat>
          <c:val>
            <c:numRef>
              <c:f>'Pivot Table 0'!$Q$9:$Q$17</c:f>
              <c:numCache>
                <c:formatCode>#,##0</c:formatCode>
                <c:ptCount val="8"/>
                <c:pt idx="0">
                  <c:v>257</c:v>
                </c:pt>
                <c:pt idx="1">
                  <c:v>285</c:v>
                </c:pt>
                <c:pt idx="2">
                  <c:v>250</c:v>
                </c:pt>
                <c:pt idx="3">
                  <c:v>244</c:v>
                </c:pt>
                <c:pt idx="4">
                  <c:v>283</c:v>
                </c:pt>
                <c:pt idx="5">
                  <c:v>284</c:v>
                </c:pt>
                <c:pt idx="6">
                  <c:v>260</c:v>
                </c:pt>
                <c:pt idx="7">
                  <c:v>313</c:v>
                </c:pt>
              </c:numCache>
            </c:numRef>
          </c:val>
        </c:ser>
        <c:dLbls>
          <c:showLegendKey val="0"/>
          <c:showVal val="1"/>
          <c:showCatName val="0"/>
          <c:showSerName val="0"/>
          <c:showPercent val="0"/>
          <c:showBubbleSize val="0"/>
        </c:dLbls>
        <c:gapWidth val="150"/>
        <c:overlap val="-25"/>
        <c:axId val="279270144"/>
        <c:axId val="279272832"/>
      </c:barChart>
      <c:catAx>
        <c:axId val="279270144"/>
        <c:scaling>
          <c:orientation val="minMax"/>
        </c:scaling>
        <c:delete val="0"/>
        <c:axPos val="b"/>
        <c:majorTickMark val="none"/>
        <c:minorTickMark val="none"/>
        <c:tickLblPos val="nextTo"/>
        <c:crossAx val="279272832"/>
        <c:crosses val="autoZero"/>
        <c:auto val="1"/>
        <c:lblAlgn val="ctr"/>
        <c:lblOffset val="100"/>
        <c:noMultiLvlLbl val="0"/>
      </c:catAx>
      <c:valAx>
        <c:axId val="279272832"/>
        <c:scaling>
          <c:orientation val="minMax"/>
        </c:scaling>
        <c:delete val="1"/>
        <c:axPos val="l"/>
        <c:numFmt formatCode="#,##0" sourceLinked="1"/>
        <c:majorTickMark val="out"/>
        <c:minorTickMark val="none"/>
        <c:tickLblPos val="nextTo"/>
        <c:crossAx val="27927014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0!PivotTable13</c:name>
    <c:fmtId val="9"/>
  </c:pivotSource>
  <c:chart>
    <c:title>
      <c:tx>
        <c:rich>
          <a:bodyPr/>
          <a:lstStyle/>
          <a:p>
            <a:pPr>
              <a:defRPr/>
            </a:pPr>
            <a:r>
              <a:rPr lang="en-US"/>
              <a:t> </a:t>
            </a:r>
            <a:r>
              <a:rPr lang="id-ID"/>
              <a:t>Total</a:t>
            </a:r>
            <a:r>
              <a:rPr lang="id-ID" baseline="0"/>
              <a:t> Sales Per Kategory</a:t>
            </a:r>
            <a:endParaRPr lang="en-US"/>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Table 0'!$Q$20</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 Table 0'!$P$21:$P$27</c:f>
              <c:strCache>
                <c:ptCount val="6"/>
                <c:pt idx="0">
                  <c:v>Accessories</c:v>
                </c:pt>
                <c:pt idx="1">
                  <c:v>Bottoms</c:v>
                </c:pt>
                <c:pt idx="2">
                  <c:v>Dresses</c:v>
                </c:pt>
                <c:pt idx="3">
                  <c:v>Outerwear</c:v>
                </c:pt>
                <c:pt idx="4">
                  <c:v>Shoes</c:v>
                </c:pt>
                <c:pt idx="5">
                  <c:v>Tops</c:v>
                </c:pt>
              </c:strCache>
            </c:strRef>
          </c:cat>
          <c:val>
            <c:numRef>
              <c:f>'Pivot Table 0'!$Q$21:$Q$27</c:f>
              <c:numCache>
                <c:formatCode>#,##0</c:formatCode>
                <c:ptCount val="6"/>
                <c:pt idx="0">
                  <c:v>402</c:v>
                </c:pt>
                <c:pt idx="1">
                  <c:v>392</c:v>
                </c:pt>
                <c:pt idx="2">
                  <c:v>317</c:v>
                </c:pt>
                <c:pt idx="3">
                  <c:v>334</c:v>
                </c:pt>
                <c:pt idx="4">
                  <c:v>372</c:v>
                </c:pt>
                <c:pt idx="5">
                  <c:v>359</c:v>
                </c:pt>
              </c:numCache>
            </c:numRef>
          </c:val>
        </c:ser>
        <c:dLbls>
          <c:showLegendKey val="0"/>
          <c:showVal val="1"/>
          <c:showCatName val="0"/>
          <c:showSerName val="0"/>
          <c:showPercent val="0"/>
          <c:showBubbleSize val="0"/>
        </c:dLbls>
        <c:gapWidth val="150"/>
        <c:overlap val="-25"/>
        <c:axId val="279284736"/>
        <c:axId val="279291776"/>
      </c:barChart>
      <c:catAx>
        <c:axId val="279284736"/>
        <c:scaling>
          <c:orientation val="minMax"/>
        </c:scaling>
        <c:delete val="0"/>
        <c:axPos val="b"/>
        <c:majorTickMark val="none"/>
        <c:minorTickMark val="none"/>
        <c:tickLblPos val="nextTo"/>
        <c:crossAx val="279291776"/>
        <c:crosses val="autoZero"/>
        <c:auto val="1"/>
        <c:lblAlgn val="ctr"/>
        <c:lblOffset val="100"/>
        <c:noMultiLvlLbl val="0"/>
      </c:catAx>
      <c:valAx>
        <c:axId val="279291776"/>
        <c:scaling>
          <c:orientation val="minMax"/>
        </c:scaling>
        <c:delete val="1"/>
        <c:axPos val="l"/>
        <c:numFmt formatCode="#,##0" sourceLinked="1"/>
        <c:majorTickMark val="out"/>
        <c:minorTickMark val="none"/>
        <c:tickLblPos val="nextTo"/>
        <c:crossAx val="27928473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b="0" i="0" u="none" strike="noStrike" baseline="0">
                <a:effectLst/>
              </a:rPr>
              <a:t>Stock Inventory for most longest inventory age per category</a:t>
            </a:r>
            <a:r>
              <a:rPr lang="en-US" sz="1000" b="1" i="0" u="none" strike="noStrike" baseline="0"/>
              <a:t> </a:t>
            </a:r>
            <a:endParaRPr lang="en-US" sz="1000"/>
          </a:p>
        </c:rich>
      </c:tx>
      <c:overlay val="0"/>
    </c:title>
    <c:autoTitleDeleted val="0"/>
    <c:plotArea>
      <c:layout/>
      <c:lineChart>
        <c:grouping val="stacked"/>
        <c:varyColors val="0"/>
        <c:ser>
          <c:idx val="0"/>
          <c:order val="0"/>
          <c:tx>
            <c:strRef>
              <c:f>'Pivot Tabel 1'!$H$4</c:f>
              <c:strCache>
                <c:ptCount val="1"/>
                <c:pt idx="0">
                  <c:v>Age of Inventory</c:v>
                </c:pt>
              </c:strCache>
            </c:strRef>
          </c:tx>
          <c:marker>
            <c:symbol val="none"/>
          </c:marker>
          <c:dLbls>
            <c:txPr>
              <a:bodyPr/>
              <a:lstStyle/>
              <a:p>
                <a:pPr>
                  <a:defRPr sz="800"/>
                </a:pPr>
                <a:endParaRPr lang="en-US"/>
              </a:p>
            </c:txPr>
            <c:dLblPos val="t"/>
            <c:showLegendKey val="0"/>
            <c:showVal val="1"/>
            <c:showCatName val="0"/>
            <c:showSerName val="0"/>
            <c:showPercent val="0"/>
            <c:showBubbleSize val="0"/>
            <c:showLeaderLines val="0"/>
          </c:dLbls>
          <c:cat>
            <c:multiLvlStrRef>
              <c:f>'Pivot Tabel 1'!$C$5:$G$10</c:f>
              <c:multiLvlStrCache>
                <c:ptCount val="6"/>
                <c:lvl>
                  <c:pt idx="0">
                    <c:v>Brown</c:v>
                  </c:pt>
                  <c:pt idx="1">
                    <c:v>Purple</c:v>
                  </c:pt>
                  <c:pt idx="2">
                    <c:v>Pink</c:v>
                  </c:pt>
                  <c:pt idx="3">
                    <c:v>Red</c:v>
                  </c:pt>
                  <c:pt idx="4">
                    <c:v>White</c:v>
                  </c:pt>
                  <c:pt idx="5">
                    <c:v>White</c:v>
                  </c:pt>
                </c:lvl>
                <c:lvl>
                  <c:pt idx="0">
                    <c:v>Spring</c:v>
                  </c:pt>
                  <c:pt idx="1">
                    <c:v>Spring</c:v>
                  </c:pt>
                  <c:pt idx="2">
                    <c:v>Spring</c:v>
                  </c:pt>
                  <c:pt idx="3">
                    <c:v>Spring</c:v>
                  </c:pt>
                  <c:pt idx="4">
                    <c:v>Spring</c:v>
                  </c:pt>
                  <c:pt idx="5">
                    <c:v>Spring</c:v>
                  </c:pt>
                </c:lvl>
                <c:lvl>
                  <c:pt idx="1">
                    <c:v>L</c:v>
                  </c:pt>
                  <c:pt idx="2">
                    <c:v>XS</c:v>
                  </c:pt>
                  <c:pt idx="3">
                    <c:v>XS</c:v>
                  </c:pt>
                  <c:pt idx="4">
                    <c:v>XS</c:v>
                  </c:pt>
                  <c:pt idx="5">
                    <c:v>L</c:v>
                  </c:pt>
                </c:lvl>
                <c:lvl>
                  <c:pt idx="0">
                    <c:v>Forever21</c:v>
                  </c:pt>
                  <c:pt idx="1">
                    <c:v>Uniqlo</c:v>
                  </c:pt>
                  <c:pt idx="2">
                    <c:v>Mango</c:v>
                  </c:pt>
                  <c:pt idx="3">
                    <c:v>Uniqlo</c:v>
                  </c:pt>
                  <c:pt idx="4">
                    <c:v>Mango</c:v>
                  </c:pt>
                  <c:pt idx="5">
                    <c:v>H&amp;M</c:v>
                  </c:pt>
                </c:lvl>
                <c:lvl>
                  <c:pt idx="0">
                    <c:v>Accessories</c:v>
                  </c:pt>
                  <c:pt idx="1">
                    <c:v>Dresses</c:v>
                  </c:pt>
                  <c:pt idx="2">
                    <c:v>Shoes</c:v>
                  </c:pt>
                  <c:pt idx="3">
                    <c:v>Tops</c:v>
                  </c:pt>
                  <c:pt idx="4">
                    <c:v>Outerwear</c:v>
                  </c:pt>
                  <c:pt idx="5">
                    <c:v>Bottoms</c:v>
                  </c:pt>
                </c:lvl>
              </c:multiLvlStrCache>
            </c:multiLvlStrRef>
          </c:cat>
          <c:val>
            <c:numRef>
              <c:f>'Pivot Tabel 1'!$H$5:$H$10</c:f>
              <c:numCache>
                <c:formatCode>General</c:formatCode>
                <c:ptCount val="6"/>
                <c:pt idx="0">
                  <c:v>392</c:v>
                </c:pt>
                <c:pt idx="1">
                  <c:v>391</c:v>
                </c:pt>
                <c:pt idx="2">
                  <c:v>390</c:v>
                </c:pt>
                <c:pt idx="3">
                  <c:v>388</c:v>
                </c:pt>
                <c:pt idx="4">
                  <c:v>386</c:v>
                </c:pt>
                <c:pt idx="5">
                  <c:v>382</c:v>
                </c:pt>
              </c:numCache>
            </c:numRef>
          </c:val>
          <c:smooth val="0"/>
        </c:ser>
        <c:ser>
          <c:idx val="1"/>
          <c:order val="1"/>
          <c:tx>
            <c:strRef>
              <c:f>'Pivot Tabel 1'!$I$4</c:f>
              <c:strCache>
                <c:ptCount val="1"/>
                <c:pt idx="0">
                  <c:v>Stock Inventory</c:v>
                </c:pt>
              </c:strCache>
            </c:strRef>
          </c:tx>
          <c:marker>
            <c:symbol val="none"/>
          </c:marker>
          <c:dLbls>
            <c:txPr>
              <a:bodyPr/>
              <a:lstStyle/>
              <a:p>
                <a:pPr>
                  <a:defRPr sz="800"/>
                </a:pPr>
                <a:endParaRPr lang="en-US"/>
              </a:p>
            </c:txPr>
            <c:dLblPos val="t"/>
            <c:showLegendKey val="0"/>
            <c:showVal val="1"/>
            <c:showCatName val="0"/>
            <c:showSerName val="0"/>
            <c:showPercent val="0"/>
            <c:showBubbleSize val="0"/>
            <c:showLeaderLines val="0"/>
          </c:dLbls>
          <c:cat>
            <c:multiLvlStrRef>
              <c:f>'Pivot Tabel 1'!$C$5:$G$10</c:f>
              <c:multiLvlStrCache>
                <c:ptCount val="6"/>
                <c:lvl>
                  <c:pt idx="0">
                    <c:v>Brown</c:v>
                  </c:pt>
                  <c:pt idx="1">
                    <c:v>Purple</c:v>
                  </c:pt>
                  <c:pt idx="2">
                    <c:v>Pink</c:v>
                  </c:pt>
                  <c:pt idx="3">
                    <c:v>Red</c:v>
                  </c:pt>
                  <c:pt idx="4">
                    <c:v>White</c:v>
                  </c:pt>
                  <c:pt idx="5">
                    <c:v>White</c:v>
                  </c:pt>
                </c:lvl>
                <c:lvl>
                  <c:pt idx="0">
                    <c:v>Spring</c:v>
                  </c:pt>
                  <c:pt idx="1">
                    <c:v>Spring</c:v>
                  </c:pt>
                  <c:pt idx="2">
                    <c:v>Spring</c:v>
                  </c:pt>
                  <c:pt idx="3">
                    <c:v>Spring</c:v>
                  </c:pt>
                  <c:pt idx="4">
                    <c:v>Spring</c:v>
                  </c:pt>
                  <c:pt idx="5">
                    <c:v>Spring</c:v>
                  </c:pt>
                </c:lvl>
                <c:lvl>
                  <c:pt idx="1">
                    <c:v>L</c:v>
                  </c:pt>
                  <c:pt idx="2">
                    <c:v>XS</c:v>
                  </c:pt>
                  <c:pt idx="3">
                    <c:v>XS</c:v>
                  </c:pt>
                  <c:pt idx="4">
                    <c:v>XS</c:v>
                  </c:pt>
                  <c:pt idx="5">
                    <c:v>L</c:v>
                  </c:pt>
                </c:lvl>
                <c:lvl>
                  <c:pt idx="0">
                    <c:v>Forever21</c:v>
                  </c:pt>
                  <c:pt idx="1">
                    <c:v>Uniqlo</c:v>
                  </c:pt>
                  <c:pt idx="2">
                    <c:v>Mango</c:v>
                  </c:pt>
                  <c:pt idx="3">
                    <c:v>Uniqlo</c:v>
                  </c:pt>
                  <c:pt idx="4">
                    <c:v>Mango</c:v>
                  </c:pt>
                  <c:pt idx="5">
                    <c:v>H&amp;M</c:v>
                  </c:pt>
                </c:lvl>
                <c:lvl>
                  <c:pt idx="0">
                    <c:v>Accessories</c:v>
                  </c:pt>
                  <c:pt idx="1">
                    <c:v>Dresses</c:v>
                  </c:pt>
                  <c:pt idx="2">
                    <c:v>Shoes</c:v>
                  </c:pt>
                  <c:pt idx="3">
                    <c:v>Tops</c:v>
                  </c:pt>
                  <c:pt idx="4">
                    <c:v>Outerwear</c:v>
                  </c:pt>
                  <c:pt idx="5">
                    <c:v>Bottoms</c:v>
                  </c:pt>
                </c:lvl>
              </c:multiLvlStrCache>
            </c:multiLvlStrRef>
          </c:cat>
          <c:val>
            <c:numRef>
              <c:f>'Pivot Tabel 1'!$I$5:$I$10</c:f>
              <c:numCache>
                <c:formatCode>General</c:formatCode>
                <c:ptCount val="6"/>
                <c:pt idx="0">
                  <c:v>36</c:v>
                </c:pt>
                <c:pt idx="1">
                  <c:v>8</c:v>
                </c:pt>
                <c:pt idx="2">
                  <c:v>44</c:v>
                </c:pt>
                <c:pt idx="3">
                  <c:v>29</c:v>
                </c:pt>
                <c:pt idx="4">
                  <c:v>43</c:v>
                </c:pt>
                <c:pt idx="5">
                  <c:v>39</c:v>
                </c:pt>
              </c:numCache>
            </c:numRef>
          </c:val>
          <c:smooth val="0"/>
        </c:ser>
        <c:dLbls>
          <c:dLblPos val="t"/>
          <c:showLegendKey val="0"/>
          <c:showVal val="1"/>
          <c:showCatName val="0"/>
          <c:showSerName val="0"/>
          <c:showPercent val="0"/>
          <c:showBubbleSize val="0"/>
        </c:dLbls>
        <c:marker val="1"/>
        <c:smooth val="0"/>
        <c:axId val="281437312"/>
        <c:axId val="281438848"/>
      </c:lineChart>
      <c:catAx>
        <c:axId val="281437312"/>
        <c:scaling>
          <c:orientation val="minMax"/>
        </c:scaling>
        <c:delete val="0"/>
        <c:axPos val="b"/>
        <c:majorTickMark val="none"/>
        <c:minorTickMark val="none"/>
        <c:tickLblPos val="nextTo"/>
        <c:txPr>
          <a:bodyPr/>
          <a:lstStyle/>
          <a:p>
            <a:pPr>
              <a:defRPr sz="800"/>
            </a:pPr>
            <a:endParaRPr lang="en-US"/>
          </a:p>
        </c:txPr>
        <c:crossAx val="281438848"/>
        <c:crosses val="autoZero"/>
        <c:auto val="1"/>
        <c:lblAlgn val="ctr"/>
        <c:lblOffset val="100"/>
        <c:noMultiLvlLbl val="0"/>
      </c:catAx>
      <c:valAx>
        <c:axId val="281438848"/>
        <c:scaling>
          <c:orientation val="minMax"/>
        </c:scaling>
        <c:delete val="1"/>
        <c:axPos val="l"/>
        <c:numFmt formatCode="General" sourceLinked="1"/>
        <c:majorTickMark val="none"/>
        <c:minorTickMark val="none"/>
        <c:tickLblPos val="nextTo"/>
        <c:crossAx val="281437312"/>
        <c:crosses val="autoZero"/>
        <c:crossBetween val="between"/>
      </c:valAx>
    </c:plotArea>
    <c:legend>
      <c:legendPos val="b"/>
      <c:overlay val="0"/>
      <c:txPr>
        <a:bodyPr/>
        <a:lstStyle/>
        <a:p>
          <a:pPr>
            <a:defRPr sz="800"/>
          </a:pPr>
          <a:endParaRPr lang="en-US"/>
        </a:p>
      </c:txPr>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en-US" sz="1050"/>
              <a:t>Percentage of is </a:t>
            </a:r>
            <a:r>
              <a:rPr lang="id-ID" sz="1050"/>
              <a:t>R</a:t>
            </a:r>
            <a:r>
              <a:rPr lang="en-US" sz="1050"/>
              <a:t>eturn</a:t>
            </a:r>
            <a:r>
              <a:rPr lang="id-ID" sz="1050"/>
              <a:t>ed</a:t>
            </a:r>
            <a:r>
              <a:rPr lang="en-US" sz="1050"/>
              <a:t> </a:t>
            </a:r>
            <a:r>
              <a:rPr lang="id-ID" sz="1050"/>
              <a:t>D</a:t>
            </a:r>
            <a:r>
              <a:rPr lang="en-US" sz="1050"/>
              <a:t>iscount </a:t>
            </a:r>
            <a:r>
              <a:rPr lang="id-ID" sz="1050"/>
              <a:t>P</a:t>
            </a:r>
            <a:r>
              <a:rPr lang="en-US" sz="1050"/>
              <a:t>roduct</a:t>
            </a:r>
          </a:p>
        </c:rich>
      </c:tx>
      <c:overlay val="0"/>
    </c:title>
    <c:autoTitleDeleted val="0"/>
    <c:plotArea>
      <c:layout/>
      <c:barChart>
        <c:barDir val="col"/>
        <c:grouping val="stacked"/>
        <c:varyColors val="0"/>
        <c:ser>
          <c:idx val="0"/>
          <c:order val="0"/>
          <c:tx>
            <c:strRef>
              <c:f>'Pivot Tabel 1'!$D$39</c:f>
              <c:strCache>
                <c:ptCount val="1"/>
                <c:pt idx="0">
                  <c:v>Percentage of is return discount product</c:v>
                </c:pt>
              </c:strCache>
            </c:strRef>
          </c:tx>
          <c:invertIfNegative val="0"/>
          <c:cat>
            <c:strRef>
              <c:f>'Pivot Tabel 1'!$C$40:$C$42</c:f>
              <c:strCache>
                <c:ptCount val="3"/>
                <c:pt idx="0">
                  <c:v>mp&gt;30</c:v>
                </c:pt>
                <c:pt idx="1">
                  <c:v>0&lt;mp&lt;30</c:v>
                </c:pt>
                <c:pt idx="2">
                  <c:v>mp&gt;50</c:v>
                </c:pt>
              </c:strCache>
            </c:strRef>
          </c:cat>
          <c:val>
            <c:numRef>
              <c:f>'Pivot Tabel 1'!$D$40:$D$42</c:f>
              <c:numCache>
                <c:formatCode>0.0</c:formatCode>
                <c:ptCount val="3"/>
                <c:pt idx="0" formatCode="0">
                  <c:v>14.960629921259844</c:v>
                </c:pt>
                <c:pt idx="1">
                  <c:v>16.107382550335569</c:v>
                </c:pt>
                <c:pt idx="2">
                  <c:v>13.013698630136986</c:v>
                </c:pt>
              </c:numCache>
            </c:numRef>
          </c:val>
        </c:ser>
        <c:dLbls>
          <c:dLblPos val="inEnd"/>
          <c:showLegendKey val="0"/>
          <c:showVal val="1"/>
          <c:showCatName val="0"/>
          <c:showSerName val="0"/>
          <c:showPercent val="0"/>
          <c:showBubbleSize val="0"/>
        </c:dLbls>
        <c:gapWidth val="150"/>
        <c:overlap val="100"/>
        <c:axId val="281464192"/>
        <c:axId val="281482368"/>
      </c:barChart>
      <c:catAx>
        <c:axId val="281464192"/>
        <c:scaling>
          <c:orientation val="minMax"/>
        </c:scaling>
        <c:delete val="0"/>
        <c:axPos val="b"/>
        <c:majorTickMark val="out"/>
        <c:minorTickMark val="none"/>
        <c:tickLblPos val="nextTo"/>
        <c:crossAx val="281482368"/>
        <c:crosses val="autoZero"/>
        <c:auto val="1"/>
        <c:lblAlgn val="ctr"/>
        <c:lblOffset val="100"/>
        <c:noMultiLvlLbl val="0"/>
      </c:catAx>
      <c:valAx>
        <c:axId val="281482368"/>
        <c:scaling>
          <c:orientation val="minMax"/>
        </c:scaling>
        <c:delete val="0"/>
        <c:axPos val="l"/>
        <c:majorGridlines/>
        <c:numFmt formatCode="0" sourceLinked="1"/>
        <c:majorTickMark val="out"/>
        <c:minorTickMark val="none"/>
        <c:tickLblPos val="nextTo"/>
        <c:crossAx val="281464192"/>
        <c:crosses val="autoZero"/>
        <c:crossBetween val="between"/>
      </c:valAx>
    </c:plotArea>
    <c:legend>
      <c:legendPos val="r"/>
      <c:overlay val="0"/>
      <c:txPr>
        <a:bodyPr/>
        <a:lstStyle/>
        <a:p>
          <a:pPr>
            <a:defRPr sz="900"/>
          </a:pPr>
          <a:endParaRPr lang="en-US"/>
        </a:p>
      </c:tx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9350701766536352"/>
          <c:y val="2.2688771246716716E-2"/>
        </c:manualLayout>
      </c:layout>
      <c:overlay val="0"/>
    </c:title>
    <c:autoTitleDeleted val="0"/>
    <c:plotArea>
      <c:layout/>
      <c:lineChart>
        <c:grouping val="standard"/>
        <c:varyColors val="0"/>
        <c:ser>
          <c:idx val="0"/>
          <c:order val="0"/>
          <c:tx>
            <c:strRef>
              <c:f>'Pivot Table 2'!$H$53</c:f>
              <c:strCache>
                <c:ptCount val="1"/>
                <c:pt idx="0">
                  <c:v>Average of Customer Rating</c:v>
                </c:pt>
              </c:strCache>
            </c:strRef>
          </c:tx>
          <c:marker>
            <c:symbol val="none"/>
          </c:marker>
          <c:cat>
            <c:strRef>
              <c:f>'Pivot Table 2'!$G$54:$G$57</c:f>
              <c:strCache>
                <c:ptCount val="4"/>
                <c:pt idx="0">
                  <c:v>&gt;29%</c:v>
                </c:pt>
                <c:pt idx="1">
                  <c:v>&lt;29%</c:v>
                </c:pt>
                <c:pt idx="2">
                  <c:v>0</c:v>
                </c:pt>
                <c:pt idx="3">
                  <c:v>&gt;50</c:v>
                </c:pt>
              </c:strCache>
            </c:strRef>
          </c:cat>
          <c:val>
            <c:numRef>
              <c:f>'Pivot Table 2'!$H$54:$H$57</c:f>
              <c:numCache>
                <c:formatCode>0.00</c:formatCode>
                <c:ptCount val="4"/>
                <c:pt idx="0">
                  <c:v>2.9902862925417377</c:v>
                </c:pt>
                <c:pt idx="1">
                  <c:v>2.9864343505098558</c:v>
                </c:pt>
                <c:pt idx="2">
                  <c:v>3.0149269616811698</c:v>
                </c:pt>
                <c:pt idx="3">
                  <c:v>3.1478797262261682</c:v>
                </c:pt>
              </c:numCache>
            </c:numRef>
          </c:val>
          <c:smooth val="0"/>
        </c:ser>
        <c:dLbls>
          <c:showLegendKey val="0"/>
          <c:showVal val="0"/>
          <c:showCatName val="0"/>
          <c:showSerName val="0"/>
          <c:showPercent val="0"/>
          <c:showBubbleSize val="0"/>
        </c:dLbls>
        <c:marker val="1"/>
        <c:smooth val="0"/>
        <c:axId val="283929216"/>
        <c:axId val="283980160"/>
      </c:lineChart>
      <c:catAx>
        <c:axId val="283929216"/>
        <c:scaling>
          <c:orientation val="minMax"/>
        </c:scaling>
        <c:delete val="0"/>
        <c:axPos val="b"/>
        <c:majorTickMark val="out"/>
        <c:minorTickMark val="none"/>
        <c:tickLblPos val="nextTo"/>
        <c:crossAx val="283980160"/>
        <c:crosses val="autoZero"/>
        <c:auto val="1"/>
        <c:lblAlgn val="ctr"/>
        <c:lblOffset val="100"/>
        <c:noMultiLvlLbl val="0"/>
      </c:catAx>
      <c:valAx>
        <c:axId val="283980160"/>
        <c:scaling>
          <c:orientation val="minMax"/>
        </c:scaling>
        <c:delete val="0"/>
        <c:axPos val="l"/>
        <c:majorGridlines/>
        <c:numFmt formatCode="0.00" sourceLinked="1"/>
        <c:majorTickMark val="out"/>
        <c:minorTickMark val="none"/>
        <c:tickLblPos val="nextTo"/>
        <c:crossAx val="283929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'Pivot Table 2'!$K$53</c:f>
              <c:strCache>
                <c:ptCount val="1"/>
                <c:pt idx="0">
                  <c:v>Frequency</c:v>
                </c:pt>
              </c:strCache>
            </c:strRef>
          </c:tx>
          <c:marker>
            <c:symbol val="none"/>
          </c:marker>
          <c:cat>
            <c:strRef>
              <c:f>'Pivot Table 2'!$J$54:$J$59</c:f>
              <c:strCache>
                <c:ptCount val="6"/>
                <c:pt idx="0">
                  <c:v>Color Mismatch</c:v>
                </c:pt>
                <c:pt idx="1">
                  <c:v>Size Issue</c:v>
                </c:pt>
                <c:pt idx="2">
                  <c:v>Changed Mind</c:v>
                </c:pt>
                <c:pt idx="3">
                  <c:v>Quality Issue</c:v>
                </c:pt>
                <c:pt idx="4">
                  <c:v>Wrong Item</c:v>
                </c:pt>
                <c:pt idx="5">
                  <c:v>Damaged</c:v>
                </c:pt>
              </c:strCache>
            </c:strRef>
          </c:cat>
          <c:val>
            <c:numRef>
              <c:f>'Pivot Table 2'!$K$54:$K$59</c:f>
              <c:numCache>
                <c:formatCode>General</c:formatCode>
                <c:ptCount val="6"/>
                <c:pt idx="0">
                  <c:v>46</c:v>
                </c:pt>
                <c:pt idx="1">
                  <c:v>60</c:v>
                </c:pt>
                <c:pt idx="2">
                  <c:v>68</c:v>
                </c:pt>
                <c:pt idx="3">
                  <c:v>55</c:v>
                </c:pt>
                <c:pt idx="4">
                  <c:v>47</c:v>
                </c:pt>
                <c:pt idx="5">
                  <c:v>44</c:v>
                </c:pt>
              </c:numCache>
            </c:numRef>
          </c:val>
          <c:smooth val="0"/>
        </c:ser>
        <c:dLbls>
          <c:showLegendKey val="0"/>
          <c:showVal val="0"/>
          <c:showCatName val="0"/>
          <c:showSerName val="0"/>
          <c:showPercent val="0"/>
          <c:showBubbleSize val="0"/>
        </c:dLbls>
        <c:marker val="1"/>
        <c:smooth val="0"/>
        <c:axId val="284008832"/>
        <c:axId val="284010368"/>
      </c:lineChart>
      <c:catAx>
        <c:axId val="284008832"/>
        <c:scaling>
          <c:orientation val="minMax"/>
        </c:scaling>
        <c:delete val="0"/>
        <c:axPos val="b"/>
        <c:majorTickMark val="out"/>
        <c:minorTickMark val="none"/>
        <c:tickLblPos val="nextTo"/>
        <c:crossAx val="284010368"/>
        <c:crosses val="autoZero"/>
        <c:auto val="1"/>
        <c:lblAlgn val="ctr"/>
        <c:lblOffset val="100"/>
        <c:noMultiLvlLbl val="0"/>
      </c:catAx>
      <c:valAx>
        <c:axId val="284010368"/>
        <c:scaling>
          <c:orientation val="minMax"/>
        </c:scaling>
        <c:delete val="0"/>
        <c:axPos val="l"/>
        <c:majorGridlines/>
        <c:numFmt formatCode="General" sourceLinked="1"/>
        <c:majorTickMark val="out"/>
        <c:minorTickMark val="none"/>
        <c:tickLblPos val="nextTo"/>
        <c:crossAx val="2840088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2'!$H$64:$H$65</c:f>
              <c:strCache>
                <c:ptCount val="1"/>
                <c:pt idx="0">
                  <c:v>Accessories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2'!$H$66:$H$74</c:f>
              <c:numCache>
                <c:formatCode>0.0</c:formatCode>
                <c:ptCount val="8"/>
                <c:pt idx="0">
                  <c:v>3.2731707317073178</c:v>
                </c:pt>
                <c:pt idx="1">
                  <c:v>2.8694444444444449</c:v>
                </c:pt>
                <c:pt idx="2">
                  <c:v>2.8636363636363638</c:v>
                </c:pt>
                <c:pt idx="3">
                  <c:v>3.272093023255815</c:v>
                </c:pt>
                <c:pt idx="4">
                  <c:v>2.7333333333333329</c:v>
                </c:pt>
                <c:pt idx="5">
                  <c:v>2.5131578947368411</c:v>
                </c:pt>
                <c:pt idx="6">
                  <c:v>3.1288461538461552</c:v>
                </c:pt>
                <c:pt idx="7">
                  <c:v>2.9116666666666671</c:v>
                </c:pt>
              </c:numCache>
            </c:numRef>
          </c:val>
        </c:ser>
        <c:ser>
          <c:idx val="1"/>
          <c:order val="1"/>
          <c:tx>
            <c:strRef>
              <c:f>'Pivot Table 2'!$I$64:$I$65</c:f>
              <c:strCache>
                <c:ptCount val="1"/>
                <c:pt idx="0">
                  <c:v>Bottoms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2'!$I$66:$I$74</c:f>
              <c:numCache>
                <c:formatCode>0.0</c:formatCode>
                <c:ptCount val="8"/>
                <c:pt idx="0">
                  <c:v>3.0575757575757576</c:v>
                </c:pt>
                <c:pt idx="1">
                  <c:v>3.0384615384615379</c:v>
                </c:pt>
                <c:pt idx="2">
                  <c:v>3.1021739130434769</c:v>
                </c:pt>
                <c:pt idx="3">
                  <c:v>3.1799999999999993</c:v>
                </c:pt>
                <c:pt idx="4">
                  <c:v>3.06590909090909</c:v>
                </c:pt>
                <c:pt idx="5">
                  <c:v>2.8142857142857145</c:v>
                </c:pt>
                <c:pt idx="6">
                  <c:v>3.0846153846153848</c:v>
                </c:pt>
                <c:pt idx="7">
                  <c:v>2.9210526315789478</c:v>
                </c:pt>
              </c:numCache>
            </c:numRef>
          </c:val>
        </c:ser>
        <c:ser>
          <c:idx val="2"/>
          <c:order val="2"/>
          <c:tx>
            <c:strRef>
              <c:f>'Pivot Table 2'!$J$64:$J$65</c:f>
              <c:strCache>
                <c:ptCount val="1"/>
                <c:pt idx="0">
                  <c:v>Dresses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2'!$J$66:$J$74</c:f>
              <c:numCache>
                <c:formatCode>0.0</c:formatCode>
                <c:ptCount val="8"/>
                <c:pt idx="0">
                  <c:v>3.1874999999999991</c:v>
                </c:pt>
                <c:pt idx="1">
                  <c:v>2.9000000000000004</c:v>
                </c:pt>
                <c:pt idx="2">
                  <c:v>2.9636363636363643</c:v>
                </c:pt>
                <c:pt idx="3">
                  <c:v>2.9809523809523801</c:v>
                </c:pt>
                <c:pt idx="4">
                  <c:v>3.1051282051282048</c:v>
                </c:pt>
                <c:pt idx="5">
                  <c:v>2.8372093023255811</c:v>
                </c:pt>
                <c:pt idx="6">
                  <c:v>3.166666666666667</c:v>
                </c:pt>
                <c:pt idx="7">
                  <c:v>3.042424242424242</c:v>
                </c:pt>
              </c:numCache>
            </c:numRef>
          </c:val>
        </c:ser>
        <c:ser>
          <c:idx val="3"/>
          <c:order val="3"/>
          <c:tx>
            <c:strRef>
              <c:f>'Pivot Table 2'!$K$64:$K$65</c:f>
              <c:strCache>
                <c:ptCount val="1"/>
                <c:pt idx="0">
                  <c:v>Outerwear</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2'!$K$66:$K$74</c:f>
              <c:numCache>
                <c:formatCode>0.0</c:formatCode>
                <c:ptCount val="8"/>
                <c:pt idx="0">
                  <c:v>3.0305555555555541</c:v>
                </c:pt>
                <c:pt idx="1">
                  <c:v>3.0177777777777779</c:v>
                </c:pt>
                <c:pt idx="2">
                  <c:v>2.9718749999999989</c:v>
                </c:pt>
                <c:pt idx="3">
                  <c:v>2.9034482758620697</c:v>
                </c:pt>
                <c:pt idx="4">
                  <c:v>2.9228571428571422</c:v>
                </c:pt>
                <c:pt idx="5">
                  <c:v>2.4137931034482762</c:v>
                </c:pt>
                <c:pt idx="6">
                  <c:v>3.15</c:v>
                </c:pt>
                <c:pt idx="7">
                  <c:v>2.7030303030303036</c:v>
                </c:pt>
              </c:numCache>
            </c:numRef>
          </c:val>
        </c:ser>
        <c:ser>
          <c:idx val="4"/>
          <c:order val="4"/>
          <c:tx>
            <c:strRef>
              <c:f>'Pivot Table 2'!$L$64:$L$65</c:f>
              <c:strCache>
                <c:ptCount val="1"/>
                <c:pt idx="0">
                  <c:v>Shoes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2'!$L$66:$L$74</c:f>
              <c:numCache>
                <c:formatCode>0.0</c:formatCode>
                <c:ptCount val="8"/>
                <c:pt idx="0">
                  <c:v>3.0068965517241382</c:v>
                </c:pt>
                <c:pt idx="1">
                  <c:v>3.1936170212765949</c:v>
                </c:pt>
                <c:pt idx="2">
                  <c:v>3.2576923076923081</c:v>
                </c:pt>
                <c:pt idx="3">
                  <c:v>2.9083333333333328</c:v>
                </c:pt>
                <c:pt idx="4">
                  <c:v>3.302127659574468</c:v>
                </c:pt>
                <c:pt idx="5">
                  <c:v>2.980434782608695</c:v>
                </c:pt>
                <c:pt idx="6">
                  <c:v>2.8205128205128194</c:v>
                </c:pt>
                <c:pt idx="7">
                  <c:v>2.9153846153846157</c:v>
                </c:pt>
              </c:numCache>
            </c:numRef>
          </c:val>
        </c:ser>
        <c:ser>
          <c:idx val="5"/>
          <c:order val="5"/>
          <c:tx>
            <c:strRef>
              <c:f>'Pivot Table 2'!$M$64:$M$65</c:f>
              <c:strCache>
                <c:ptCount val="1"/>
                <c:pt idx="0">
                  <c:v>Tops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2'!$M$66:$M$74</c:f>
              <c:numCache>
                <c:formatCode>0.0</c:formatCode>
                <c:ptCount val="8"/>
                <c:pt idx="0">
                  <c:v>2.9846153846153842</c:v>
                </c:pt>
                <c:pt idx="1">
                  <c:v>2.9531250000000004</c:v>
                </c:pt>
                <c:pt idx="2">
                  <c:v>2.6870967741935483</c:v>
                </c:pt>
                <c:pt idx="3">
                  <c:v>2.9075000000000006</c:v>
                </c:pt>
                <c:pt idx="4">
                  <c:v>2.9657142857142849</c:v>
                </c:pt>
                <c:pt idx="5">
                  <c:v>2.9742857142857138</c:v>
                </c:pt>
                <c:pt idx="6">
                  <c:v>3.3400000000000007</c:v>
                </c:pt>
                <c:pt idx="7">
                  <c:v>2.918181818181818</c:v>
                </c:pt>
              </c:numCache>
            </c:numRef>
          </c:val>
        </c:ser>
        <c:dLbls>
          <c:showLegendKey val="0"/>
          <c:showVal val="0"/>
          <c:showCatName val="0"/>
          <c:showSerName val="0"/>
          <c:showPercent val="0"/>
          <c:showBubbleSize val="0"/>
        </c:dLbls>
        <c:gapWidth val="150"/>
        <c:axId val="284063616"/>
        <c:axId val="284065152"/>
      </c:barChart>
      <c:catAx>
        <c:axId val="284063616"/>
        <c:scaling>
          <c:orientation val="minMax"/>
        </c:scaling>
        <c:delete val="0"/>
        <c:axPos val="b"/>
        <c:majorTickMark val="out"/>
        <c:minorTickMark val="none"/>
        <c:tickLblPos val="nextTo"/>
        <c:crossAx val="284065152"/>
        <c:crosses val="autoZero"/>
        <c:auto val="1"/>
        <c:lblAlgn val="ctr"/>
        <c:lblOffset val="100"/>
        <c:noMultiLvlLbl val="0"/>
      </c:catAx>
      <c:valAx>
        <c:axId val="284065152"/>
        <c:scaling>
          <c:orientation val="minMax"/>
        </c:scaling>
        <c:delete val="0"/>
        <c:axPos val="l"/>
        <c:majorGridlines/>
        <c:numFmt formatCode="0.0" sourceLinked="1"/>
        <c:majorTickMark val="out"/>
        <c:minorTickMark val="none"/>
        <c:tickLblPos val="nextTo"/>
        <c:crossAx val="28406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bar"/>
        <c:grouping val="clustered"/>
        <c:varyColors val="0"/>
        <c:ser>
          <c:idx val="0"/>
          <c:order val="0"/>
          <c:tx>
            <c:strRef>
              <c:f>'Pivot Table 2'!$S$78</c:f>
              <c:strCache>
                <c:ptCount val="1"/>
                <c:pt idx="0">
                  <c:v>Frequency</c:v>
                </c:pt>
              </c:strCache>
            </c:strRef>
          </c:tx>
          <c:invertIfNegative val="0"/>
          <c:cat>
            <c:multiLvlStrRef>
              <c:f>'Pivot Table 2'!$P$79:$R$89</c:f>
              <c:multiLvlStrCache>
                <c:ptCount val="11"/>
                <c:lvl>
                  <c:pt idx="0">
                    <c:v>Color mismatch</c:v>
                  </c:pt>
                  <c:pt idx="1">
                    <c:v>Wrong Item</c:v>
                  </c:pt>
                  <c:pt idx="2">
                    <c:v>Quality Issue</c:v>
                  </c:pt>
                  <c:pt idx="3">
                    <c:v>Size Issue</c:v>
                  </c:pt>
                  <c:pt idx="4">
                    <c:v>Damaged</c:v>
                  </c:pt>
                  <c:pt idx="5">
                    <c:v>Damaged</c:v>
                  </c:pt>
                  <c:pt idx="6">
                    <c:v>Changed Mind</c:v>
                  </c:pt>
                  <c:pt idx="7">
                    <c:v>Color mismatch</c:v>
                  </c:pt>
                  <c:pt idx="8">
                    <c:v>Size Issue</c:v>
                  </c:pt>
                  <c:pt idx="9">
                    <c:v>Quality Issue</c:v>
                  </c:pt>
                  <c:pt idx="10">
                    <c:v>Wrong Item</c:v>
                  </c:pt>
                </c:lvl>
                <c:lvl>
                  <c:pt idx="0">
                    <c:v>13</c:v>
                  </c:pt>
                  <c:pt idx="5">
                    <c:v>13</c:v>
                  </c:pt>
                </c:lvl>
                <c:lvl>
                  <c:pt idx="0">
                    <c:v>Accessories dari Forever21</c:v>
                  </c:pt>
                  <c:pt idx="5">
                    <c:v>Accessories dari Zara</c:v>
                  </c:pt>
                </c:lvl>
              </c:multiLvlStrCache>
            </c:multiLvlStrRef>
          </c:cat>
          <c:val>
            <c:numRef>
              <c:f>'Pivot Table 2'!$S$79:$S$89</c:f>
              <c:numCache>
                <c:formatCode>General</c:formatCode>
                <c:ptCount val="11"/>
                <c:pt idx="0">
                  <c:v>4</c:v>
                </c:pt>
                <c:pt idx="1">
                  <c:v>4</c:v>
                </c:pt>
                <c:pt idx="2">
                  <c:v>3</c:v>
                </c:pt>
                <c:pt idx="3">
                  <c:v>1</c:v>
                </c:pt>
                <c:pt idx="4">
                  <c:v>1</c:v>
                </c:pt>
                <c:pt idx="5">
                  <c:v>4</c:v>
                </c:pt>
                <c:pt idx="6">
                  <c:v>3</c:v>
                </c:pt>
                <c:pt idx="7">
                  <c:v>2</c:v>
                </c:pt>
                <c:pt idx="8">
                  <c:v>2</c:v>
                </c:pt>
                <c:pt idx="9">
                  <c:v>1</c:v>
                </c:pt>
                <c:pt idx="10">
                  <c:v>1</c:v>
                </c:pt>
              </c:numCache>
            </c:numRef>
          </c:val>
        </c:ser>
        <c:dLbls>
          <c:showLegendKey val="0"/>
          <c:showVal val="0"/>
          <c:showCatName val="0"/>
          <c:showSerName val="0"/>
          <c:showPercent val="0"/>
          <c:showBubbleSize val="0"/>
        </c:dLbls>
        <c:gapWidth val="150"/>
        <c:axId val="284077056"/>
        <c:axId val="284082944"/>
      </c:barChart>
      <c:catAx>
        <c:axId val="284077056"/>
        <c:scaling>
          <c:orientation val="minMax"/>
        </c:scaling>
        <c:delete val="0"/>
        <c:axPos val="l"/>
        <c:majorTickMark val="out"/>
        <c:minorTickMark val="none"/>
        <c:tickLblPos val="nextTo"/>
        <c:crossAx val="284082944"/>
        <c:crosses val="autoZero"/>
        <c:auto val="1"/>
        <c:lblAlgn val="ctr"/>
        <c:lblOffset val="100"/>
        <c:noMultiLvlLbl val="0"/>
      </c:catAx>
      <c:valAx>
        <c:axId val="284082944"/>
        <c:scaling>
          <c:orientation val="minMax"/>
        </c:scaling>
        <c:delete val="0"/>
        <c:axPos val="b"/>
        <c:majorGridlines/>
        <c:numFmt formatCode="General" sourceLinked="1"/>
        <c:majorTickMark val="out"/>
        <c:minorTickMark val="none"/>
        <c:tickLblPos val="nextTo"/>
        <c:crossAx val="2840770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2'!$H$108:$H$109</c:f>
              <c:strCache>
                <c:ptCount val="1"/>
                <c:pt idx="0">
                  <c:v>Accessories</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2'!$H$110:$H$118</c:f>
              <c:numCache>
                <c:formatCode>General</c:formatCode>
                <c:ptCount val="8"/>
                <c:pt idx="0">
                  <c:v>48</c:v>
                </c:pt>
                <c:pt idx="1">
                  <c:v>41</c:v>
                </c:pt>
                <c:pt idx="2">
                  <c:v>53</c:v>
                </c:pt>
                <c:pt idx="3">
                  <c:v>53</c:v>
                </c:pt>
                <c:pt idx="4">
                  <c:v>41</c:v>
                </c:pt>
                <c:pt idx="5">
                  <c:v>46</c:v>
                </c:pt>
                <c:pt idx="6">
                  <c:v>58</c:v>
                </c:pt>
                <c:pt idx="7">
                  <c:v>62</c:v>
                </c:pt>
              </c:numCache>
            </c:numRef>
          </c:val>
        </c:ser>
        <c:ser>
          <c:idx val="1"/>
          <c:order val="1"/>
          <c:tx>
            <c:strRef>
              <c:f>'Pivot Table 2'!$I$108:$I$109</c:f>
              <c:strCache>
                <c:ptCount val="1"/>
                <c:pt idx="0">
                  <c:v>Bottoms</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2'!$I$110:$I$118</c:f>
              <c:numCache>
                <c:formatCode>General</c:formatCode>
                <c:ptCount val="8"/>
                <c:pt idx="0">
                  <c:v>40</c:v>
                </c:pt>
                <c:pt idx="1">
                  <c:v>48</c:v>
                </c:pt>
                <c:pt idx="2">
                  <c:v>56</c:v>
                </c:pt>
                <c:pt idx="3">
                  <c:v>36</c:v>
                </c:pt>
                <c:pt idx="4">
                  <c:v>55</c:v>
                </c:pt>
                <c:pt idx="5">
                  <c:v>55</c:v>
                </c:pt>
                <c:pt idx="6">
                  <c:v>33</c:v>
                </c:pt>
                <c:pt idx="7">
                  <c:v>69</c:v>
                </c:pt>
              </c:numCache>
            </c:numRef>
          </c:val>
        </c:ser>
        <c:ser>
          <c:idx val="2"/>
          <c:order val="2"/>
          <c:tx>
            <c:strRef>
              <c:f>'Pivot Table 2'!$J$108:$J$109</c:f>
              <c:strCache>
                <c:ptCount val="1"/>
                <c:pt idx="0">
                  <c:v>Dresses</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2'!$J$110:$J$118</c:f>
              <c:numCache>
                <c:formatCode>General</c:formatCode>
                <c:ptCount val="8"/>
                <c:pt idx="0">
                  <c:v>40</c:v>
                </c:pt>
                <c:pt idx="1">
                  <c:v>44</c:v>
                </c:pt>
                <c:pt idx="2">
                  <c:v>39</c:v>
                </c:pt>
                <c:pt idx="3">
                  <c:v>28</c:v>
                </c:pt>
                <c:pt idx="4">
                  <c:v>44</c:v>
                </c:pt>
                <c:pt idx="5">
                  <c:v>50</c:v>
                </c:pt>
                <c:pt idx="6">
                  <c:v>30</c:v>
                </c:pt>
                <c:pt idx="7">
                  <c:v>42</c:v>
                </c:pt>
              </c:numCache>
            </c:numRef>
          </c:val>
        </c:ser>
        <c:ser>
          <c:idx val="3"/>
          <c:order val="3"/>
          <c:tx>
            <c:strRef>
              <c:f>'Pivot Table 2'!$K$108:$K$109</c:f>
              <c:strCache>
                <c:ptCount val="1"/>
                <c:pt idx="0">
                  <c:v>Outerwear</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2'!$K$110:$K$118</c:f>
              <c:numCache>
                <c:formatCode>General</c:formatCode>
                <c:ptCount val="8"/>
                <c:pt idx="0">
                  <c:v>47</c:v>
                </c:pt>
                <c:pt idx="1">
                  <c:v>52</c:v>
                </c:pt>
                <c:pt idx="2">
                  <c:v>37</c:v>
                </c:pt>
                <c:pt idx="3">
                  <c:v>35</c:v>
                </c:pt>
                <c:pt idx="4">
                  <c:v>41</c:v>
                </c:pt>
                <c:pt idx="5">
                  <c:v>35</c:v>
                </c:pt>
                <c:pt idx="6">
                  <c:v>46</c:v>
                </c:pt>
                <c:pt idx="7">
                  <c:v>41</c:v>
                </c:pt>
              </c:numCache>
            </c:numRef>
          </c:val>
        </c:ser>
        <c:ser>
          <c:idx val="4"/>
          <c:order val="4"/>
          <c:tx>
            <c:strRef>
              <c:f>'Pivot Table 2'!$L$108:$L$109</c:f>
              <c:strCache>
                <c:ptCount val="1"/>
                <c:pt idx="0">
                  <c:v>Shoes</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2'!$L$110:$L$118</c:f>
              <c:numCache>
                <c:formatCode>General</c:formatCode>
                <c:ptCount val="8"/>
                <c:pt idx="0">
                  <c:v>34</c:v>
                </c:pt>
                <c:pt idx="1">
                  <c:v>57</c:v>
                </c:pt>
                <c:pt idx="2">
                  <c:v>31</c:v>
                </c:pt>
                <c:pt idx="3">
                  <c:v>42</c:v>
                </c:pt>
                <c:pt idx="4">
                  <c:v>56</c:v>
                </c:pt>
                <c:pt idx="5">
                  <c:v>54</c:v>
                </c:pt>
                <c:pt idx="6">
                  <c:v>50</c:v>
                </c:pt>
                <c:pt idx="7">
                  <c:v>48</c:v>
                </c:pt>
              </c:numCache>
            </c:numRef>
          </c:val>
        </c:ser>
        <c:ser>
          <c:idx val="5"/>
          <c:order val="5"/>
          <c:tx>
            <c:strRef>
              <c:f>'Pivot Table 2'!$M$108:$M$109</c:f>
              <c:strCache>
                <c:ptCount val="1"/>
                <c:pt idx="0">
                  <c:v>Tops</c:v>
                </c:pt>
              </c:strCache>
            </c:strRef>
          </c:tx>
          <c:invertIfNegative val="0"/>
          <c:cat>
            <c:strRef>
              <c:f>'Pivot Table 2'!$G$110:$G$118</c:f>
              <c:strCache>
                <c:ptCount val="8"/>
                <c:pt idx="0">
                  <c:v>Ann Taylor</c:v>
                </c:pt>
                <c:pt idx="1">
                  <c:v>Banana Republic</c:v>
                </c:pt>
                <c:pt idx="2">
                  <c:v>Forever21</c:v>
                </c:pt>
                <c:pt idx="3">
                  <c:v>Gap</c:v>
                </c:pt>
                <c:pt idx="4">
                  <c:v>H&amp;M</c:v>
                </c:pt>
                <c:pt idx="5">
                  <c:v>Mango</c:v>
                </c:pt>
                <c:pt idx="6">
                  <c:v>Uniqlo</c:v>
                </c:pt>
                <c:pt idx="7">
                  <c:v>Zara</c:v>
                </c:pt>
              </c:strCache>
            </c:strRef>
          </c:cat>
          <c:val>
            <c:numRef>
              <c:f>'Pivot Table 2'!$M$110:$M$118</c:f>
              <c:numCache>
                <c:formatCode>General</c:formatCode>
                <c:ptCount val="8"/>
                <c:pt idx="0">
                  <c:v>48</c:v>
                </c:pt>
                <c:pt idx="1">
                  <c:v>43</c:v>
                </c:pt>
                <c:pt idx="2">
                  <c:v>34</c:v>
                </c:pt>
                <c:pt idx="3">
                  <c:v>50</c:v>
                </c:pt>
                <c:pt idx="4">
                  <c:v>46</c:v>
                </c:pt>
                <c:pt idx="5">
                  <c:v>44</c:v>
                </c:pt>
                <c:pt idx="6">
                  <c:v>43</c:v>
                </c:pt>
                <c:pt idx="7">
                  <c:v>51</c:v>
                </c:pt>
              </c:numCache>
            </c:numRef>
          </c:val>
        </c:ser>
        <c:dLbls>
          <c:showLegendKey val="0"/>
          <c:showVal val="0"/>
          <c:showCatName val="0"/>
          <c:showSerName val="0"/>
          <c:showPercent val="0"/>
          <c:showBubbleSize val="0"/>
        </c:dLbls>
        <c:gapWidth val="150"/>
        <c:axId val="284279552"/>
        <c:axId val="284281088"/>
      </c:barChart>
      <c:catAx>
        <c:axId val="284279552"/>
        <c:scaling>
          <c:orientation val="minMax"/>
        </c:scaling>
        <c:delete val="0"/>
        <c:axPos val="b"/>
        <c:majorTickMark val="out"/>
        <c:minorTickMark val="none"/>
        <c:tickLblPos val="nextTo"/>
        <c:crossAx val="284281088"/>
        <c:crosses val="autoZero"/>
        <c:auto val="1"/>
        <c:lblAlgn val="ctr"/>
        <c:lblOffset val="100"/>
        <c:noMultiLvlLbl val="0"/>
      </c:catAx>
      <c:valAx>
        <c:axId val="284281088"/>
        <c:scaling>
          <c:orientation val="minMax"/>
        </c:scaling>
        <c:delete val="0"/>
        <c:axPos val="l"/>
        <c:majorGridlines/>
        <c:numFmt formatCode="General" sourceLinked="1"/>
        <c:majorTickMark val="out"/>
        <c:minorTickMark val="none"/>
        <c:tickLblPos val="nextTo"/>
        <c:crossAx val="284279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2!PivotTable8</c:name>
    <c:fmtId val="0"/>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'Pivot Table 2'!$H$120:$H$121</c:f>
              <c:strCache>
                <c:ptCount val="1"/>
                <c:pt idx="0">
                  <c:v>Diskon</c:v>
                </c:pt>
              </c:strCache>
            </c:strRef>
          </c:tx>
          <c:invertIfNegative val="0"/>
          <c:cat>
            <c:strRef>
              <c:f>'Pivot Table 2'!$G$122:$G$130</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2'!$H$122:$H$130</c:f>
              <c:numCache>
                <c:formatCode>General</c:formatCode>
                <c:ptCount val="8"/>
                <c:pt idx="0">
                  <c:v>94</c:v>
                </c:pt>
                <c:pt idx="1">
                  <c:v>112</c:v>
                </c:pt>
                <c:pt idx="2">
                  <c:v>102</c:v>
                </c:pt>
                <c:pt idx="3">
                  <c:v>108</c:v>
                </c:pt>
                <c:pt idx="4">
                  <c:v>114</c:v>
                </c:pt>
                <c:pt idx="5">
                  <c:v>124</c:v>
                </c:pt>
                <c:pt idx="6">
                  <c:v>93</c:v>
                </c:pt>
                <c:pt idx="7">
                  <c:v>131</c:v>
                </c:pt>
              </c:numCache>
            </c:numRef>
          </c:val>
        </c:ser>
        <c:ser>
          <c:idx val="1"/>
          <c:order val="1"/>
          <c:tx>
            <c:strRef>
              <c:f>'Pivot Table 2'!$I$120:$I$121</c:f>
              <c:strCache>
                <c:ptCount val="1"/>
                <c:pt idx="0">
                  <c:v>Non diskon</c:v>
                </c:pt>
              </c:strCache>
            </c:strRef>
          </c:tx>
          <c:invertIfNegative val="0"/>
          <c:cat>
            <c:strRef>
              <c:f>'Pivot Table 2'!$G$122:$G$130</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2'!$I$122:$I$130</c:f>
              <c:numCache>
                <c:formatCode>General</c:formatCode>
                <c:ptCount val="8"/>
                <c:pt idx="0">
                  <c:v>163</c:v>
                </c:pt>
                <c:pt idx="1">
                  <c:v>173</c:v>
                </c:pt>
                <c:pt idx="2">
                  <c:v>148</c:v>
                </c:pt>
                <c:pt idx="3">
                  <c:v>136</c:v>
                </c:pt>
                <c:pt idx="4">
                  <c:v>169</c:v>
                </c:pt>
                <c:pt idx="5">
                  <c:v>160</c:v>
                </c:pt>
                <c:pt idx="6">
                  <c:v>167</c:v>
                </c:pt>
                <c:pt idx="7">
                  <c:v>182</c:v>
                </c:pt>
              </c:numCache>
            </c:numRef>
          </c:val>
        </c:ser>
        <c:dLbls>
          <c:showLegendKey val="0"/>
          <c:showVal val="0"/>
          <c:showCatName val="0"/>
          <c:showSerName val="0"/>
          <c:showPercent val="0"/>
          <c:showBubbleSize val="0"/>
        </c:dLbls>
        <c:gapWidth val="150"/>
        <c:axId val="284396160"/>
        <c:axId val="284402048"/>
      </c:barChart>
      <c:catAx>
        <c:axId val="284396160"/>
        <c:scaling>
          <c:orientation val="minMax"/>
        </c:scaling>
        <c:delete val="0"/>
        <c:axPos val="b"/>
        <c:majorTickMark val="out"/>
        <c:minorTickMark val="none"/>
        <c:tickLblPos val="nextTo"/>
        <c:crossAx val="284402048"/>
        <c:crosses val="autoZero"/>
        <c:auto val="1"/>
        <c:lblAlgn val="ctr"/>
        <c:lblOffset val="100"/>
        <c:noMultiLvlLbl val="0"/>
      </c:catAx>
      <c:valAx>
        <c:axId val="284402048"/>
        <c:scaling>
          <c:orientation val="minMax"/>
        </c:scaling>
        <c:delete val="0"/>
        <c:axPos val="l"/>
        <c:majorGridlines/>
        <c:numFmt formatCode="General" sourceLinked="1"/>
        <c:majorTickMark val="out"/>
        <c:minorTickMark val="none"/>
        <c:tickLblPos val="nextTo"/>
        <c:crossAx val="2843961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2!PivotTable9</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bar"/>
        <c:grouping val="clustered"/>
        <c:varyColors val="0"/>
        <c:ser>
          <c:idx val="0"/>
          <c:order val="0"/>
          <c:tx>
            <c:strRef>
              <c:f>'Pivot Table 2'!$H$133:$H$134</c:f>
              <c:strCache>
                <c:ptCount val="1"/>
                <c:pt idx="0">
                  <c:v>Accessories</c:v>
                </c:pt>
              </c:strCache>
            </c:strRef>
          </c:tx>
          <c:invertIfNegative val="0"/>
          <c:cat>
            <c:strRef>
              <c:f>'Pivot Table 2'!$G$135:$G$139</c:f>
              <c:strCache>
                <c:ptCount val="4"/>
                <c:pt idx="0">
                  <c:v>Fall</c:v>
                </c:pt>
                <c:pt idx="1">
                  <c:v>Spring</c:v>
                </c:pt>
                <c:pt idx="2">
                  <c:v>Summer</c:v>
                </c:pt>
                <c:pt idx="3">
                  <c:v>Winter</c:v>
                </c:pt>
              </c:strCache>
            </c:strRef>
          </c:cat>
          <c:val>
            <c:numRef>
              <c:f>'Pivot Table 2'!$H$135:$H$139</c:f>
              <c:numCache>
                <c:formatCode>General</c:formatCode>
                <c:ptCount val="4"/>
                <c:pt idx="0">
                  <c:v>101</c:v>
                </c:pt>
                <c:pt idx="1">
                  <c:v>92</c:v>
                </c:pt>
                <c:pt idx="2">
                  <c:v>101</c:v>
                </c:pt>
                <c:pt idx="3">
                  <c:v>108</c:v>
                </c:pt>
              </c:numCache>
            </c:numRef>
          </c:val>
        </c:ser>
        <c:ser>
          <c:idx val="1"/>
          <c:order val="1"/>
          <c:tx>
            <c:strRef>
              <c:f>'Pivot Table 2'!$I$133:$I$134</c:f>
              <c:strCache>
                <c:ptCount val="1"/>
                <c:pt idx="0">
                  <c:v>Bottoms</c:v>
                </c:pt>
              </c:strCache>
            </c:strRef>
          </c:tx>
          <c:invertIfNegative val="0"/>
          <c:cat>
            <c:strRef>
              <c:f>'Pivot Table 2'!$G$135:$G$139</c:f>
              <c:strCache>
                <c:ptCount val="4"/>
                <c:pt idx="0">
                  <c:v>Fall</c:v>
                </c:pt>
                <c:pt idx="1">
                  <c:v>Spring</c:v>
                </c:pt>
                <c:pt idx="2">
                  <c:v>Summer</c:v>
                </c:pt>
                <c:pt idx="3">
                  <c:v>Winter</c:v>
                </c:pt>
              </c:strCache>
            </c:strRef>
          </c:cat>
          <c:val>
            <c:numRef>
              <c:f>'Pivot Table 2'!$I$135:$I$139</c:f>
              <c:numCache>
                <c:formatCode>General</c:formatCode>
                <c:ptCount val="4"/>
                <c:pt idx="0">
                  <c:v>104</c:v>
                </c:pt>
                <c:pt idx="1">
                  <c:v>93</c:v>
                </c:pt>
                <c:pt idx="2">
                  <c:v>108</c:v>
                </c:pt>
                <c:pt idx="3">
                  <c:v>87</c:v>
                </c:pt>
              </c:numCache>
            </c:numRef>
          </c:val>
        </c:ser>
        <c:ser>
          <c:idx val="2"/>
          <c:order val="2"/>
          <c:tx>
            <c:strRef>
              <c:f>'Pivot Table 2'!$J$133:$J$134</c:f>
              <c:strCache>
                <c:ptCount val="1"/>
                <c:pt idx="0">
                  <c:v>Dresses</c:v>
                </c:pt>
              </c:strCache>
            </c:strRef>
          </c:tx>
          <c:invertIfNegative val="0"/>
          <c:cat>
            <c:strRef>
              <c:f>'Pivot Table 2'!$G$135:$G$139</c:f>
              <c:strCache>
                <c:ptCount val="4"/>
                <c:pt idx="0">
                  <c:v>Fall</c:v>
                </c:pt>
                <c:pt idx="1">
                  <c:v>Spring</c:v>
                </c:pt>
                <c:pt idx="2">
                  <c:v>Summer</c:v>
                </c:pt>
                <c:pt idx="3">
                  <c:v>Winter</c:v>
                </c:pt>
              </c:strCache>
            </c:strRef>
          </c:cat>
          <c:val>
            <c:numRef>
              <c:f>'Pivot Table 2'!$J$135:$J$139</c:f>
              <c:numCache>
                <c:formatCode>General</c:formatCode>
                <c:ptCount val="4"/>
                <c:pt idx="0">
                  <c:v>79</c:v>
                </c:pt>
                <c:pt idx="1">
                  <c:v>76</c:v>
                </c:pt>
                <c:pt idx="2">
                  <c:v>79</c:v>
                </c:pt>
                <c:pt idx="3">
                  <c:v>83</c:v>
                </c:pt>
              </c:numCache>
            </c:numRef>
          </c:val>
        </c:ser>
        <c:ser>
          <c:idx val="3"/>
          <c:order val="3"/>
          <c:tx>
            <c:strRef>
              <c:f>'Pivot Table 2'!$K$133:$K$134</c:f>
              <c:strCache>
                <c:ptCount val="1"/>
                <c:pt idx="0">
                  <c:v>Outerwear</c:v>
                </c:pt>
              </c:strCache>
            </c:strRef>
          </c:tx>
          <c:invertIfNegative val="0"/>
          <c:cat>
            <c:strRef>
              <c:f>'Pivot Table 2'!$G$135:$G$139</c:f>
              <c:strCache>
                <c:ptCount val="4"/>
                <c:pt idx="0">
                  <c:v>Fall</c:v>
                </c:pt>
                <c:pt idx="1">
                  <c:v>Spring</c:v>
                </c:pt>
                <c:pt idx="2">
                  <c:v>Summer</c:v>
                </c:pt>
                <c:pt idx="3">
                  <c:v>Winter</c:v>
                </c:pt>
              </c:strCache>
            </c:strRef>
          </c:cat>
          <c:val>
            <c:numRef>
              <c:f>'Pivot Table 2'!$K$135:$K$139</c:f>
              <c:numCache>
                <c:formatCode>General</c:formatCode>
                <c:ptCount val="4"/>
                <c:pt idx="0">
                  <c:v>86</c:v>
                </c:pt>
                <c:pt idx="1">
                  <c:v>90</c:v>
                </c:pt>
                <c:pt idx="2">
                  <c:v>83</c:v>
                </c:pt>
                <c:pt idx="3">
                  <c:v>75</c:v>
                </c:pt>
              </c:numCache>
            </c:numRef>
          </c:val>
        </c:ser>
        <c:ser>
          <c:idx val="4"/>
          <c:order val="4"/>
          <c:tx>
            <c:strRef>
              <c:f>'Pivot Table 2'!$L$133:$L$134</c:f>
              <c:strCache>
                <c:ptCount val="1"/>
                <c:pt idx="0">
                  <c:v>Shoes</c:v>
                </c:pt>
              </c:strCache>
            </c:strRef>
          </c:tx>
          <c:invertIfNegative val="0"/>
          <c:cat>
            <c:strRef>
              <c:f>'Pivot Table 2'!$G$135:$G$139</c:f>
              <c:strCache>
                <c:ptCount val="4"/>
                <c:pt idx="0">
                  <c:v>Fall</c:v>
                </c:pt>
                <c:pt idx="1">
                  <c:v>Spring</c:v>
                </c:pt>
                <c:pt idx="2">
                  <c:v>Summer</c:v>
                </c:pt>
                <c:pt idx="3">
                  <c:v>Winter</c:v>
                </c:pt>
              </c:strCache>
            </c:strRef>
          </c:cat>
          <c:val>
            <c:numRef>
              <c:f>'Pivot Table 2'!$L$135:$L$139</c:f>
              <c:numCache>
                <c:formatCode>General</c:formatCode>
                <c:ptCount val="4"/>
                <c:pt idx="0">
                  <c:v>85</c:v>
                </c:pt>
                <c:pt idx="1">
                  <c:v>88</c:v>
                </c:pt>
                <c:pt idx="2">
                  <c:v>108</c:v>
                </c:pt>
                <c:pt idx="3">
                  <c:v>91</c:v>
                </c:pt>
              </c:numCache>
            </c:numRef>
          </c:val>
        </c:ser>
        <c:ser>
          <c:idx val="5"/>
          <c:order val="5"/>
          <c:tx>
            <c:strRef>
              <c:f>'Pivot Table 2'!$M$133:$M$134</c:f>
              <c:strCache>
                <c:ptCount val="1"/>
                <c:pt idx="0">
                  <c:v>Tops</c:v>
                </c:pt>
              </c:strCache>
            </c:strRef>
          </c:tx>
          <c:invertIfNegative val="0"/>
          <c:cat>
            <c:strRef>
              <c:f>'Pivot Table 2'!$G$135:$G$139</c:f>
              <c:strCache>
                <c:ptCount val="4"/>
                <c:pt idx="0">
                  <c:v>Fall</c:v>
                </c:pt>
                <c:pt idx="1">
                  <c:v>Spring</c:v>
                </c:pt>
                <c:pt idx="2">
                  <c:v>Summer</c:v>
                </c:pt>
                <c:pt idx="3">
                  <c:v>Winter</c:v>
                </c:pt>
              </c:strCache>
            </c:strRef>
          </c:cat>
          <c:val>
            <c:numRef>
              <c:f>'Pivot Table 2'!$M$135:$M$139</c:f>
              <c:numCache>
                <c:formatCode>General</c:formatCode>
                <c:ptCount val="4"/>
                <c:pt idx="0">
                  <c:v>89</c:v>
                </c:pt>
                <c:pt idx="1">
                  <c:v>96</c:v>
                </c:pt>
                <c:pt idx="2">
                  <c:v>96</c:v>
                </c:pt>
                <c:pt idx="3">
                  <c:v>78</c:v>
                </c:pt>
              </c:numCache>
            </c:numRef>
          </c:val>
        </c:ser>
        <c:dLbls>
          <c:showLegendKey val="0"/>
          <c:showVal val="0"/>
          <c:showCatName val="0"/>
          <c:showSerName val="0"/>
          <c:showPercent val="0"/>
          <c:showBubbleSize val="0"/>
        </c:dLbls>
        <c:gapWidth val="150"/>
        <c:axId val="286294016"/>
        <c:axId val="286295552"/>
      </c:barChart>
      <c:catAx>
        <c:axId val="286294016"/>
        <c:scaling>
          <c:orientation val="minMax"/>
        </c:scaling>
        <c:delete val="0"/>
        <c:axPos val="l"/>
        <c:majorTickMark val="out"/>
        <c:minorTickMark val="none"/>
        <c:tickLblPos val="nextTo"/>
        <c:crossAx val="286295552"/>
        <c:crosses val="autoZero"/>
        <c:auto val="1"/>
        <c:lblAlgn val="ctr"/>
        <c:lblOffset val="100"/>
        <c:noMultiLvlLbl val="0"/>
      </c:catAx>
      <c:valAx>
        <c:axId val="286295552"/>
        <c:scaling>
          <c:orientation val="minMax"/>
        </c:scaling>
        <c:delete val="0"/>
        <c:axPos val="b"/>
        <c:majorGridlines/>
        <c:numFmt formatCode="General" sourceLinked="1"/>
        <c:majorTickMark val="out"/>
        <c:minorTickMark val="none"/>
        <c:tickLblPos val="nextTo"/>
        <c:crossAx val="2862940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2!PivotTable10</c:name>
    <c:fmtId val="1"/>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s>
    <c:plotArea>
      <c:layout/>
      <c:pieChart>
        <c:varyColors val="1"/>
        <c:ser>
          <c:idx val="0"/>
          <c:order val="0"/>
          <c:tx>
            <c:strRef>
              <c:f>'Pivot Table 2'!$H$143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'Pivot Table 2'!$G$144:$G$148</c:f>
              <c:strCache>
                <c:ptCount val="4"/>
                <c:pt idx="0">
                  <c:v>Fall</c:v>
                </c:pt>
                <c:pt idx="1">
                  <c:v>Spring</c:v>
                </c:pt>
                <c:pt idx="2">
                  <c:v>Summer</c:v>
                </c:pt>
                <c:pt idx="3">
                  <c:v>Winter</c:v>
                </c:pt>
              </c:strCache>
            </c:strRef>
          </c:cat>
          <c:val>
            <c:numRef>
              <c:f>'Pivot Table 2'!$H$144:$H$148</c:f>
              <c:numCache>
                <c:formatCode>General</c:formatCode>
                <c:ptCount val="4"/>
                <c:pt idx="0">
                  <c:v>544</c:v>
                </c:pt>
                <c:pt idx="1">
                  <c:v>535</c:v>
                </c:pt>
                <c:pt idx="2">
                  <c:v>575</c:v>
                </c:pt>
                <c:pt idx="3">
                  <c:v>522</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2!PivotTable11</c:name>
    <c:fmtId val="2"/>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s>
    <c:plotArea>
      <c:layout/>
      <c:pieChart>
        <c:varyColors val="1"/>
        <c:ser>
          <c:idx val="0"/>
          <c:order val="0"/>
          <c:tx>
            <c:strRef>
              <c:f>'Pivot Table 2'!$H$151</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'Pivot Table 2'!$G$152:$G$154</c:f>
              <c:strCache>
                <c:ptCount val="2"/>
                <c:pt idx="0">
                  <c:v>Diskon</c:v>
                </c:pt>
                <c:pt idx="1">
                  <c:v>Non diskon</c:v>
                </c:pt>
              </c:strCache>
            </c:strRef>
          </c:cat>
          <c:val>
            <c:numRef>
              <c:f>'Pivot Table 2'!$H$152:$H$154</c:f>
              <c:numCache>
                <c:formatCode>General</c:formatCode>
                <c:ptCount val="2"/>
                <c:pt idx="0">
                  <c:v>878</c:v>
                </c:pt>
                <c:pt idx="1">
                  <c:v>1298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2!PivotTable13</c:name>
    <c:fmtId val="4"/>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cked"/>
        <c:varyColors val="0"/>
        <c:ser>
          <c:idx val="0"/>
          <c:order val="0"/>
          <c:tx>
            <c:strRef>
              <c:f>'Pivot Table 2'!$H$157</c:f>
              <c:strCache>
                <c:ptCount val="1"/>
                <c:pt idx="0">
                  <c:v>Total</c:v>
                </c:pt>
              </c:strCache>
            </c:strRef>
          </c:tx>
          <c:marker>
            <c:symbol val="none"/>
          </c:marker>
          <c:cat>
            <c:multiLvlStrRef>
              <c:f>'Pivot Table 2'!$G$158:$G$173</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2024</c:v>
                  </c:pt>
                  <c:pt idx="5">
                    <c:v>2025</c:v>
                  </c:pt>
                </c:lvl>
              </c:multiLvlStrCache>
            </c:multiLvlStrRef>
          </c:cat>
          <c:val>
            <c:numRef>
              <c:f>'Pivot Table 2'!$H$158:$H$173</c:f>
              <c:numCache>
                <c:formatCode>General</c:formatCode>
                <c:ptCount val="13"/>
                <c:pt idx="0">
                  <c:v>34</c:v>
                </c:pt>
                <c:pt idx="1">
                  <c:v>58</c:v>
                </c:pt>
                <c:pt idx="2">
                  <c:v>46</c:v>
                </c:pt>
                <c:pt idx="3">
                  <c:v>40</c:v>
                </c:pt>
                <c:pt idx="4">
                  <c:v>41</c:v>
                </c:pt>
                <c:pt idx="5">
                  <c:v>41</c:v>
                </c:pt>
                <c:pt idx="6">
                  <c:v>37</c:v>
                </c:pt>
                <c:pt idx="7">
                  <c:v>41</c:v>
                </c:pt>
                <c:pt idx="8">
                  <c:v>57</c:v>
                </c:pt>
                <c:pt idx="9">
                  <c:v>48</c:v>
                </c:pt>
                <c:pt idx="10">
                  <c:v>32</c:v>
                </c:pt>
                <c:pt idx="11">
                  <c:v>54</c:v>
                </c:pt>
                <c:pt idx="12">
                  <c:v>1647</c:v>
                </c:pt>
              </c:numCache>
            </c:numRef>
          </c:val>
          <c:smooth val="0"/>
        </c:ser>
        <c:dLbls>
          <c:showLegendKey val="0"/>
          <c:showVal val="0"/>
          <c:showCatName val="0"/>
          <c:showSerName val="0"/>
          <c:showPercent val="0"/>
          <c:showBubbleSize val="0"/>
        </c:dLbls>
        <c:marker val="1"/>
        <c:smooth val="0"/>
        <c:axId val="286386816"/>
        <c:axId val="286466432"/>
      </c:lineChart>
      <c:catAx>
        <c:axId val="286386816"/>
        <c:scaling>
          <c:orientation val="minMax"/>
        </c:scaling>
        <c:delete val="0"/>
        <c:axPos val="b"/>
        <c:majorTickMark val="none"/>
        <c:minorTickMark val="none"/>
        <c:tickLblPos val="nextTo"/>
        <c:crossAx val="286466432"/>
        <c:crosses val="autoZero"/>
        <c:auto val="1"/>
        <c:lblAlgn val="ctr"/>
        <c:lblOffset val="100"/>
        <c:noMultiLvlLbl val="0"/>
      </c:catAx>
      <c:valAx>
        <c:axId val="286466432"/>
        <c:scaling>
          <c:orientation val="minMax"/>
        </c:scaling>
        <c:delete val="0"/>
        <c:axPos val="l"/>
        <c:majorGridlines/>
        <c:numFmt formatCode="General" sourceLinked="1"/>
        <c:majorTickMark val="none"/>
        <c:minorTickMark val="none"/>
        <c:tickLblPos val="nextTo"/>
        <c:spPr>
          <a:ln w="9525">
            <a:noFill/>
          </a:ln>
        </c:spPr>
        <c:crossAx val="2863868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2!PivotTable14</c:name>
    <c:fmtId val="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bar"/>
        <c:grouping val="clustered"/>
        <c:varyColors val="0"/>
        <c:ser>
          <c:idx val="0"/>
          <c:order val="0"/>
          <c:tx>
            <c:strRef>
              <c:f>'Pivot Table 2'!$H$175:$H$176</c:f>
              <c:strCache>
                <c:ptCount val="1"/>
                <c:pt idx="0">
                  <c:v>Accessories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2'!$H$177:$H$185</c:f>
              <c:numCache>
                <c:formatCode>General</c:formatCode>
                <c:ptCount val="8"/>
                <c:pt idx="0">
                  <c:v>48</c:v>
                </c:pt>
                <c:pt idx="1">
                  <c:v>41</c:v>
                </c:pt>
                <c:pt idx="2">
                  <c:v>53</c:v>
                </c:pt>
                <c:pt idx="3">
                  <c:v>53</c:v>
                </c:pt>
                <c:pt idx="4">
                  <c:v>41</c:v>
                </c:pt>
                <c:pt idx="5">
                  <c:v>46</c:v>
                </c:pt>
                <c:pt idx="6">
                  <c:v>58</c:v>
                </c:pt>
                <c:pt idx="7">
                  <c:v>62</c:v>
                </c:pt>
              </c:numCache>
            </c:numRef>
          </c:val>
        </c:ser>
        <c:ser>
          <c:idx val="1"/>
          <c:order val="1"/>
          <c:tx>
            <c:strRef>
              <c:f>'Pivot Table 2'!$I$175:$I$176</c:f>
              <c:strCache>
                <c:ptCount val="1"/>
                <c:pt idx="0">
                  <c:v>Bottoms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2'!$I$177:$I$185</c:f>
              <c:numCache>
                <c:formatCode>General</c:formatCode>
                <c:ptCount val="8"/>
                <c:pt idx="0">
                  <c:v>40</c:v>
                </c:pt>
                <c:pt idx="1">
                  <c:v>48</c:v>
                </c:pt>
                <c:pt idx="2">
                  <c:v>56</c:v>
                </c:pt>
                <c:pt idx="3">
                  <c:v>36</c:v>
                </c:pt>
                <c:pt idx="4">
                  <c:v>55</c:v>
                </c:pt>
                <c:pt idx="5">
                  <c:v>55</c:v>
                </c:pt>
                <c:pt idx="6">
                  <c:v>33</c:v>
                </c:pt>
                <c:pt idx="7">
                  <c:v>69</c:v>
                </c:pt>
              </c:numCache>
            </c:numRef>
          </c:val>
        </c:ser>
        <c:ser>
          <c:idx val="2"/>
          <c:order val="2"/>
          <c:tx>
            <c:strRef>
              <c:f>'Pivot Table 2'!$J$175:$J$176</c:f>
              <c:strCache>
                <c:ptCount val="1"/>
                <c:pt idx="0">
                  <c:v>Dresses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2'!$J$177:$J$185</c:f>
              <c:numCache>
                <c:formatCode>General</c:formatCode>
                <c:ptCount val="8"/>
                <c:pt idx="0">
                  <c:v>40</c:v>
                </c:pt>
                <c:pt idx="1">
                  <c:v>44</c:v>
                </c:pt>
                <c:pt idx="2">
                  <c:v>39</c:v>
                </c:pt>
                <c:pt idx="3">
                  <c:v>28</c:v>
                </c:pt>
                <c:pt idx="4">
                  <c:v>44</c:v>
                </c:pt>
                <c:pt idx="5">
                  <c:v>50</c:v>
                </c:pt>
                <c:pt idx="6">
                  <c:v>30</c:v>
                </c:pt>
                <c:pt idx="7">
                  <c:v>42</c:v>
                </c:pt>
              </c:numCache>
            </c:numRef>
          </c:val>
        </c:ser>
        <c:ser>
          <c:idx val="3"/>
          <c:order val="3"/>
          <c:tx>
            <c:strRef>
              <c:f>'Pivot Table 2'!$K$175:$K$176</c:f>
              <c:strCache>
                <c:ptCount val="1"/>
                <c:pt idx="0">
                  <c:v>Outerwear</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2'!$K$177:$K$185</c:f>
              <c:numCache>
                <c:formatCode>General</c:formatCode>
                <c:ptCount val="8"/>
                <c:pt idx="0">
                  <c:v>47</c:v>
                </c:pt>
                <c:pt idx="1">
                  <c:v>52</c:v>
                </c:pt>
                <c:pt idx="2">
                  <c:v>37</c:v>
                </c:pt>
                <c:pt idx="3">
                  <c:v>35</c:v>
                </c:pt>
                <c:pt idx="4">
                  <c:v>41</c:v>
                </c:pt>
                <c:pt idx="5">
                  <c:v>35</c:v>
                </c:pt>
                <c:pt idx="6">
                  <c:v>46</c:v>
                </c:pt>
                <c:pt idx="7">
                  <c:v>41</c:v>
                </c:pt>
              </c:numCache>
            </c:numRef>
          </c:val>
        </c:ser>
        <c:ser>
          <c:idx val="4"/>
          <c:order val="4"/>
          <c:tx>
            <c:strRef>
              <c:f>'Pivot Table 2'!$L$175:$L$176</c:f>
              <c:strCache>
                <c:ptCount val="1"/>
                <c:pt idx="0">
                  <c:v>Shoes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2'!$L$177:$L$185</c:f>
              <c:numCache>
                <c:formatCode>General</c:formatCode>
                <c:ptCount val="8"/>
                <c:pt idx="0">
                  <c:v>34</c:v>
                </c:pt>
                <c:pt idx="1">
                  <c:v>57</c:v>
                </c:pt>
                <c:pt idx="2">
                  <c:v>31</c:v>
                </c:pt>
                <c:pt idx="3">
                  <c:v>42</c:v>
                </c:pt>
                <c:pt idx="4">
                  <c:v>56</c:v>
                </c:pt>
                <c:pt idx="5">
                  <c:v>54</c:v>
                </c:pt>
                <c:pt idx="6">
                  <c:v>50</c:v>
                </c:pt>
                <c:pt idx="7">
                  <c:v>48</c:v>
                </c:pt>
              </c:numCache>
            </c:numRef>
          </c:val>
        </c:ser>
        <c:ser>
          <c:idx val="5"/>
          <c:order val="5"/>
          <c:tx>
            <c:strRef>
              <c:f>'Pivot Table 2'!$M$175:$M$176</c:f>
              <c:strCache>
                <c:ptCount val="1"/>
                <c:pt idx="0">
                  <c:v>Tops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2'!$M$177:$M$185</c:f>
              <c:numCache>
                <c:formatCode>General</c:formatCode>
                <c:ptCount val="8"/>
                <c:pt idx="0">
                  <c:v>48</c:v>
                </c:pt>
                <c:pt idx="1">
                  <c:v>43</c:v>
                </c:pt>
                <c:pt idx="2">
                  <c:v>34</c:v>
                </c:pt>
                <c:pt idx="3">
                  <c:v>50</c:v>
                </c:pt>
                <c:pt idx="4">
                  <c:v>46</c:v>
                </c:pt>
                <c:pt idx="5">
                  <c:v>44</c:v>
                </c:pt>
                <c:pt idx="6">
                  <c:v>43</c:v>
                </c:pt>
                <c:pt idx="7">
                  <c:v>51</c:v>
                </c:pt>
              </c:numCache>
            </c:numRef>
          </c:val>
        </c:ser>
        <c:dLbls>
          <c:showLegendKey val="0"/>
          <c:showVal val="0"/>
          <c:showCatName val="0"/>
          <c:showSerName val="0"/>
          <c:showPercent val="0"/>
          <c:showBubbleSize val="0"/>
        </c:dLbls>
        <c:gapWidth val="150"/>
        <c:axId val="286642560"/>
        <c:axId val="286644096"/>
      </c:barChart>
      <c:catAx>
        <c:axId val="286642560"/>
        <c:scaling>
          <c:orientation val="minMax"/>
        </c:scaling>
        <c:delete val="0"/>
        <c:axPos val="l"/>
        <c:majorTickMark val="out"/>
        <c:minorTickMark val="none"/>
        <c:tickLblPos val="nextTo"/>
        <c:crossAx val="286644096"/>
        <c:crosses val="autoZero"/>
        <c:auto val="1"/>
        <c:lblAlgn val="ctr"/>
        <c:lblOffset val="100"/>
        <c:noMultiLvlLbl val="0"/>
      </c:catAx>
      <c:valAx>
        <c:axId val="286644096"/>
        <c:scaling>
          <c:orientation val="minMax"/>
        </c:scaling>
        <c:delete val="0"/>
        <c:axPos val="b"/>
        <c:majorGridlines/>
        <c:numFmt formatCode="General" sourceLinked="1"/>
        <c:majorTickMark val="out"/>
        <c:minorTickMark val="none"/>
        <c:tickLblPos val="nextTo"/>
        <c:crossAx val="2866425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id-ID" sz="1200"/>
              <a:t>Stock</a:t>
            </a:r>
            <a:r>
              <a:rPr lang="id-ID" sz="1200" baseline="0"/>
              <a:t> Quantity Vs Markdown</a:t>
            </a:r>
            <a:endParaRPr lang="en-US" sz="1200"/>
          </a:p>
        </c:rich>
      </c:tx>
      <c:overlay val="1"/>
    </c:title>
    <c:autoTitleDeleted val="0"/>
    <c:plotArea>
      <c:layout>
        <c:manualLayout>
          <c:layoutTarget val="inner"/>
          <c:xMode val="edge"/>
          <c:yMode val="edge"/>
          <c:x val="0.20084030161752894"/>
          <c:y val="0.19991342332060918"/>
          <c:w val="0.43472265586314873"/>
          <c:h val="0.66097097057704668"/>
        </c:manualLayout>
      </c:layout>
      <c:barChart>
        <c:barDir val="bar"/>
        <c:grouping val="clustered"/>
        <c:varyColors val="0"/>
        <c:ser>
          <c:idx val="0"/>
          <c:order val="0"/>
          <c:tx>
            <c:strRef>
              <c:f>'Pivot Table 2'!$K$16</c:f>
              <c:strCache>
                <c:ptCount val="1"/>
                <c:pt idx="0">
                  <c:v>Max of Markdown Precentage</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2'!$K$17:$K$22</c:f>
              <c:numCache>
                <c:formatCode>General</c:formatCode>
                <c:ptCount val="6"/>
                <c:pt idx="0">
                  <c:v>59.9</c:v>
                </c:pt>
                <c:pt idx="1">
                  <c:v>59.4</c:v>
                </c:pt>
                <c:pt idx="2">
                  <c:v>59.8</c:v>
                </c:pt>
                <c:pt idx="3">
                  <c:v>59.8</c:v>
                </c:pt>
                <c:pt idx="4">
                  <c:v>59.8</c:v>
                </c:pt>
                <c:pt idx="5">
                  <c:v>59.5</c:v>
                </c:pt>
              </c:numCache>
            </c:numRef>
          </c:val>
        </c:ser>
        <c:ser>
          <c:idx val="1"/>
          <c:order val="1"/>
          <c:tx>
            <c:strRef>
              <c:f>'Pivot Table 2'!$L$16</c:f>
              <c:strCache>
                <c:ptCount val="1"/>
                <c:pt idx="0">
                  <c:v>Stock Quantity</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2'!$L$17:$L$22</c:f>
              <c:numCache>
                <c:formatCode>General</c:formatCode>
                <c:ptCount val="6"/>
                <c:pt idx="0">
                  <c:v>47</c:v>
                </c:pt>
                <c:pt idx="1">
                  <c:v>40</c:v>
                </c:pt>
                <c:pt idx="2">
                  <c:v>34</c:v>
                </c:pt>
                <c:pt idx="3">
                  <c:v>10</c:v>
                </c:pt>
                <c:pt idx="4">
                  <c:v>33</c:v>
                </c:pt>
                <c:pt idx="5">
                  <c:v>2</c:v>
                </c:pt>
              </c:numCache>
            </c:numRef>
          </c:val>
        </c:ser>
        <c:ser>
          <c:idx val="2"/>
          <c:order val="2"/>
          <c:tx>
            <c:strRef>
              <c:f>'Pivot Table 2'!$M$16</c:f>
              <c:strCache>
                <c:ptCount val="1"/>
                <c:pt idx="0">
                  <c:v>Total Sales</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2'!$M$17:$M$22</c:f>
              <c:numCache>
                <c:formatCode>General</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150"/>
        <c:axId val="286673920"/>
        <c:axId val="286712576"/>
      </c:barChart>
      <c:catAx>
        <c:axId val="286673920"/>
        <c:scaling>
          <c:orientation val="minMax"/>
        </c:scaling>
        <c:delete val="0"/>
        <c:axPos val="l"/>
        <c:majorTickMark val="out"/>
        <c:minorTickMark val="none"/>
        <c:tickLblPos val="nextTo"/>
        <c:crossAx val="286712576"/>
        <c:crosses val="autoZero"/>
        <c:auto val="1"/>
        <c:lblAlgn val="ctr"/>
        <c:lblOffset val="100"/>
        <c:noMultiLvlLbl val="0"/>
      </c:catAx>
      <c:valAx>
        <c:axId val="286712576"/>
        <c:scaling>
          <c:orientation val="minMax"/>
        </c:scaling>
        <c:delete val="0"/>
        <c:axPos val="b"/>
        <c:majorGridlines/>
        <c:numFmt formatCode="General" sourceLinked="1"/>
        <c:majorTickMark val="out"/>
        <c:minorTickMark val="none"/>
        <c:tickLblPos val="nextTo"/>
        <c:crossAx val="2866739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'Pivot Table 2'!$M$30</c:f>
              <c:strCache>
                <c:ptCount val="1"/>
                <c:pt idx="0">
                  <c:v>Frequency of return reason</c:v>
                </c:pt>
              </c:strCache>
            </c:strRef>
          </c:tx>
          <c:marker>
            <c:symbol val="none"/>
          </c:marker>
          <c:cat>
            <c:multiLvlStrRef>
              <c:f>'Pivot Table 2'!$I$31:$L$50</c:f>
              <c:multiLvlStrCache>
                <c:ptCount val="20"/>
                <c:lvl>
                  <c:pt idx="0">
                    <c:v>Color Mismatch</c:v>
                  </c:pt>
                  <c:pt idx="1">
                    <c:v>Size Issue</c:v>
                  </c:pt>
                  <c:pt idx="2">
                    <c:v>Color mismatch</c:v>
                  </c:pt>
                  <c:pt idx="3">
                    <c:v>Size Issue</c:v>
                  </c:pt>
                  <c:pt idx="4">
                    <c:v>Changed Mind</c:v>
                  </c:pt>
                  <c:pt idx="5">
                    <c:v>Quality Issue</c:v>
                  </c:pt>
                  <c:pt idx="6">
                    <c:v>Wrong Item</c:v>
                  </c:pt>
                  <c:pt idx="7">
                    <c:v>Damaged</c:v>
                  </c:pt>
                  <c:pt idx="8">
                    <c:v>Color mismatch</c:v>
                  </c:pt>
                  <c:pt idx="9">
                    <c:v>Size Issue</c:v>
                  </c:pt>
                  <c:pt idx="10">
                    <c:v>Changed Mind</c:v>
                  </c:pt>
                  <c:pt idx="11">
                    <c:v>Quality Issue</c:v>
                  </c:pt>
                  <c:pt idx="12">
                    <c:v>Wrong Item</c:v>
                  </c:pt>
                  <c:pt idx="13">
                    <c:v>Damaged</c:v>
                  </c:pt>
                  <c:pt idx="14">
                    <c:v>Color mismatch</c:v>
                  </c:pt>
                  <c:pt idx="15">
                    <c:v>Size Issue</c:v>
                  </c:pt>
                  <c:pt idx="16">
                    <c:v>Changed Mind</c:v>
                  </c:pt>
                  <c:pt idx="17">
                    <c:v>Quality Issue</c:v>
                  </c:pt>
                  <c:pt idx="18">
                    <c:v>Wrong Item</c:v>
                  </c:pt>
                  <c:pt idx="19">
                    <c:v>Damaged</c:v>
                  </c:pt>
                </c:lvl>
                <c:lvl>
                  <c:pt idx="0">
                    <c:v>0</c:v>
                  </c:pt>
                  <c:pt idx="2">
                    <c:v>11,81812081</c:v>
                  </c:pt>
                  <c:pt idx="8">
                    <c:v>20,85833333</c:v>
                  </c:pt>
                  <c:pt idx="14">
                    <c:v>13,03773585</c:v>
                  </c:pt>
                </c:lvl>
                <c:lvl>
                  <c:pt idx="0">
                    <c:v>2</c:v>
                  </c:pt>
                  <c:pt idx="2">
                    <c:v>149</c:v>
                  </c:pt>
                  <c:pt idx="8">
                    <c:v>12</c:v>
                  </c:pt>
                  <c:pt idx="14">
                    <c:v>159</c:v>
                  </c:pt>
                </c:lvl>
                <c:lvl>
                  <c:pt idx="0">
                    <c:v>5</c:v>
                  </c:pt>
                  <c:pt idx="2">
                    <c:v>&gt;3</c:v>
                  </c:pt>
                  <c:pt idx="8">
                    <c:v>3</c:v>
                  </c:pt>
                  <c:pt idx="14">
                    <c:v>&lt;3</c:v>
                  </c:pt>
                </c:lvl>
              </c:multiLvlStrCache>
            </c:multiLvlStrRef>
          </c:cat>
          <c:val>
            <c:numRef>
              <c:f>'Pivot Table 2'!$M$31:$M$50</c:f>
              <c:numCache>
                <c:formatCode>General</c:formatCode>
                <c:ptCount val="20"/>
                <c:pt idx="0">
                  <c:v>1</c:v>
                </c:pt>
                <c:pt idx="1">
                  <c:v>1</c:v>
                </c:pt>
                <c:pt idx="2">
                  <c:v>16</c:v>
                </c:pt>
                <c:pt idx="3">
                  <c:v>26</c:v>
                </c:pt>
                <c:pt idx="4">
                  <c:v>41</c:v>
                </c:pt>
                <c:pt idx="5">
                  <c:v>26</c:v>
                </c:pt>
                <c:pt idx="6">
                  <c:v>22</c:v>
                </c:pt>
                <c:pt idx="7">
                  <c:v>18</c:v>
                </c:pt>
                <c:pt idx="8">
                  <c:v>1</c:v>
                </c:pt>
                <c:pt idx="9">
                  <c:v>1</c:v>
                </c:pt>
                <c:pt idx="10">
                  <c:v>6</c:v>
                </c:pt>
                <c:pt idx="11">
                  <c:v>2</c:v>
                </c:pt>
                <c:pt idx="12">
                  <c:v>1</c:v>
                </c:pt>
                <c:pt idx="13">
                  <c:v>1</c:v>
                </c:pt>
                <c:pt idx="14">
                  <c:v>29</c:v>
                </c:pt>
                <c:pt idx="15">
                  <c:v>33</c:v>
                </c:pt>
                <c:pt idx="16">
                  <c:v>21</c:v>
                </c:pt>
                <c:pt idx="17">
                  <c:v>27</c:v>
                </c:pt>
                <c:pt idx="18">
                  <c:v>24</c:v>
                </c:pt>
                <c:pt idx="19">
                  <c:v>25</c:v>
                </c:pt>
              </c:numCache>
            </c:numRef>
          </c:val>
          <c:smooth val="0"/>
        </c:ser>
        <c:dLbls>
          <c:showLegendKey val="0"/>
          <c:showVal val="0"/>
          <c:showCatName val="0"/>
          <c:showSerName val="0"/>
          <c:showPercent val="0"/>
          <c:showBubbleSize val="0"/>
        </c:dLbls>
        <c:marker val="1"/>
        <c:smooth val="0"/>
        <c:axId val="286925568"/>
        <c:axId val="286927104"/>
      </c:lineChart>
      <c:catAx>
        <c:axId val="286925568"/>
        <c:scaling>
          <c:orientation val="minMax"/>
        </c:scaling>
        <c:delete val="0"/>
        <c:axPos val="b"/>
        <c:majorTickMark val="out"/>
        <c:minorTickMark val="none"/>
        <c:tickLblPos val="nextTo"/>
        <c:crossAx val="286927104"/>
        <c:crosses val="autoZero"/>
        <c:auto val="1"/>
        <c:lblAlgn val="ctr"/>
        <c:lblOffset val="100"/>
        <c:noMultiLvlLbl val="0"/>
      </c:catAx>
      <c:valAx>
        <c:axId val="286927104"/>
        <c:scaling>
          <c:orientation val="minMax"/>
        </c:scaling>
        <c:delete val="0"/>
        <c:axPos val="l"/>
        <c:majorGridlines/>
        <c:numFmt formatCode="General" sourceLinked="1"/>
        <c:majorTickMark val="out"/>
        <c:minorTickMark val="none"/>
        <c:tickLblPos val="nextTo"/>
        <c:crossAx val="2869255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Frequency Return</a:t>
            </a:r>
            <a:r>
              <a:rPr lang="id-ID" sz="1200"/>
              <a:t> per Brand</a:t>
            </a:r>
            <a:endParaRPr lang="en-US" sz="1200"/>
          </a:p>
        </c:rich>
      </c:tx>
      <c:overlay val="0"/>
    </c:title>
    <c:autoTitleDeleted val="0"/>
    <c:plotArea>
      <c:layout/>
      <c:barChart>
        <c:barDir val="col"/>
        <c:grouping val="clustered"/>
        <c:varyColors val="0"/>
        <c:ser>
          <c:idx val="0"/>
          <c:order val="0"/>
          <c:tx>
            <c:strRef>
              <c:f>'Pivot Table 2'!$H$97</c:f>
              <c:strCache>
                <c:ptCount val="1"/>
                <c:pt idx="0">
                  <c:v>Frequency Return</c:v>
                </c:pt>
              </c:strCache>
            </c:strRef>
          </c:tx>
          <c:invertIfNegative val="0"/>
          <c:cat>
            <c:strRef>
              <c:f>'Pivot Table 2'!$G$98:$G$105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2'!$H$98:$H$105</c:f>
              <c:numCache>
                <c:formatCode>General</c:formatCode>
                <c:ptCount val="8"/>
                <c:pt idx="0">
                  <c:v>51</c:v>
                </c:pt>
                <c:pt idx="1">
                  <c:v>47</c:v>
                </c:pt>
                <c:pt idx="2">
                  <c:v>34</c:v>
                </c:pt>
                <c:pt idx="3">
                  <c:v>36</c:v>
                </c:pt>
                <c:pt idx="4">
                  <c:v>39</c:v>
                </c:pt>
                <c:pt idx="5">
                  <c:v>32</c:v>
                </c:pt>
                <c:pt idx="6">
                  <c:v>33</c:v>
                </c:pt>
                <c:pt idx="7">
                  <c:v>48</c:v>
                </c:pt>
              </c:numCache>
            </c:numRef>
          </c:val>
        </c:ser>
        <c:dLbls>
          <c:dLblPos val="outEnd"/>
          <c:showLegendKey val="0"/>
          <c:showVal val="1"/>
          <c:showCatName val="0"/>
          <c:showSerName val="0"/>
          <c:showPercent val="0"/>
          <c:showBubbleSize val="0"/>
        </c:dLbls>
        <c:gapWidth val="150"/>
        <c:axId val="286964736"/>
        <c:axId val="286966528"/>
      </c:barChart>
      <c:catAx>
        <c:axId val="286964736"/>
        <c:scaling>
          <c:orientation val="minMax"/>
        </c:scaling>
        <c:delete val="0"/>
        <c:axPos val="b"/>
        <c:majorTickMark val="out"/>
        <c:minorTickMark val="none"/>
        <c:tickLblPos val="nextTo"/>
        <c:crossAx val="286966528"/>
        <c:crosses val="autoZero"/>
        <c:auto val="1"/>
        <c:lblAlgn val="ctr"/>
        <c:lblOffset val="100"/>
        <c:noMultiLvlLbl val="0"/>
      </c:catAx>
      <c:valAx>
        <c:axId val="286966528"/>
        <c:scaling>
          <c:orientation val="minMax"/>
        </c:scaling>
        <c:delete val="0"/>
        <c:axPos val="l"/>
        <c:majorGridlines/>
        <c:numFmt formatCode="General" sourceLinked="1"/>
        <c:majorTickMark val="out"/>
        <c:minorTickMark val="none"/>
        <c:tickLblPos val="nextTo"/>
        <c:crossAx val="286964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 Table 2'!$H$77:$H$78</c:f>
              <c:strCache>
                <c:ptCount val="1"/>
                <c:pt idx="0">
                  <c:v>Accessories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2'!$H$79:$H$95</c:f>
              <c:numCache>
                <c:formatCode>General</c:formatCode>
                <c:ptCount val="8"/>
                <c:pt idx="0">
                  <c:v>8</c:v>
                </c:pt>
                <c:pt idx="1">
                  <c:v>5</c:v>
                </c:pt>
                <c:pt idx="2">
                  <c:v>13</c:v>
                </c:pt>
                <c:pt idx="3">
                  <c:v>1</c:v>
                </c:pt>
                <c:pt idx="4">
                  <c:v>4</c:v>
                </c:pt>
                <c:pt idx="5">
                  <c:v>4</c:v>
                </c:pt>
                <c:pt idx="6">
                  <c:v>7</c:v>
                </c:pt>
                <c:pt idx="7">
                  <c:v>13</c:v>
                </c:pt>
              </c:numCache>
            </c:numRef>
          </c:val>
        </c:ser>
        <c:ser>
          <c:idx val="1"/>
          <c:order val="1"/>
          <c:tx>
            <c:strRef>
              <c:f>'Pivot Table 2'!$I$77:$I$78</c:f>
              <c:strCache>
                <c:ptCount val="1"/>
                <c:pt idx="0">
                  <c:v>Bottoms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2'!$I$79:$I$95</c:f>
              <c:numCache>
                <c:formatCode>General</c:formatCode>
                <c:ptCount val="8"/>
                <c:pt idx="0">
                  <c:v>7</c:v>
                </c:pt>
                <c:pt idx="1">
                  <c:v>10</c:v>
                </c:pt>
                <c:pt idx="2">
                  <c:v>8</c:v>
                </c:pt>
                <c:pt idx="3">
                  <c:v>8</c:v>
                </c:pt>
                <c:pt idx="4">
                  <c:v>10</c:v>
                </c:pt>
                <c:pt idx="5">
                  <c:v>9</c:v>
                </c:pt>
                <c:pt idx="6">
                  <c:v>4</c:v>
                </c:pt>
                <c:pt idx="7">
                  <c:v>6</c:v>
                </c:pt>
              </c:numCache>
            </c:numRef>
          </c:val>
        </c:ser>
        <c:ser>
          <c:idx val="2"/>
          <c:order val="2"/>
          <c:tx>
            <c:strRef>
              <c:f>'Pivot Table 2'!$J$77:$J$78</c:f>
              <c:strCache>
                <c:ptCount val="1"/>
                <c:pt idx="0">
                  <c:v>Dresses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2'!$J$79:$J$95</c:f>
              <c:numCache>
                <c:formatCode>General</c:formatCode>
                <c:ptCount val="8"/>
                <c:pt idx="0">
                  <c:v>7</c:v>
                </c:pt>
                <c:pt idx="1">
                  <c:v>10</c:v>
                </c:pt>
                <c:pt idx="2">
                  <c:v>7</c:v>
                </c:pt>
                <c:pt idx="3">
                  <c:v>2</c:v>
                </c:pt>
                <c:pt idx="4">
                  <c:v>4</c:v>
                </c:pt>
                <c:pt idx="5">
                  <c:v>6</c:v>
                </c:pt>
                <c:pt idx="6">
                  <c:v>5</c:v>
                </c:pt>
                <c:pt idx="7">
                  <c:v>6</c:v>
                </c:pt>
              </c:numCache>
            </c:numRef>
          </c:val>
        </c:ser>
        <c:ser>
          <c:idx val="3"/>
          <c:order val="3"/>
          <c:tx>
            <c:strRef>
              <c:f>'Pivot Table 2'!$K$77:$K$78</c:f>
              <c:strCache>
                <c:ptCount val="1"/>
                <c:pt idx="0">
                  <c:v>Outerwear</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2'!$K$79:$K$95</c:f>
              <c:numCache>
                <c:formatCode>General</c:formatCode>
                <c:ptCount val="8"/>
                <c:pt idx="0">
                  <c:v>11</c:v>
                </c:pt>
                <c:pt idx="1">
                  <c:v>10</c:v>
                </c:pt>
                <c:pt idx="2">
                  <c:v>2</c:v>
                </c:pt>
                <c:pt idx="3">
                  <c:v>8</c:v>
                </c:pt>
                <c:pt idx="4">
                  <c:v>9</c:v>
                </c:pt>
                <c:pt idx="5">
                  <c:v>2</c:v>
                </c:pt>
                <c:pt idx="6">
                  <c:v>5</c:v>
                </c:pt>
                <c:pt idx="7">
                  <c:v>7</c:v>
                </c:pt>
              </c:numCache>
            </c:numRef>
          </c:val>
        </c:ser>
        <c:ser>
          <c:idx val="4"/>
          <c:order val="4"/>
          <c:tx>
            <c:strRef>
              <c:f>'Pivot Table 2'!$L$77:$L$78</c:f>
              <c:strCache>
                <c:ptCount val="1"/>
                <c:pt idx="0">
                  <c:v>Shoes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2'!$L$79:$L$95</c:f>
              <c:numCache>
                <c:formatCode>General</c:formatCode>
                <c:ptCount val="8"/>
                <c:pt idx="0">
                  <c:v>10</c:v>
                </c:pt>
                <c:pt idx="1">
                  <c:v>9</c:v>
                </c:pt>
                <c:pt idx="2">
                  <c:v>3</c:v>
                </c:pt>
                <c:pt idx="3">
                  <c:v>7</c:v>
                </c:pt>
                <c:pt idx="4">
                  <c:v>5</c:v>
                </c:pt>
                <c:pt idx="5">
                  <c:v>6</c:v>
                </c:pt>
                <c:pt idx="6">
                  <c:v>9</c:v>
                </c:pt>
                <c:pt idx="7">
                  <c:v>7</c:v>
                </c:pt>
              </c:numCache>
            </c:numRef>
          </c:val>
        </c:ser>
        <c:ser>
          <c:idx val="5"/>
          <c:order val="5"/>
          <c:tx>
            <c:strRef>
              <c:f>'Pivot Table 2'!$M$77:$M$78</c:f>
              <c:strCache>
                <c:ptCount val="1"/>
                <c:pt idx="0">
                  <c:v>Tops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2'!$M$79:$M$95</c:f>
              <c:numCache>
                <c:formatCode>General</c:formatCode>
                <c:ptCount val="8"/>
                <c:pt idx="0">
                  <c:v>8</c:v>
                </c:pt>
                <c:pt idx="1">
                  <c:v>3</c:v>
                </c:pt>
                <c:pt idx="2">
                  <c:v>1</c:v>
                </c:pt>
                <c:pt idx="3">
                  <c:v>10</c:v>
                </c:pt>
                <c:pt idx="4">
                  <c:v>7</c:v>
                </c:pt>
                <c:pt idx="5">
                  <c:v>5</c:v>
                </c:pt>
                <c:pt idx="6">
                  <c:v>3</c:v>
                </c:pt>
                <c:pt idx="7">
                  <c:v>9</c:v>
                </c:pt>
              </c:numCache>
            </c:numRef>
          </c:val>
        </c:ser>
        <c:dLbls>
          <c:showLegendKey val="0"/>
          <c:showVal val="0"/>
          <c:showCatName val="0"/>
          <c:showSerName val="0"/>
          <c:showPercent val="0"/>
          <c:showBubbleSize val="0"/>
        </c:dLbls>
        <c:gapWidth val="150"/>
        <c:axId val="286999296"/>
        <c:axId val="287000832"/>
      </c:barChart>
      <c:catAx>
        <c:axId val="286999296"/>
        <c:scaling>
          <c:orientation val="minMax"/>
        </c:scaling>
        <c:delete val="0"/>
        <c:axPos val="b"/>
        <c:majorTickMark val="out"/>
        <c:minorTickMark val="none"/>
        <c:tickLblPos val="nextTo"/>
        <c:crossAx val="287000832"/>
        <c:crosses val="autoZero"/>
        <c:auto val="1"/>
        <c:lblAlgn val="ctr"/>
        <c:lblOffset val="100"/>
        <c:noMultiLvlLbl val="0"/>
      </c:catAx>
      <c:valAx>
        <c:axId val="287000832"/>
        <c:scaling>
          <c:orientation val="minMax"/>
        </c:scaling>
        <c:delete val="0"/>
        <c:axPos val="l"/>
        <c:majorGridlines/>
        <c:numFmt formatCode="General" sourceLinked="1"/>
        <c:majorTickMark val="out"/>
        <c:minorTickMark val="none"/>
        <c:tickLblPos val="nextTo"/>
        <c:crossAx val="2869992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s>
    <c:plotArea>
      <c:layout/>
      <c:barChart>
        <c:barDir val="col"/>
        <c:grouping val="clustered"/>
        <c:varyColors val="0"/>
        <c:ser>
          <c:idx val="0"/>
          <c:order val="0"/>
          <c:tx>
            <c:strRef>
              <c:f>'Pivot Table 2'!$U$105:$U$107</c:f>
              <c:strCache>
                <c:ptCount val="1"/>
                <c:pt idx="0">
                  <c:v>Outerwear - Changed Mind</c:v>
                </c:pt>
              </c:strCache>
            </c:strRef>
          </c:tx>
          <c:invertIfNegative val="0"/>
          <c:cat>
            <c:multiLvlStrRef>
              <c:f>'Pivot Table 2'!$T$108:$T$110</c:f>
              <c:multiLvlStrCache>
                <c:ptCount val="1"/>
                <c:lvl>
                  <c:pt idx="0">
                    <c:v>TRUE</c:v>
                  </c:pt>
                </c:lvl>
                <c:lvl>
                  <c:pt idx="0">
                    <c:v>Ann Taylor</c:v>
                  </c:pt>
                </c:lvl>
              </c:multiLvlStrCache>
            </c:multiLvlStrRef>
          </c:cat>
          <c:val>
            <c:numRef>
              <c:f>'Pivot Table 2'!$U$108:$U$110</c:f>
              <c:numCache>
                <c:formatCode>General</c:formatCode>
                <c:ptCount val="1"/>
                <c:pt idx="0">
                  <c:v>2</c:v>
                </c:pt>
              </c:numCache>
            </c:numRef>
          </c:val>
        </c:ser>
        <c:ser>
          <c:idx val="1"/>
          <c:order val="1"/>
          <c:tx>
            <c:strRef>
              <c:f>'Pivot Table 2'!$V$105:$V$107</c:f>
              <c:strCache>
                <c:ptCount val="1"/>
                <c:pt idx="0">
                  <c:v>Outerwear - Color Mismatch</c:v>
                </c:pt>
              </c:strCache>
            </c:strRef>
          </c:tx>
          <c:invertIfNegative val="0"/>
          <c:cat>
            <c:multiLvlStrRef>
              <c:f>'Pivot Table 2'!$T$108:$T$110</c:f>
              <c:multiLvlStrCache>
                <c:ptCount val="1"/>
                <c:lvl>
                  <c:pt idx="0">
                    <c:v>TRUE</c:v>
                  </c:pt>
                </c:lvl>
                <c:lvl>
                  <c:pt idx="0">
                    <c:v>Ann Taylor</c:v>
                  </c:pt>
                </c:lvl>
              </c:multiLvlStrCache>
            </c:multiLvlStrRef>
          </c:cat>
          <c:val>
            <c:numRef>
              <c:f>'Pivot Table 2'!$V$108:$V$110</c:f>
              <c:numCache>
                <c:formatCode>General</c:formatCode>
                <c:ptCount val="1"/>
                <c:pt idx="0">
                  <c:v>1</c:v>
                </c:pt>
              </c:numCache>
            </c:numRef>
          </c:val>
        </c:ser>
        <c:ser>
          <c:idx val="2"/>
          <c:order val="2"/>
          <c:tx>
            <c:strRef>
              <c:f>'Pivot Table 2'!$W$105:$W$107</c:f>
              <c:strCache>
                <c:ptCount val="1"/>
                <c:pt idx="0">
                  <c:v>Outerwear - Damaged</c:v>
                </c:pt>
              </c:strCache>
            </c:strRef>
          </c:tx>
          <c:invertIfNegative val="0"/>
          <c:cat>
            <c:multiLvlStrRef>
              <c:f>'Pivot Table 2'!$T$108:$T$110</c:f>
              <c:multiLvlStrCache>
                <c:ptCount val="1"/>
                <c:lvl>
                  <c:pt idx="0">
                    <c:v>TRUE</c:v>
                  </c:pt>
                </c:lvl>
                <c:lvl>
                  <c:pt idx="0">
                    <c:v>Ann Taylor</c:v>
                  </c:pt>
                </c:lvl>
              </c:multiLvlStrCache>
            </c:multiLvlStrRef>
          </c:cat>
          <c:val>
            <c:numRef>
              <c:f>'Pivot Table 2'!$W$108:$W$110</c:f>
              <c:numCache>
                <c:formatCode>General</c:formatCode>
                <c:ptCount val="1"/>
                <c:pt idx="0">
                  <c:v>2</c:v>
                </c:pt>
              </c:numCache>
            </c:numRef>
          </c:val>
        </c:ser>
        <c:ser>
          <c:idx val="3"/>
          <c:order val="3"/>
          <c:tx>
            <c:strRef>
              <c:f>'Pivot Table 2'!$X$105:$X$107</c:f>
              <c:strCache>
                <c:ptCount val="1"/>
                <c:pt idx="0">
                  <c:v>Outerwear - Quality Issue</c:v>
                </c:pt>
              </c:strCache>
            </c:strRef>
          </c:tx>
          <c:invertIfNegative val="0"/>
          <c:cat>
            <c:multiLvlStrRef>
              <c:f>'Pivot Table 2'!$T$108:$T$110</c:f>
              <c:multiLvlStrCache>
                <c:ptCount val="1"/>
                <c:lvl>
                  <c:pt idx="0">
                    <c:v>TRUE</c:v>
                  </c:pt>
                </c:lvl>
                <c:lvl>
                  <c:pt idx="0">
                    <c:v>Ann Taylor</c:v>
                  </c:pt>
                </c:lvl>
              </c:multiLvlStrCache>
            </c:multiLvlStrRef>
          </c:cat>
          <c:val>
            <c:numRef>
              <c:f>'Pivot Table 2'!$X$108:$X$110</c:f>
              <c:numCache>
                <c:formatCode>General</c:formatCode>
                <c:ptCount val="1"/>
                <c:pt idx="0">
                  <c:v>1</c:v>
                </c:pt>
              </c:numCache>
            </c:numRef>
          </c:val>
        </c:ser>
        <c:ser>
          <c:idx val="4"/>
          <c:order val="4"/>
          <c:tx>
            <c:strRef>
              <c:f>'Pivot Table 2'!$Y$105:$Y$107</c:f>
              <c:strCache>
                <c:ptCount val="1"/>
                <c:pt idx="0">
                  <c:v>Outerwear - Size Issue</c:v>
                </c:pt>
              </c:strCache>
            </c:strRef>
          </c:tx>
          <c:invertIfNegative val="0"/>
          <c:cat>
            <c:multiLvlStrRef>
              <c:f>'Pivot Table 2'!$T$108:$T$110</c:f>
              <c:multiLvlStrCache>
                <c:ptCount val="1"/>
                <c:lvl>
                  <c:pt idx="0">
                    <c:v>TRUE</c:v>
                  </c:pt>
                </c:lvl>
                <c:lvl>
                  <c:pt idx="0">
                    <c:v>Ann Taylor</c:v>
                  </c:pt>
                </c:lvl>
              </c:multiLvlStrCache>
            </c:multiLvlStrRef>
          </c:cat>
          <c:val>
            <c:numRef>
              <c:f>'Pivot Table 2'!$Y$108:$Y$110</c:f>
              <c:numCache>
                <c:formatCode>General</c:formatCode>
                <c:ptCount val="1"/>
                <c:pt idx="0">
                  <c:v>3</c:v>
                </c:pt>
              </c:numCache>
            </c:numRef>
          </c:val>
        </c:ser>
        <c:ser>
          <c:idx val="5"/>
          <c:order val="5"/>
          <c:tx>
            <c:strRef>
              <c:f>'Pivot Table 2'!$Z$105:$Z$107</c:f>
              <c:strCache>
                <c:ptCount val="1"/>
                <c:pt idx="0">
                  <c:v>Outerwear - Wrong Item</c:v>
                </c:pt>
              </c:strCache>
            </c:strRef>
          </c:tx>
          <c:invertIfNegative val="0"/>
          <c:cat>
            <c:multiLvlStrRef>
              <c:f>'Pivot Table 2'!$T$108:$T$110</c:f>
              <c:multiLvlStrCache>
                <c:ptCount val="1"/>
                <c:lvl>
                  <c:pt idx="0">
                    <c:v>TRUE</c:v>
                  </c:pt>
                </c:lvl>
                <c:lvl>
                  <c:pt idx="0">
                    <c:v>Ann Taylor</c:v>
                  </c:pt>
                </c:lvl>
              </c:multiLvlStrCache>
            </c:multiLvlStrRef>
          </c:cat>
          <c:val>
            <c:numRef>
              <c:f>'Pivot Table 2'!$Z$108:$Z$110</c:f>
              <c:numCache>
                <c:formatCode>General</c:formatCode>
                <c:ptCount val="1"/>
                <c:pt idx="0">
                  <c:v>2</c:v>
                </c:pt>
              </c:numCache>
            </c:numRef>
          </c:val>
        </c:ser>
        <c:dLbls>
          <c:showLegendKey val="0"/>
          <c:showVal val="0"/>
          <c:showCatName val="0"/>
          <c:showSerName val="0"/>
          <c:showPercent val="0"/>
          <c:showBubbleSize val="0"/>
        </c:dLbls>
        <c:gapWidth val="150"/>
        <c:axId val="287192960"/>
        <c:axId val="287194496"/>
      </c:barChart>
      <c:catAx>
        <c:axId val="287192960"/>
        <c:scaling>
          <c:orientation val="minMax"/>
        </c:scaling>
        <c:delete val="0"/>
        <c:axPos val="b"/>
        <c:majorTickMark val="out"/>
        <c:minorTickMark val="none"/>
        <c:tickLblPos val="nextTo"/>
        <c:crossAx val="287194496"/>
        <c:crosses val="autoZero"/>
        <c:auto val="1"/>
        <c:lblAlgn val="ctr"/>
        <c:lblOffset val="100"/>
        <c:noMultiLvlLbl val="0"/>
      </c:catAx>
      <c:valAx>
        <c:axId val="287194496"/>
        <c:scaling>
          <c:orientation val="minMax"/>
        </c:scaling>
        <c:delete val="0"/>
        <c:axPos val="l"/>
        <c:majorGridlines/>
        <c:numFmt formatCode="General" sourceLinked="1"/>
        <c:majorTickMark val="out"/>
        <c:minorTickMark val="none"/>
        <c:tickLblPos val="nextTo"/>
        <c:crossAx val="287192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sz="1100"/>
            </a:pPr>
            <a:r>
              <a:rPr lang="id-ID" sz="1100"/>
              <a:t>Total</a:t>
            </a:r>
            <a:r>
              <a:rPr lang="id-ID" sz="1100" baseline="0"/>
              <a:t> Sales and Stock Quantity of High VS Low Discounted Product</a:t>
            </a:r>
            <a:endParaRPr lang="en-US" sz="1100"/>
          </a:p>
        </c:rich>
      </c:tx>
      <c:overlay val="0"/>
    </c:title>
    <c:autoTitleDeleted val="0"/>
    <c:plotArea>
      <c:layout/>
      <c:barChart>
        <c:barDir val="col"/>
        <c:grouping val="stacked"/>
        <c:varyColors val="0"/>
        <c:ser>
          <c:idx val="0"/>
          <c:order val="0"/>
          <c:tx>
            <c:strRef>
              <c:f>'Pivot Table 2'!$S$9</c:f>
              <c:strCache>
                <c:ptCount val="1"/>
                <c:pt idx="0">
                  <c:v>% of Total Sales</c:v>
                </c:pt>
              </c:strCache>
            </c:strRef>
          </c:tx>
          <c:invertIfNegative val="0"/>
          <c:cat>
            <c:strRef>
              <c:f>'Pivot Table 2'!$R$10:$R$12</c:f>
              <c:strCache>
                <c:ptCount val="3"/>
                <c:pt idx="0">
                  <c:v>mp &gt; 30%</c:v>
                </c:pt>
                <c:pt idx="1">
                  <c:v>0% &lt; mp &lt; 30%</c:v>
                </c:pt>
                <c:pt idx="2">
                  <c:v>mp=0%</c:v>
                </c:pt>
              </c:strCache>
            </c:strRef>
          </c:cat>
          <c:val>
            <c:numRef>
              <c:f>'Pivot Table 2'!$S$10:$S$12</c:f>
              <c:numCache>
                <c:formatCode>0</c:formatCode>
                <c:ptCount val="3"/>
                <c:pt idx="0">
                  <c:v>19.255514705882355</c:v>
                </c:pt>
                <c:pt idx="1">
                  <c:v>20.542279411764707</c:v>
                </c:pt>
                <c:pt idx="2">
                  <c:v>59.650735294117652</c:v>
                </c:pt>
              </c:numCache>
            </c:numRef>
          </c:val>
        </c:ser>
        <c:ser>
          <c:idx val="1"/>
          <c:order val="1"/>
          <c:tx>
            <c:strRef>
              <c:f>'Pivot Table 2'!$T$9</c:f>
              <c:strCache>
                <c:ptCount val="1"/>
                <c:pt idx="0">
                  <c:v>Avg of Stock Quantity</c:v>
                </c:pt>
              </c:strCache>
            </c:strRef>
          </c:tx>
          <c:invertIfNegative val="0"/>
          <c:cat>
            <c:strRef>
              <c:f>'Pivot Table 2'!$R$10:$R$12</c:f>
              <c:strCache>
                <c:ptCount val="3"/>
                <c:pt idx="0">
                  <c:v>mp &gt; 30%</c:v>
                </c:pt>
                <c:pt idx="1">
                  <c:v>0% &lt; mp &lt; 30%</c:v>
                </c:pt>
                <c:pt idx="2">
                  <c:v>mp=0%</c:v>
                </c:pt>
              </c:strCache>
            </c:strRef>
          </c:cat>
          <c:val>
            <c:numRef>
              <c:f>'Pivot Table 2'!$T$10:$T$12</c:f>
              <c:numCache>
                <c:formatCode>0</c:formatCode>
                <c:ptCount val="3"/>
                <c:pt idx="0">
                  <c:v>25.30310262529833</c:v>
                </c:pt>
                <c:pt idx="1">
                  <c:v>25.228187919463089</c:v>
                </c:pt>
                <c:pt idx="2">
                  <c:v>24.787365177195685</c:v>
                </c:pt>
              </c:numCache>
            </c:numRef>
          </c:val>
        </c:ser>
        <c:dLbls>
          <c:showLegendKey val="0"/>
          <c:showVal val="1"/>
          <c:showCatName val="0"/>
          <c:showSerName val="0"/>
          <c:showPercent val="0"/>
          <c:showBubbleSize val="0"/>
        </c:dLbls>
        <c:gapWidth val="95"/>
        <c:overlap val="100"/>
        <c:axId val="287241344"/>
        <c:axId val="287242880"/>
      </c:barChart>
      <c:catAx>
        <c:axId val="287241344"/>
        <c:scaling>
          <c:orientation val="minMax"/>
        </c:scaling>
        <c:delete val="0"/>
        <c:axPos val="b"/>
        <c:majorTickMark val="none"/>
        <c:minorTickMark val="none"/>
        <c:tickLblPos val="nextTo"/>
        <c:crossAx val="287242880"/>
        <c:crosses val="autoZero"/>
        <c:auto val="1"/>
        <c:lblAlgn val="ctr"/>
        <c:lblOffset val="100"/>
        <c:noMultiLvlLbl val="0"/>
      </c:catAx>
      <c:valAx>
        <c:axId val="287242880"/>
        <c:scaling>
          <c:orientation val="minMax"/>
        </c:scaling>
        <c:delete val="1"/>
        <c:axPos val="l"/>
        <c:numFmt formatCode="0" sourceLinked="1"/>
        <c:majorTickMark val="none"/>
        <c:minorTickMark val="none"/>
        <c:tickLblPos val="nextTo"/>
        <c:crossAx val="28724134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id-ID" sz="1400"/>
              <a:t>Rating</a:t>
            </a:r>
            <a:r>
              <a:rPr lang="id-ID" sz="1400" baseline="0"/>
              <a:t> Customer VS Is Returned </a:t>
            </a:r>
            <a:endParaRPr lang="en-US" sz="1400"/>
          </a:p>
        </c:rich>
      </c:tx>
      <c:overlay val="0"/>
    </c:title>
    <c:autoTitleDeleted val="0"/>
    <c:plotArea>
      <c:layout/>
      <c:lineChart>
        <c:grouping val="standard"/>
        <c:varyColors val="0"/>
        <c:ser>
          <c:idx val="0"/>
          <c:order val="0"/>
          <c:tx>
            <c:strRef>
              <c:f>'Pivot Table 2'!$R$30</c:f>
              <c:strCache>
                <c:ptCount val="1"/>
                <c:pt idx="0">
                  <c:v>Frequency of return reason</c:v>
                </c:pt>
              </c:strCache>
            </c:strRef>
          </c:tx>
          <c:marker>
            <c:symbol val="none"/>
          </c:marker>
          <c:cat>
            <c:multiLvlStrRef>
              <c:f>'Pivot Table 2'!$O$31:$Q$50</c:f>
              <c:multiLvlStrCache>
                <c:ptCount val="20"/>
                <c:lvl>
                  <c:pt idx="0">
                    <c:v>Color Mismatch</c:v>
                  </c:pt>
                  <c:pt idx="1">
                    <c:v>Size Issue</c:v>
                  </c:pt>
                  <c:pt idx="2">
                    <c:v>Color mismatch</c:v>
                  </c:pt>
                  <c:pt idx="3">
                    <c:v>Size Issue</c:v>
                  </c:pt>
                  <c:pt idx="4">
                    <c:v>Changed Mind</c:v>
                  </c:pt>
                  <c:pt idx="5">
                    <c:v>Quality Issue</c:v>
                  </c:pt>
                  <c:pt idx="6">
                    <c:v>Wrong Item</c:v>
                  </c:pt>
                  <c:pt idx="7">
                    <c:v>Damaged</c:v>
                  </c:pt>
                  <c:pt idx="8">
                    <c:v>Color mismatch</c:v>
                  </c:pt>
                  <c:pt idx="9">
                    <c:v>Size Issue</c:v>
                  </c:pt>
                  <c:pt idx="10">
                    <c:v>Changed Mind</c:v>
                  </c:pt>
                  <c:pt idx="11">
                    <c:v>Quality Issue</c:v>
                  </c:pt>
                  <c:pt idx="12">
                    <c:v>Wrong Item</c:v>
                  </c:pt>
                  <c:pt idx="13">
                    <c:v>Damaged</c:v>
                  </c:pt>
                  <c:pt idx="14">
                    <c:v>Color mismatch</c:v>
                  </c:pt>
                  <c:pt idx="15">
                    <c:v>Size Issue</c:v>
                  </c:pt>
                  <c:pt idx="16">
                    <c:v>Changed Mind</c:v>
                  </c:pt>
                  <c:pt idx="17">
                    <c:v>Quality Issue</c:v>
                  </c:pt>
                  <c:pt idx="18">
                    <c:v>Wrong Item</c:v>
                  </c:pt>
                  <c:pt idx="19">
                    <c:v>Damaged</c:v>
                  </c:pt>
                </c:lvl>
                <c:lvl>
                  <c:pt idx="0">
                    <c:v>8,3</c:v>
                  </c:pt>
                  <c:pt idx="2">
                    <c:v>14,4</c:v>
                  </c:pt>
                  <c:pt idx="8">
                    <c:v>26,1</c:v>
                  </c:pt>
                  <c:pt idx="14">
                    <c:v>14,6</c:v>
                  </c:pt>
                </c:lvl>
                <c:lvl>
                  <c:pt idx="0">
                    <c:v>5</c:v>
                  </c:pt>
                  <c:pt idx="2">
                    <c:v>&gt;3</c:v>
                  </c:pt>
                  <c:pt idx="8">
                    <c:v>3</c:v>
                  </c:pt>
                  <c:pt idx="14">
                    <c:v>&lt;3</c:v>
                  </c:pt>
                </c:lvl>
              </c:multiLvlStrCache>
            </c:multiLvlStrRef>
          </c:cat>
          <c:val>
            <c:numRef>
              <c:f>'Pivot Table 2'!$R$31:$R$50</c:f>
              <c:numCache>
                <c:formatCode>General</c:formatCode>
                <c:ptCount val="20"/>
                <c:pt idx="0">
                  <c:v>1</c:v>
                </c:pt>
                <c:pt idx="1">
                  <c:v>1</c:v>
                </c:pt>
                <c:pt idx="2">
                  <c:v>16</c:v>
                </c:pt>
                <c:pt idx="3">
                  <c:v>26</c:v>
                </c:pt>
                <c:pt idx="4">
                  <c:v>41</c:v>
                </c:pt>
                <c:pt idx="5">
                  <c:v>26</c:v>
                </c:pt>
                <c:pt idx="6">
                  <c:v>22</c:v>
                </c:pt>
                <c:pt idx="7">
                  <c:v>18</c:v>
                </c:pt>
                <c:pt idx="8">
                  <c:v>1</c:v>
                </c:pt>
                <c:pt idx="9">
                  <c:v>1</c:v>
                </c:pt>
                <c:pt idx="10">
                  <c:v>6</c:v>
                </c:pt>
                <c:pt idx="11">
                  <c:v>2</c:v>
                </c:pt>
                <c:pt idx="12">
                  <c:v>1</c:v>
                </c:pt>
                <c:pt idx="13">
                  <c:v>1</c:v>
                </c:pt>
                <c:pt idx="14">
                  <c:v>29</c:v>
                </c:pt>
                <c:pt idx="15">
                  <c:v>33</c:v>
                </c:pt>
                <c:pt idx="16">
                  <c:v>21</c:v>
                </c:pt>
                <c:pt idx="17">
                  <c:v>27</c:v>
                </c:pt>
                <c:pt idx="18">
                  <c:v>24</c:v>
                </c:pt>
                <c:pt idx="19">
                  <c:v>25</c:v>
                </c:pt>
              </c:numCache>
            </c:numRef>
          </c:val>
          <c:smooth val="0"/>
        </c:ser>
        <c:dLbls>
          <c:dLblPos val="t"/>
          <c:showLegendKey val="0"/>
          <c:showVal val="1"/>
          <c:showCatName val="0"/>
          <c:showSerName val="0"/>
          <c:showPercent val="0"/>
          <c:showBubbleSize val="0"/>
        </c:dLbls>
        <c:marker val="1"/>
        <c:smooth val="0"/>
        <c:axId val="287337856"/>
        <c:axId val="287347840"/>
      </c:lineChart>
      <c:catAx>
        <c:axId val="287337856"/>
        <c:scaling>
          <c:orientation val="minMax"/>
        </c:scaling>
        <c:delete val="0"/>
        <c:axPos val="b"/>
        <c:majorTickMark val="none"/>
        <c:minorTickMark val="none"/>
        <c:tickLblPos val="nextTo"/>
        <c:crossAx val="287347840"/>
        <c:crosses val="autoZero"/>
        <c:auto val="1"/>
        <c:lblAlgn val="ctr"/>
        <c:lblOffset val="100"/>
        <c:noMultiLvlLbl val="0"/>
      </c:catAx>
      <c:valAx>
        <c:axId val="287347840"/>
        <c:scaling>
          <c:orientation val="minMax"/>
        </c:scaling>
        <c:delete val="0"/>
        <c:axPos val="l"/>
        <c:title>
          <c:tx>
            <c:rich>
              <a:bodyPr/>
              <a:lstStyle/>
              <a:p>
                <a:pPr>
                  <a:defRPr/>
                </a:pPr>
                <a:r>
                  <a:rPr lang="id-ID"/>
                  <a:t>Frequancy</a:t>
                </a:r>
                <a:r>
                  <a:rPr lang="id-ID" baseline="0"/>
                  <a:t> of Return Reason</a:t>
                </a:r>
                <a:endParaRPr lang="en-US"/>
              </a:p>
            </c:rich>
          </c:tx>
          <c:overlay val="0"/>
        </c:title>
        <c:numFmt formatCode="General" sourceLinked="1"/>
        <c:majorTickMark val="none"/>
        <c:minorTickMark val="none"/>
        <c:tickLblPos val="nextTo"/>
        <c:crossAx val="287337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0!PivotTable2</c:name>
    <c:fmtId val="3"/>
  </c:pivotSource>
  <c:chart>
    <c:title>
      <c:tx>
        <c:rich>
          <a:bodyPr/>
          <a:lstStyle/>
          <a:p>
            <a:pPr>
              <a:defRPr sz="1400"/>
            </a:pPr>
            <a:r>
              <a:rPr lang="id-ID" sz="1400" baseline="0"/>
              <a:t>Revenue per Brand </a:t>
            </a:r>
            <a:endParaRPr lang="en-US" sz="1400"/>
          </a:p>
        </c:rich>
      </c:tx>
      <c:layout/>
      <c:overlay val="0"/>
    </c:title>
    <c:autoTitleDeleted val="0"/>
    <c:pivotFmts>
      <c:pivotFmt>
        <c:idx val="0"/>
        <c:marker>
          <c:symbol val="none"/>
        </c:marker>
      </c:pivotFmt>
      <c:pivotFmt>
        <c:idx val="1"/>
        <c:marker>
          <c:symbol val="none"/>
        </c:marker>
      </c:pivotFmt>
      <c:pivotFmt>
        <c:idx val="2"/>
        <c:marker>
          <c:symbol val="none"/>
        </c:marker>
        <c:dLbl>
          <c:idx val="0"/>
          <c:layout/>
          <c:numFmt formatCode="[$$-409]#,##0" sourceLinked="0"/>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'Pivot Table 0'!$F$8</c:f>
              <c:strCache>
                <c:ptCount val="1"/>
                <c:pt idx="0">
                  <c:v>Total</c:v>
                </c:pt>
              </c:strCache>
            </c:strRef>
          </c:tx>
          <c:invertIfNegative val="0"/>
          <c:dLbls>
            <c:numFmt formatCode="[$$-409]#,##0" sourceLinked="0"/>
            <c:spPr/>
            <c:txPr>
              <a:bodyPr/>
              <a:lstStyle/>
              <a:p>
                <a:pPr>
                  <a:defRPr/>
                </a:pPr>
                <a:endParaRPr lang="en-US"/>
              </a:p>
            </c:txPr>
            <c:dLblPos val="outEnd"/>
            <c:showLegendKey val="0"/>
            <c:showVal val="1"/>
            <c:showCatName val="0"/>
            <c:showSerName val="0"/>
            <c:showPercent val="0"/>
            <c:showBubbleSize val="0"/>
            <c:showLeaderLines val="0"/>
          </c:dLbls>
          <c:cat>
            <c:strRef>
              <c:f>'Pivot Table 0'!$E$9:$E$17</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0'!$F$9:$F$17</c:f>
              <c:numCache>
                <c:formatCode>[$$-409]#,##0</c:formatCode>
                <c:ptCount val="8"/>
                <c:pt idx="0">
                  <c:v>21685.289999999994</c:v>
                </c:pt>
                <c:pt idx="1">
                  <c:v>25556.000000000018</c:v>
                </c:pt>
                <c:pt idx="2">
                  <c:v>20061.699999999997</c:v>
                </c:pt>
                <c:pt idx="3">
                  <c:v>18986.280000000006</c:v>
                </c:pt>
                <c:pt idx="4">
                  <c:v>24283.710000000003</c:v>
                </c:pt>
                <c:pt idx="5">
                  <c:v>25100.039999999994</c:v>
                </c:pt>
                <c:pt idx="6">
                  <c:v>23830.509999999995</c:v>
                </c:pt>
                <c:pt idx="7">
                  <c:v>26543.589999999997</c:v>
                </c:pt>
              </c:numCache>
            </c:numRef>
          </c:val>
        </c:ser>
        <c:dLbls>
          <c:dLblPos val="outEnd"/>
          <c:showLegendKey val="0"/>
          <c:showVal val="1"/>
          <c:showCatName val="0"/>
          <c:showSerName val="0"/>
          <c:showPercent val="0"/>
          <c:showBubbleSize val="0"/>
        </c:dLbls>
        <c:gapWidth val="150"/>
        <c:overlap val="-25"/>
        <c:axId val="290887552"/>
        <c:axId val="290894592"/>
      </c:barChart>
      <c:catAx>
        <c:axId val="290887552"/>
        <c:scaling>
          <c:orientation val="minMax"/>
        </c:scaling>
        <c:delete val="0"/>
        <c:axPos val="b"/>
        <c:majorTickMark val="none"/>
        <c:minorTickMark val="none"/>
        <c:tickLblPos val="nextTo"/>
        <c:txPr>
          <a:bodyPr/>
          <a:lstStyle/>
          <a:p>
            <a:pPr>
              <a:defRPr sz="900"/>
            </a:pPr>
            <a:endParaRPr lang="en-US"/>
          </a:p>
        </c:txPr>
        <c:crossAx val="290894592"/>
        <c:crosses val="autoZero"/>
        <c:auto val="1"/>
        <c:lblAlgn val="ctr"/>
        <c:lblOffset val="100"/>
        <c:noMultiLvlLbl val="0"/>
      </c:catAx>
      <c:valAx>
        <c:axId val="290894592"/>
        <c:scaling>
          <c:orientation val="minMax"/>
        </c:scaling>
        <c:delete val="1"/>
        <c:axPos val="l"/>
        <c:numFmt formatCode="[$$-409]#,##0" sourceLinked="1"/>
        <c:majorTickMark val="none"/>
        <c:minorTickMark val="none"/>
        <c:tickLblPos val="nextTo"/>
        <c:crossAx val="290887552"/>
        <c:crosses val="autoZero"/>
        <c:crossBetween val="between"/>
      </c:valAx>
      <c:spPr>
        <a:noFill/>
        <a:ln w="25400">
          <a:noFill/>
        </a:ln>
      </c:spPr>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0!PivotTable3</c:name>
    <c:fmtId val="2"/>
  </c:pivotSource>
  <c:chart>
    <c:title>
      <c:tx>
        <c:rich>
          <a:bodyPr/>
          <a:lstStyle/>
          <a:p>
            <a:pPr>
              <a:defRPr sz="1400"/>
            </a:pPr>
            <a:r>
              <a:rPr lang="en-US" sz="1400"/>
              <a:t>Revenue per Category</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Table 0'!$F$20</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 Table 0'!$E$21:$E$27</c:f>
              <c:strCache>
                <c:ptCount val="6"/>
                <c:pt idx="0">
                  <c:v>Accessories</c:v>
                </c:pt>
                <c:pt idx="1">
                  <c:v>Bottoms</c:v>
                </c:pt>
                <c:pt idx="2">
                  <c:v>Dresses</c:v>
                </c:pt>
                <c:pt idx="3">
                  <c:v>Outerwear</c:v>
                </c:pt>
                <c:pt idx="4">
                  <c:v>Shoes</c:v>
                </c:pt>
                <c:pt idx="5">
                  <c:v>Tops</c:v>
                </c:pt>
              </c:strCache>
            </c:strRef>
          </c:cat>
          <c:val>
            <c:numRef>
              <c:f>'Pivot Table 0'!$F$21:$F$27</c:f>
              <c:numCache>
                <c:formatCode>[$$-409]#,##0_ ;\-[$$-409]#,##0\ </c:formatCode>
                <c:ptCount val="6"/>
                <c:pt idx="0">
                  <c:v>17393.880000000008</c:v>
                </c:pt>
                <c:pt idx="1">
                  <c:v>24079.389999999996</c:v>
                </c:pt>
                <c:pt idx="2">
                  <c:v>31028.350000000002</c:v>
                </c:pt>
                <c:pt idx="3">
                  <c:v>48672.81</c:v>
                </c:pt>
                <c:pt idx="4">
                  <c:v>41152.779999999948</c:v>
                </c:pt>
                <c:pt idx="5">
                  <c:v>23719.909999999989</c:v>
                </c:pt>
              </c:numCache>
            </c:numRef>
          </c:val>
        </c:ser>
        <c:dLbls>
          <c:showLegendKey val="0"/>
          <c:showVal val="1"/>
          <c:showCatName val="0"/>
          <c:showSerName val="0"/>
          <c:showPercent val="0"/>
          <c:showBubbleSize val="0"/>
        </c:dLbls>
        <c:gapWidth val="150"/>
        <c:overlap val="-25"/>
        <c:axId val="290935168"/>
        <c:axId val="290937856"/>
      </c:barChart>
      <c:catAx>
        <c:axId val="290935168"/>
        <c:scaling>
          <c:orientation val="minMax"/>
        </c:scaling>
        <c:delete val="0"/>
        <c:axPos val="b"/>
        <c:majorTickMark val="none"/>
        <c:minorTickMark val="none"/>
        <c:tickLblPos val="nextTo"/>
        <c:crossAx val="290937856"/>
        <c:crosses val="autoZero"/>
        <c:auto val="1"/>
        <c:lblAlgn val="ctr"/>
        <c:lblOffset val="100"/>
        <c:noMultiLvlLbl val="0"/>
      </c:catAx>
      <c:valAx>
        <c:axId val="290937856"/>
        <c:scaling>
          <c:orientation val="minMax"/>
        </c:scaling>
        <c:delete val="1"/>
        <c:axPos val="l"/>
        <c:numFmt formatCode="[$$-409]#,##0_ ;\-[$$-409]#,##0\ " sourceLinked="1"/>
        <c:majorTickMark val="out"/>
        <c:minorTickMark val="none"/>
        <c:tickLblPos val="nextTo"/>
        <c:crossAx val="29093516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2!PivotTable13</c:name>
    <c:fmtId val="7"/>
  </c:pivotSource>
  <c:chart>
    <c:title>
      <c:tx>
        <c:rich>
          <a:bodyPr/>
          <a:lstStyle/>
          <a:p>
            <a:pPr>
              <a:defRPr sz="1400"/>
            </a:pPr>
            <a:r>
              <a:rPr lang="id-ID" sz="1400"/>
              <a:t>Sales</a:t>
            </a:r>
            <a:r>
              <a:rPr lang="id-ID" sz="1400" baseline="0"/>
              <a:t> Trend</a:t>
            </a:r>
            <a:endParaRPr lang="en-US" sz="1400"/>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pivotFmt>
    </c:pivotFmts>
    <c:plotArea>
      <c:layout/>
      <c:lineChart>
        <c:grouping val="stacked"/>
        <c:varyColors val="0"/>
        <c:ser>
          <c:idx val="0"/>
          <c:order val="0"/>
          <c:tx>
            <c:strRef>
              <c:f>'Pivot Table 2'!$H$157</c:f>
              <c:strCache>
                <c:ptCount val="1"/>
                <c:pt idx="0">
                  <c:v>Total</c:v>
                </c:pt>
              </c:strCache>
            </c:strRef>
          </c:tx>
          <c:marker>
            <c:symbol val="none"/>
          </c:marker>
          <c:cat>
            <c:multiLvlStrRef>
              <c:f>'Pivot Table 2'!$G$158:$G$173</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2024</c:v>
                  </c:pt>
                  <c:pt idx="5">
                    <c:v>2025</c:v>
                  </c:pt>
                </c:lvl>
              </c:multiLvlStrCache>
            </c:multiLvlStrRef>
          </c:cat>
          <c:val>
            <c:numRef>
              <c:f>'Pivot Table 2'!$H$158:$H$173</c:f>
              <c:numCache>
                <c:formatCode>General</c:formatCode>
                <c:ptCount val="13"/>
                <c:pt idx="0">
                  <c:v>34</c:v>
                </c:pt>
                <c:pt idx="1">
                  <c:v>58</c:v>
                </c:pt>
                <c:pt idx="2">
                  <c:v>46</c:v>
                </c:pt>
                <c:pt idx="3">
                  <c:v>40</c:v>
                </c:pt>
                <c:pt idx="4">
                  <c:v>41</c:v>
                </c:pt>
                <c:pt idx="5">
                  <c:v>41</c:v>
                </c:pt>
                <c:pt idx="6">
                  <c:v>37</c:v>
                </c:pt>
                <c:pt idx="7">
                  <c:v>41</c:v>
                </c:pt>
                <c:pt idx="8">
                  <c:v>57</c:v>
                </c:pt>
                <c:pt idx="9">
                  <c:v>48</c:v>
                </c:pt>
                <c:pt idx="10">
                  <c:v>32</c:v>
                </c:pt>
                <c:pt idx="11">
                  <c:v>54</c:v>
                </c:pt>
                <c:pt idx="12">
                  <c:v>1647</c:v>
                </c:pt>
              </c:numCache>
            </c:numRef>
          </c:val>
          <c:smooth val="0"/>
        </c:ser>
        <c:dLbls>
          <c:showLegendKey val="0"/>
          <c:showVal val="0"/>
          <c:showCatName val="0"/>
          <c:showSerName val="0"/>
          <c:showPercent val="0"/>
          <c:showBubbleSize val="0"/>
        </c:dLbls>
        <c:marker val="1"/>
        <c:smooth val="0"/>
        <c:axId val="290950144"/>
        <c:axId val="290968320"/>
      </c:lineChart>
      <c:catAx>
        <c:axId val="290950144"/>
        <c:scaling>
          <c:orientation val="minMax"/>
        </c:scaling>
        <c:delete val="0"/>
        <c:axPos val="b"/>
        <c:majorTickMark val="out"/>
        <c:minorTickMark val="none"/>
        <c:tickLblPos val="nextTo"/>
        <c:crossAx val="290968320"/>
        <c:crosses val="autoZero"/>
        <c:auto val="1"/>
        <c:lblAlgn val="ctr"/>
        <c:lblOffset val="100"/>
        <c:noMultiLvlLbl val="0"/>
      </c:catAx>
      <c:valAx>
        <c:axId val="290968320"/>
        <c:scaling>
          <c:orientation val="minMax"/>
        </c:scaling>
        <c:delete val="0"/>
        <c:axPos val="l"/>
        <c:majorGridlines/>
        <c:numFmt formatCode="General" sourceLinked="1"/>
        <c:majorTickMark val="out"/>
        <c:minorTickMark val="none"/>
        <c:tickLblPos val="nextTo"/>
        <c:crossAx val="290950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2!PivotTable9</c:name>
    <c:fmtId val="2"/>
  </c:pivotSource>
  <c:chart>
    <c:title>
      <c:tx>
        <c:rich>
          <a:bodyPr/>
          <a:lstStyle/>
          <a:p>
            <a:pPr>
              <a:defRPr sz="1400"/>
            </a:pPr>
            <a:r>
              <a:rPr lang="id-ID" sz="1400"/>
              <a:t>Total</a:t>
            </a:r>
            <a:r>
              <a:rPr lang="id-ID" sz="1400" baseline="0"/>
              <a:t> Sales Categori per Season</a:t>
            </a:r>
            <a:endParaRPr lang="en-US" sz="1400"/>
          </a:p>
        </c:rich>
      </c:tx>
      <c:layout>
        <c:manualLayout>
          <c:xMode val="edge"/>
          <c:yMode val="edge"/>
          <c:x val="0.29250682725072952"/>
          <c:y val="4.0893452800164362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s>
    <c:plotArea>
      <c:layout/>
      <c:barChart>
        <c:barDir val="bar"/>
        <c:grouping val="clustered"/>
        <c:varyColors val="0"/>
        <c:ser>
          <c:idx val="0"/>
          <c:order val="0"/>
          <c:tx>
            <c:strRef>
              <c:f>'Pivot Table 2'!$H$133:$H$134</c:f>
              <c:strCache>
                <c:ptCount val="1"/>
                <c:pt idx="0">
                  <c:v>Accessories</c:v>
                </c:pt>
              </c:strCache>
            </c:strRef>
          </c:tx>
          <c:invertIfNegative val="0"/>
          <c:cat>
            <c:strRef>
              <c:f>'Pivot Table 2'!$G$135:$G$139</c:f>
              <c:strCache>
                <c:ptCount val="4"/>
                <c:pt idx="0">
                  <c:v>Fall</c:v>
                </c:pt>
                <c:pt idx="1">
                  <c:v>Spring</c:v>
                </c:pt>
                <c:pt idx="2">
                  <c:v>Summer</c:v>
                </c:pt>
                <c:pt idx="3">
                  <c:v>Winter</c:v>
                </c:pt>
              </c:strCache>
            </c:strRef>
          </c:cat>
          <c:val>
            <c:numRef>
              <c:f>'Pivot Table 2'!$H$135:$H$139</c:f>
              <c:numCache>
                <c:formatCode>General</c:formatCode>
                <c:ptCount val="4"/>
                <c:pt idx="0">
                  <c:v>101</c:v>
                </c:pt>
                <c:pt idx="1">
                  <c:v>92</c:v>
                </c:pt>
                <c:pt idx="2">
                  <c:v>101</c:v>
                </c:pt>
                <c:pt idx="3">
                  <c:v>108</c:v>
                </c:pt>
              </c:numCache>
            </c:numRef>
          </c:val>
        </c:ser>
        <c:ser>
          <c:idx val="1"/>
          <c:order val="1"/>
          <c:tx>
            <c:strRef>
              <c:f>'Pivot Table 2'!$I$133:$I$134</c:f>
              <c:strCache>
                <c:ptCount val="1"/>
                <c:pt idx="0">
                  <c:v>Bottoms</c:v>
                </c:pt>
              </c:strCache>
            </c:strRef>
          </c:tx>
          <c:invertIfNegative val="0"/>
          <c:cat>
            <c:strRef>
              <c:f>'Pivot Table 2'!$G$135:$G$139</c:f>
              <c:strCache>
                <c:ptCount val="4"/>
                <c:pt idx="0">
                  <c:v>Fall</c:v>
                </c:pt>
                <c:pt idx="1">
                  <c:v>Spring</c:v>
                </c:pt>
                <c:pt idx="2">
                  <c:v>Summer</c:v>
                </c:pt>
                <c:pt idx="3">
                  <c:v>Winter</c:v>
                </c:pt>
              </c:strCache>
            </c:strRef>
          </c:cat>
          <c:val>
            <c:numRef>
              <c:f>'Pivot Table 2'!$I$135:$I$139</c:f>
              <c:numCache>
                <c:formatCode>General</c:formatCode>
                <c:ptCount val="4"/>
                <c:pt idx="0">
                  <c:v>104</c:v>
                </c:pt>
                <c:pt idx="1">
                  <c:v>93</c:v>
                </c:pt>
                <c:pt idx="2">
                  <c:v>108</c:v>
                </c:pt>
                <c:pt idx="3">
                  <c:v>87</c:v>
                </c:pt>
              </c:numCache>
            </c:numRef>
          </c:val>
        </c:ser>
        <c:ser>
          <c:idx val="2"/>
          <c:order val="2"/>
          <c:tx>
            <c:strRef>
              <c:f>'Pivot Table 2'!$J$133:$J$134</c:f>
              <c:strCache>
                <c:ptCount val="1"/>
                <c:pt idx="0">
                  <c:v>Dresses</c:v>
                </c:pt>
              </c:strCache>
            </c:strRef>
          </c:tx>
          <c:invertIfNegative val="0"/>
          <c:cat>
            <c:strRef>
              <c:f>'Pivot Table 2'!$G$135:$G$139</c:f>
              <c:strCache>
                <c:ptCount val="4"/>
                <c:pt idx="0">
                  <c:v>Fall</c:v>
                </c:pt>
                <c:pt idx="1">
                  <c:v>Spring</c:v>
                </c:pt>
                <c:pt idx="2">
                  <c:v>Summer</c:v>
                </c:pt>
                <c:pt idx="3">
                  <c:v>Winter</c:v>
                </c:pt>
              </c:strCache>
            </c:strRef>
          </c:cat>
          <c:val>
            <c:numRef>
              <c:f>'Pivot Table 2'!$J$135:$J$139</c:f>
              <c:numCache>
                <c:formatCode>General</c:formatCode>
                <c:ptCount val="4"/>
                <c:pt idx="0">
                  <c:v>79</c:v>
                </c:pt>
                <c:pt idx="1">
                  <c:v>76</c:v>
                </c:pt>
                <c:pt idx="2">
                  <c:v>79</c:v>
                </c:pt>
                <c:pt idx="3">
                  <c:v>83</c:v>
                </c:pt>
              </c:numCache>
            </c:numRef>
          </c:val>
        </c:ser>
        <c:ser>
          <c:idx val="3"/>
          <c:order val="3"/>
          <c:tx>
            <c:strRef>
              <c:f>'Pivot Table 2'!$K$133:$K$134</c:f>
              <c:strCache>
                <c:ptCount val="1"/>
                <c:pt idx="0">
                  <c:v>Outerwear</c:v>
                </c:pt>
              </c:strCache>
            </c:strRef>
          </c:tx>
          <c:invertIfNegative val="0"/>
          <c:cat>
            <c:strRef>
              <c:f>'Pivot Table 2'!$G$135:$G$139</c:f>
              <c:strCache>
                <c:ptCount val="4"/>
                <c:pt idx="0">
                  <c:v>Fall</c:v>
                </c:pt>
                <c:pt idx="1">
                  <c:v>Spring</c:v>
                </c:pt>
                <c:pt idx="2">
                  <c:v>Summer</c:v>
                </c:pt>
                <c:pt idx="3">
                  <c:v>Winter</c:v>
                </c:pt>
              </c:strCache>
            </c:strRef>
          </c:cat>
          <c:val>
            <c:numRef>
              <c:f>'Pivot Table 2'!$K$135:$K$139</c:f>
              <c:numCache>
                <c:formatCode>General</c:formatCode>
                <c:ptCount val="4"/>
                <c:pt idx="0">
                  <c:v>86</c:v>
                </c:pt>
                <c:pt idx="1">
                  <c:v>90</c:v>
                </c:pt>
                <c:pt idx="2">
                  <c:v>83</c:v>
                </c:pt>
                <c:pt idx="3">
                  <c:v>75</c:v>
                </c:pt>
              </c:numCache>
            </c:numRef>
          </c:val>
        </c:ser>
        <c:ser>
          <c:idx val="4"/>
          <c:order val="4"/>
          <c:tx>
            <c:strRef>
              <c:f>'Pivot Table 2'!$L$133:$L$134</c:f>
              <c:strCache>
                <c:ptCount val="1"/>
                <c:pt idx="0">
                  <c:v>Shoes</c:v>
                </c:pt>
              </c:strCache>
            </c:strRef>
          </c:tx>
          <c:invertIfNegative val="0"/>
          <c:cat>
            <c:strRef>
              <c:f>'Pivot Table 2'!$G$135:$G$139</c:f>
              <c:strCache>
                <c:ptCount val="4"/>
                <c:pt idx="0">
                  <c:v>Fall</c:v>
                </c:pt>
                <c:pt idx="1">
                  <c:v>Spring</c:v>
                </c:pt>
                <c:pt idx="2">
                  <c:v>Summer</c:v>
                </c:pt>
                <c:pt idx="3">
                  <c:v>Winter</c:v>
                </c:pt>
              </c:strCache>
            </c:strRef>
          </c:cat>
          <c:val>
            <c:numRef>
              <c:f>'Pivot Table 2'!$L$135:$L$139</c:f>
              <c:numCache>
                <c:formatCode>General</c:formatCode>
                <c:ptCount val="4"/>
                <c:pt idx="0">
                  <c:v>85</c:v>
                </c:pt>
                <c:pt idx="1">
                  <c:v>88</c:v>
                </c:pt>
                <c:pt idx="2">
                  <c:v>108</c:v>
                </c:pt>
                <c:pt idx="3">
                  <c:v>91</c:v>
                </c:pt>
              </c:numCache>
            </c:numRef>
          </c:val>
        </c:ser>
        <c:ser>
          <c:idx val="5"/>
          <c:order val="5"/>
          <c:tx>
            <c:strRef>
              <c:f>'Pivot Table 2'!$M$133:$M$134</c:f>
              <c:strCache>
                <c:ptCount val="1"/>
                <c:pt idx="0">
                  <c:v>Tops</c:v>
                </c:pt>
              </c:strCache>
            </c:strRef>
          </c:tx>
          <c:invertIfNegative val="0"/>
          <c:cat>
            <c:strRef>
              <c:f>'Pivot Table 2'!$G$135:$G$139</c:f>
              <c:strCache>
                <c:ptCount val="4"/>
                <c:pt idx="0">
                  <c:v>Fall</c:v>
                </c:pt>
                <c:pt idx="1">
                  <c:v>Spring</c:v>
                </c:pt>
                <c:pt idx="2">
                  <c:v>Summer</c:v>
                </c:pt>
                <c:pt idx="3">
                  <c:v>Winter</c:v>
                </c:pt>
              </c:strCache>
            </c:strRef>
          </c:cat>
          <c:val>
            <c:numRef>
              <c:f>'Pivot Table 2'!$M$135:$M$139</c:f>
              <c:numCache>
                <c:formatCode>General</c:formatCode>
                <c:ptCount val="4"/>
                <c:pt idx="0">
                  <c:v>89</c:v>
                </c:pt>
                <c:pt idx="1">
                  <c:v>96</c:v>
                </c:pt>
                <c:pt idx="2">
                  <c:v>96</c:v>
                </c:pt>
                <c:pt idx="3">
                  <c:v>78</c:v>
                </c:pt>
              </c:numCache>
            </c:numRef>
          </c:val>
        </c:ser>
        <c:dLbls>
          <c:showLegendKey val="0"/>
          <c:showVal val="0"/>
          <c:showCatName val="0"/>
          <c:showSerName val="0"/>
          <c:showPercent val="0"/>
          <c:showBubbleSize val="0"/>
        </c:dLbls>
        <c:gapWidth val="150"/>
        <c:axId val="291029760"/>
        <c:axId val="291031296"/>
      </c:barChart>
      <c:catAx>
        <c:axId val="291029760"/>
        <c:scaling>
          <c:orientation val="minMax"/>
        </c:scaling>
        <c:delete val="0"/>
        <c:axPos val="l"/>
        <c:majorTickMark val="out"/>
        <c:minorTickMark val="none"/>
        <c:tickLblPos val="nextTo"/>
        <c:crossAx val="291031296"/>
        <c:crosses val="autoZero"/>
        <c:auto val="1"/>
        <c:lblAlgn val="ctr"/>
        <c:lblOffset val="100"/>
        <c:noMultiLvlLbl val="0"/>
      </c:catAx>
      <c:valAx>
        <c:axId val="291031296"/>
        <c:scaling>
          <c:orientation val="minMax"/>
        </c:scaling>
        <c:delete val="0"/>
        <c:axPos val="b"/>
        <c:majorGridlines/>
        <c:numFmt formatCode="General" sourceLinked="1"/>
        <c:majorTickMark val="out"/>
        <c:minorTickMark val="none"/>
        <c:tickLblPos val="nextTo"/>
        <c:crossAx val="2910297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2!PivotTable11</c:name>
    <c:fmtId val="4"/>
  </c:pivotSource>
  <c:chart>
    <c:title>
      <c:tx>
        <c:rich>
          <a:bodyPr/>
          <a:lstStyle/>
          <a:p>
            <a:pPr>
              <a:defRPr sz="1400"/>
            </a:pPr>
            <a:r>
              <a:rPr lang="id-ID" sz="1400"/>
              <a:t>Total Sales </a:t>
            </a:r>
          </a:p>
          <a:p>
            <a:pPr>
              <a:defRPr sz="1400"/>
            </a:pPr>
            <a:r>
              <a:rPr lang="id-ID" sz="1400"/>
              <a:t>Discount</a:t>
            </a:r>
            <a:r>
              <a:rPr lang="id-ID" sz="1400" baseline="0"/>
              <a:t> Vs Non Discount</a:t>
            </a:r>
          </a:p>
          <a:p>
            <a:pPr>
              <a:defRPr sz="1400"/>
            </a:pPr>
            <a:r>
              <a:rPr lang="id-ID" sz="1400" baseline="0"/>
              <a:t>Product</a:t>
            </a:r>
            <a:endParaRPr lang="en-US" sz="1400"/>
          </a:p>
        </c:rich>
      </c:tx>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spPr/>
          <c:txPr>
            <a:bodyPr/>
            <a:lstStyle/>
            <a:p>
              <a:pPr>
                <a:defRPr/>
              </a:pPr>
              <a:endParaRPr lang="en-US"/>
            </a:p>
          </c:txPr>
          <c:dLblPos val="ctr"/>
          <c:showLegendKey val="0"/>
          <c:showVal val="0"/>
          <c:showCatName val="1"/>
          <c:showSerName val="0"/>
          <c:showPercent val="1"/>
          <c:showBubbleSize val="0"/>
        </c:dLbl>
      </c:pivotFmt>
    </c:pivotFmts>
    <c:plotArea>
      <c:layout/>
      <c:pieChart>
        <c:varyColors val="1"/>
        <c:ser>
          <c:idx val="0"/>
          <c:order val="0"/>
          <c:tx>
            <c:strRef>
              <c:f>'Pivot Table 2'!$H$151</c:f>
              <c:strCache>
                <c:ptCount val="1"/>
                <c:pt idx="0">
                  <c:v>Total</c:v>
                </c:pt>
              </c:strCache>
            </c:strRef>
          </c:tx>
          <c:dLbls>
            <c:spPr/>
            <c:txPr>
              <a:bodyPr/>
              <a:lstStyle/>
              <a:p>
                <a:pPr>
                  <a:defRPr/>
                </a:pPr>
                <a:endParaRPr lang="en-US"/>
              </a:p>
            </c:txPr>
            <c:dLblPos val="ctr"/>
            <c:showLegendKey val="0"/>
            <c:showVal val="0"/>
            <c:showCatName val="1"/>
            <c:showSerName val="0"/>
            <c:showPercent val="1"/>
            <c:showBubbleSize val="0"/>
            <c:showLeaderLines val="1"/>
          </c:dLbls>
          <c:cat>
            <c:strRef>
              <c:f>'Pivot Table 2'!$G$152:$G$154</c:f>
              <c:strCache>
                <c:ptCount val="2"/>
                <c:pt idx="0">
                  <c:v>Diskon</c:v>
                </c:pt>
                <c:pt idx="1">
                  <c:v>Non diskon</c:v>
                </c:pt>
              </c:strCache>
            </c:strRef>
          </c:cat>
          <c:val>
            <c:numRef>
              <c:f>'Pivot Table 2'!$H$152:$H$154</c:f>
              <c:numCache>
                <c:formatCode>General</c:formatCode>
                <c:ptCount val="2"/>
                <c:pt idx="0">
                  <c:v>878</c:v>
                </c:pt>
                <c:pt idx="1">
                  <c:v>1298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2!PivotTable14</c:name>
    <c:fmtId val="7"/>
  </c:pivotSource>
  <c:chart>
    <c:title>
      <c:tx>
        <c:rich>
          <a:bodyPr/>
          <a:lstStyle/>
          <a:p>
            <a:pPr>
              <a:defRPr sz="1400"/>
            </a:pPr>
            <a:r>
              <a:rPr lang="id-ID" sz="1400"/>
              <a:t>Total</a:t>
            </a:r>
            <a:r>
              <a:rPr lang="id-ID" sz="1400" baseline="0"/>
              <a:t> Sales</a:t>
            </a:r>
          </a:p>
        </c:rich>
      </c:tx>
      <c:layout>
        <c:manualLayout>
          <c:xMode val="edge"/>
          <c:yMode val="edge"/>
          <c:x val="0.42139096375008184"/>
          <c:y val="2.532371400211629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bar"/>
        <c:grouping val="clustered"/>
        <c:varyColors val="0"/>
        <c:ser>
          <c:idx val="0"/>
          <c:order val="0"/>
          <c:tx>
            <c:strRef>
              <c:f>'Pivot Table 2'!$H$175:$H$176</c:f>
              <c:strCache>
                <c:ptCount val="1"/>
                <c:pt idx="0">
                  <c:v>Accessories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2'!$H$177:$H$185</c:f>
              <c:numCache>
                <c:formatCode>General</c:formatCode>
                <c:ptCount val="8"/>
                <c:pt idx="0">
                  <c:v>48</c:v>
                </c:pt>
                <c:pt idx="1">
                  <c:v>41</c:v>
                </c:pt>
                <c:pt idx="2">
                  <c:v>53</c:v>
                </c:pt>
                <c:pt idx="3">
                  <c:v>53</c:v>
                </c:pt>
                <c:pt idx="4">
                  <c:v>41</c:v>
                </c:pt>
                <c:pt idx="5">
                  <c:v>46</c:v>
                </c:pt>
                <c:pt idx="6">
                  <c:v>58</c:v>
                </c:pt>
                <c:pt idx="7">
                  <c:v>62</c:v>
                </c:pt>
              </c:numCache>
            </c:numRef>
          </c:val>
        </c:ser>
        <c:ser>
          <c:idx val="1"/>
          <c:order val="1"/>
          <c:tx>
            <c:strRef>
              <c:f>'Pivot Table 2'!$I$175:$I$176</c:f>
              <c:strCache>
                <c:ptCount val="1"/>
                <c:pt idx="0">
                  <c:v>Bottoms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2'!$I$177:$I$185</c:f>
              <c:numCache>
                <c:formatCode>General</c:formatCode>
                <c:ptCount val="8"/>
                <c:pt idx="0">
                  <c:v>40</c:v>
                </c:pt>
                <c:pt idx="1">
                  <c:v>48</c:v>
                </c:pt>
                <c:pt idx="2">
                  <c:v>56</c:v>
                </c:pt>
                <c:pt idx="3">
                  <c:v>36</c:v>
                </c:pt>
                <c:pt idx="4">
                  <c:v>55</c:v>
                </c:pt>
                <c:pt idx="5">
                  <c:v>55</c:v>
                </c:pt>
                <c:pt idx="6">
                  <c:v>33</c:v>
                </c:pt>
                <c:pt idx="7">
                  <c:v>69</c:v>
                </c:pt>
              </c:numCache>
            </c:numRef>
          </c:val>
        </c:ser>
        <c:ser>
          <c:idx val="2"/>
          <c:order val="2"/>
          <c:tx>
            <c:strRef>
              <c:f>'Pivot Table 2'!$J$175:$J$176</c:f>
              <c:strCache>
                <c:ptCount val="1"/>
                <c:pt idx="0">
                  <c:v>Dresses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2'!$J$177:$J$185</c:f>
              <c:numCache>
                <c:formatCode>General</c:formatCode>
                <c:ptCount val="8"/>
                <c:pt idx="0">
                  <c:v>40</c:v>
                </c:pt>
                <c:pt idx="1">
                  <c:v>44</c:v>
                </c:pt>
                <c:pt idx="2">
                  <c:v>39</c:v>
                </c:pt>
                <c:pt idx="3">
                  <c:v>28</c:v>
                </c:pt>
                <c:pt idx="4">
                  <c:v>44</c:v>
                </c:pt>
                <c:pt idx="5">
                  <c:v>50</c:v>
                </c:pt>
                <c:pt idx="6">
                  <c:v>30</c:v>
                </c:pt>
                <c:pt idx="7">
                  <c:v>42</c:v>
                </c:pt>
              </c:numCache>
            </c:numRef>
          </c:val>
        </c:ser>
        <c:ser>
          <c:idx val="3"/>
          <c:order val="3"/>
          <c:tx>
            <c:strRef>
              <c:f>'Pivot Table 2'!$K$175:$K$176</c:f>
              <c:strCache>
                <c:ptCount val="1"/>
                <c:pt idx="0">
                  <c:v>Outerwear</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2'!$K$177:$K$185</c:f>
              <c:numCache>
                <c:formatCode>General</c:formatCode>
                <c:ptCount val="8"/>
                <c:pt idx="0">
                  <c:v>47</c:v>
                </c:pt>
                <c:pt idx="1">
                  <c:v>52</c:v>
                </c:pt>
                <c:pt idx="2">
                  <c:v>37</c:v>
                </c:pt>
                <c:pt idx="3">
                  <c:v>35</c:v>
                </c:pt>
                <c:pt idx="4">
                  <c:v>41</c:v>
                </c:pt>
                <c:pt idx="5">
                  <c:v>35</c:v>
                </c:pt>
                <c:pt idx="6">
                  <c:v>46</c:v>
                </c:pt>
                <c:pt idx="7">
                  <c:v>41</c:v>
                </c:pt>
              </c:numCache>
            </c:numRef>
          </c:val>
        </c:ser>
        <c:ser>
          <c:idx val="4"/>
          <c:order val="4"/>
          <c:tx>
            <c:strRef>
              <c:f>'Pivot Table 2'!$L$175:$L$176</c:f>
              <c:strCache>
                <c:ptCount val="1"/>
                <c:pt idx="0">
                  <c:v>Shoes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2'!$L$177:$L$185</c:f>
              <c:numCache>
                <c:formatCode>General</c:formatCode>
                <c:ptCount val="8"/>
                <c:pt idx="0">
                  <c:v>34</c:v>
                </c:pt>
                <c:pt idx="1">
                  <c:v>57</c:v>
                </c:pt>
                <c:pt idx="2">
                  <c:v>31</c:v>
                </c:pt>
                <c:pt idx="3">
                  <c:v>42</c:v>
                </c:pt>
                <c:pt idx="4">
                  <c:v>56</c:v>
                </c:pt>
                <c:pt idx="5">
                  <c:v>54</c:v>
                </c:pt>
                <c:pt idx="6">
                  <c:v>50</c:v>
                </c:pt>
                <c:pt idx="7">
                  <c:v>48</c:v>
                </c:pt>
              </c:numCache>
            </c:numRef>
          </c:val>
        </c:ser>
        <c:ser>
          <c:idx val="5"/>
          <c:order val="5"/>
          <c:tx>
            <c:strRef>
              <c:f>'Pivot Table 2'!$M$175:$M$176</c:f>
              <c:strCache>
                <c:ptCount val="1"/>
                <c:pt idx="0">
                  <c:v>Tops</c:v>
                </c:pt>
              </c:strCache>
            </c:strRef>
          </c:tx>
          <c:invertIfNegative val="0"/>
          <c:cat>
            <c:strRef>
              <c:f>'Pivot Table 2'!$G$177:$G$185</c:f>
              <c:strCache>
                <c:ptCount val="8"/>
                <c:pt idx="0">
                  <c:v>Ann Taylor</c:v>
                </c:pt>
                <c:pt idx="1">
                  <c:v>Banana Republic</c:v>
                </c:pt>
                <c:pt idx="2">
                  <c:v>Forever21</c:v>
                </c:pt>
                <c:pt idx="3">
                  <c:v>Gap</c:v>
                </c:pt>
                <c:pt idx="4">
                  <c:v>H&amp;M</c:v>
                </c:pt>
                <c:pt idx="5">
                  <c:v>Mango</c:v>
                </c:pt>
                <c:pt idx="6">
                  <c:v>Uniqlo</c:v>
                </c:pt>
                <c:pt idx="7">
                  <c:v>Zara</c:v>
                </c:pt>
              </c:strCache>
            </c:strRef>
          </c:cat>
          <c:val>
            <c:numRef>
              <c:f>'Pivot Table 2'!$M$177:$M$185</c:f>
              <c:numCache>
                <c:formatCode>General</c:formatCode>
                <c:ptCount val="8"/>
                <c:pt idx="0">
                  <c:v>48</c:v>
                </c:pt>
                <c:pt idx="1">
                  <c:v>43</c:v>
                </c:pt>
                <c:pt idx="2">
                  <c:v>34</c:v>
                </c:pt>
                <c:pt idx="3">
                  <c:v>50</c:v>
                </c:pt>
                <c:pt idx="4">
                  <c:v>46</c:v>
                </c:pt>
                <c:pt idx="5">
                  <c:v>44</c:v>
                </c:pt>
                <c:pt idx="6">
                  <c:v>43</c:v>
                </c:pt>
                <c:pt idx="7">
                  <c:v>51</c:v>
                </c:pt>
              </c:numCache>
            </c:numRef>
          </c:val>
        </c:ser>
        <c:dLbls>
          <c:showLegendKey val="0"/>
          <c:showVal val="0"/>
          <c:showCatName val="0"/>
          <c:showSerName val="0"/>
          <c:showPercent val="0"/>
          <c:showBubbleSize val="0"/>
        </c:dLbls>
        <c:gapWidth val="150"/>
        <c:axId val="291108736"/>
        <c:axId val="291110272"/>
      </c:barChart>
      <c:catAx>
        <c:axId val="291108736"/>
        <c:scaling>
          <c:orientation val="minMax"/>
        </c:scaling>
        <c:delete val="0"/>
        <c:axPos val="l"/>
        <c:majorTickMark val="out"/>
        <c:minorTickMark val="none"/>
        <c:tickLblPos val="nextTo"/>
        <c:crossAx val="291110272"/>
        <c:crosses val="autoZero"/>
        <c:auto val="1"/>
        <c:lblAlgn val="ctr"/>
        <c:lblOffset val="100"/>
        <c:noMultiLvlLbl val="0"/>
      </c:catAx>
      <c:valAx>
        <c:axId val="291110272"/>
        <c:scaling>
          <c:orientation val="minMax"/>
        </c:scaling>
        <c:delete val="0"/>
        <c:axPos val="b"/>
        <c:majorGridlines/>
        <c:numFmt formatCode="General" sourceLinked="1"/>
        <c:majorTickMark val="out"/>
        <c:minorTickMark val="none"/>
        <c:tickLblPos val="nextTo"/>
        <c:crossAx val="2911087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2!PivotTable10</c:name>
    <c:fmtId val="5"/>
  </c:pivotSource>
  <c:chart>
    <c:title>
      <c:tx>
        <c:rich>
          <a:bodyPr/>
          <a:lstStyle/>
          <a:p>
            <a:pPr>
              <a:defRPr sz="1400"/>
            </a:pPr>
            <a:r>
              <a:rPr lang="en-US" sz="1400"/>
              <a:t>T</a:t>
            </a:r>
            <a:r>
              <a:rPr lang="id-ID" sz="1400"/>
              <a:t>otal</a:t>
            </a:r>
            <a:r>
              <a:rPr lang="id-ID" sz="1400" baseline="0"/>
              <a:t> Sales per Season</a:t>
            </a:r>
            <a:endParaRPr lang="en-US" sz="1400"/>
          </a:p>
        </c:rich>
      </c:tx>
      <c:layout>
        <c:manualLayout>
          <c:xMode val="edge"/>
          <c:yMode val="edge"/>
          <c:x val="0.28178219573509089"/>
          <c:y val="7.6285716698902842E-2"/>
        </c:manualLayout>
      </c:layout>
      <c:overlay val="1"/>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numFmt formatCode="0%" sourceLinked="0"/>
          <c:spPr/>
          <c:txPr>
            <a:bodyPr/>
            <a:lstStyle/>
            <a:p>
              <a:pPr>
                <a:defRPr/>
              </a:pPr>
              <a:endParaRPr lang="en-US"/>
            </a:p>
          </c:txPr>
          <c:showLegendKey val="0"/>
          <c:showVal val="1"/>
          <c:showCatName val="0"/>
          <c:showSerName val="0"/>
          <c:showPercent val="1"/>
          <c:showBubbleSize val="0"/>
        </c:dLbl>
      </c:pivotFmt>
    </c:pivotFmts>
    <c:plotArea>
      <c:layout>
        <c:manualLayout>
          <c:layoutTarget val="inner"/>
          <c:xMode val="edge"/>
          <c:yMode val="edge"/>
          <c:x val="0.25161808545449393"/>
          <c:y val="0.23216635556644172"/>
          <c:w val="0.44891028300177183"/>
          <c:h val="0.70634728920496292"/>
        </c:manualLayout>
      </c:layout>
      <c:doughnutChart>
        <c:varyColors val="1"/>
        <c:ser>
          <c:idx val="0"/>
          <c:order val="0"/>
          <c:tx>
            <c:strRef>
              <c:f>'Pivot Table 2'!$H$143</c:f>
              <c:strCache>
                <c:ptCount val="1"/>
                <c:pt idx="0">
                  <c:v>Total</c:v>
                </c:pt>
              </c:strCache>
            </c:strRef>
          </c:tx>
          <c:dLbls>
            <c:numFmt formatCode="0%" sourceLinked="0"/>
            <c:spPr/>
            <c:txPr>
              <a:bodyPr/>
              <a:lstStyle/>
              <a:p>
                <a:pPr>
                  <a:defRPr/>
                </a:pPr>
                <a:endParaRPr lang="en-US"/>
              </a:p>
            </c:txPr>
            <c:showLegendKey val="0"/>
            <c:showVal val="1"/>
            <c:showCatName val="0"/>
            <c:showSerName val="0"/>
            <c:showPercent val="1"/>
            <c:showBubbleSize val="0"/>
            <c:showLeaderLines val="1"/>
          </c:dLbls>
          <c:cat>
            <c:strRef>
              <c:f>'Pivot Table 2'!$G$144:$G$148</c:f>
              <c:strCache>
                <c:ptCount val="4"/>
                <c:pt idx="0">
                  <c:v>Fall</c:v>
                </c:pt>
                <c:pt idx="1">
                  <c:v>Spring</c:v>
                </c:pt>
                <c:pt idx="2">
                  <c:v>Summer</c:v>
                </c:pt>
                <c:pt idx="3">
                  <c:v>Winter</c:v>
                </c:pt>
              </c:strCache>
            </c:strRef>
          </c:cat>
          <c:val>
            <c:numRef>
              <c:f>'Pivot Table 2'!$H$144:$H$148</c:f>
              <c:numCache>
                <c:formatCode>General</c:formatCode>
                <c:ptCount val="4"/>
                <c:pt idx="0">
                  <c:v>544</c:v>
                </c:pt>
                <c:pt idx="1">
                  <c:v>535</c:v>
                </c:pt>
                <c:pt idx="2">
                  <c:v>575</c:v>
                </c:pt>
                <c:pt idx="3">
                  <c:v>522</c:v>
                </c:pt>
              </c:numCache>
            </c:numRef>
          </c:val>
        </c:ser>
        <c:dLbls>
          <c:showLegendKey val="0"/>
          <c:showVal val="1"/>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0!PivotTable4</c:name>
    <c:fmtId val="5"/>
  </c:pivotSource>
  <c:chart>
    <c:title>
      <c:tx>
        <c:rich>
          <a:bodyPr/>
          <a:lstStyle/>
          <a:p>
            <a:pPr>
              <a:defRPr sz="1200"/>
            </a:pPr>
            <a:r>
              <a:rPr lang="id-ID" sz="1200"/>
              <a:t>Stock</a:t>
            </a:r>
            <a:r>
              <a:rPr lang="id-ID" sz="1200" baseline="0"/>
              <a:t> on Hand (SOH)</a:t>
            </a:r>
            <a:endParaRPr lang="en-US" sz="1200"/>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bar"/>
        <c:grouping val="clustered"/>
        <c:varyColors val="0"/>
        <c:ser>
          <c:idx val="0"/>
          <c:order val="0"/>
          <c:tx>
            <c:strRef>
              <c:f>'Pivot Table 0'!$F$31:$F$32</c:f>
              <c:strCache>
                <c:ptCount val="1"/>
                <c:pt idx="0">
                  <c:v>Accessories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0'!$F$33:$F$41</c:f>
              <c:numCache>
                <c:formatCode>General</c:formatCode>
                <c:ptCount val="8"/>
                <c:pt idx="0">
                  <c:v>1472</c:v>
                </c:pt>
                <c:pt idx="1">
                  <c:v>1005</c:v>
                </c:pt>
                <c:pt idx="2">
                  <c:v>1491</c:v>
                </c:pt>
                <c:pt idx="3">
                  <c:v>1414</c:v>
                </c:pt>
                <c:pt idx="4">
                  <c:v>825</c:v>
                </c:pt>
                <c:pt idx="5">
                  <c:v>1128</c:v>
                </c:pt>
                <c:pt idx="6">
                  <c:v>1571</c:v>
                </c:pt>
                <c:pt idx="7">
                  <c:v>1635</c:v>
                </c:pt>
              </c:numCache>
            </c:numRef>
          </c:val>
        </c:ser>
        <c:ser>
          <c:idx val="1"/>
          <c:order val="1"/>
          <c:tx>
            <c:strRef>
              <c:f>'Pivot Table 0'!$G$31:$G$32</c:f>
              <c:strCache>
                <c:ptCount val="1"/>
                <c:pt idx="0">
                  <c:v>Bottoms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0'!$G$33:$G$41</c:f>
              <c:numCache>
                <c:formatCode>General</c:formatCode>
                <c:ptCount val="8"/>
                <c:pt idx="0">
                  <c:v>1021</c:v>
                </c:pt>
                <c:pt idx="1">
                  <c:v>1141</c:v>
                </c:pt>
                <c:pt idx="2">
                  <c:v>1197</c:v>
                </c:pt>
                <c:pt idx="3">
                  <c:v>966</c:v>
                </c:pt>
                <c:pt idx="4">
                  <c:v>1140</c:v>
                </c:pt>
                <c:pt idx="5">
                  <c:v>1384</c:v>
                </c:pt>
                <c:pt idx="6">
                  <c:v>794</c:v>
                </c:pt>
                <c:pt idx="7">
                  <c:v>1799</c:v>
                </c:pt>
              </c:numCache>
            </c:numRef>
          </c:val>
        </c:ser>
        <c:ser>
          <c:idx val="2"/>
          <c:order val="2"/>
          <c:tx>
            <c:strRef>
              <c:f>'Pivot Table 0'!$H$31:$H$32</c:f>
              <c:strCache>
                <c:ptCount val="1"/>
                <c:pt idx="0">
                  <c:v>Dresses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0'!$H$33:$H$41</c:f>
              <c:numCache>
                <c:formatCode>General</c:formatCode>
                <c:ptCount val="8"/>
                <c:pt idx="0">
                  <c:v>953</c:v>
                </c:pt>
                <c:pt idx="1">
                  <c:v>1135</c:v>
                </c:pt>
                <c:pt idx="2">
                  <c:v>1135</c:v>
                </c:pt>
                <c:pt idx="3">
                  <c:v>747</c:v>
                </c:pt>
                <c:pt idx="4">
                  <c:v>1024</c:v>
                </c:pt>
                <c:pt idx="5">
                  <c:v>1261</c:v>
                </c:pt>
                <c:pt idx="6">
                  <c:v>690</c:v>
                </c:pt>
                <c:pt idx="7">
                  <c:v>983</c:v>
                </c:pt>
              </c:numCache>
            </c:numRef>
          </c:val>
        </c:ser>
        <c:ser>
          <c:idx val="3"/>
          <c:order val="3"/>
          <c:tx>
            <c:strRef>
              <c:f>'Pivot Table 0'!$I$31:$I$32</c:f>
              <c:strCache>
                <c:ptCount val="1"/>
                <c:pt idx="0">
                  <c:v>Outerwear</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0'!$I$33:$I$41</c:f>
              <c:numCache>
                <c:formatCode>General</c:formatCode>
                <c:ptCount val="8"/>
                <c:pt idx="0">
                  <c:v>1043</c:v>
                </c:pt>
                <c:pt idx="1">
                  <c:v>1342</c:v>
                </c:pt>
                <c:pt idx="2">
                  <c:v>844</c:v>
                </c:pt>
                <c:pt idx="3">
                  <c:v>880</c:v>
                </c:pt>
                <c:pt idx="4">
                  <c:v>1044</c:v>
                </c:pt>
                <c:pt idx="5">
                  <c:v>1141</c:v>
                </c:pt>
                <c:pt idx="6">
                  <c:v>1153</c:v>
                </c:pt>
                <c:pt idx="7">
                  <c:v>921</c:v>
                </c:pt>
              </c:numCache>
            </c:numRef>
          </c:val>
        </c:ser>
        <c:ser>
          <c:idx val="4"/>
          <c:order val="4"/>
          <c:tx>
            <c:strRef>
              <c:f>'Pivot Table 0'!$J$31:$J$32</c:f>
              <c:strCache>
                <c:ptCount val="1"/>
                <c:pt idx="0">
                  <c:v>Shoes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0'!$J$33:$J$41</c:f>
              <c:numCache>
                <c:formatCode>General</c:formatCode>
                <c:ptCount val="8"/>
                <c:pt idx="0">
                  <c:v>984</c:v>
                </c:pt>
                <c:pt idx="1">
                  <c:v>1326</c:v>
                </c:pt>
                <c:pt idx="2">
                  <c:v>938</c:v>
                </c:pt>
                <c:pt idx="3">
                  <c:v>939</c:v>
                </c:pt>
                <c:pt idx="4">
                  <c:v>1345</c:v>
                </c:pt>
                <c:pt idx="5">
                  <c:v>1180</c:v>
                </c:pt>
                <c:pt idx="6">
                  <c:v>1300</c:v>
                </c:pt>
                <c:pt idx="7">
                  <c:v>1106</c:v>
                </c:pt>
              </c:numCache>
            </c:numRef>
          </c:val>
        </c:ser>
        <c:ser>
          <c:idx val="5"/>
          <c:order val="5"/>
          <c:tx>
            <c:strRef>
              <c:f>'Pivot Table 0'!$K$31:$K$32</c:f>
              <c:strCache>
                <c:ptCount val="1"/>
                <c:pt idx="0">
                  <c:v>Tops</c:v>
                </c:pt>
              </c:strCache>
            </c:strRef>
          </c:tx>
          <c:invertIfNegative val="0"/>
          <c:cat>
            <c:strRef>
              <c:f>'Pivot Table 0'!$E$33:$E$41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0'!$K$33:$K$41</c:f>
              <c:numCache>
                <c:formatCode>General</c:formatCode>
                <c:ptCount val="8"/>
                <c:pt idx="0">
                  <c:v>1191</c:v>
                </c:pt>
                <c:pt idx="1">
                  <c:v>1005</c:v>
                </c:pt>
                <c:pt idx="2">
                  <c:v>823</c:v>
                </c:pt>
                <c:pt idx="3">
                  <c:v>1164</c:v>
                </c:pt>
                <c:pt idx="4">
                  <c:v>1180</c:v>
                </c:pt>
                <c:pt idx="5">
                  <c:v>1104</c:v>
                </c:pt>
                <c:pt idx="6">
                  <c:v>1022</c:v>
                </c:pt>
                <c:pt idx="7">
                  <c:v>1379</c:v>
                </c:pt>
              </c:numCache>
            </c:numRef>
          </c:val>
        </c:ser>
        <c:dLbls>
          <c:showLegendKey val="0"/>
          <c:showVal val="0"/>
          <c:showCatName val="0"/>
          <c:showSerName val="0"/>
          <c:showPercent val="0"/>
          <c:showBubbleSize val="0"/>
        </c:dLbls>
        <c:gapWidth val="150"/>
        <c:axId val="291179904"/>
        <c:axId val="291189888"/>
      </c:barChart>
      <c:catAx>
        <c:axId val="291179904"/>
        <c:scaling>
          <c:orientation val="minMax"/>
        </c:scaling>
        <c:delete val="0"/>
        <c:axPos val="l"/>
        <c:majorTickMark val="none"/>
        <c:minorTickMark val="none"/>
        <c:tickLblPos val="nextTo"/>
        <c:crossAx val="291189888"/>
        <c:crosses val="autoZero"/>
        <c:auto val="1"/>
        <c:lblAlgn val="ctr"/>
        <c:lblOffset val="100"/>
        <c:noMultiLvlLbl val="0"/>
      </c:catAx>
      <c:valAx>
        <c:axId val="291189888"/>
        <c:scaling>
          <c:orientation val="minMax"/>
        </c:scaling>
        <c:delete val="0"/>
        <c:axPos val="b"/>
        <c:majorGridlines/>
        <c:numFmt formatCode="General" sourceLinked="1"/>
        <c:majorTickMark val="none"/>
        <c:minorTickMark val="none"/>
        <c:tickLblPos val="nextTo"/>
        <c:crossAx val="291179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0!PivotTable6</c:name>
    <c:fmtId val="2"/>
  </c:pivotSource>
  <c:chart>
    <c:title>
      <c:tx>
        <c:rich>
          <a:bodyPr/>
          <a:lstStyle/>
          <a:p>
            <a:pPr>
              <a:defRPr sz="1200"/>
            </a:pPr>
            <a:r>
              <a:rPr lang="id-ID" sz="1200"/>
              <a:t>Stock</a:t>
            </a:r>
            <a:r>
              <a:rPr lang="id-ID" sz="1200" baseline="0"/>
              <a:t> Value (Original Price)</a:t>
            </a:r>
            <a:endParaRPr lang="en-US" sz="1200"/>
          </a:p>
        </c:rich>
      </c:tx>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 Table 0'!$F$45:$F$46</c:f>
              <c:strCache>
                <c:ptCount val="1"/>
                <c:pt idx="0">
                  <c:v>Accessories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0'!$F$47:$F$55</c:f>
              <c:numCache>
                <c:formatCode>_-[$$-409]* #,##0.00_ ;_-[$$-409]* \-#,##0.00\ ;_-[$$-409]* "-"??_ ;_-@_ </c:formatCode>
                <c:ptCount val="8"/>
                <c:pt idx="0">
                  <c:v>3389338.8799999994</c:v>
                </c:pt>
                <c:pt idx="1">
                  <c:v>1937760.6000000003</c:v>
                </c:pt>
                <c:pt idx="2">
                  <c:v>3514465.92</c:v>
                </c:pt>
                <c:pt idx="3">
                  <c:v>3938824.2600000002</c:v>
                </c:pt>
                <c:pt idx="4">
                  <c:v>1715059.4999999998</c:v>
                </c:pt>
                <c:pt idx="5">
                  <c:v>2739630</c:v>
                </c:pt>
                <c:pt idx="6">
                  <c:v>4436692.5199999986</c:v>
                </c:pt>
                <c:pt idx="7">
                  <c:v>4903136.1000000006</c:v>
                </c:pt>
              </c:numCache>
            </c:numRef>
          </c:val>
        </c:ser>
        <c:ser>
          <c:idx val="1"/>
          <c:order val="1"/>
          <c:tx>
            <c:strRef>
              <c:f>'Pivot Table 0'!$G$45:$G$46</c:f>
              <c:strCache>
                <c:ptCount val="1"/>
                <c:pt idx="0">
                  <c:v>Bottoms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0'!$G$47:$G$55</c:f>
              <c:numCache>
                <c:formatCode>General</c:formatCode>
                <c:ptCount val="8"/>
                <c:pt idx="0">
                  <c:v>2721802.22</c:v>
                </c:pt>
                <c:pt idx="1">
                  <c:v>3887695.0700000003</c:v>
                </c:pt>
                <c:pt idx="2">
                  <c:v>4762120.8599999994</c:v>
                </c:pt>
                <c:pt idx="3">
                  <c:v>2342173.2600000002</c:v>
                </c:pt>
                <c:pt idx="4">
                  <c:v>4241780.4000000004</c:v>
                </c:pt>
                <c:pt idx="5">
                  <c:v>5781784.5599999987</c:v>
                </c:pt>
                <c:pt idx="6">
                  <c:v>1738304.2000000002</c:v>
                </c:pt>
                <c:pt idx="7">
                  <c:v>9122189.3000000007</c:v>
                </c:pt>
              </c:numCache>
            </c:numRef>
          </c:val>
        </c:ser>
        <c:ser>
          <c:idx val="2"/>
          <c:order val="2"/>
          <c:tx>
            <c:strRef>
              <c:f>'Pivot Table 0'!$H$45:$H$46</c:f>
              <c:strCache>
                <c:ptCount val="1"/>
                <c:pt idx="0">
                  <c:v>Dresses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0'!$H$47:$H$55</c:f>
              <c:numCache>
                <c:formatCode>_-[$$-409]* #,##0.00_ ;_-[$$-409]* \-#,##0.00\ ;_-[$$-409]* "-"??_ ;_-@_ </c:formatCode>
                <c:ptCount val="8"/>
                <c:pt idx="0">
                  <c:v>4283239.4399999995</c:v>
                </c:pt>
                <c:pt idx="1">
                  <c:v>5293571.9000000004</c:v>
                </c:pt>
                <c:pt idx="2">
                  <c:v>4937533.7500000009</c:v>
                </c:pt>
                <c:pt idx="3">
                  <c:v>2139071.8499999996</c:v>
                </c:pt>
                <c:pt idx="4">
                  <c:v>5065953.2800000003</c:v>
                </c:pt>
                <c:pt idx="5">
                  <c:v>6935184.7500000037</c:v>
                </c:pt>
                <c:pt idx="6">
                  <c:v>2524233.8999999994</c:v>
                </c:pt>
                <c:pt idx="7">
                  <c:v>5085707.78</c:v>
                </c:pt>
              </c:numCache>
            </c:numRef>
          </c:val>
        </c:ser>
        <c:ser>
          <c:idx val="3"/>
          <c:order val="3"/>
          <c:tx>
            <c:strRef>
              <c:f>'Pivot Table 0'!$I$45:$I$46</c:f>
              <c:strCache>
                <c:ptCount val="1"/>
                <c:pt idx="0">
                  <c:v>Outerwear</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0'!$I$47:$I$55</c:f>
              <c:numCache>
                <c:formatCode>_-[$$-409]* #,##0.00_ ;_-[$$-409]* \-#,##0.00\ ;_-[$$-409]* "-"??_ ;_-@_ </c:formatCode>
                <c:ptCount val="8"/>
                <c:pt idx="0">
                  <c:v>7238534.7300000004</c:v>
                </c:pt>
                <c:pt idx="1">
                  <c:v>11222327.380000001</c:v>
                </c:pt>
                <c:pt idx="2">
                  <c:v>5297155.0000000009</c:v>
                </c:pt>
                <c:pt idx="3">
                  <c:v>4723584.7999999989</c:v>
                </c:pt>
                <c:pt idx="4">
                  <c:v>6975120.6000000015</c:v>
                </c:pt>
                <c:pt idx="5">
                  <c:v>7036763.7899999991</c:v>
                </c:pt>
                <c:pt idx="6">
                  <c:v>9218373.3599999994</c:v>
                </c:pt>
                <c:pt idx="7">
                  <c:v>6188760.8100000005</c:v>
                </c:pt>
              </c:numCache>
            </c:numRef>
          </c:val>
        </c:ser>
        <c:ser>
          <c:idx val="4"/>
          <c:order val="4"/>
          <c:tx>
            <c:strRef>
              <c:f>'Pivot Table 0'!$J$45:$J$46</c:f>
              <c:strCache>
                <c:ptCount val="1"/>
                <c:pt idx="0">
                  <c:v>Shoes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0'!$J$47:$J$55</c:f>
              <c:numCache>
                <c:formatCode>_-[$$-409]* #,##0.00_ ;_-[$$-409]* \-#,##0.00\ ;_-[$$-409]* "-"??_ ;_-@_ </c:formatCode>
                <c:ptCount val="8"/>
                <c:pt idx="0">
                  <c:v>4393579.68</c:v>
                </c:pt>
                <c:pt idx="1">
                  <c:v>10045961.640000001</c:v>
                </c:pt>
                <c:pt idx="2">
                  <c:v>3479342.1599999992</c:v>
                </c:pt>
                <c:pt idx="3">
                  <c:v>4948858.6499999994</c:v>
                </c:pt>
                <c:pt idx="4">
                  <c:v>9369646.6000000015</c:v>
                </c:pt>
                <c:pt idx="5">
                  <c:v>8155747</c:v>
                </c:pt>
                <c:pt idx="6">
                  <c:v>8194861.9999999981</c:v>
                </c:pt>
                <c:pt idx="7">
                  <c:v>6811621.7400000039</c:v>
                </c:pt>
              </c:numCache>
            </c:numRef>
          </c:val>
        </c:ser>
        <c:ser>
          <c:idx val="5"/>
          <c:order val="5"/>
          <c:tx>
            <c:strRef>
              <c:f>'Pivot Table 0'!$K$45:$K$46</c:f>
              <c:strCache>
                <c:ptCount val="1"/>
                <c:pt idx="0">
                  <c:v>Tops</c:v>
                </c:pt>
              </c:strCache>
            </c:strRef>
          </c:tx>
          <c:invertIfNegative val="0"/>
          <c:cat>
            <c:strRef>
              <c:f>'Pivot Table 0'!$E$47:$E$55</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0'!$K$47:$K$55</c:f>
              <c:numCache>
                <c:formatCode>_-[$$-409]* #,##0.00_ ;_-[$$-409]* \-#,##0.00\ ;_-[$$-409]* "-"??_ ;_-@_ </c:formatCode>
                <c:ptCount val="8"/>
                <c:pt idx="0">
                  <c:v>4047625.41</c:v>
                </c:pt>
                <c:pt idx="1">
                  <c:v>3174513.6000000006</c:v>
                </c:pt>
                <c:pt idx="2">
                  <c:v>2182406.71</c:v>
                </c:pt>
                <c:pt idx="3">
                  <c:v>4131466.6800000011</c:v>
                </c:pt>
                <c:pt idx="4">
                  <c:v>3876760.1999999997</c:v>
                </c:pt>
                <c:pt idx="5">
                  <c:v>3904417.4399999995</c:v>
                </c:pt>
                <c:pt idx="6">
                  <c:v>3292219.6999999997</c:v>
                </c:pt>
                <c:pt idx="7">
                  <c:v>5303289.2500000009</c:v>
                </c:pt>
              </c:numCache>
            </c:numRef>
          </c:val>
        </c:ser>
        <c:dLbls>
          <c:showLegendKey val="0"/>
          <c:showVal val="0"/>
          <c:showCatName val="0"/>
          <c:showSerName val="0"/>
          <c:showPercent val="0"/>
          <c:showBubbleSize val="0"/>
        </c:dLbls>
        <c:gapWidth val="150"/>
        <c:axId val="291230848"/>
        <c:axId val="291232384"/>
      </c:barChart>
      <c:catAx>
        <c:axId val="291230848"/>
        <c:scaling>
          <c:orientation val="minMax"/>
        </c:scaling>
        <c:delete val="0"/>
        <c:axPos val="b"/>
        <c:majorTickMark val="none"/>
        <c:minorTickMark val="none"/>
        <c:tickLblPos val="nextTo"/>
        <c:crossAx val="291232384"/>
        <c:crosses val="autoZero"/>
        <c:auto val="1"/>
        <c:lblAlgn val="ctr"/>
        <c:lblOffset val="100"/>
        <c:noMultiLvlLbl val="0"/>
      </c:catAx>
      <c:valAx>
        <c:axId val="291232384"/>
        <c:scaling>
          <c:orientation val="minMax"/>
        </c:scaling>
        <c:delete val="0"/>
        <c:axPos val="l"/>
        <c:majorGridlines/>
        <c:numFmt formatCode="_-[$$-409]* #,##0.00_ ;_-[$$-409]* \-#,##0.00\ ;_-[$$-409]* &quot;-&quot;??_ ;_-@_ " sourceLinked="1"/>
        <c:majorTickMark val="none"/>
        <c:minorTickMark val="none"/>
        <c:tickLblPos val="nextTo"/>
        <c:crossAx val="2912308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0!PivotTable7</c:name>
    <c:fmtId val="2"/>
  </c:pivotSource>
  <c:chart>
    <c:title>
      <c:tx>
        <c:rich>
          <a:bodyPr/>
          <a:lstStyle/>
          <a:p>
            <a:pPr>
              <a:defRPr sz="1200"/>
            </a:pPr>
            <a:r>
              <a:rPr lang="id-ID" sz="1200"/>
              <a:t>Stock</a:t>
            </a:r>
            <a:r>
              <a:rPr lang="id-ID" sz="1200" baseline="0"/>
              <a:t> Value (Current Price)</a:t>
            </a:r>
            <a:endParaRPr lang="en-US" sz="1200"/>
          </a:p>
        </c:rich>
      </c:tx>
      <c:layout>
        <c:manualLayout>
          <c:xMode val="edge"/>
          <c:yMode val="edge"/>
          <c:x val="0.40411100569662123"/>
          <c:y val="3.6654184934403929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 Table 0'!$F$58:$F$59</c:f>
              <c:strCache>
                <c:ptCount val="1"/>
                <c:pt idx="0">
                  <c:v>Accessories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0'!$F$60:$F$68</c:f>
              <c:numCache>
                <c:formatCode>_-[$$-409]* #,##0.00_ ;_-[$$-409]* \-#,##0.00\ ;_-[$$-409]* "-"??_ ;_-@_ </c:formatCode>
                <c:ptCount val="8"/>
                <c:pt idx="0">
                  <c:v>2950403.2</c:v>
                </c:pt>
                <c:pt idx="1">
                  <c:v>1677314.85</c:v>
                </c:pt>
                <c:pt idx="2">
                  <c:v>3126194.61</c:v>
                </c:pt>
                <c:pt idx="3">
                  <c:v>3427875.3599999989</c:v>
                </c:pt>
                <c:pt idx="4">
                  <c:v>1472773.4999999998</c:v>
                </c:pt>
                <c:pt idx="5">
                  <c:v>2417067.12</c:v>
                </c:pt>
                <c:pt idx="6">
                  <c:v>4055913.5399999982</c:v>
                </c:pt>
                <c:pt idx="7">
                  <c:v>4397986.4999999991</c:v>
                </c:pt>
              </c:numCache>
            </c:numRef>
          </c:val>
        </c:ser>
        <c:ser>
          <c:idx val="1"/>
          <c:order val="1"/>
          <c:tx>
            <c:strRef>
              <c:f>'Pivot Table 0'!$G$58:$G$59</c:f>
              <c:strCache>
                <c:ptCount val="1"/>
                <c:pt idx="0">
                  <c:v>Bottoms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0'!$G$60:$G$68</c:f>
              <c:numCache>
                <c:formatCode>General</c:formatCode>
                <c:ptCount val="8"/>
                <c:pt idx="0">
                  <c:v>2324081.88</c:v>
                </c:pt>
                <c:pt idx="1">
                  <c:v>3452586.1300000004</c:v>
                </c:pt>
                <c:pt idx="2">
                  <c:v>4240767.51</c:v>
                </c:pt>
                <c:pt idx="3">
                  <c:v>1992432.96</c:v>
                </c:pt>
                <c:pt idx="4">
                  <c:v>3687261.600000001</c:v>
                </c:pt>
                <c:pt idx="5">
                  <c:v>4793968.3999999994</c:v>
                </c:pt>
                <c:pt idx="6">
                  <c:v>1569341.0000000002</c:v>
                </c:pt>
                <c:pt idx="7">
                  <c:v>8090102.9999999963</c:v>
                </c:pt>
              </c:numCache>
            </c:numRef>
          </c:val>
        </c:ser>
        <c:ser>
          <c:idx val="2"/>
          <c:order val="2"/>
          <c:tx>
            <c:strRef>
              <c:f>'Pivot Table 0'!$H$58:$H$59</c:f>
              <c:strCache>
                <c:ptCount val="1"/>
                <c:pt idx="0">
                  <c:v>Dresses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0'!$H$60:$H$68</c:f>
              <c:numCache>
                <c:formatCode>_-[$$-409]* #,##0.00_ ;_-[$$-409]* \-#,##0.00\ ;_-[$$-409]* "-"??_ ;_-@_ </c:formatCode>
                <c:ptCount val="8"/>
                <c:pt idx="0">
                  <c:v>3766103.5199999991</c:v>
                </c:pt>
                <c:pt idx="1">
                  <c:v>4896991.5500000017</c:v>
                </c:pt>
                <c:pt idx="2">
                  <c:v>4132671.2000000016</c:v>
                </c:pt>
                <c:pt idx="3">
                  <c:v>1772137.9799999997</c:v>
                </c:pt>
                <c:pt idx="4">
                  <c:v>4447262.7200000007</c:v>
                </c:pt>
                <c:pt idx="5">
                  <c:v>5906196.1399999997</c:v>
                </c:pt>
                <c:pt idx="6">
                  <c:v>2224311.5999999996</c:v>
                </c:pt>
                <c:pt idx="7">
                  <c:v>4421642.13</c:v>
                </c:pt>
              </c:numCache>
            </c:numRef>
          </c:val>
        </c:ser>
        <c:ser>
          <c:idx val="3"/>
          <c:order val="3"/>
          <c:tx>
            <c:strRef>
              <c:f>'Pivot Table 0'!$I$58:$I$59</c:f>
              <c:strCache>
                <c:ptCount val="1"/>
                <c:pt idx="0">
                  <c:v>Outerwear</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0'!$I$60:$I$68</c:f>
              <c:numCache>
                <c:formatCode>_-[$$-409]* #,##0.00_ ;_-[$$-409]* \-#,##0.00\ ;_-[$$-409]* "-"??_ ;_-@_ </c:formatCode>
                <c:ptCount val="8"/>
                <c:pt idx="0">
                  <c:v>6884206.7700000005</c:v>
                </c:pt>
                <c:pt idx="1">
                  <c:v>9497347.4199999999</c:v>
                </c:pt>
                <c:pt idx="2">
                  <c:v>4678671.7999999989</c:v>
                </c:pt>
                <c:pt idx="3">
                  <c:v>4201384</c:v>
                </c:pt>
                <c:pt idx="4">
                  <c:v>6313391.6400000015</c:v>
                </c:pt>
                <c:pt idx="5">
                  <c:v>6210873.7599999979</c:v>
                </c:pt>
                <c:pt idx="6">
                  <c:v>8315851.080000001</c:v>
                </c:pt>
                <c:pt idx="7">
                  <c:v>5502634.2300000004</c:v>
                </c:pt>
              </c:numCache>
            </c:numRef>
          </c:val>
        </c:ser>
        <c:ser>
          <c:idx val="4"/>
          <c:order val="4"/>
          <c:tx>
            <c:strRef>
              <c:f>'Pivot Table 0'!$J$58:$J$59</c:f>
              <c:strCache>
                <c:ptCount val="1"/>
                <c:pt idx="0">
                  <c:v>Shoes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0'!$J$60:$J$68</c:f>
              <c:numCache>
                <c:formatCode>_-[$$-409]* #,##0.00_ ;_-[$$-409]* \-#,##0.00\ ;_-[$$-409]* "-"??_ ;_-@_ </c:formatCode>
                <c:ptCount val="8"/>
                <c:pt idx="0">
                  <c:v>3737399.2800000007</c:v>
                </c:pt>
                <c:pt idx="1">
                  <c:v>9003261.5400000028</c:v>
                </c:pt>
                <c:pt idx="2">
                  <c:v>2690540.4399999995</c:v>
                </c:pt>
                <c:pt idx="3">
                  <c:v>3978477.2700000005</c:v>
                </c:pt>
                <c:pt idx="4">
                  <c:v>8070578.3500000006</c:v>
                </c:pt>
                <c:pt idx="5">
                  <c:v>7199828.9999999991</c:v>
                </c:pt>
                <c:pt idx="6">
                  <c:v>7464652</c:v>
                </c:pt>
                <c:pt idx="7">
                  <c:v>6210731.9400000013</c:v>
                </c:pt>
              </c:numCache>
            </c:numRef>
          </c:val>
        </c:ser>
        <c:ser>
          <c:idx val="5"/>
          <c:order val="5"/>
          <c:tx>
            <c:strRef>
              <c:f>'Pivot Table 0'!$K$58:$K$59</c:f>
              <c:strCache>
                <c:ptCount val="1"/>
                <c:pt idx="0">
                  <c:v>Tops</c:v>
                </c:pt>
              </c:strCache>
            </c:strRef>
          </c:tx>
          <c:invertIfNegative val="0"/>
          <c:cat>
            <c:strRef>
              <c:f>'Pivot Table 0'!$E$60:$E$68</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0'!$K$60:$K$68</c:f>
              <c:numCache>
                <c:formatCode>_-[$$-409]* #,##0.00_ ;_-[$$-409]* \-#,##0.00\ ;_-[$$-409]* "-"??_ ;_-@_ </c:formatCode>
                <c:ptCount val="8"/>
                <c:pt idx="0">
                  <c:v>3637623.6600000006</c:v>
                </c:pt>
                <c:pt idx="1">
                  <c:v>2693168.8500000006</c:v>
                </c:pt>
                <c:pt idx="2">
                  <c:v>1949859.8300000003</c:v>
                </c:pt>
                <c:pt idx="3">
                  <c:v>3626919.24</c:v>
                </c:pt>
                <c:pt idx="4">
                  <c:v>3390517.5999999987</c:v>
                </c:pt>
                <c:pt idx="5">
                  <c:v>3604284.0000000005</c:v>
                </c:pt>
                <c:pt idx="6">
                  <c:v>3162303.06</c:v>
                </c:pt>
                <c:pt idx="7">
                  <c:v>4507206.3400000017</c:v>
                </c:pt>
              </c:numCache>
            </c:numRef>
          </c:val>
        </c:ser>
        <c:dLbls>
          <c:showLegendKey val="0"/>
          <c:showVal val="0"/>
          <c:showCatName val="0"/>
          <c:showSerName val="0"/>
          <c:showPercent val="0"/>
          <c:showBubbleSize val="0"/>
        </c:dLbls>
        <c:gapWidth val="150"/>
        <c:axId val="298412672"/>
        <c:axId val="298434944"/>
      </c:barChart>
      <c:catAx>
        <c:axId val="298412672"/>
        <c:scaling>
          <c:orientation val="minMax"/>
        </c:scaling>
        <c:delete val="0"/>
        <c:axPos val="b"/>
        <c:majorTickMark val="out"/>
        <c:minorTickMark val="none"/>
        <c:tickLblPos val="nextTo"/>
        <c:crossAx val="298434944"/>
        <c:crosses val="autoZero"/>
        <c:auto val="1"/>
        <c:lblAlgn val="ctr"/>
        <c:lblOffset val="100"/>
        <c:noMultiLvlLbl val="0"/>
      </c:catAx>
      <c:valAx>
        <c:axId val="298434944"/>
        <c:scaling>
          <c:orientation val="minMax"/>
        </c:scaling>
        <c:delete val="0"/>
        <c:axPos val="l"/>
        <c:majorGridlines/>
        <c:numFmt formatCode="_-[$$-409]* #,##0.00_ ;_-[$$-409]* \-#,##0.00\ ;_-[$$-409]* &quot;-&quot;??_ ;_-@_ " sourceLinked="1"/>
        <c:majorTickMark val="out"/>
        <c:minorTickMark val="none"/>
        <c:tickLblPos val="nextTo"/>
        <c:crossAx val="2984126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0!PivotTable8</c:name>
    <c:fmtId val="4"/>
  </c:pivotSource>
  <c:chart>
    <c:title>
      <c:tx>
        <c:rich>
          <a:bodyPr/>
          <a:lstStyle/>
          <a:p>
            <a:pPr>
              <a:defRPr sz="1200"/>
            </a:pPr>
            <a:r>
              <a:rPr lang="id-ID" sz="1200"/>
              <a:t>Markdown</a:t>
            </a:r>
            <a:r>
              <a:rPr lang="id-ID" sz="1200" baseline="0"/>
              <a:t> Loss</a:t>
            </a:r>
            <a:endParaRPr lang="en-US" sz="1200"/>
          </a:p>
        </c:rich>
      </c:tx>
      <c:layout>
        <c:manualLayout>
          <c:xMode val="edge"/>
          <c:yMode val="edge"/>
          <c:x val="0.38302077865266848"/>
          <c:y val="4.9905220180810735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lineChart>
        <c:grouping val="standard"/>
        <c:varyColors val="0"/>
        <c:ser>
          <c:idx val="0"/>
          <c:order val="0"/>
          <c:tx>
            <c:strRef>
              <c:f>'Pivot Table 0'!$F$71:$F$72</c:f>
              <c:strCache>
                <c:ptCount val="1"/>
                <c:pt idx="0">
                  <c:v>Accessories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0'!$F$73:$F$81</c:f>
              <c:numCache>
                <c:formatCode>[$$-409]#,##0</c:formatCode>
                <c:ptCount val="8"/>
                <c:pt idx="0">
                  <c:v>438935.67999999906</c:v>
                </c:pt>
                <c:pt idx="1">
                  <c:v>260445.75000000032</c:v>
                </c:pt>
                <c:pt idx="2">
                  <c:v>388271.30999999976</c:v>
                </c:pt>
                <c:pt idx="3">
                  <c:v>510948.90000000113</c:v>
                </c:pt>
                <c:pt idx="4">
                  <c:v>242285.99999999985</c:v>
                </c:pt>
                <c:pt idx="5">
                  <c:v>322562.88000000006</c:v>
                </c:pt>
                <c:pt idx="6">
                  <c:v>380778.98000000016</c:v>
                </c:pt>
                <c:pt idx="7">
                  <c:v>505149.60000000079</c:v>
                </c:pt>
              </c:numCache>
            </c:numRef>
          </c:val>
          <c:smooth val="0"/>
        </c:ser>
        <c:ser>
          <c:idx val="1"/>
          <c:order val="1"/>
          <c:tx>
            <c:strRef>
              <c:f>'Pivot Table 0'!$G$71:$G$72</c:f>
              <c:strCache>
                <c:ptCount val="1"/>
                <c:pt idx="0">
                  <c:v>Bottoms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0'!$G$73:$G$81</c:f>
              <c:numCache>
                <c:formatCode>[$$-409]#,##0</c:formatCode>
                <c:ptCount val="8"/>
                <c:pt idx="0">
                  <c:v>397720.34000000043</c:v>
                </c:pt>
                <c:pt idx="1">
                  <c:v>435108.94000000018</c:v>
                </c:pt>
                <c:pt idx="2">
                  <c:v>521353.3499999991</c:v>
                </c:pt>
                <c:pt idx="3">
                  <c:v>349740.30000000016</c:v>
                </c:pt>
                <c:pt idx="4">
                  <c:v>554518.799999999</c:v>
                </c:pt>
                <c:pt idx="5">
                  <c:v>987816.15999999968</c:v>
                </c:pt>
                <c:pt idx="6">
                  <c:v>168963.19999999995</c:v>
                </c:pt>
                <c:pt idx="7">
                  <c:v>1032086.3000000046</c:v>
                </c:pt>
              </c:numCache>
            </c:numRef>
          </c:val>
          <c:smooth val="0"/>
        </c:ser>
        <c:ser>
          <c:idx val="2"/>
          <c:order val="2"/>
          <c:tx>
            <c:strRef>
              <c:f>'Pivot Table 0'!$H$71:$H$72</c:f>
              <c:strCache>
                <c:ptCount val="1"/>
                <c:pt idx="0">
                  <c:v>Dresses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0'!$H$73:$H$81</c:f>
              <c:numCache>
                <c:formatCode>[$$-409]#,##0</c:formatCode>
                <c:ptCount val="8"/>
                <c:pt idx="0">
                  <c:v>517135.92000000033</c:v>
                </c:pt>
                <c:pt idx="1">
                  <c:v>396580.34999999881</c:v>
                </c:pt>
                <c:pt idx="2">
                  <c:v>804862.54999999958</c:v>
                </c:pt>
                <c:pt idx="3">
                  <c:v>366933.87000000005</c:v>
                </c:pt>
                <c:pt idx="4">
                  <c:v>618690.55999999959</c:v>
                </c:pt>
                <c:pt idx="5">
                  <c:v>1028988.6100000037</c:v>
                </c:pt>
                <c:pt idx="6">
                  <c:v>299922.30000000005</c:v>
                </c:pt>
                <c:pt idx="7">
                  <c:v>664065.65000000014</c:v>
                </c:pt>
              </c:numCache>
            </c:numRef>
          </c:val>
          <c:smooth val="0"/>
        </c:ser>
        <c:ser>
          <c:idx val="3"/>
          <c:order val="3"/>
          <c:tx>
            <c:strRef>
              <c:f>'Pivot Table 0'!$I$71:$I$72</c:f>
              <c:strCache>
                <c:ptCount val="1"/>
                <c:pt idx="0">
                  <c:v>Outerwear</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0'!$I$73:$I$81</c:f>
              <c:numCache>
                <c:formatCode>[$$-409]#,##0</c:formatCode>
                <c:ptCount val="8"/>
                <c:pt idx="0">
                  <c:v>354327.96000000025</c:v>
                </c:pt>
                <c:pt idx="1">
                  <c:v>1724979.9600000014</c:v>
                </c:pt>
                <c:pt idx="2">
                  <c:v>618483.2000000017</c:v>
                </c:pt>
                <c:pt idx="3">
                  <c:v>522200.79999999906</c:v>
                </c:pt>
                <c:pt idx="4">
                  <c:v>661728.9600000002</c:v>
                </c:pt>
                <c:pt idx="5">
                  <c:v>825890.03000000201</c:v>
                </c:pt>
                <c:pt idx="6">
                  <c:v>902522.27999999921</c:v>
                </c:pt>
                <c:pt idx="7">
                  <c:v>686126.58000000042</c:v>
                </c:pt>
              </c:numCache>
            </c:numRef>
          </c:val>
          <c:smooth val="0"/>
        </c:ser>
        <c:ser>
          <c:idx val="4"/>
          <c:order val="4"/>
          <c:tx>
            <c:strRef>
              <c:f>'Pivot Table 0'!$J$71:$J$72</c:f>
              <c:strCache>
                <c:ptCount val="1"/>
                <c:pt idx="0">
                  <c:v>Shoes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0'!$J$73:$J$81</c:f>
              <c:numCache>
                <c:formatCode>[$$-409]#,##0</c:formatCode>
                <c:ptCount val="8"/>
                <c:pt idx="0">
                  <c:v>656180.39999999898</c:v>
                </c:pt>
                <c:pt idx="1">
                  <c:v>1042700.0999999981</c:v>
                </c:pt>
                <c:pt idx="2">
                  <c:v>788801.72000000009</c:v>
                </c:pt>
                <c:pt idx="3">
                  <c:v>970381.37999999919</c:v>
                </c:pt>
                <c:pt idx="4">
                  <c:v>1299068.2500000005</c:v>
                </c:pt>
                <c:pt idx="5">
                  <c:v>955918.00000000047</c:v>
                </c:pt>
                <c:pt idx="6">
                  <c:v>730209.9999999986</c:v>
                </c:pt>
                <c:pt idx="7">
                  <c:v>600889.80000000226</c:v>
                </c:pt>
              </c:numCache>
            </c:numRef>
          </c:val>
          <c:smooth val="0"/>
        </c:ser>
        <c:ser>
          <c:idx val="5"/>
          <c:order val="5"/>
          <c:tx>
            <c:strRef>
              <c:f>'Pivot Table 0'!$K$71:$K$72</c:f>
              <c:strCache>
                <c:ptCount val="1"/>
                <c:pt idx="0">
                  <c:v>Tops</c:v>
                </c:pt>
              </c:strCache>
            </c:strRef>
          </c:tx>
          <c:marker>
            <c:symbol val="none"/>
          </c:marker>
          <c:cat>
            <c:strRef>
              <c:f>'Pivot Table 0'!$E$73:$E$81</c:f>
              <c:strCache>
                <c:ptCount val="8"/>
                <c:pt idx="0">
                  <c:v>Ann Taylor</c:v>
                </c:pt>
                <c:pt idx="1">
                  <c:v>Banana Republic</c:v>
                </c:pt>
                <c:pt idx="2">
                  <c:v>Forever21</c:v>
                </c:pt>
                <c:pt idx="3">
                  <c:v>Gap</c:v>
                </c:pt>
                <c:pt idx="4">
                  <c:v>H&amp;M</c:v>
                </c:pt>
                <c:pt idx="5">
                  <c:v>Mango</c:v>
                </c:pt>
                <c:pt idx="6">
                  <c:v>Uniqlo</c:v>
                </c:pt>
                <c:pt idx="7">
                  <c:v>Zara</c:v>
                </c:pt>
              </c:strCache>
            </c:strRef>
          </c:cat>
          <c:val>
            <c:numRef>
              <c:f>'Pivot Table 0'!$K$73:$K$81</c:f>
              <c:numCache>
                <c:formatCode>[$$-409]#,##0</c:formatCode>
                <c:ptCount val="8"/>
                <c:pt idx="0">
                  <c:v>410001.74999999948</c:v>
                </c:pt>
                <c:pt idx="1">
                  <c:v>481344.75000000029</c:v>
                </c:pt>
                <c:pt idx="2">
                  <c:v>232546.87999999957</c:v>
                </c:pt>
                <c:pt idx="3">
                  <c:v>504547.44000000058</c:v>
                </c:pt>
                <c:pt idx="4">
                  <c:v>486242.60000000126</c:v>
                </c:pt>
                <c:pt idx="5">
                  <c:v>300133.43999999913</c:v>
                </c:pt>
                <c:pt idx="6">
                  <c:v>129916.63999999988</c:v>
                </c:pt>
                <c:pt idx="7">
                  <c:v>796082.90999999992</c:v>
                </c:pt>
              </c:numCache>
            </c:numRef>
          </c:val>
          <c:smooth val="0"/>
        </c:ser>
        <c:dLbls>
          <c:showLegendKey val="0"/>
          <c:showVal val="0"/>
          <c:showCatName val="0"/>
          <c:showSerName val="0"/>
          <c:showPercent val="0"/>
          <c:showBubbleSize val="0"/>
        </c:dLbls>
        <c:marker val="1"/>
        <c:smooth val="0"/>
        <c:axId val="299008384"/>
        <c:axId val="299009920"/>
      </c:lineChart>
      <c:catAx>
        <c:axId val="299008384"/>
        <c:scaling>
          <c:orientation val="minMax"/>
        </c:scaling>
        <c:delete val="0"/>
        <c:axPos val="b"/>
        <c:majorTickMark val="out"/>
        <c:minorTickMark val="none"/>
        <c:tickLblPos val="nextTo"/>
        <c:crossAx val="299009920"/>
        <c:crosses val="autoZero"/>
        <c:auto val="1"/>
        <c:lblAlgn val="ctr"/>
        <c:lblOffset val="100"/>
        <c:noMultiLvlLbl val="0"/>
      </c:catAx>
      <c:valAx>
        <c:axId val="299009920"/>
        <c:scaling>
          <c:orientation val="minMax"/>
        </c:scaling>
        <c:delete val="0"/>
        <c:axPos val="l"/>
        <c:majorGridlines/>
        <c:numFmt formatCode="[$$-409]#,##0" sourceLinked="1"/>
        <c:majorTickMark val="out"/>
        <c:minorTickMark val="none"/>
        <c:tickLblPos val="nextTo"/>
        <c:crossAx val="299008384"/>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id-ID" sz="1200"/>
              <a:t>Stock</a:t>
            </a:r>
            <a:r>
              <a:rPr lang="id-ID" sz="1200" baseline="0"/>
              <a:t> Quantity Vs Markdown</a:t>
            </a:r>
            <a:endParaRPr lang="en-US" sz="1200"/>
          </a:p>
        </c:rich>
      </c:tx>
      <c:overlay val="1"/>
    </c:title>
    <c:autoTitleDeleted val="0"/>
    <c:plotArea>
      <c:layout>
        <c:manualLayout>
          <c:layoutTarget val="inner"/>
          <c:xMode val="edge"/>
          <c:yMode val="edge"/>
          <c:x val="0.20084030161752894"/>
          <c:y val="0.19991342332060918"/>
          <c:w val="0.43472265586314873"/>
          <c:h val="0.66097097057704668"/>
        </c:manualLayout>
      </c:layout>
      <c:barChart>
        <c:barDir val="bar"/>
        <c:grouping val="clustered"/>
        <c:varyColors val="0"/>
        <c:ser>
          <c:idx val="0"/>
          <c:order val="0"/>
          <c:tx>
            <c:strRef>
              <c:f>'Pivot Table 2'!$K$16</c:f>
              <c:strCache>
                <c:ptCount val="1"/>
                <c:pt idx="0">
                  <c:v>Max of Markdown Precentage</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2'!$K$17:$K$22</c:f>
              <c:numCache>
                <c:formatCode>General</c:formatCode>
                <c:ptCount val="6"/>
                <c:pt idx="0">
                  <c:v>59.9</c:v>
                </c:pt>
                <c:pt idx="1">
                  <c:v>59.4</c:v>
                </c:pt>
                <c:pt idx="2">
                  <c:v>59.8</c:v>
                </c:pt>
                <c:pt idx="3">
                  <c:v>59.8</c:v>
                </c:pt>
                <c:pt idx="4">
                  <c:v>59.8</c:v>
                </c:pt>
                <c:pt idx="5">
                  <c:v>59.5</c:v>
                </c:pt>
              </c:numCache>
            </c:numRef>
          </c:val>
        </c:ser>
        <c:ser>
          <c:idx val="1"/>
          <c:order val="1"/>
          <c:tx>
            <c:strRef>
              <c:f>'Pivot Table 2'!$L$16</c:f>
              <c:strCache>
                <c:ptCount val="1"/>
                <c:pt idx="0">
                  <c:v>Stock Quantity</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2'!$L$17:$L$22</c:f>
              <c:numCache>
                <c:formatCode>General</c:formatCode>
                <c:ptCount val="6"/>
                <c:pt idx="0">
                  <c:v>47</c:v>
                </c:pt>
                <c:pt idx="1">
                  <c:v>40</c:v>
                </c:pt>
                <c:pt idx="2">
                  <c:v>34</c:v>
                </c:pt>
                <c:pt idx="3">
                  <c:v>10</c:v>
                </c:pt>
                <c:pt idx="4">
                  <c:v>33</c:v>
                </c:pt>
                <c:pt idx="5">
                  <c:v>2</c:v>
                </c:pt>
              </c:numCache>
            </c:numRef>
          </c:val>
        </c:ser>
        <c:ser>
          <c:idx val="2"/>
          <c:order val="2"/>
          <c:tx>
            <c:strRef>
              <c:f>'Pivot Table 2'!$M$16</c:f>
              <c:strCache>
                <c:ptCount val="1"/>
                <c:pt idx="0">
                  <c:v>Total Sales</c:v>
                </c:pt>
              </c:strCache>
            </c:strRef>
          </c:tx>
          <c:invertIfNegative val="0"/>
          <c:cat>
            <c:strRef>
              <c:f>'Pivot Table 2'!$J$17:$J$22</c:f>
              <c:strCache>
                <c:ptCount val="6"/>
                <c:pt idx="0">
                  <c:v>Accessories</c:v>
                </c:pt>
                <c:pt idx="1">
                  <c:v>Bottoms</c:v>
                </c:pt>
                <c:pt idx="2">
                  <c:v>Dresses</c:v>
                </c:pt>
                <c:pt idx="3">
                  <c:v>Outerwear</c:v>
                </c:pt>
                <c:pt idx="4">
                  <c:v>Shoes</c:v>
                </c:pt>
                <c:pt idx="5">
                  <c:v>Tops</c:v>
                </c:pt>
              </c:strCache>
            </c:strRef>
          </c:cat>
          <c:val>
            <c:numRef>
              <c:f>'Pivot Table 2'!$M$17:$M$22</c:f>
              <c:numCache>
                <c:formatCode>General</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150"/>
        <c:axId val="299036032"/>
        <c:axId val="299037824"/>
      </c:barChart>
      <c:catAx>
        <c:axId val="299036032"/>
        <c:scaling>
          <c:orientation val="minMax"/>
        </c:scaling>
        <c:delete val="0"/>
        <c:axPos val="l"/>
        <c:majorTickMark val="out"/>
        <c:minorTickMark val="none"/>
        <c:tickLblPos val="nextTo"/>
        <c:crossAx val="299037824"/>
        <c:crosses val="autoZero"/>
        <c:auto val="1"/>
        <c:lblAlgn val="ctr"/>
        <c:lblOffset val="100"/>
        <c:noMultiLvlLbl val="0"/>
      </c:catAx>
      <c:valAx>
        <c:axId val="299037824"/>
        <c:scaling>
          <c:orientation val="minMax"/>
        </c:scaling>
        <c:delete val="0"/>
        <c:axPos val="b"/>
        <c:majorGridlines/>
        <c:numFmt formatCode="General" sourceLinked="1"/>
        <c:majorTickMark val="out"/>
        <c:minorTickMark val="none"/>
        <c:tickLblPos val="nextTo"/>
        <c:crossAx val="299036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Frequency of </a:t>
            </a:r>
            <a:r>
              <a:rPr lang="id-ID" sz="1200"/>
              <a:t>R</a:t>
            </a:r>
            <a:r>
              <a:rPr lang="en-US" sz="1200"/>
              <a:t>eturn </a:t>
            </a:r>
            <a:r>
              <a:rPr lang="id-ID" sz="1200"/>
              <a:t>R</a:t>
            </a:r>
            <a:r>
              <a:rPr lang="en-US" sz="1200"/>
              <a:t>ea</a:t>
            </a:r>
            <a:r>
              <a:rPr lang="id-ID" sz="1200"/>
              <a:t>son</a:t>
            </a:r>
            <a:r>
              <a:rPr lang="id-ID" sz="1200" baseline="0"/>
              <a:t> for a Certain Product Rating</a:t>
            </a:r>
            <a:endParaRPr lang="en-US" sz="1200"/>
          </a:p>
        </c:rich>
      </c:tx>
      <c:overlay val="0"/>
    </c:title>
    <c:autoTitleDeleted val="0"/>
    <c:plotArea>
      <c:layout/>
      <c:lineChart>
        <c:grouping val="standard"/>
        <c:varyColors val="0"/>
        <c:ser>
          <c:idx val="0"/>
          <c:order val="0"/>
          <c:tx>
            <c:strRef>
              <c:f>'Pivot Table 2'!$M$30</c:f>
              <c:strCache>
                <c:ptCount val="1"/>
                <c:pt idx="0">
                  <c:v>Frequency of return reason</c:v>
                </c:pt>
              </c:strCache>
            </c:strRef>
          </c:tx>
          <c:marker>
            <c:symbol val="none"/>
          </c:marker>
          <c:cat>
            <c:multiLvlStrRef>
              <c:f>'Pivot Table 2'!$I$31:$L$50</c:f>
              <c:multiLvlStrCache>
                <c:ptCount val="20"/>
                <c:lvl>
                  <c:pt idx="0">
                    <c:v>Color Mismatch</c:v>
                  </c:pt>
                  <c:pt idx="1">
                    <c:v>Size Issue</c:v>
                  </c:pt>
                  <c:pt idx="2">
                    <c:v>Color mismatch</c:v>
                  </c:pt>
                  <c:pt idx="3">
                    <c:v>Size Issue</c:v>
                  </c:pt>
                  <c:pt idx="4">
                    <c:v>Changed Mind</c:v>
                  </c:pt>
                  <c:pt idx="5">
                    <c:v>Quality Issue</c:v>
                  </c:pt>
                  <c:pt idx="6">
                    <c:v>Wrong Item</c:v>
                  </c:pt>
                  <c:pt idx="7">
                    <c:v>Damaged</c:v>
                  </c:pt>
                  <c:pt idx="8">
                    <c:v>Color mismatch</c:v>
                  </c:pt>
                  <c:pt idx="9">
                    <c:v>Size Issue</c:v>
                  </c:pt>
                  <c:pt idx="10">
                    <c:v>Changed Mind</c:v>
                  </c:pt>
                  <c:pt idx="11">
                    <c:v>Quality Issue</c:v>
                  </c:pt>
                  <c:pt idx="12">
                    <c:v>Wrong Item</c:v>
                  </c:pt>
                  <c:pt idx="13">
                    <c:v>Damaged</c:v>
                  </c:pt>
                  <c:pt idx="14">
                    <c:v>Color mismatch</c:v>
                  </c:pt>
                  <c:pt idx="15">
                    <c:v>Size Issue</c:v>
                  </c:pt>
                  <c:pt idx="16">
                    <c:v>Changed Mind</c:v>
                  </c:pt>
                  <c:pt idx="17">
                    <c:v>Quality Issue</c:v>
                  </c:pt>
                  <c:pt idx="18">
                    <c:v>Wrong Item</c:v>
                  </c:pt>
                  <c:pt idx="19">
                    <c:v>Damaged</c:v>
                  </c:pt>
                </c:lvl>
                <c:lvl>
                  <c:pt idx="0">
                    <c:v>0</c:v>
                  </c:pt>
                  <c:pt idx="2">
                    <c:v>11,81812081</c:v>
                  </c:pt>
                  <c:pt idx="8">
                    <c:v>20,85833333</c:v>
                  </c:pt>
                  <c:pt idx="14">
                    <c:v>13,03773585</c:v>
                  </c:pt>
                </c:lvl>
                <c:lvl>
                  <c:pt idx="0">
                    <c:v>2</c:v>
                  </c:pt>
                  <c:pt idx="2">
                    <c:v>149</c:v>
                  </c:pt>
                  <c:pt idx="8">
                    <c:v>12</c:v>
                  </c:pt>
                  <c:pt idx="14">
                    <c:v>159</c:v>
                  </c:pt>
                </c:lvl>
                <c:lvl>
                  <c:pt idx="0">
                    <c:v>5</c:v>
                  </c:pt>
                  <c:pt idx="2">
                    <c:v>&gt;3</c:v>
                  </c:pt>
                  <c:pt idx="8">
                    <c:v>3</c:v>
                  </c:pt>
                  <c:pt idx="14">
                    <c:v>&lt;3</c:v>
                  </c:pt>
                </c:lvl>
              </c:multiLvlStrCache>
            </c:multiLvlStrRef>
          </c:cat>
          <c:val>
            <c:numRef>
              <c:f>'Pivot Table 2'!$M$31:$M$50</c:f>
              <c:numCache>
                <c:formatCode>General</c:formatCode>
                <c:ptCount val="20"/>
                <c:pt idx="0">
                  <c:v>1</c:v>
                </c:pt>
                <c:pt idx="1">
                  <c:v>1</c:v>
                </c:pt>
                <c:pt idx="2">
                  <c:v>16</c:v>
                </c:pt>
                <c:pt idx="3">
                  <c:v>26</c:v>
                </c:pt>
                <c:pt idx="4">
                  <c:v>41</c:v>
                </c:pt>
                <c:pt idx="5">
                  <c:v>26</c:v>
                </c:pt>
                <c:pt idx="6">
                  <c:v>22</c:v>
                </c:pt>
                <c:pt idx="7">
                  <c:v>18</c:v>
                </c:pt>
                <c:pt idx="8">
                  <c:v>1</c:v>
                </c:pt>
                <c:pt idx="9">
                  <c:v>1</c:v>
                </c:pt>
                <c:pt idx="10">
                  <c:v>6</c:v>
                </c:pt>
                <c:pt idx="11">
                  <c:v>2</c:v>
                </c:pt>
                <c:pt idx="12">
                  <c:v>1</c:v>
                </c:pt>
                <c:pt idx="13">
                  <c:v>1</c:v>
                </c:pt>
                <c:pt idx="14">
                  <c:v>29</c:v>
                </c:pt>
                <c:pt idx="15">
                  <c:v>33</c:v>
                </c:pt>
                <c:pt idx="16">
                  <c:v>21</c:v>
                </c:pt>
                <c:pt idx="17">
                  <c:v>27</c:v>
                </c:pt>
                <c:pt idx="18">
                  <c:v>24</c:v>
                </c:pt>
                <c:pt idx="19">
                  <c:v>25</c:v>
                </c:pt>
              </c:numCache>
            </c:numRef>
          </c:val>
          <c:smooth val="0"/>
        </c:ser>
        <c:dLbls>
          <c:dLblPos val="t"/>
          <c:showLegendKey val="0"/>
          <c:showVal val="1"/>
          <c:showCatName val="0"/>
          <c:showSerName val="0"/>
          <c:showPercent val="0"/>
          <c:showBubbleSize val="0"/>
        </c:dLbls>
        <c:marker val="1"/>
        <c:smooth val="0"/>
        <c:axId val="299059072"/>
        <c:axId val="299060608"/>
      </c:lineChart>
      <c:catAx>
        <c:axId val="299059072"/>
        <c:scaling>
          <c:orientation val="minMax"/>
        </c:scaling>
        <c:delete val="0"/>
        <c:axPos val="b"/>
        <c:majorTickMark val="out"/>
        <c:minorTickMark val="none"/>
        <c:tickLblPos val="nextTo"/>
        <c:crossAx val="299060608"/>
        <c:crosses val="autoZero"/>
        <c:auto val="1"/>
        <c:lblAlgn val="ctr"/>
        <c:lblOffset val="100"/>
        <c:noMultiLvlLbl val="0"/>
      </c:catAx>
      <c:valAx>
        <c:axId val="299060608"/>
        <c:scaling>
          <c:orientation val="minMax"/>
        </c:scaling>
        <c:delete val="1"/>
        <c:axPos val="l"/>
        <c:numFmt formatCode="General" sourceLinked="1"/>
        <c:majorTickMark val="out"/>
        <c:minorTickMark val="none"/>
        <c:tickLblPos val="nextTo"/>
        <c:crossAx val="2990590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id-ID" sz="1200"/>
              <a:t>Rating</a:t>
            </a:r>
            <a:r>
              <a:rPr lang="id-ID" sz="1200" baseline="0"/>
              <a:t> Between Discounted Product and non-Discounted Product</a:t>
            </a:r>
            <a:endParaRPr lang="en-US" sz="1200"/>
          </a:p>
        </c:rich>
      </c:tx>
      <c:layout>
        <c:manualLayout>
          <c:xMode val="edge"/>
          <c:yMode val="edge"/>
          <c:x val="0.12546054670133511"/>
          <c:y val="3.3847089510094026E-2"/>
        </c:manualLayout>
      </c:layout>
      <c:overlay val="0"/>
    </c:title>
    <c:autoTitleDeleted val="0"/>
    <c:plotArea>
      <c:layout/>
      <c:barChart>
        <c:barDir val="col"/>
        <c:grouping val="clustered"/>
        <c:varyColors val="0"/>
        <c:ser>
          <c:idx val="0"/>
          <c:order val="0"/>
          <c:tx>
            <c:strRef>
              <c:f>'Pivot Table 2'!$H$53</c:f>
              <c:strCache>
                <c:ptCount val="1"/>
                <c:pt idx="0">
                  <c:v>Average of Customer Rating</c:v>
                </c:pt>
              </c:strCache>
            </c:strRef>
          </c:tx>
          <c:invertIfNegative val="0"/>
          <c:cat>
            <c:strRef>
              <c:f>'Pivot Table 2'!$G$54:$G$57</c:f>
              <c:strCache>
                <c:ptCount val="4"/>
                <c:pt idx="0">
                  <c:v>&gt;29%</c:v>
                </c:pt>
                <c:pt idx="1">
                  <c:v>&lt;29%</c:v>
                </c:pt>
                <c:pt idx="2">
                  <c:v>0</c:v>
                </c:pt>
                <c:pt idx="3">
                  <c:v>&gt;50</c:v>
                </c:pt>
              </c:strCache>
            </c:strRef>
          </c:cat>
          <c:val>
            <c:numRef>
              <c:f>'Pivot Table 2'!$H$54:$H$57</c:f>
              <c:numCache>
                <c:formatCode>0.00</c:formatCode>
                <c:ptCount val="4"/>
                <c:pt idx="0">
                  <c:v>2.9902862925417377</c:v>
                </c:pt>
                <c:pt idx="1">
                  <c:v>2.9864343505098558</c:v>
                </c:pt>
                <c:pt idx="2">
                  <c:v>3.0149269616811698</c:v>
                </c:pt>
                <c:pt idx="3">
                  <c:v>3.1478797262261682</c:v>
                </c:pt>
              </c:numCache>
            </c:numRef>
          </c:val>
        </c:ser>
        <c:dLbls>
          <c:showLegendKey val="0"/>
          <c:showVal val="0"/>
          <c:showCatName val="0"/>
          <c:showSerName val="0"/>
          <c:showPercent val="0"/>
          <c:showBubbleSize val="0"/>
        </c:dLbls>
        <c:gapWidth val="150"/>
        <c:axId val="299094016"/>
        <c:axId val="299095552"/>
      </c:barChart>
      <c:catAx>
        <c:axId val="299094016"/>
        <c:scaling>
          <c:orientation val="minMax"/>
        </c:scaling>
        <c:delete val="0"/>
        <c:axPos val="b"/>
        <c:majorTickMark val="out"/>
        <c:minorTickMark val="none"/>
        <c:tickLblPos val="nextTo"/>
        <c:crossAx val="299095552"/>
        <c:crosses val="autoZero"/>
        <c:auto val="1"/>
        <c:lblAlgn val="ctr"/>
        <c:lblOffset val="100"/>
        <c:noMultiLvlLbl val="0"/>
      </c:catAx>
      <c:valAx>
        <c:axId val="299095552"/>
        <c:scaling>
          <c:orientation val="minMax"/>
        </c:scaling>
        <c:delete val="0"/>
        <c:axPos val="l"/>
        <c:majorGridlines/>
        <c:numFmt formatCode="0.00" sourceLinked="1"/>
        <c:majorTickMark val="out"/>
        <c:minorTickMark val="none"/>
        <c:tickLblPos val="nextTo"/>
        <c:crossAx val="2990940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id-ID" sz="1200"/>
              <a:t>Frequency</a:t>
            </a:r>
            <a:r>
              <a:rPr lang="id-ID" sz="1200" baseline="0"/>
              <a:t> of Return Reason</a:t>
            </a:r>
            <a:endParaRPr lang="en-US" sz="1200"/>
          </a:p>
        </c:rich>
      </c:tx>
      <c:overlay val="0"/>
    </c:title>
    <c:autoTitleDeleted val="0"/>
    <c:plotArea>
      <c:layout/>
      <c:lineChart>
        <c:grouping val="standard"/>
        <c:varyColors val="0"/>
        <c:ser>
          <c:idx val="0"/>
          <c:order val="0"/>
          <c:tx>
            <c:strRef>
              <c:f>'Pivot Table 2'!$K$53</c:f>
              <c:strCache>
                <c:ptCount val="1"/>
                <c:pt idx="0">
                  <c:v>Frequency</c:v>
                </c:pt>
              </c:strCache>
            </c:strRef>
          </c:tx>
          <c:marker>
            <c:symbol val="none"/>
          </c:marker>
          <c:dLbls>
            <c:dLblPos val="t"/>
            <c:showLegendKey val="0"/>
            <c:showVal val="1"/>
            <c:showCatName val="0"/>
            <c:showSerName val="0"/>
            <c:showPercent val="0"/>
            <c:showBubbleSize val="0"/>
            <c:showLeaderLines val="0"/>
          </c:dLbls>
          <c:cat>
            <c:strRef>
              <c:f>'Pivot Table 2'!$J$54:$J$59</c:f>
              <c:strCache>
                <c:ptCount val="6"/>
                <c:pt idx="0">
                  <c:v>Color Mismatch</c:v>
                </c:pt>
                <c:pt idx="1">
                  <c:v>Size Issue</c:v>
                </c:pt>
                <c:pt idx="2">
                  <c:v>Changed Mind</c:v>
                </c:pt>
                <c:pt idx="3">
                  <c:v>Quality Issue</c:v>
                </c:pt>
                <c:pt idx="4">
                  <c:v>Wrong Item</c:v>
                </c:pt>
                <c:pt idx="5">
                  <c:v>Damaged</c:v>
                </c:pt>
              </c:strCache>
            </c:strRef>
          </c:cat>
          <c:val>
            <c:numRef>
              <c:f>'Pivot Table 2'!$K$54:$K$59</c:f>
              <c:numCache>
                <c:formatCode>General</c:formatCode>
                <c:ptCount val="6"/>
                <c:pt idx="0">
                  <c:v>46</c:v>
                </c:pt>
                <c:pt idx="1">
                  <c:v>60</c:v>
                </c:pt>
                <c:pt idx="2">
                  <c:v>68</c:v>
                </c:pt>
                <c:pt idx="3">
                  <c:v>55</c:v>
                </c:pt>
                <c:pt idx="4">
                  <c:v>47</c:v>
                </c:pt>
                <c:pt idx="5">
                  <c:v>44</c:v>
                </c:pt>
              </c:numCache>
            </c:numRef>
          </c:val>
          <c:smooth val="0"/>
        </c:ser>
        <c:dLbls>
          <c:showLegendKey val="0"/>
          <c:showVal val="0"/>
          <c:showCatName val="0"/>
          <c:showSerName val="0"/>
          <c:showPercent val="0"/>
          <c:showBubbleSize val="0"/>
        </c:dLbls>
        <c:marker val="1"/>
        <c:smooth val="0"/>
        <c:axId val="299255680"/>
        <c:axId val="299257216"/>
      </c:lineChart>
      <c:catAx>
        <c:axId val="299255680"/>
        <c:scaling>
          <c:orientation val="minMax"/>
        </c:scaling>
        <c:delete val="0"/>
        <c:axPos val="b"/>
        <c:majorTickMark val="out"/>
        <c:minorTickMark val="none"/>
        <c:tickLblPos val="nextTo"/>
        <c:crossAx val="299257216"/>
        <c:crosses val="autoZero"/>
        <c:auto val="1"/>
        <c:lblAlgn val="ctr"/>
        <c:lblOffset val="100"/>
        <c:noMultiLvlLbl val="0"/>
      </c:catAx>
      <c:valAx>
        <c:axId val="299257216"/>
        <c:scaling>
          <c:orientation val="minMax"/>
        </c:scaling>
        <c:delete val="0"/>
        <c:axPos val="l"/>
        <c:majorGridlines/>
        <c:numFmt formatCode="General" sourceLinked="1"/>
        <c:majorTickMark val="out"/>
        <c:minorTickMark val="none"/>
        <c:tickLblPos val="nextTo"/>
        <c:crossAx val="29925568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2!PivotTable5</c:name>
    <c:fmtId val="2"/>
  </c:pivotSource>
  <c:chart>
    <c:title>
      <c:tx>
        <c:rich>
          <a:bodyPr/>
          <a:lstStyle/>
          <a:p>
            <a:pPr>
              <a:defRPr sz="1200"/>
            </a:pPr>
            <a:r>
              <a:rPr lang="id-ID" sz="1200"/>
              <a:t>Average</a:t>
            </a:r>
            <a:r>
              <a:rPr lang="id-ID" sz="1200" baseline="0"/>
              <a:t> of Customer Rating </a:t>
            </a:r>
            <a:endParaRPr lang="en-US" sz="1200"/>
          </a:p>
        </c:rich>
      </c:tx>
      <c:layout>
        <c:manualLayout>
          <c:xMode val="edge"/>
          <c:yMode val="edge"/>
          <c:x val="0.34696891104314459"/>
          <c:y val="3.9704574945262354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 Table 2'!$H$64:$H$65</c:f>
              <c:strCache>
                <c:ptCount val="1"/>
                <c:pt idx="0">
                  <c:v>Accessories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2'!$H$66:$H$74</c:f>
              <c:numCache>
                <c:formatCode>0.0</c:formatCode>
                <c:ptCount val="8"/>
                <c:pt idx="0">
                  <c:v>3.2731707317073178</c:v>
                </c:pt>
                <c:pt idx="1">
                  <c:v>2.8694444444444449</c:v>
                </c:pt>
                <c:pt idx="2">
                  <c:v>2.8636363636363638</c:v>
                </c:pt>
                <c:pt idx="3">
                  <c:v>3.272093023255815</c:v>
                </c:pt>
                <c:pt idx="4">
                  <c:v>2.7333333333333329</c:v>
                </c:pt>
                <c:pt idx="5">
                  <c:v>2.5131578947368411</c:v>
                </c:pt>
                <c:pt idx="6">
                  <c:v>3.1288461538461552</c:v>
                </c:pt>
                <c:pt idx="7">
                  <c:v>2.9116666666666671</c:v>
                </c:pt>
              </c:numCache>
            </c:numRef>
          </c:val>
        </c:ser>
        <c:ser>
          <c:idx val="1"/>
          <c:order val="1"/>
          <c:tx>
            <c:strRef>
              <c:f>'Pivot Table 2'!$I$64:$I$65</c:f>
              <c:strCache>
                <c:ptCount val="1"/>
                <c:pt idx="0">
                  <c:v>Bottoms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2'!$I$66:$I$74</c:f>
              <c:numCache>
                <c:formatCode>0.0</c:formatCode>
                <c:ptCount val="8"/>
                <c:pt idx="0">
                  <c:v>3.0575757575757576</c:v>
                </c:pt>
                <c:pt idx="1">
                  <c:v>3.0384615384615379</c:v>
                </c:pt>
                <c:pt idx="2">
                  <c:v>3.1021739130434769</c:v>
                </c:pt>
                <c:pt idx="3">
                  <c:v>3.1799999999999993</c:v>
                </c:pt>
                <c:pt idx="4">
                  <c:v>3.06590909090909</c:v>
                </c:pt>
                <c:pt idx="5">
                  <c:v>2.8142857142857145</c:v>
                </c:pt>
                <c:pt idx="6">
                  <c:v>3.0846153846153848</c:v>
                </c:pt>
                <c:pt idx="7">
                  <c:v>2.9210526315789478</c:v>
                </c:pt>
              </c:numCache>
            </c:numRef>
          </c:val>
        </c:ser>
        <c:ser>
          <c:idx val="2"/>
          <c:order val="2"/>
          <c:tx>
            <c:strRef>
              <c:f>'Pivot Table 2'!$J$64:$J$65</c:f>
              <c:strCache>
                <c:ptCount val="1"/>
                <c:pt idx="0">
                  <c:v>Dresses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2'!$J$66:$J$74</c:f>
              <c:numCache>
                <c:formatCode>0.0</c:formatCode>
                <c:ptCount val="8"/>
                <c:pt idx="0">
                  <c:v>3.1874999999999991</c:v>
                </c:pt>
                <c:pt idx="1">
                  <c:v>2.9000000000000004</c:v>
                </c:pt>
                <c:pt idx="2">
                  <c:v>2.9636363636363643</c:v>
                </c:pt>
                <c:pt idx="3">
                  <c:v>2.9809523809523801</c:v>
                </c:pt>
                <c:pt idx="4">
                  <c:v>3.1051282051282048</c:v>
                </c:pt>
                <c:pt idx="5">
                  <c:v>2.8372093023255811</c:v>
                </c:pt>
                <c:pt idx="6">
                  <c:v>3.166666666666667</c:v>
                </c:pt>
                <c:pt idx="7">
                  <c:v>3.042424242424242</c:v>
                </c:pt>
              </c:numCache>
            </c:numRef>
          </c:val>
        </c:ser>
        <c:ser>
          <c:idx val="3"/>
          <c:order val="3"/>
          <c:tx>
            <c:strRef>
              <c:f>'Pivot Table 2'!$K$64:$K$65</c:f>
              <c:strCache>
                <c:ptCount val="1"/>
                <c:pt idx="0">
                  <c:v>Outerwear</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2'!$K$66:$K$74</c:f>
              <c:numCache>
                <c:formatCode>0.0</c:formatCode>
                <c:ptCount val="8"/>
                <c:pt idx="0">
                  <c:v>3.0305555555555541</c:v>
                </c:pt>
                <c:pt idx="1">
                  <c:v>3.0177777777777779</c:v>
                </c:pt>
                <c:pt idx="2">
                  <c:v>2.9718749999999989</c:v>
                </c:pt>
                <c:pt idx="3">
                  <c:v>2.9034482758620697</c:v>
                </c:pt>
                <c:pt idx="4">
                  <c:v>2.9228571428571422</c:v>
                </c:pt>
                <c:pt idx="5">
                  <c:v>2.4137931034482762</c:v>
                </c:pt>
                <c:pt idx="6">
                  <c:v>3.15</c:v>
                </c:pt>
                <c:pt idx="7">
                  <c:v>2.7030303030303036</c:v>
                </c:pt>
              </c:numCache>
            </c:numRef>
          </c:val>
        </c:ser>
        <c:ser>
          <c:idx val="4"/>
          <c:order val="4"/>
          <c:tx>
            <c:strRef>
              <c:f>'Pivot Table 2'!$L$64:$L$65</c:f>
              <c:strCache>
                <c:ptCount val="1"/>
                <c:pt idx="0">
                  <c:v>Shoes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2'!$L$66:$L$74</c:f>
              <c:numCache>
                <c:formatCode>0.0</c:formatCode>
                <c:ptCount val="8"/>
                <c:pt idx="0">
                  <c:v>3.0068965517241382</c:v>
                </c:pt>
                <c:pt idx="1">
                  <c:v>3.1936170212765949</c:v>
                </c:pt>
                <c:pt idx="2">
                  <c:v>3.2576923076923081</c:v>
                </c:pt>
                <c:pt idx="3">
                  <c:v>2.9083333333333328</c:v>
                </c:pt>
                <c:pt idx="4">
                  <c:v>3.302127659574468</c:v>
                </c:pt>
                <c:pt idx="5">
                  <c:v>2.980434782608695</c:v>
                </c:pt>
                <c:pt idx="6">
                  <c:v>2.8205128205128194</c:v>
                </c:pt>
                <c:pt idx="7">
                  <c:v>2.9153846153846157</c:v>
                </c:pt>
              </c:numCache>
            </c:numRef>
          </c:val>
        </c:ser>
        <c:ser>
          <c:idx val="5"/>
          <c:order val="5"/>
          <c:tx>
            <c:strRef>
              <c:f>'Pivot Table 2'!$M$64:$M$65</c:f>
              <c:strCache>
                <c:ptCount val="1"/>
                <c:pt idx="0">
                  <c:v>Tops</c:v>
                </c:pt>
              </c:strCache>
            </c:strRef>
          </c:tx>
          <c:invertIfNegative val="0"/>
          <c:cat>
            <c:strRef>
              <c:f>'Pivot Table 2'!$G$66:$G$74</c:f>
              <c:strCache>
                <c:ptCount val="8"/>
                <c:pt idx="0">
                  <c:v>Ann Taylor</c:v>
                </c:pt>
                <c:pt idx="1">
                  <c:v>Banana Republic</c:v>
                </c:pt>
                <c:pt idx="2">
                  <c:v>Forever21</c:v>
                </c:pt>
                <c:pt idx="3">
                  <c:v>Gap</c:v>
                </c:pt>
                <c:pt idx="4">
                  <c:v>H&amp;M</c:v>
                </c:pt>
                <c:pt idx="5">
                  <c:v>Mango</c:v>
                </c:pt>
                <c:pt idx="6">
                  <c:v>Uniqlo</c:v>
                </c:pt>
                <c:pt idx="7">
                  <c:v>Zara</c:v>
                </c:pt>
              </c:strCache>
            </c:strRef>
          </c:cat>
          <c:val>
            <c:numRef>
              <c:f>'Pivot Table 2'!$M$66:$M$74</c:f>
              <c:numCache>
                <c:formatCode>0.0</c:formatCode>
                <c:ptCount val="8"/>
                <c:pt idx="0">
                  <c:v>2.9846153846153842</c:v>
                </c:pt>
                <c:pt idx="1">
                  <c:v>2.9531250000000004</c:v>
                </c:pt>
                <c:pt idx="2">
                  <c:v>2.6870967741935483</c:v>
                </c:pt>
                <c:pt idx="3">
                  <c:v>2.9075000000000006</c:v>
                </c:pt>
                <c:pt idx="4">
                  <c:v>2.9657142857142849</c:v>
                </c:pt>
                <c:pt idx="5">
                  <c:v>2.9742857142857138</c:v>
                </c:pt>
                <c:pt idx="6">
                  <c:v>3.3400000000000007</c:v>
                </c:pt>
                <c:pt idx="7">
                  <c:v>2.918181818181818</c:v>
                </c:pt>
              </c:numCache>
            </c:numRef>
          </c:val>
        </c:ser>
        <c:dLbls>
          <c:showLegendKey val="0"/>
          <c:showVal val="0"/>
          <c:showCatName val="0"/>
          <c:showSerName val="0"/>
          <c:showPercent val="0"/>
          <c:showBubbleSize val="0"/>
        </c:dLbls>
        <c:gapWidth val="150"/>
        <c:axId val="299302272"/>
        <c:axId val="299324544"/>
      </c:barChart>
      <c:catAx>
        <c:axId val="299302272"/>
        <c:scaling>
          <c:orientation val="minMax"/>
        </c:scaling>
        <c:delete val="0"/>
        <c:axPos val="b"/>
        <c:majorTickMark val="out"/>
        <c:minorTickMark val="none"/>
        <c:tickLblPos val="nextTo"/>
        <c:crossAx val="299324544"/>
        <c:crosses val="autoZero"/>
        <c:auto val="1"/>
        <c:lblAlgn val="ctr"/>
        <c:lblOffset val="100"/>
        <c:noMultiLvlLbl val="0"/>
      </c:catAx>
      <c:valAx>
        <c:axId val="299324544"/>
        <c:scaling>
          <c:orientation val="minMax"/>
        </c:scaling>
        <c:delete val="0"/>
        <c:axPos val="l"/>
        <c:majorGridlines/>
        <c:numFmt formatCode="0.0" sourceLinked="1"/>
        <c:majorTickMark val="out"/>
        <c:minorTickMark val="none"/>
        <c:tickLblPos val="nextTo"/>
        <c:crossAx val="29930227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2!PivotTable4</c:name>
    <c:fmtId val="3"/>
  </c:pivotSource>
  <c:chart>
    <c:title>
      <c:tx>
        <c:rich>
          <a:bodyPr/>
          <a:lstStyle/>
          <a:p>
            <a:pPr>
              <a:defRPr sz="1200"/>
            </a:pPr>
            <a:r>
              <a:rPr lang="id-ID" sz="1200"/>
              <a:t>Frequency</a:t>
            </a:r>
            <a:r>
              <a:rPr lang="id-ID" sz="1200" baseline="0"/>
              <a:t> Return Brand and Category</a:t>
            </a:r>
          </a:p>
        </c:rich>
      </c:tx>
      <c:layout>
        <c:manualLayout>
          <c:xMode val="edge"/>
          <c:yMode val="edge"/>
          <c:x val="0.36497837794438093"/>
          <c:y val="4.0387433199770811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 Table 2'!$H$77:$H$78</c:f>
              <c:strCache>
                <c:ptCount val="1"/>
                <c:pt idx="0">
                  <c:v>Accessories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2'!$H$79:$H$95</c:f>
              <c:numCache>
                <c:formatCode>General</c:formatCode>
                <c:ptCount val="8"/>
                <c:pt idx="0">
                  <c:v>8</c:v>
                </c:pt>
                <c:pt idx="1">
                  <c:v>5</c:v>
                </c:pt>
                <c:pt idx="2">
                  <c:v>13</c:v>
                </c:pt>
                <c:pt idx="3">
                  <c:v>1</c:v>
                </c:pt>
                <c:pt idx="4">
                  <c:v>4</c:v>
                </c:pt>
                <c:pt idx="5">
                  <c:v>4</c:v>
                </c:pt>
                <c:pt idx="6">
                  <c:v>7</c:v>
                </c:pt>
                <c:pt idx="7">
                  <c:v>13</c:v>
                </c:pt>
              </c:numCache>
            </c:numRef>
          </c:val>
        </c:ser>
        <c:ser>
          <c:idx val="1"/>
          <c:order val="1"/>
          <c:tx>
            <c:strRef>
              <c:f>'Pivot Table 2'!$I$77:$I$78</c:f>
              <c:strCache>
                <c:ptCount val="1"/>
                <c:pt idx="0">
                  <c:v>Bottoms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2'!$I$79:$I$95</c:f>
              <c:numCache>
                <c:formatCode>General</c:formatCode>
                <c:ptCount val="8"/>
                <c:pt idx="0">
                  <c:v>7</c:v>
                </c:pt>
                <c:pt idx="1">
                  <c:v>10</c:v>
                </c:pt>
                <c:pt idx="2">
                  <c:v>8</c:v>
                </c:pt>
                <c:pt idx="3">
                  <c:v>8</c:v>
                </c:pt>
                <c:pt idx="4">
                  <c:v>10</c:v>
                </c:pt>
                <c:pt idx="5">
                  <c:v>9</c:v>
                </c:pt>
                <c:pt idx="6">
                  <c:v>4</c:v>
                </c:pt>
                <c:pt idx="7">
                  <c:v>6</c:v>
                </c:pt>
              </c:numCache>
            </c:numRef>
          </c:val>
        </c:ser>
        <c:ser>
          <c:idx val="2"/>
          <c:order val="2"/>
          <c:tx>
            <c:strRef>
              <c:f>'Pivot Table 2'!$J$77:$J$78</c:f>
              <c:strCache>
                <c:ptCount val="1"/>
                <c:pt idx="0">
                  <c:v>Dresses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2'!$J$79:$J$95</c:f>
              <c:numCache>
                <c:formatCode>General</c:formatCode>
                <c:ptCount val="8"/>
                <c:pt idx="0">
                  <c:v>7</c:v>
                </c:pt>
                <c:pt idx="1">
                  <c:v>10</c:v>
                </c:pt>
                <c:pt idx="2">
                  <c:v>7</c:v>
                </c:pt>
                <c:pt idx="3">
                  <c:v>2</c:v>
                </c:pt>
                <c:pt idx="4">
                  <c:v>4</c:v>
                </c:pt>
                <c:pt idx="5">
                  <c:v>6</c:v>
                </c:pt>
                <c:pt idx="6">
                  <c:v>5</c:v>
                </c:pt>
                <c:pt idx="7">
                  <c:v>6</c:v>
                </c:pt>
              </c:numCache>
            </c:numRef>
          </c:val>
        </c:ser>
        <c:ser>
          <c:idx val="3"/>
          <c:order val="3"/>
          <c:tx>
            <c:strRef>
              <c:f>'Pivot Table 2'!$K$77:$K$78</c:f>
              <c:strCache>
                <c:ptCount val="1"/>
                <c:pt idx="0">
                  <c:v>Outerwear</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2'!$K$79:$K$95</c:f>
              <c:numCache>
                <c:formatCode>General</c:formatCode>
                <c:ptCount val="8"/>
                <c:pt idx="0">
                  <c:v>11</c:v>
                </c:pt>
                <c:pt idx="1">
                  <c:v>10</c:v>
                </c:pt>
                <c:pt idx="2">
                  <c:v>2</c:v>
                </c:pt>
                <c:pt idx="3">
                  <c:v>8</c:v>
                </c:pt>
                <c:pt idx="4">
                  <c:v>9</c:v>
                </c:pt>
                <c:pt idx="5">
                  <c:v>2</c:v>
                </c:pt>
                <c:pt idx="6">
                  <c:v>5</c:v>
                </c:pt>
                <c:pt idx="7">
                  <c:v>7</c:v>
                </c:pt>
              </c:numCache>
            </c:numRef>
          </c:val>
        </c:ser>
        <c:ser>
          <c:idx val="4"/>
          <c:order val="4"/>
          <c:tx>
            <c:strRef>
              <c:f>'Pivot Table 2'!$L$77:$L$78</c:f>
              <c:strCache>
                <c:ptCount val="1"/>
                <c:pt idx="0">
                  <c:v>Shoes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2'!$L$79:$L$95</c:f>
              <c:numCache>
                <c:formatCode>General</c:formatCode>
                <c:ptCount val="8"/>
                <c:pt idx="0">
                  <c:v>10</c:v>
                </c:pt>
                <c:pt idx="1">
                  <c:v>9</c:v>
                </c:pt>
                <c:pt idx="2">
                  <c:v>3</c:v>
                </c:pt>
                <c:pt idx="3">
                  <c:v>7</c:v>
                </c:pt>
                <c:pt idx="4">
                  <c:v>5</c:v>
                </c:pt>
                <c:pt idx="5">
                  <c:v>6</c:v>
                </c:pt>
                <c:pt idx="6">
                  <c:v>9</c:v>
                </c:pt>
                <c:pt idx="7">
                  <c:v>7</c:v>
                </c:pt>
              </c:numCache>
            </c:numRef>
          </c:val>
        </c:ser>
        <c:ser>
          <c:idx val="5"/>
          <c:order val="5"/>
          <c:tx>
            <c:strRef>
              <c:f>'Pivot Table 2'!$M$77:$M$78</c:f>
              <c:strCache>
                <c:ptCount val="1"/>
                <c:pt idx="0">
                  <c:v>Tops</c:v>
                </c:pt>
              </c:strCache>
            </c:strRef>
          </c:tx>
          <c:invertIfNegative val="0"/>
          <c:cat>
            <c:multiLvlStrRef>
              <c:f>'Pivot Table 2'!$G$79:$G$95</c:f>
              <c:multiLvlStrCache>
                <c:ptCount val="8"/>
                <c:lvl>
                  <c:pt idx="0">
                    <c:v>TRUE</c:v>
                  </c:pt>
                  <c:pt idx="1">
                    <c:v>TRUE</c:v>
                  </c:pt>
                  <c:pt idx="2">
                    <c:v>TRUE</c:v>
                  </c:pt>
                  <c:pt idx="3">
                    <c:v>TRUE</c:v>
                  </c:pt>
                  <c:pt idx="4">
                    <c:v>TRUE</c:v>
                  </c:pt>
                  <c:pt idx="5">
                    <c:v>TRUE</c:v>
                  </c:pt>
                  <c:pt idx="6">
                    <c:v>TRUE</c:v>
                  </c:pt>
                  <c:pt idx="7">
                    <c:v>TRUE</c:v>
                  </c:pt>
                </c:lvl>
                <c:lvl>
                  <c:pt idx="0">
                    <c:v>Ann Taylor</c:v>
                  </c:pt>
                  <c:pt idx="1">
                    <c:v>Banana Republic</c:v>
                  </c:pt>
                  <c:pt idx="2">
                    <c:v>Forever21</c:v>
                  </c:pt>
                  <c:pt idx="3">
                    <c:v>Gap</c:v>
                  </c:pt>
                  <c:pt idx="4">
                    <c:v>H&amp;M</c:v>
                  </c:pt>
                  <c:pt idx="5">
                    <c:v>Mango</c:v>
                  </c:pt>
                  <c:pt idx="6">
                    <c:v>Uniqlo</c:v>
                  </c:pt>
                  <c:pt idx="7">
                    <c:v>Zara</c:v>
                  </c:pt>
                </c:lvl>
              </c:multiLvlStrCache>
            </c:multiLvlStrRef>
          </c:cat>
          <c:val>
            <c:numRef>
              <c:f>'Pivot Table 2'!$M$79:$M$95</c:f>
              <c:numCache>
                <c:formatCode>General</c:formatCode>
                <c:ptCount val="8"/>
                <c:pt idx="0">
                  <c:v>8</c:v>
                </c:pt>
                <c:pt idx="1">
                  <c:v>3</c:v>
                </c:pt>
                <c:pt idx="2">
                  <c:v>1</c:v>
                </c:pt>
                <c:pt idx="3">
                  <c:v>10</c:v>
                </c:pt>
                <c:pt idx="4">
                  <c:v>7</c:v>
                </c:pt>
                <c:pt idx="5">
                  <c:v>5</c:v>
                </c:pt>
                <c:pt idx="6">
                  <c:v>3</c:v>
                </c:pt>
                <c:pt idx="7">
                  <c:v>9</c:v>
                </c:pt>
              </c:numCache>
            </c:numRef>
          </c:val>
        </c:ser>
        <c:dLbls>
          <c:showLegendKey val="0"/>
          <c:showVal val="0"/>
          <c:showCatName val="0"/>
          <c:showSerName val="0"/>
          <c:showPercent val="0"/>
          <c:showBubbleSize val="0"/>
        </c:dLbls>
        <c:gapWidth val="150"/>
        <c:axId val="299357312"/>
        <c:axId val="299358848"/>
      </c:barChart>
      <c:catAx>
        <c:axId val="299357312"/>
        <c:scaling>
          <c:orientation val="minMax"/>
        </c:scaling>
        <c:delete val="0"/>
        <c:axPos val="b"/>
        <c:majorTickMark val="out"/>
        <c:minorTickMark val="none"/>
        <c:tickLblPos val="nextTo"/>
        <c:crossAx val="299358848"/>
        <c:crosses val="autoZero"/>
        <c:auto val="1"/>
        <c:lblAlgn val="ctr"/>
        <c:lblOffset val="100"/>
        <c:noMultiLvlLbl val="0"/>
      </c:catAx>
      <c:valAx>
        <c:axId val="299358848"/>
        <c:scaling>
          <c:orientation val="minMax"/>
        </c:scaling>
        <c:delete val="0"/>
        <c:axPos val="l"/>
        <c:majorGridlines/>
        <c:numFmt formatCode="General" sourceLinked="1"/>
        <c:majorTickMark val="out"/>
        <c:minorTickMark val="none"/>
        <c:tickLblPos val="nextTo"/>
        <c:crossAx val="299357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2!PivotTable1</c:name>
    <c:fmtId val="8"/>
  </c:pivotSource>
  <c:chart>
    <c:title>
      <c:tx>
        <c:rich>
          <a:bodyPr/>
          <a:lstStyle/>
          <a:p>
            <a:pPr>
              <a:defRPr sz="1200"/>
            </a:pPr>
            <a:r>
              <a:rPr lang="id-ID" sz="1200"/>
              <a:t>Frequency</a:t>
            </a:r>
            <a:r>
              <a:rPr lang="id-ID" sz="1200" baseline="0"/>
              <a:t> of Return Reason Brand and Category</a:t>
            </a:r>
            <a:endParaRPr lang="en-US" sz="1200"/>
          </a:p>
        </c:rich>
      </c:tx>
      <c:layout>
        <c:manualLayout>
          <c:xMode val="edge"/>
          <c:yMode val="edge"/>
          <c:x val="0.28725279473381138"/>
          <c:y val="3.4869051855752828E-2"/>
        </c:manualLayout>
      </c:layout>
      <c:overlay val="1"/>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pivotFmt>
      <c:pivotFmt>
        <c:idx val="56"/>
      </c:pivotFmt>
      <c:pivotFmt>
        <c:idx val="57"/>
      </c:pivotFmt>
      <c:pivotFmt>
        <c:idx val="58"/>
      </c:pivotFmt>
      <c:pivotFmt>
        <c:idx val="59"/>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s>
    <c:plotArea>
      <c:layout/>
      <c:barChart>
        <c:barDir val="col"/>
        <c:grouping val="clustered"/>
        <c:varyColors val="0"/>
        <c:ser>
          <c:idx val="0"/>
          <c:order val="0"/>
          <c:tx>
            <c:strRef>
              <c:f>'Pivot Table 2'!$U$105:$U$107</c:f>
              <c:strCache>
                <c:ptCount val="1"/>
                <c:pt idx="0">
                  <c:v>Outerwear - Changed Mind</c:v>
                </c:pt>
              </c:strCache>
            </c:strRef>
          </c:tx>
          <c:invertIfNegative val="0"/>
          <c:cat>
            <c:multiLvlStrRef>
              <c:f>'Pivot Table 2'!$T$108:$T$110</c:f>
              <c:multiLvlStrCache>
                <c:ptCount val="1"/>
                <c:lvl>
                  <c:pt idx="0">
                    <c:v>TRUE</c:v>
                  </c:pt>
                </c:lvl>
                <c:lvl>
                  <c:pt idx="0">
                    <c:v>Ann Taylor</c:v>
                  </c:pt>
                </c:lvl>
              </c:multiLvlStrCache>
            </c:multiLvlStrRef>
          </c:cat>
          <c:val>
            <c:numRef>
              <c:f>'Pivot Table 2'!$U$108:$U$110</c:f>
              <c:numCache>
                <c:formatCode>General</c:formatCode>
                <c:ptCount val="1"/>
                <c:pt idx="0">
                  <c:v>2</c:v>
                </c:pt>
              </c:numCache>
            </c:numRef>
          </c:val>
        </c:ser>
        <c:ser>
          <c:idx val="1"/>
          <c:order val="1"/>
          <c:tx>
            <c:strRef>
              <c:f>'Pivot Table 2'!$V$105:$V$107</c:f>
              <c:strCache>
                <c:ptCount val="1"/>
                <c:pt idx="0">
                  <c:v>Outerwear - Color Mismatch</c:v>
                </c:pt>
              </c:strCache>
            </c:strRef>
          </c:tx>
          <c:invertIfNegative val="0"/>
          <c:cat>
            <c:multiLvlStrRef>
              <c:f>'Pivot Table 2'!$T$108:$T$110</c:f>
              <c:multiLvlStrCache>
                <c:ptCount val="1"/>
                <c:lvl>
                  <c:pt idx="0">
                    <c:v>TRUE</c:v>
                  </c:pt>
                </c:lvl>
                <c:lvl>
                  <c:pt idx="0">
                    <c:v>Ann Taylor</c:v>
                  </c:pt>
                </c:lvl>
              </c:multiLvlStrCache>
            </c:multiLvlStrRef>
          </c:cat>
          <c:val>
            <c:numRef>
              <c:f>'Pivot Table 2'!$V$108:$V$110</c:f>
              <c:numCache>
                <c:formatCode>General</c:formatCode>
                <c:ptCount val="1"/>
                <c:pt idx="0">
                  <c:v>1</c:v>
                </c:pt>
              </c:numCache>
            </c:numRef>
          </c:val>
        </c:ser>
        <c:ser>
          <c:idx val="2"/>
          <c:order val="2"/>
          <c:tx>
            <c:strRef>
              <c:f>'Pivot Table 2'!$W$105:$W$107</c:f>
              <c:strCache>
                <c:ptCount val="1"/>
                <c:pt idx="0">
                  <c:v>Outerwear - Damaged</c:v>
                </c:pt>
              </c:strCache>
            </c:strRef>
          </c:tx>
          <c:invertIfNegative val="0"/>
          <c:cat>
            <c:multiLvlStrRef>
              <c:f>'Pivot Table 2'!$T$108:$T$110</c:f>
              <c:multiLvlStrCache>
                <c:ptCount val="1"/>
                <c:lvl>
                  <c:pt idx="0">
                    <c:v>TRUE</c:v>
                  </c:pt>
                </c:lvl>
                <c:lvl>
                  <c:pt idx="0">
                    <c:v>Ann Taylor</c:v>
                  </c:pt>
                </c:lvl>
              </c:multiLvlStrCache>
            </c:multiLvlStrRef>
          </c:cat>
          <c:val>
            <c:numRef>
              <c:f>'Pivot Table 2'!$W$108:$W$110</c:f>
              <c:numCache>
                <c:formatCode>General</c:formatCode>
                <c:ptCount val="1"/>
                <c:pt idx="0">
                  <c:v>2</c:v>
                </c:pt>
              </c:numCache>
            </c:numRef>
          </c:val>
        </c:ser>
        <c:ser>
          <c:idx val="3"/>
          <c:order val="3"/>
          <c:tx>
            <c:strRef>
              <c:f>'Pivot Table 2'!$X$105:$X$107</c:f>
              <c:strCache>
                <c:ptCount val="1"/>
                <c:pt idx="0">
                  <c:v>Outerwear - Quality Issue</c:v>
                </c:pt>
              </c:strCache>
            </c:strRef>
          </c:tx>
          <c:invertIfNegative val="0"/>
          <c:cat>
            <c:multiLvlStrRef>
              <c:f>'Pivot Table 2'!$T$108:$T$110</c:f>
              <c:multiLvlStrCache>
                <c:ptCount val="1"/>
                <c:lvl>
                  <c:pt idx="0">
                    <c:v>TRUE</c:v>
                  </c:pt>
                </c:lvl>
                <c:lvl>
                  <c:pt idx="0">
                    <c:v>Ann Taylor</c:v>
                  </c:pt>
                </c:lvl>
              </c:multiLvlStrCache>
            </c:multiLvlStrRef>
          </c:cat>
          <c:val>
            <c:numRef>
              <c:f>'Pivot Table 2'!$X$108:$X$110</c:f>
              <c:numCache>
                <c:formatCode>General</c:formatCode>
                <c:ptCount val="1"/>
                <c:pt idx="0">
                  <c:v>1</c:v>
                </c:pt>
              </c:numCache>
            </c:numRef>
          </c:val>
        </c:ser>
        <c:ser>
          <c:idx val="4"/>
          <c:order val="4"/>
          <c:tx>
            <c:strRef>
              <c:f>'Pivot Table 2'!$Y$105:$Y$107</c:f>
              <c:strCache>
                <c:ptCount val="1"/>
                <c:pt idx="0">
                  <c:v>Outerwear - Size Issue</c:v>
                </c:pt>
              </c:strCache>
            </c:strRef>
          </c:tx>
          <c:invertIfNegative val="0"/>
          <c:cat>
            <c:multiLvlStrRef>
              <c:f>'Pivot Table 2'!$T$108:$T$110</c:f>
              <c:multiLvlStrCache>
                <c:ptCount val="1"/>
                <c:lvl>
                  <c:pt idx="0">
                    <c:v>TRUE</c:v>
                  </c:pt>
                </c:lvl>
                <c:lvl>
                  <c:pt idx="0">
                    <c:v>Ann Taylor</c:v>
                  </c:pt>
                </c:lvl>
              </c:multiLvlStrCache>
            </c:multiLvlStrRef>
          </c:cat>
          <c:val>
            <c:numRef>
              <c:f>'Pivot Table 2'!$Y$108:$Y$110</c:f>
              <c:numCache>
                <c:formatCode>General</c:formatCode>
                <c:ptCount val="1"/>
                <c:pt idx="0">
                  <c:v>3</c:v>
                </c:pt>
              </c:numCache>
            </c:numRef>
          </c:val>
        </c:ser>
        <c:ser>
          <c:idx val="5"/>
          <c:order val="5"/>
          <c:tx>
            <c:strRef>
              <c:f>'Pivot Table 2'!$Z$105:$Z$107</c:f>
              <c:strCache>
                <c:ptCount val="1"/>
                <c:pt idx="0">
                  <c:v>Outerwear - Wrong Item</c:v>
                </c:pt>
              </c:strCache>
            </c:strRef>
          </c:tx>
          <c:invertIfNegative val="0"/>
          <c:cat>
            <c:multiLvlStrRef>
              <c:f>'Pivot Table 2'!$T$108:$T$110</c:f>
              <c:multiLvlStrCache>
                <c:ptCount val="1"/>
                <c:lvl>
                  <c:pt idx="0">
                    <c:v>TRUE</c:v>
                  </c:pt>
                </c:lvl>
                <c:lvl>
                  <c:pt idx="0">
                    <c:v>Ann Taylor</c:v>
                  </c:pt>
                </c:lvl>
              </c:multiLvlStrCache>
            </c:multiLvlStrRef>
          </c:cat>
          <c:val>
            <c:numRef>
              <c:f>'Pivot Table 2'!$Z$108:$Z$110</c:f>
              <c:numCache>
                <c:formatCode>General</c:formatCode>
                <c:ptCount val="1"/>
                <c:pt idx="0">
                  <c:v>2</c:v>
                </c:pt>
              </c:numCache>
            </c:numRef>
          </c:val>
        </c:ser>
        <c:dLbls>
          <c:showLegendKey val="0"/>
          <c:showVal val="0"/>
          <c:showCatName val="0"/>
          <c:showSerName val="0"/>
          <c:showPercent val="0"/>
          <c:showBubbleSize val="0"/>
        </c:dLbls>
        <c:gapWidth val="150"/>
        <c:axId val="299432576"/>
        <c:axId val="300482944"/>
      </c:barChart>
      <c:catAx>
        <c:axId val="299432576"/>
        <c:scaling>
          <c:orientation val="minMax"/>
        </c:scaling>
        <c:delete val="0"/>
        <c:axPos val="b"/>
        <c:majorTickMark val="out"/>
        <c:minorTickMark val="none"/>
        <c:tickLblPos val="nextTo"/>
        <c:crossAx val="300482944"/>
        <c:crosses val="autoZero"/>
        <c:auto val="1"/>
        <c:lblAlgn val="ctr"/>
        <c:lblOffset val="100"/>
        <c:noMultiLvlLbl val="0"/>
      </c:catAx>
      <c:valAx>
        <c:axId val="300482944"/>
        <c:scaling>
          <c:orientation val="minMax"/>
        </c:scaling>
        <c:delete val="0"/>
        <c:axPos val="l"/>
        <c:majorGridlines/>
        <c:numFmt formatCode="General" sourceLinked="1"/>
        <c:majorTickMark val="out"/>
        <c:minorTickMark val="none"/>
        <c:tickLblPos val="nextTo"/>
        <c:crossAx val="2994325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2!PivotTable8</c:name>
    <c:fmtId val="2"/>
  </c:pivotSource>
  <c:chart>
    <c:title>
      <c:tx>
        <c:rich>
          <a:bodyPr/>
          <a:lstStyle/>
          <a:p>
            <a:pPr>
              <a:defRPr sz="1200"/>
            </a:pPr>
            <a:r>
              <a:rPr lang="id-ID" sz="1200"/>
              <a:t>Total</a:t>
            </a:r>
            <a:r>
              <a:rPr lang="id-ID" sz="1200" baseline="0"/>
              <a:t> Sales Product Discount and Non Discount per Brand</a:t>
            </a:r>
            <a:endParaRPr lang="en-US" sz="1200"/>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spPr/>
          <c:txPr>
            <a:bodyPr/>
            <a:lstStyle/>
            <a:p>
              <a:pPr>
                <a:defRPr/>
              </a:pPr>
              <a:endParaRPr lang="en-US"/>
            </a:p>
          </c:txPr>
          <c:showLegendKey val="0"/>
          <c:showVal val="1"/>
          <c:showCatName val="0"/>
          <c:showSerName val="0"/>
          <c:showPercent val="0"/>
          <c:showBubbleSize val="0"/>
        </c:dLbl>
      </c:pivotFmt>
      <c:pivotFmt>
        <c:idx val="5"/>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Table 2'!$H$120:$H$121</c:f>
              <c:strCache>
                <c:ptCount val="1"/>
                <c:pt idx="0">
                  <c:v>Diskon</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 Table 2'!$G$122:$G$130</c:f>
              <c:strCache>
                <c:ptCount val="8"/>
                <c:pt idx="0">
                  <c:v>Ann Taylor</c:v>
                </c:pt>
                <c:pt idx="1">
                  <c:v>Banana Republic</c:v>
                </c:pt>
                <c:pt idx="2">
                  <c:v>Forever21</c:v>
                </c:pt>
                <c:pt idx="3">
                  <c:v>Gap</c:v>
                </c:pt>
                <c:pt idx="4">
                  <c:v>H&amp;M</c:v>
                </c:pt>
                <c:pt idx="5">
                  <c:v>Mango</c:v>
                </c:pt>
                <c:pt idx="6">
                  <c:v>Uniqlo</c:v>
                </c:pt>
                <c:pt idx="7">
                  <c:v>Zara</c:v>
                </c:pt>
              </c:strCache>
            </c:strRef>
          </c:cat>
          <c:val>
            <c:numRef>
              <c:f>'Pivot Table 2'!$H$122:$H$130</c:f>
              <c:numCache>
                <c:formatCode>General</c:formatCode>
                <c:ptCount val="8"/>
                <c:pt idx="0">
                  <c:v>94</c:v>
                </c:pt>
                <c:pt idx="1">
                  <c:v>112</c:v>
                </c:pt>
                <c:pt idx="2">
                  <c:v>102</c:v>
                </c:pt>
                <c:pt idx="3">
                  <c:v>108</c:v>
                </c:pt>
                <c:pt idx="4">
                  <c:v>114</c:v>
                </c:pt>
                <c:pt idx="5">
                  <c:v>124</c:v>
                </c:pt>
                <c:pt idx="6">
                  <c:v>93</c:v>
                </c:pt>
                <c:pt idx="7">
                  <c:v>131</c:v>
                </c:pt>
              </c:numCache>
            </c:numRef>
          </c:val>
        </c:ser>
        <c:ser>
          <c:idx val="1"/>
          <c:order val="1"/>
          <c:tx>
            <c:strRef>
              <c:f>'Pivot Table 2'!$I$120:$I$121</c:f>
              <c:strCache>
                <c:ptCount val="1"/>
                <c:pt idx="0">
                  <c:v>Non diskon</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 Table 2'!$G$122:$G$130</c:f>
              <c:strCache>
                <c:ptCount val="8"/>
                <c:pt idx="0">
                  <c:v>Ann Taylor</c:v>
                </c:pt>
                <c:pt idx="1">
                  <c:v>Banana Republic</c:v>
                </c:pt>
                <c:pt idx="2">
                  <c:v>Forever21</c:v>
                </c:pt>
                <c:pt idx="3">
                  <c:v>Gap</c:v>
                </c:pt>
                <c:pt idx="4">
                  <c:v>H&amp;M</c:v>
                </c:pt>
                <c:pt idx="5">
                  <c:v>Mango</c:v>
                </c:pt>
                <c:pt idx="6">
                  <c:v>Uniqlo</c:v>
                </c:pt>
                <c:pt idx="7">
                  <c:v>Zara</c:v>
                </c:pt>
              </c:strCache>
            </c:strRef>
          </c:cat>
          <c:val>
            <c:numRef>
              <c:f>'Pivot Table 2'!$I$122:$I$130</c:f>
              <c:numCache>
                <c:formatCode>General</c:formatCode>
                <c:ptCount val="8"/>
                <c:pt idx="0">
                  <c:v>163</c:v>
                </c:pt>
                <c:pt idx="1">
                  <c:v>173</c:v>
                </c:pt>
                <c:pt idx="2">
                  <c:v>148</c:v>
                </c:pt>
                <c:pt idx="3">
                  <c:v>136</c:v>
                </c:pt>
                <c:pt idx="4">
                  <c:v>169</c:v>
                </c:pt>
                <c:pt idx="5">
                  <c:v>160</c:v>
                </c:pt>
                <c:pt idx="6">
                  <c:v>167</c:v>
                </c:pt>
                <c:pt idx="7">
                  <c:v>182</c:v>
                </c:pt>
              </c:numCache>
            </c:numRef>
          </c:val>
        </c:ser>
        <c:dLbls>
          <c:showLegendKey val="0"/>
          <c:showVal val="1"/>
          <c:showCatName val="0"/>
          <c:showSerName val="0"/>
          <c:showPercent val="0"/>
          <c:showBubbleSize val="0"/>
        </c:dLbls>
        <c:gapWidth val="150"/>
        <c:overlap val="-25"/>
        <c:axId val="300530304"/>
        <c:axId val="300544384"/>
      </c:barChart>
      <c:catAx>
        <c:axId val="300530304"/>
        <c:scaling>
          <c:orientation val="minMax"/>
        </c:scaling>
        <c:delete val="0"/>
        <c:axPos val="b"/>
        <c:majorTickMark val="none"/>
        <c:minorTickMark val="none"/>
        <c:tickLblPos val="nextTo"/>
        <c:crossAx val="300544384"/>
        <c:crosses val="autoZero"/>
        <c:auto val="1"/>
        <c:lblAlgn val="ctr"/>
        <c:lblOffset val="100"/>
        <c:noMultiLvlLbl val="0"/>
      </c:catAx>
      <c:valAx>
        <c:axId val="300544384"/>
        <c:scaling>
          <c:orientation val="minMax"/>
        </c:scaling>
        <c:delete val="1"/>
        <c:axPos val="l"/>
        <c:numFmt formatCode="General" sourceLinked="1"/>
        <c:majorTickMark val="out"/>
        <c:minorTickMark val="none"/>
        <c:tickLblPos val="nextTo"/>
        <c:crossAx val="30053030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Fashion Boutique Analisis.xlsx]Pivot Table 2!PivotTable9</c:name>
    <c:fmtId val="4"/>
  </c:pivotSource>
  <c:chart>
    <c:title>
      <c:tx>
        <c:rich>
          <a:bodyPr/>
          <a:lstStyle/>
          <a:p>
            <a:pPr>
              <a:defRPr sz="1200"/>
            </a:pPr>
            <a:r>
              <a:rPr lang="id-ID" sz="1200"/>
              <a:t>Total</a:t>
            </a:r>
            <a:r>
              <a:rPr lang="id-ID" sz="1200" baseline="0"/>
              <a:t> Sales Per Category by Season</a:t>
            </a:r>
            <a:endParaRPr lang="en-US" sz="1200"/>
          </a:p>
        </c:rich>
      </c:tx>
      <c:layout>
        <c:manualLayout>
          <c:xMode val="edge"/>
          <c:yMode val="edge"/>
          <c:x val="0.3682184930628763"/>
          <c:y val="5.119126133943213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bar"/>
        <c:grouping val="clustered"/>
        <c:varyColors val="0"/>
        <c:ser>
          <c:idx val="0"/>
          <c:order val="0"/>
          <c:tx>
            <c:strRef>
              <c:f>'Pivot Table 2'!$H$133:$H$134</c:f>
              <c:strCache>
                <c:ptCount val="1"/>
                <c:pt idx="0">
                  <c:v>Accessories</c:v>
                </c:pt>
              </c:strCache>
            </c:strRef>
          </c:tx>
          <c:invertIfNegative val="0"/>
          <c:cat>
            <c:strRef>
              <c:f>'Pivot Table 2'!$G$135:$G$139</c:f>
              <c:strCache>
                <c:ptCount val="4"/>
                <c:pt idx="0">
                  <c:v>Fall</c:v>
                </c:pt>
                <c:pt idx="1">
                  <c:v>Spring</c:v>
                </c:pt>
                <c:pt idx="2">
                  <c:v>Summer</c:v>
                </c:pt>
                <c:pt idx="3">
                  <c:v>Winter</c:v>
                </c:pt>
              </c:strCache>
            </c:strRef>
          </c:cat>
          <c:val>
            <c:numRef>
              <c:f>'Pivot Table 2'!$H$135:$H$139</c:f>
              <c:numCache>
                <c:formatCode>General</c:formatCode>
                <c:ptCount val="4"/>
                <c:pt idx="0">
                  <c:v>101</c:v>
                </c:pt>
                <c:pt idx="1">
                  <c:v>92</c:v>
                </c:pt>
                <c:pt idx="2">
                  <c:v>101</c:v>
                </c:pt>
                <c:pt idx="3">
                  <c:v>108</c:v>
                </c:pt>
              </c:numCache>
            </c:numRef>
          </c:val>
        </c:ser>
        <c:ser>
          <c:idx val="1"/>
          <c:order val="1"/>
          <c:tx>
            <c:strRef>
              <c:f>'Pivot Table 2'!$I$133:$I$134</c:f>
              <c:strCache>
                <c:ptCount val="1"/>
                <c:pt idx="0">
                  <c:v>Bottoms</c:v>
                </c:pt>
              </c:strCache>
            </c:strRef>
          </c:tx>
          <c:invertIfNegative val="0"/>
          <c:cat>
            <c:strRef>
              <c:f>'Pivot Table 2'!$G$135:$G$139</c:f>
              <c:strCache>
                <c:ptCount val="4"/>
                <c:pt idx="0">
                  <c:v>Fall</c:v>
                </c:pt>
                <c:pt idx="1">
                  <c:v>Spring</c:v>
                </c:pt>
                <c:pt idx="2">
                  <c:v>Summer</c:v>
                </c:pt>
                <c:pt idx="3">
                  <c:v>Winter</c:v>
                </c:pt>
              </c:strCache>
            </c:strRef>
          </c:cat>
          <c:val>
            <c:numRef>
              <c:f>'Pivot Table 2'!$I$135:$I$139</c:f>
              <c:numCache>
                <c:formatCode>General</c:formatCode>
                <c:ptCount val="4"/>
                <c:pt idx="0">
                  <c:v>104</c:v>
                </c:pt>
                <c:pt idx="1">
                  <c:v>93</c:v>
                </c:pt>
                <c:pt idx="2">
                  <c:v>108</c:v>
                </c:pt>
                <c:pt idx="3">
                  <c:v>87</c:v>
                </c:pt>
              </c:numCache>
            </c:numRef>
          </c:val>
        </c:ser>
        <c:ser>
          <c:idx val="2"/>
          <c:order val="2"/>
          <c:tx>
            <c:strRef>
              <c:f>'Pivot Table 2'!$J$133:$J$134</c:f>
              <c:strCache>
                <c:ptCount val="1"/>
                <c:pt idx="0">
                  <c:v>Dresses</c:v>
                </c:pt>
              </c:strCache>
            </c:strRef>
          </c:tx>
          <c:invertIfNegative val="0"/>
          <c:cat>
            <c:strRef>
              <c:f>'Pivot Table 2'!$G$135:$G$139</c:f>
              <c:strCache>
                <c:ptCount val="4"/>
                <c:pt idx="0">
                  <c:v>Fall</c:v>
                </c:pt>
                <c:pt idx="1">
                  <c:v>Spring</c:v>
                </c:pt>
                <c:pt idx="2">
                  <c:v>Summer</c:v>
                </c:pt>
                <c:pt idx="3">
                  <c:v>Winter</c:v>
                </c:pt>
              </c:strCache>
            </c:strRef>
          </c:cat>
          <c:val>
            <c:numRef>
              <c:f>'Pivot Table 2'!$J$135:$J$139</c:f>
              <c:numCache>
                <c:formatCode>General</c:formatCode>
                <c:ptCount val="4"/>
                <c:pt idx="0">
                  <c:v>79</c:v>
                </c:pt>
                <c:pt idx="1">
                  <c:v>76</c:v>
                </c:pt>
                <c:pt idx="2">
                  <c:v>79</c:v>
                </c:pt>
                <c:pt idx="3">
                  <c:v>83</c:v>
                </c:pt>
              </c:numCache>
            </c:numRef>
          </c:val>
        </c:ser>
        <c:ser>
          <c:idx val="3"/>
          <c:order val="3"/>
          <c:tx>
            <c:strRef>
              <c:f>'Pivot Table 2'!$K$133:$K$134</c:f>
              <c:strCache>
                <c:ptCount val="1"/>
                <c:pt idx="0">
                  <c:v>Outerwear</c:v>
                </c:pt>
              </c:strCache>
            </c:strRef>
          </c:tx>
          <c:invertIfNegative val="0"/>
          <c:cat>
            <c:strRef>
              <c:f>'Pivot Table 2'!$G$135:$G$139</c:f>
              <c:strCache>
                <c:ptCount val="4"/>
                <c:pt idx="0">
                  <c:v>Fall</c:v>
                </c:pt>
                <c:pt idx="1">
                  <c:v>Spring</c:v>
                </c:pt>
                <c:pt idx="2">
                  <c:v>Summer</c:v>
                </c:pt>
                <c:pt idx="3">
                  <c:v>Winter</c:v>
                </c:pt>
              </c:strCache>
            </c:strRef>
          </c:cat>
          <c:val>
            <c:numRef>
              <c:f>'Pivot Table 2'!$K$135:$K$139</c:f>
              <c:numCache>
                <c:formatCode>General</c:formatCode>
                <c:ptCount val="4"/>
                <c:pt idx="0">
                  <c:v>86</c:v>
                </c:pt>
                <c:pt idx="1">
                  <c:v>90</c:v>
                </c:pt>
                <c:pt idx="2">
                  <c:v>83</c:v>
                </c:pt>
                <c:pt idx="3">
                  <c:v>75</c:v>
                </c:pt>
              </c:numCache>
            </c:numRef>
          </c:val>
        </c:ser>
        <c:ser>
          <c:idx val="4"/>
          <c:order val="4"/>
          <c:tx>
            <c:strRef>
              <c:f>'Pivot Table 2'!$L$133:$L$134</c:f>
              <c:strCache>
                <c:ptCount val="1"/>
                <c:pt idx="0">
                  <c:v>Shoes</c:v>
                </c:pt>
              </c:strCache>
            </c:strRef>
          </c:tx>
          <c:invertIfNegative val="0"/>
          <c:cat>
            <c:strRef>
              <c:f>'Pivot Table 2'!$G$135:$G$139</c:f>
              <c:strCache>
                <c:ptCount val="4"/>
                <c:pt idx="0">
                  <c:v>Fall</c:v>
                </c:pt>
                <c:pt idx="1">
                  <c:v>Spring</c:v>
                </c:pt>
                <c:pt idx="2">
                  <c:v>Summer</c:v>
                </c:pt>
                <c:pt idx="3">
                  <c:v>Winter</c:v>
                </c:pt>
              </c:strCache>
            </c:strRef>
          </c:cat>
          <c:val>
            <c:numRef>
              <c:f>'Pivot Table 2'!$L$135:$L$139</c:f>
              <c:numCache>
                <c:formatCode>General</c:formatCode>
                <c:ptCount val="4"/>
                <c:pt idx="0">
                  <c:v>85</c:v>
                </c:pt>
                <c:pt idx="1">
                  <c:v>88</c:v>
                </c:pt>
                <c:pt idx="2">
                  <c:v>108</c:v>
                </c:pt>
                <c:pt idx="3">
                  <c:v>91</c:v>
                </c:pt>
              </c:numCache>
            </c:numRef>
          </c:val>
        </c:ser>
        <c:ser>
          <c:idx val="5"/>
          <c:order val="5"/>
          <c:tx>
            <c:strRef>
              <c:f>'Pivot Table 2'!$M$133:$M$134</c:f>
              <c:strCache>
                <c:ptCount val="1"/>
                <c:pt idx="0">
                  <c:v>Tops</c:v>
                </c:pt>
              </c:strCache>
            </c:strRef>
          </c:tx>
          <c:invertIfNegative val="0"/>
          <c:cat>
            <c:strRef>
              <c:f>'Pivot Table 2'!$G$135:$G$139</c:f>
              <c:strCache>
                <c:ptCount val="4"/>
                <c:pt idx="0">
                  <c:v>Fall</c:v>
                </c:pt>
                <c:pt idx="1">
                  <c:v>Spring</c:v>
                </c:pt>
                <c:pt idx="2">
                  <c:v>Summer</c:v>
                </c:pt>
                <c:pt idx="3">
                  <c:v>Winter</c:v>
                </c:pt>
              </c:strCache>
            </c:strRef>
          </c:cat>
          <c:val>
            <c:numRef>
              <c:f>'Pivot Table 2'!$M$135:$M$139</c:f>
              <c:numCache>
                <c:formatCode>General</c:formatCode>
                <c:ptCount val="4"/>
                <c:pt idx="0">
                  <c:v>89</c:v>
                </c:pt>
                <c:pt idx="1">
                  <c:v>96</c:v>
                </c:pt>
                <c:pt idx="2">
                  <c:v>96</c:v>
                </c:pt>
                <c:pt idx="3">
                  <c:v>78</c:v>
                </c:pt>
              </c:numCache>
            </c:numRef>
          </c:val>
        </c:ser>
        <c:dLbls>
          <c:showLegendKey val="0"/>
          <c:showVal val="0"/>
          <c:showCatName val="0"/>
          <c:showSerName val="0"/>
          <c:showPercent val="0"/>
          <c:showBubbleSize val="0"/>
        </c:dLbls>
        <c:gapWidth val="150"/>
        <c:axId val="300716416"/>
        <c:axId val="300717952"/>
      </c:barChart>
      <c:catAx>
        <c:axId val="300716416"/>
        <c:scaling>
          <c:orientation val="minMax"/>
        </c:scaling>
        <c:delete val="0"/>
        <c:axPos val="l"/>
        <c:majorTickMark val="out"/>
        <c:minorTickMark val="none"/>
        <c:tickLblPos val="nextTo"/>
        <c:crossAx val="300717952"/>
        <c:crosses val="autoZero"/>
        <c:auto val="1"/>
        <c:lblAlgn val="ctr"/>
        <c:lblOffset val="100"/>
        <c:noMultiLvlLbl val="0"/>
      </c:catAx>
      <c:valAx>
        <c:axId val="300717952"/>
        <c:scaling>
          <c:orientation val="minMax"/>
        </c:scaling>
        <c:delete val="0"/>
        <c:axPos val="b"/>
        <c:majorGridlines/>
        <c:numFmt formatCode="General" sourceLinked="1"/>
        <c:majorTickMark val="out"/>
        <c:minorTickMark val="none"/>
        <c:tickLblPos val="nextTo"/>
        <c:crossAx val="3007164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a:pPr>
            <a:r>
              <a:rPr lang="en-US" sz="1200" b="1" i="0" u="none" strike="noStrike" baseline="0">
                <a:effectLst/>
              </a:rPr>
              <a:t>Stock Inventory </a:t>
            </a:r>
            <a:r>
              <a:rPr lang="id-ID" sz="1200" b="1" i="0" u="none" strike="noStrike" baseline="0">
                <a:effectLst/>
              </a:rPr>
              <a:t>of</a:t>
            </a:r>
            <a:r>
              <a:rPr lang="en-US" sz="1200" b="1" i="0" u="none" strike="noStrike" baseline="0">
                <a:effectLst/>
              </a:rPr>
              <a:t> </a:t>
            </a:r>
            <a:r>
              <a:rPr lang="id-ID" sz="1200" b="1" i="0" u="none" strike="noStrike" baseline="0">
                <a:effectLst/>
              </a:rPr>
              <a:t>M</a:t>
            </a:r>
            <a:r>
              <a:rPr lang="en-US" sz="1200" b="1" i="0" u="none" strike="noStrike" baseline="0">
                <a:effectLst/>
              </a:rPr>
              <a:t>ost </a:t>
            </a:r>
            <a:r>
              <a:rPr lang="id-ID" sz="1200" b="1" i="0" u="none" strike="noStrike" baseline="0">
                <a:effectLst/>
              </a:rPr>
              <a:t>L</a:t>
            </a:r>
            <a:r>
              <a:rPr lang="en-US" sz="1200" b="1" i="0" u="none" strike="noStrike" baseline="0">
                <a:effectLst/>
              </a:rPr>
              <a:t>ongest </a:t>
            </a:r>
            <a:r>
              <a:rPr lang="id-ID" sz="1200" b="1" i="0" u="none" strike="noStrike" baseline="0">
                <a:effectLst/>
              </a:rPr>
              <a:t>I</a:t>
            </a:r>
            <a:r>
              <a:rPr lang="en-US" sz="1200" b="1" i="0" u="none" strike="noStrike" baseline="0">
                <a:effectLst/>
              </a:rPr>
              <a:t>nventory </a:t>
            </a:r>
            <a:r>
              <a:rPr lang="id-ID" sz="1200" b="1" i="0" u="none" strike="noStrike" baseline="0">
                <a:effectLst/>
              </a:rPr>
              <a:t>A</a:t>
            </a:r>
            <a:r>
              <a:rPr lang="en-US" sz="1200" b="1" i="0" u="none" strike="noStrike" baseline="0">
                <a:effectLst/>
              </a:rPr>
              <a:t>ge per </a:t>
            </a:r>
            <a:r>
              <a:rPr lang="id-ID" sz="1200" b="1" i="0" u="none" strike="noStrike" baseline="0">
                <a:effectLst/>
              </a:rPr>
              <a:t>C</a:t>
            </a:r>
            <a:r>
              <a:rPr lang="en-US" sz="1200" b="1" i="0" u="none" strike="noStrike" baseline="0">
                <a:effectLst/>
              </a:rPr>
              <a:t>ategory</a:t>
            </a:r>
            <a:r>
              <a:rPr lang="en-US" sz="1200" b="1" i="0" u="none" strike="noStrike" baseline="0"/>
              <a:t> </a:t>
            </a:r>
            <a:endParaRPr lang="en-US" sz="1200" b="1"/>
          </a:p>
        </c:rich>
      </c:tx>
      <c:overlay val="0"/>
    </c:title>
    <c:autoTitleDeleted val="0"/>
    <c:plotArea>
      <c:layout/>
      <c:lineChart>
        <c:grouping val="stacked"/>
        <c:varyColors val="0"/>
        <c:ser>
          <c:idx val="0"/>
          <c:order val="0"/>
          <c:tx>
            <c:strRef>
              <c:f>'Pivot Tabel 1'!$H$4</c:f>
              <c:strCache>
                <c:ptCount val="1"/>
                <c:pt idx="0">
                  <c:v>Age of Inventory</c:v>
                </c:pt>
              </c:strCache>
            </c:strRef>
          </c:tx>
          <c:marker>
            <c:symbol val="none"/>
          </c:marker>
          <c:dLbls>
            <c:txPr>
              <a:bodyPr/>
              <a:lstStyle/>
              <a:p>
                <a:pPr>
                  <a:defRPr sz="800"/>
                </a:pPr>
                <a:endParaRPr lang="en-US"/>
              </a:p>
            </c:txPr>
            <c:dLblPos val="t"/>
            <c:showLegendKey val="0"/>
            <c:showVal val="1"/>
            <c:showCatName val="0"/>
            <c:showSerName val="0"/>
            <c:showPercent val="0"/>
            <c:showBubbleSize val="0"/>
            <c:showLeaderLines val="0"/>
          </c:dLbls>
          <c:cat>
            <c:multiLvlStrRef>
              <c:f>'Pivot Tabel 1'!$C$5:$G$10</c:f>
              <c:multiLvlStrCache>
                <c:ptCount val="6"/>
                <c:lvl>
                  <c:pt idx="0">
                    <c:v>Brown</c:v>
                  </c:pt>
                  <c:pt idx="1">
                    <c:v>Purple</c:v>
                  </c:pt>
                  <c:pt idx="2">
                    <c:v>Pink</c:v>
                  </c:pt>
                  <c:pt idx="3">
                    <c:v>Red</c:v>
                  </c:pt>
                  <c:pt idx="4">
                    <c:v>White</c:v>
                  </c:pt>
                  <c:pt idx="5">
                    <c:v>White</c:v>
                  </c:pt>
                </c:lvl>
                <c:lvl>
                  <c:pt idx="0">
                    <c:v>Spring</c:v>
                  </c:pt>
                  <c:pt idx="1">
                    <c:v>Spring</c:v>
                  </c:pt>
                  <c:pt idx="2">
                    <c:v>Spring</c:v>
                  </c:pt>
                  <c:pt idx="3">
                    <c:v>Spring</c:v>
                  </c:pt>
                  <c:pt idx="4">
                    <c:v>Spring</c:v>
                  </c:pt>
                  <c:pt idx="5">
                    <c:v>Spring</c:v>
                  </c:pt>
                </c:lvl>
                <c:lvl>
                  <c:pt idx="1">
                    <c:v>L</c:v>
                  </c:pt>
                  <c:pt idx="2">
                    <c:v>XS</c:v>
                  </c:pt>
                  <c:pt idx="3">
                    <c:v>XS</c:v>
                  </c:pt>
                  <c:pt idx="4">
                    <c:v>XS</c:v>
                  </c:pt>
                  <c:pt idx="5">
                    <c:v>L</c:v>
                  </c:pt>
                </c:lvl>
                <c:lvl>
                  <c:pt idx="0">
                    <c:v>Forever21</c:v>
                  </c:pt>
                  <c:pt idx="1">
                    <c:v>Uniqlo</c:v>
                  </c:pt>
                  <c:pt idx="2">
                    <c:v>Mango</c:v>
                  </c:pt>
                  <c:pt idx="3">
                    <c:v>Uniqlo</c:v>
                  </c:pt>
                  <c:pt idx="4">
                    <c:v>Mango</c:v>
                  </c:pt>
                  <c:pt idx="5">
                    <c:v>H&amp;M</c:v>
                  </c:pt>
                </c:lvl>
                <c:lvl>
                  <c:pt idx="0">
                    <c:v>Accessories</c:v>
                  </c:pt>
                  <c:pt idx="1">
                    <c:v>Dresses</c:v>
                  </c:pt>
                  <c:pt idx="2">
                    <c:v>Shoes</c:v>
                  </c:pt>
                  <c:pt idx="3">
                    <c:v>Tops</c:v>
                  </c:pt>
                  <c:pt idx="4">
                    <c:v>Outerwear</c:v>
                  </c:pt>
                  <c:pt idx="5">
                    <c:v>Bottoms</c:v>
                  </c:pt>
                </c:lvl>
              </c:multiLvlStrCache>
            </c:multiLvlStrRef>
          </c:cat>
          <c:val>
            <c:numRef>
              <c:f>'Pivot Tabel 1'!$H$5:$H$10</c:f>
              <c:numCache>
                <c:formatCode>General</c:formatCode>
                <c:ptCount val="6"/>
                <c:pt idx="0">
                  <c:v>392</c:v>
                </c:pt>
                <c:pt idx="1">
                  <c:v>391</c:v>
                </c:pt>
                <c:pt idx="2">
                  <c:v>390</c:v>
                </c:pt>
                <c:pt idx="3">
                  <c:v>388</c:v>
                </c:pt>
                <c:pt idx="4">
                  <c:v>386</c:v>
                </c:pt>
                <c:pt idx="5">
                  <c:v>382</c:v>
                </c:pt>
              </c:numCache>
            </c:numRef>
          </c:val>
          <c:smooth val="0"/>
        </c:ser>
        <c:ser>
          <c:idx val="1"/>
          <c:order val="1"/>
          <c:tx>
            <c:strRef>
              <c:f>'Pivot Tabel 1'!$I$4</c:f>
              <c:strCache>
                <c:ptCount val="1"/>
                <c:pt idx="0">
                  <c:v>Stock Inventory</c:v>
                </c:pt>
              </c:strCache>
            </c:strRef>
          </c:tx>
          <c:marker>
            <c:symbol val="none"/>
          </c:marker>
          <c:dLbls>
            <c:txPr>
              <a:bodyPr/>
              <a:lstStyle/>
              <a:p>
                <a:pPr>
                  <a:defRPr sz="800"/>
                </a:pPr>
                <a:endParaRPr lang="en-US"/>
              </a:p>
            </c:txPr>
            <c:dLblPos val="t"/>
            <c:showLegendKey val="0"/>
            <c:showVal val="1"/>
            <c:showCatName val="0"/>
            <c:showSerName val="0"/>
            <c:showPercent val="0"/>
            <c:showBubbleSize val="0"/>
            <c:showLeaderLines val="0"/>
          </c:dLbls>
          <c:cat>
            <c:multiLvlStrRef>
              <c:f>'Pivot Tabel 1'!$C$5:$G$10</c:f>
              <c:multiLvlStrCache>
                <c:ptCount val="6"/>
                <c:lvl>
                  <c:pt idx="0">
                    <c:v>Brown</c:v>
                  </c:pt>
                  <c:pt idx="1">
                    <c:v>Purple</c:v>
                  </c:pt>
                  <c:pt idx="2">
                    <c:v>Pink</c:v>
                  </c:pt>
                  <c:pt idx="3">
                    <c:v>Red</c:v>
                  </c:pt>
                  <c:pt idx="4">
                    <c:v>White</c:v>
                  </c:pt>
                  <c:pt idx="5">
                    <c:v>White</c:v>
                  </c:pt>
                </c:lvl>
                <c:lvl>
                  <c:pt idx="0">
                    <c:v>Spring</c:v>
                  </c:pt>
                  <c:pt idx="1">
                    <c:v>Spring</c:v>
                  </c:pt>
                  <c:pt idx="2">
                    <c:v>Spring</c:v>
                  </c:pt>
                  <c:pt idx="3">
                    <c:v>Spring</c:v>
                  </c:pt>
                  <c:pt idx="4">
                    <c:v>Spring</c:v>
                  </c:pt>
                  <c:pt idx="5">
                    <c:v>Spring</c:v>
                  </c:pt>
                </c:lvl>
                <c:lvl>
                  <c:pt idx="1">
                    <c:v>L</c:v>
                  </c:pt>
                  <c:pt idx="2">
                    <c:v>XS</c:v>
                  </c:pt>
                  <c:pt idx="3">
                    <c:v>XS</c:v>
                  </c:pt>
                  <c:pt idx="4">
                    <c:v>XS</c:v>
                  </c:pt>
                  <c:pt idx="5">
                    <c:v>L</c:v>
                  </c:pt>
                </c:lvl>
                <c:lvl>
                  <c:pt idx="0">
                    <c:v>Forever21</c:v>
                  </c:pt>
                  <c:pt idx="1">
                    <c:v>Uniqlo</c:v>
                  </c:pt>
                  <c:pt idx="2">
                    <c:v>Mango</c:v>
                  </c:pt>
                  <c:pt idx="3">
                    <c:v>Uniqlo</c:v>
                  </c:pt>
                  <c:pt idx="4">
                    <c:v>Mango</c:v>
                  </c:pt>
                  <c:pt idx="5">
                    <c:v>H&amp;M</c:v>
                  </c:pt>
                </c:lvl>
                <c:lvl>
                  <c:pt idx="0">
                    <c:v>Accessories</c:v>
                  </c:pt>
                  <c:pt idx="1">
                    <c:v>Dresses</c:v>
                  </c:pt>
                  <c:pt idx="2">
                    <c:v>Shoes</c:v>
                  </c:pt>
                  <c:pt idx="3">
                    <c:v>Tops</c:v>
                  </c:pt>
                  <c:pt idx="4">
                    <c:v>Outerwear</c:v>
                  </c:pt>
                  <c:pt idx="5">
                    <c:v>Bottoms</c:v>
                  </c:pt>
                </c:lvl>
              </c:multiLvlStrCache>
            </c:multiLvlStrRef>
          </c:cat>
          <c:val>
            <c:numRef>
              <c:f>'Pivot Tabel 1'!$I$5:$I$10</c:f>
              <c:numCache>
                <c:formatCode>General</c:formatCode>
                <c:ptCount val="6"/>
                <c:pt idx="0">
                  <c:v>36</c:v>
                </c:pt>
                <c:pt idx="1">
                  <c:v>8</c:v>
                </c:pt>
                <c:pt idx="2">
                  <c:v>44</c:v>
                </c:pt>
                <c:pt idx="3">
                  <c:v>29</c:v>
                </c:pt>
                <c:pt idx="4">
                  <c:v>43</c:v>
                </c:pt>
                <c:pt idx="5">
                  <c:v>39</c:v>
                </c:pt>
              </c:numCache>
            </c:numRef>
          </c:val>
          <c:smooth val="0"/>
        </c:ser>
        <c:dLbls>
          <c:dLblPos val="t"/>
          <c:showLegendKey val="0"/>
          <c:showVal val="1"/>
          <c:showCatName val="0"/>
          <c:showSerName val="0"/>
          <c:showPercent val="0"/>
          <c:showBubbleSize val="0"/>
        </c:dLbls>
        <c:marker val="1"/>
        <c:smooth val="0"/>
        <c:axId val="300735872"/>
        <c:axId val="302322816"/>
      </c:lineChart>
      <c:catAx>
        <c:axId val="300735872"/>
        <c:scaling>
          <c:orientation val="minMax"/>
        </c:scaling>
        <c:delete val="0"/>
        <c:axPos val="b"/>
        <c:majorTickMark val="none"/>
        <c:minorTickMark val="none"/>
        <c:tickLblPos val="nextTo"/>
        <c:txPr>
          <a:bodyPr/>
          <a:lstStyle/>
          <a:p>
            <a:pPr>
              <a:defRPr sz="800"/>
            </a:pPr>
            <a:endParaRPr lang="en-US"/>
          </a:p>
        </c:txPr>
        <c:crossAx val="302322816"/>
        <c:crosses val="autoZero"/>
        <c:auto val="1"/>
        <c:lblAlgn val="ctr"/>
        <c:lblOffset val="100"/>
        <c:noMultiLvlLbl val="0"/>
      </c:catAx>
      <c:valAx>
        <c:axId val="302322816"/>
        <c:scaling>
          <c:orientation val="minMax"/>
        </c:scaling>
        <c:delete val="1"/>
        <c:axPos val="l"/>
        <c:numFmt formatCode="General" sourceLinked="1"/>
        <c:majorTickMark val="none"/>
        <c:minorTickMark val="none"/>
        <c:tickLblPos val="nextTo"/>
        <c:crossAx val="300735872"/>
        <c:crosses val="autoZero"/>
        <c:crossBetween val="between"/>
      </c:valAx>
    </c:plotArea>
    <c:legend>
      <c:legendPos val="b"/>
      <c:overlay val="0"/>
      <c:txPr>
        <a:bodyPr/>
        <a:lstStyle/>
        <a:p>
          <a:pPr>
            <a:defRPr sz="800"/>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9.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8.xml"/><Relationship Id="rId2" Type="http://schemas.openxmlformats.org/officeDocument/2006/relationships/chart" Target="../charts/chart13.xml"/><Relationship Id="rId16" Type="http://schemas.openxmlformats.org/officeDocument/2006/relationships/chart" Target="../charts/chart27.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chart" Target="../charts/chart47.xml"/><Relationship Id="rId3" Type="http://schemas.openxmlformats.org/officeDocument/2006/relationships/chart" Target="../charts/chart32.xml"/><Relationship Id="rId21" Type="http://schemas.openxmlformats.org/officeDocument/2006/relationships/chart" Target="../charts/chart50.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chart" Target="../charts/chart46.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9.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5" Type="http://schemas.openxmlformats.org/officeDocument/2006/relationships/chart" Target="../charts/chart34.xml"/><Relationship Id="rId15" Type="http://schemas.openxmlformats.org/officeDocument/2006/relationships/chart" Target="../charts/chart44.xml"/><Relationship Id="rId10" Type="http://schemas.openxmlformats.org/officeDocument/2006/relationships/chart" Target="../charts/chart39.xml"/><Relationship Id="rId19" Type="http://schemas.openxmlformats.org/officeDocument/2006/relationships/chart" Target="../charts/chart48.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6</xdr:col>
      <xdr:colOff>157844</xdr:colOff>
      <xdr:row>5</xdr:row>
      <xdr:rowOff>85724</xdr:rowOff>
    </xdr:from>
    <xdr:to>
      <xdr:col>13</xdr:col>
      <xdr:colOff>244929</xdr:colOff>
      <xdr:row>17</xdr:row>
      <xdr:rowOff>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167367</xdr:colOff>
      <xdr:row>17</xdr:row>
      <xdr:rowOff>204106</xdr:rowOff>
    </xdr:from>
    <xdr:to>
      <xdr:col>13</xdr:col>
      <xdr:colOff>231321</xdr:colOff>
      <xdr:row>29</xdr:row>
      <xdr:rowOff>106135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243567</xdr:colOff>
      <xdr:row>30</xdr:row>
      <xdr:rowOff>51952</xdr:rowOff>
    </xdr:from>
    <xdr:to>
      <xdr:col>22</xdr:col>
      <xdr:colOff>510886</xdr:colOff>
      <xdr:row>43</xdr:row>
      <xdr:rowOff>158088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288952</xdr:colOff>
      <xdr:row>47</xdr:row>
      <xdr:rowOff>134390</xdr:rowOff>
    </xdr:from>
    <xdr:to>
      <xdr:col>23</xdr:col>
      <xdr:colOff>342660</xdr:colOff>
      <xdr:row>61</xdr:row>
      <xdr:rowOff>45944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477050</xdr:colOff>
      <xdr:row>47</xdr:row>
      <xdr:rowOff>117981</xdr:rowOff>
    </xdr:from>
    <xdr:to>
      <xdr:col>32</xdr:col>
      <xdr:colOff>68036</xdr:colOff>
      <xdr:row>61</xdr:row>
      <xdr:rowOff>40340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707472</xdr:colOff>
      <xdr:row>68</xdr:row>
      <xdr:rowOff>189851</xdr:rowOff>
    </xdr:from>
    <xdr:to>
      <xdr:col>24</xdr:col>
      <xdr:colOff>171307</xdr:colOff>
      <xdr:row>81</xdr:row>
      <xdr:rowOff>91878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494549</xdr:colOff>
      <xdr:row>97</xdr:row>
      <xdr:rowOff>138792</xdr:rowOff>
    </xdr:from>
    <xdr:to>
      <xdr:col>31</xdr:col>
      <xdr:colOff>432955</xdr:colOff>
      <xdr:row>117</xdr:row>
      <xdr:rowOff>138545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536864</xdr:colOff>
      <xdr:row>4</xdr:row>
      <xdr:rowOff>187036</xdr:rowOff>
    </xdr:from>
    <xdr:to>
      <xdr:col>29</xdr:col>
      <xdr:colOff>2</xdr:colOff>
      <xdr:row>17</xdr:row>
      <xdr:rowOff>103909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502226</xdr:colOff>
      <xdr:row>18</xdr:row>
      <xdr:rowOff>31174</xdr:rowOff>
    </xdr:from>
    <xdr:to>
      <xdr:col>30</xdr:col>
      <xdr:colOff>311727</xdr:colOff>
      <xdr:row>30</xdr:row>
      <xdr:rowOff>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209550</xdr:colOff>
      <xdr:row>0</xdr:row>
      <xdr:rowOff>142875</xdr:rowOff>
    </xdr:from>
    <xdr:to>
      <xdr:col>15</xdr:col>
      <xdr:colOff>666750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333375</xdr:colOff>
      <xdr:row>31</xdr:row>
      <xdr:rowOff>161925</xdr:rowOff>
    </xdr:from>
    <xdr:to>
      <xdr:col>9</xdr:col>
      <xdr:colOff>971550</xdr:colOff>
      <xdr:row>44</xdr:row>
      <xdr:rowOff>171449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150293</xdr:colOff>
      <xdr:row>51</xdr:row>
      <xdr:rowOff>39583</xdr:rowOff>
    </xdr:from>
    <xdr:to>
      <xdr:col>19</xdr:col>
      <xdr:colOff>393369</xdr:colOff>
      <xdr:row>64</xdr:row>
      <xdr:rowOff>9893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176313</xdr:colOff>
      <xdr:row>51</xdr:row>
      <xdr:rowOff>84147</xdr:rowOff>
    </xdr:from>
    <xdr:to>
      <xdr:col>15</xdr:col>
      <xdr:colOff>1005329</xdr:colOff>
      <xdr:row>61</xdr:row>
      <xdr:rowOff>43223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329774</xdr:colOff>
      <xdr:row>62</xdr:row>
      <xdr:rowOff>174491</xdr:rowOff>
    </xdr:from>
    <xdr:to>
      <xdr:col>19</xdr:col>
      <xdr:colOff>688361</xdr:colOff>
      <xdr:row>76</xdr:row>
      <xdr:rowOff>28815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182642</xdr:colOff>
      <xdr:row>76</xdr:row>
      <xdr:rowOff>134471</xdr:rowOff>
    </xdr:from>
    <xdr:to>
      <xdr:col>27</xdr:col>
      <xdr:colOff>655472</xdr:colOff>
      <xdr:row>89</xdr:row>
      <xdr:rowOff>128039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316675</xdr:colOff>
      <xdr:row>104</xdr:row>
      <xdr:rowOff>147451</xdr:rowOff>
    </xdr:from>
    <xdr:to>
      <xdr:col>18</xdr:col>
      <xdr:colOff>898071</xdr:colOff>
      <xdr:row>116</xdr:row>
      <xdr:rowOff>176892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312964</xdr:colOff>
      <xdr:row>118</xdr:row>
      <xdr:rowOff>69520</xdr:rowOff>
    </xdr:from>
    <xdr:to>
      <xdr:col>15</xdr:col>
      <xdr:colOff>53067</xdr:colOff>
      <xdr:row>130</xdr:row>
      <xdr:rowOff>163285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555170</xdr:colOff>
      <xdr:row>131</xdr:row>
      <xdr:rowOff>123947</xdr:rowOff>
    </xdr:from>
    <xdr:to>
      <xdr:col>21</xdr:col>
      <xdr:colOff>46387</xdr:colOff>
      <xdr:row>146</xdr:row>
      <xdr:rowOff>105145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342654</xdr:colOff>
      <xdr:row>141</xdr:row>
      <xdr:rowOff>168481</xdr:rowOff>
    </xdr:from>
    <xdr:to>
      <xdr:col>10</xdr:col>
      <xdr:colOff>1349581</xdr:colOff>
      <xdr:row>152</xdr:row>
      <xdr:rowOff>117517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81642</xdr:colOff>
      <xdr:row>156</xdr:row>
      <xdr:rowOff>141265</xdr:rowOff>
    </xdr:from>
    <xdr:to>
      <xdr:col>15</xdr:col>
      <xdr:colOff>1089313</xdr:colOff>
      <xdr:row>171</xdr:row>
      <xdr:rowOff>127410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173183</xdr:colOff>
      <xdr:row>156</xdr:row>
      <xdr:rowOff>133844</xdr:rowOff>
    </xdr:from>
    <xdr:to>
      <xdr:col>11</xdr:col>
      <xdr:colOff>1301339</xdr:colOff>
      <xdr:row>171</xdr:row>
      <xdr:rowOff>88817</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197920</xdr:colOff>
      <xdr:row>172</xdr:row>
      <xdr:rowOff>177141</xdr:rowOff>
    </xdr:from>
    <xdr:to>
      <xdr:col>20</xdr:col>
      <xdr:colOff>609847</xdr:colOff>
      <xdr:row>187</xdr:row>
      <xdr:rowOff>137062</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164027</xdr:colOff>
      <xdr:row>0</xdr:row>
      <xdr:rowOff>136690</xdr:rowOff>
    </xdr:from>
    <xdr:to>
      <xdr:col>16</xdr:col>
      <xdr:colOff>385946</xdr:colOff>
      <xdr:row>13</xdr:row>
      <xdr:rowOff>6557</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13607</xdr:colOff>
      <xdr:row>29</xdr:row>
      <xdr:rowOff>1483</xdr:rowOff>
    </xdr:from>
    <xdr:to>
      <xdr:col>7</xdr:col>
      <xdr:colOff>2585358</xdr:colOff>
      <xdr:row>50</xdr:row>
      <xdr:rowOff>13606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208108</xdr:colOff>
      <xdr:row>95</xdr:row>
      <xdr:rowOff>40821</xdr:rowOff>
    </xdr:from>
    <xdr:to>
      <xdr:col>12</xdr:col>
      <xdr:colOff>653143</xdr:colOff>
      <xdr:row>105</xdr:row>
      <xdr:rowOff>105337</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849728</xdr:colOff>
      <xdr:row>90</xdr:row>
      <xdr:rowOff>90767</xdr:rowOff>
    </xdr:from>
    <xdr:to>
      <xdr:col>28</xdr:col>
      <xdr:colOff>469847</xdr:colOff>
      <xdr:row>102</xdr:row>
      <xdr:rowOff>61631</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28</xdr:col>
      <xdr:colOff>232923</xdr:colOff>
      <xdr:row>104</xdr:row>
      <xdr:rowOff>53948</xdr:rowOff>
    </xdr:from>
    <xdr:to>
      <xdr:col>39</xdr:col>
      <xdr:colOff>65635</xdr:colOff>
      <xdr:row>118</xdr:row>
      <xdr:rowOff>130148</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163286</xdr:colOff>
      <xdr:row>13</xdr:row>
      <xdr:rowOff>2722</xdr:rowOff>
    </xdr:from>
    <xdr:to>
      <xdr:col>20</xdr:col>
      <xdr:colOff>122465</xdr:colOff>
      <xdr:row>26</xdr:row>
      <xdr:rowOff>106136</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517070</xdr:colOff>
      <xdr:row>29</xdr:row>
      <xdr:rowOff>68036</xdr:rowOff>
    </xdr:from>
    <xdr:to>
      <xdr:col>25</xdr:col>
      <xdr:colOff>802822</xdr:colOff>
      <xdr:row>49</xdr:row>
      <xdr:rowOff>10885</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0.74064</cdr:x>
      <cdr:y>0.78532</cdr:y>
    </cdr:from>
    <cdr:to>
      <cdr:x>0.96227</cdr:x>
      <cdr:y>0.97307</cdr:y>
    </cdr:to>
    <cdr:sp macro="" textlink="">
      <cdr:nvSpPr>
        <cdr:cNvPr id="2" name="TextBox 1"/>
        <cdr:cNvSpPr txBox="1"/>
      </cdr:nvSpPr>
      <cdr:spPr>
        <a:xfrm xmlns:a="http://schemas.openxmlformats.org/drawingml/2006/main">
          <a:off x="6258428" y="2989942"/>
          <a:ext cx="1872821" cy="7147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id-ID" sz="800" baseline="0"/>
        </a:p>
        <a:p xmlns:a="http://schemas.openxmlformats.org/drawingml/2006/main">
          <a:endParaRPr lang="id-ID" sz="800" baseline="0"/>
        </a:p>
        <a:p xmlns:a="http://schemas.openxmlformats.org/drawingml/2006/main">
          <a:r>
            <a:rPr lang="id-ID" sz="800" baseline="0"/>
            <a:t>Percentage of  return product </a:t>
          </a:r>
        </a:p>
        <a:p xmlns:a="http://schemas.openxmlformats.org/drawingml/2006/main">
          <a:endParaRPr lang="id-ID" sz="800" baseline="0"/>
        </a:p>
        <a:p xmlns:a="http://schemas.openxmlformats.org/drawingml/2006/main">
          <a:r>
            <a:rPr lang="id-ID" sz="800" baseline="0"/>
            <a:t>Rating</a:t>
          </a: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171449</xdr:colOff>
      <xdr:row>4</xdr:row>
      <xdr:rowOff>28575</xdr:rowOff>
    </xdr:from>
    <xdr:to>
      <xdr:col>11</xdr:col>
      <xdr:colOff>51955</xdr:colOff>
      <xdr:row>18</xdr:row>
      <xdr:rowOff>142875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155864</xdr:colOff>
      <xdr:row>4</xdr:row>
      <xdr:rowOff>15908</xdr:rowOff>
    </xdr:from>
    <xdr:to>
      <xdr:col>19</xdr:col>
      <xdr:colOff>402749</xdr:colOff>
      <xdr:row>18</xdr:row>
      <xdr:rowOff>93438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177210</xdr:colOff>
      <xdr:row>19</xdr:row>
      <xdr:rowOff>33228</xdr:rowOff>
    </xdr:from>
    <xdr:to>
      <xdr:col>10</xdr:col>
      <xdr:colOff>470647</xdr:colOff>
      <xdr:row>34</xdr:row>
      <xdr:rowOff>11206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563876</xdr:colOff>
      <xdr:row>19</xdr:row>
      <xdr:rowOff>32531</xdr:rowOff>
    </xdr:from>
    <xdr:to>
      <xdr:col>18</xdr:col>
      <xdr:colOff>378992</xdr:colOff>
      <xdr:row>34</xdr:row>
      <xdr:rowOff>8085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519545</xdr:colOff>
      <xdr:row>19</xdr:row>
      <xdr:rowOff>51957</xdr:rowOff>
    </xdr:from>
    <xdr:to>
      <xdr:col>23</xdr:col>
      <xdr:colOff>242455</xdr:colOff>
      <xdr:row>33</xdr:row>
      <xdr:rowOff>189012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357830</xdr:colOff>
      <xdr:row>21</xdr:row>
      <xdr:rowOff>61283</xdr:rowOff>
    </xdr:from>
    <xdr:to>
      <xdr:col>2</xdr:col>
      <xdr:colOff>34219</xdr:colOff>
      <xdr:row>34</xdr:row>
      <xdr:rowOff>40822</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7830" y="4755747"/>
              <a:ext cx="1622210" cy="263293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365399</xdr:colOff>
      <xdr:row>9</xdr:row>
      <xdr:rowOff>147064</xdr:rowOff>
    </xdr:from>
    <xdr:to>
      <xdr:col>2</xdr:col>
      <xdr:colOff>26415</xdr:colOff>
      <xdr:row>20</xdr:row>
      <xdr:rowOff>171748</xdr:rowOff>
    </xdr:to>
    <mc:AlternateContent xmlns:mc="http://schemas.openxmlformats.org/markup-compatibility/2006" xmlns:a14="http://schemas.microsoft.com/office/drawing/2010/main">
      <mc:Choice Requires="a14">
        <xdr:graphicFrame macro="">
          <xdr:nvGraphicFramePr>
            <xdr:cNvPr id="10" name="brand"/>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65399" y="2392243"/>
              <a:ext cx="1606837" cy="226986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19</xdr:col>
      <xdr:colOff>554182</xdr:colOff>
      <xdr:row>3</xdr:row>
      <xdr:rowOff>232491</xdr:rowOff>
    </xdr:from>
    <xdr:to>
      <xdr:col>26</xdr:col>
      <xdr:colOff>1939636</xdr:colOff>
      <xdr:row>18</xdr:row>
      <xdr:rowOff>77560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363680</xdr:colOff>
      <xdr:row>19</xdr:row>
      <xdr:rowOff>34636</xdr:rowOff>
    </xdr:from>
    <xdr:to>
      <xdr:col>27</xdr:col>
      <xdr:colOff>0</xdr:colOff>
      <xdr:row>33</xdr:row>
      <xdr:rowOff>137061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502228</xdr:colOff>
      <xdr:row>36</xdr:row>
      <xdr:rowOff>138545</xdr:rowOff>
    </xdr:from>
    <xdr:to>
      <xdr:col>13</xdr:col>
      <xdr:colOff>261937</xdr:colOff>
      <xdr:row>51</xdr:row>
      <xdr:rowOff>24245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428625</xdr:colOff>
      <xdr:row>36</xdr:row>
      <xdr:rowOff>108857</xdr:rowOff>
    </xdr:from>
    <xdr:to>
      <xdr:col>26</xdr:col>
      <xdr:colOff>1939636</xdr:colOff>
      <xdr:row>51</xdr:row>
      <xdr:rowOff>27215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452438</xdr:colOff>
      <xdr:row>51</xdr:row>
      <xdr:rowOff>166686</xdr:rowOff>
    </xdr:from>
    <xdr:to>
      <xdr:col>12</xdr:col>
      <xdr:colOff>0</xdr:colOff>
      <xdr:row>67</xdr:row>
      <xdr:rowOff>173181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155863</xdr:colOff>
      <xdr:row>51</xdr:row>
      <xdr:rowOff>173182</xdr:rowOff>
    </xdr:from>
    <xdr:to>
      <xdr:col>19</xdr:col>
      <xdr:colOff>484909</xdr:colOff>
      <xdr:row>67</xdr:row>
      <xdr:rowOff>173181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26</xdr:col>
      <xdr:colOff>0</xdr:colOff>
      <xdr:row>57</xdr:row>
      <xdr:rowOff>71870</xdr:rowOff>
    </xdr:from>
    <xdr:to>
      <xdr:col>27</xdr:col>
      <xdr:colOff>10024</xdr:colOff>
      <xdr:row>67</xdr:row>
      <xdr:rowOff>180472</xdr:rowOff>
    </xdr:to>
    <mc:AlternateContent xmlns:mc="http://schemas.openxmlformats.org/markup-compatibility/2006" xmlns:a14="http://schemas.microsoft.com/office/drawing/2010/main">
      <mc:Choice Requires="a14">
        <xdr:graphicFrame macro="">
          <xdr:nvGraphicFramePr>
            <xdr:cNvPr id="1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920364" y="12783415"/>
              <a:ext cx="2105525" cy="218678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207818</xdr:colOff>
      <xdr:row>71</xdr:row>
      <xdr:rowOff>17318</xdr:rowOff>
    </xdr:from>
    <xdr:to>
      <xdr:col>11</xdr:col>
      <xdr:colOff>244929</xdr:colOff>
      <xdr:row>88</xdr:row>
      <xdr:rowOff>121227</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394607</xdr:colOff>
      <xdr:row>71</xdr:row>
      <xdr:rowOff>11133</xdr:rowOff>
    </xdr:from>
    <xdr:to>
      <xdr:col>24</xdr:col>
      <xdr:colOff>149678</xdr:colOff>
      <xdr:row>88</xdr:row>
      <xdr:rowOff>149679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221115</xdr:colOff>
      <xdr:row>71</xdr:row>
      <xdr:rowOff>20410</xdr:rowOff>
    </xdr:from>
    <xdr:to>
      <xdr:col>27</xdr:col>
      <xdr:colOff>1</xdr:colOff>
      <xdr:row>88</xdr:row>
      <xdr:rowOff>139472</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557892</xdr:colOff>
      <xdr:row>89</xdr:row>
      <xdr:rowOff>40821</xdr:rowOff>
    </xdr:from>
    <xdr:to>
      <xdr:col>6</xdr:col>
      <xdr:colOff>163285</xdr:colOff>
      <xdr:row>105</xdr:row>
      <xdr:rowOff>108856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272141</xdr:colOff>
      <xdr:row>89</xdr:row>
      <xdr:rowOff>54428</xdr:rowOff>
    </xdr:from>
    <xdr:to>
      <xdr:col>16</xdr:col>
      <xdr:colOff>149678</xdr:colOff>
      <xdr:row>105</xdr:row>
      <xdr:rowOff>108857</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244929</xdr:colOff>
      <xdr:row>89</xdr:row>
      <xdr:rowOff>54428</xdr:rowOff>
    </xdr:from>
    <xdr:to>
      <xdr:col>27</xdr:col>
      <xdr:colOff>0</xdr:colOff>
      <xdr:row>105</xdr:row>
      <xdr:rowOff>81642</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376918</xdr:colOff>
      <xdr:row>106</xdr:row>
      <xdr:rowOff>13607</xdr:rowOff>
    </xdr:from>
    <xdr:to>
      <xdr:col>13</xdr:col>
      <xdr:colOff>294409</xdr:colOff>
      <xdr:row>122</xdr:row>
      <xdr:rowOff>163285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380998</xdr:colOff>
      <xdr:row>106</xdr:row>
      <xdr:rowOff>34636</xdr:rowOff>
    </xdr:from>
    <xdr:to>
      <xdr:col>22</xdr:col>
      <xdr:colOff>47624</xdr:colOff>
      <xdr:row>122</xdr:row>
      <xdr:rowOff>155864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159882</xdr:colOff>
      <xdr:row>106</xdr:row>
      <xdr:rowOff>3401</xdr:rowOff>
    </xdr:from>
    <xdr:to>
      <xdr:col>26</xdr:col>
      <xdr:colOff>2197552</xdr:colOff>
      <xdr:row>122</xdr:row>
      <xdr:rowOff>125864</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19</xdr:col>
      <xdr:colOff>625928</xdr:colOff>
      <xdr:row>51</xdr:row>
      <xdr:rowOff>176893</xdr:rowOff>
    </xdr:from>
    <xdr:to>
      <xdr:col>25</xdr:col>
      <xdr:colOff>1401535</xdr:colOff>
      <xdr:row>67</xdr:row>
      <xdr:rowOff>190500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0.82824</cdr:x>
      <cdr:y>0.78802</cdr:y>
    </cdr:from>
    <cdr:to>
      <cdr:x>0.97899</cdr:x>
      <cdr:y>0.97961</cdr:y>
    </cdr:to>
    <cdr:sp macro="" textlink="">
      <cdr:nvSpPr>
        <cdr:cNvPr id="2" name="TextBox 1"/>
        <cdr:cNvSpPr txBox="1"/>
      </cdr:nvSpPr>
      <cdr:spPr>
        <a:xfrm xmlns:a="http://schemas.openxmlformats.org/drawingml/2006/main">
          <a:off x="7572440" y="2992043"/>
          <a:ext cx="1378257" cy="7274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id-ID" sz="800"/>
            <a:t>Markdown</a:t>
          </a:r>
          <a:r>
            <a:rPr lang="id-ID" sz="800" baseline="0"/>
            <a:t> Average</a:t>
          </a:r>
        </a:p>
        <a:p xmlns:a="http://schemas.openxmlformats.org/drawingml/2006/main">
          <a:endParaRPr lang="id-ID" sz="800" baseline="0"/>
        </a:p>
        <a:p xmlns:a="http://schemas.openxmlformats.org/drawingml/2006/main">
          <a:r>
            <a:rPr lang="id-ID" sz="800" baseline="0"/>
            <a:t>Frequancy of Return</a:t>
          </a:r>
        </a:p>
        <a:p xmlns:a="http://schemas.openxmlformats.org/drawingml/2006/main">
          <a:endParaRPr lang="id-ID" sz="800" baseline="0"/>
        </a:p>
        <a:p xmlns:a="http://schemas.openxmlformats.org/drawingml/2006/main">
          <a:r>
            <a:rPr lang="id-ID" sz="800" baseline="0"/>
            <a:t>Rating</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US" refreshedDate="45902.648426504631" createdVersion="4" refreshedVersion="4" minRefreshableVersion="3" recordCount="2176">
  <cacheSource type="worksheet">
    <worksheetSource ref="A1:N2177" sheet="raw data"/>
  </cacheSource>
  <cacheFields count="17">
    <cacheField name="product_id" numFmtId="0">
      <sharedItems/>
    </cacheField>
    <cacheField name="category" numFmtId="0">
      <sharedItems count="6">
        <s v="Outerwear"/>
        <s v="Tops"/>
        <s v="Accessories"/>
        <s v="Shoes"/>
        <s v="Bottoms"/>
        <s v="Dresses"/>
      </sharedItems>
    </cacheField>
    <cacheField name="brand" numFmtId="0">
      <sharedItems count="8">
        <s v="Zara"/>
        <s v="Uniqlo"/>
        <s v="Banana Republic"/>
        <s v="Mango"/>
        <s v="H&amp;M"/>
        <s v="Ann Taylor"/>
        <s v="Gap"/>
        <s v="Forever21"/>
      </sharedItems>
    </cacheField>
    <cacheField name="season" numFmtId="0">
      <sharedItems/>
    </cacheField>
    <cacheField name="size" numFmtId="0">
      <sharedItems containsBlank="1"/>
    </cacheField>
    <cacheField name="color" numFmtId="0">
      <sharedItems count="11">
        <s v="Red"/>
        <s v="Pink"/>
        <s v="Black"/>
        <s v="White"/>
        <s v="Gray"/>
        <s v="Blue"/>
        <s v="Green"/>
        <s v="Beige"/>
        <s v="Navy"/>
        <s v="Purple"/>
        <s v="Brown"/>
      </sharedItems>
    </cacheField>
    <cacheField name="original_price" numFmtId="0">
      <sharedItems containsSemiMixedTypes="0" containsString="0" containsNumber="1" minValue="15.14" maxValue="249.98"/>
    </cacheField>
    <cacheField name="markdown_percentage" numFmtId="0">
      <sharedItems containsSemiMixedTypes="0" containsString="0" containsNumber="1" minValue="0" maxValue="59.9"/>
    </cacheField>
    <cacheField name="current_price" numFmtId="0">
      <sharedItems containsSemiMixedTypes="0" containsString="0" containsNumber="1" minValue="7.29" maxValue="249.98"/>
    </cacheField>
    <cacheField name="purchase_date" numFmtId="164">
      <sharedItems containsSemiMixedTypes="0" containsNonDate="0" containsDate="1" containsString="0" minDate="2024-08-06T00:00:00" maxDate="2025-08-07T00:00:00" count="273">
        <d v="2025-07-05T00:00:00"/>
        <d v="2025-08-06T00:00:00"/>
        <d v="2025-07-07T00:00:00"/>
        <d v="2024-10-29T00:00:00"/>
        <d v="2025-03-24T00:00:00"/>
        <d v="2025-04-25T00:00:00"/>
        <d v="2025-01-04T00:00:00"/>
        <d v="2024-09-24T00:00:00"/>
        <d v="2025-06-11T00:00:00"/>
        <d v="2024-10-24T00:00:00"/>
        <d v="2025-04-16T00:00:00"/>
        <d v="2024-10-16T00:00:00"/>
        <d v="2025-05-03T00:00:00"/>
        <d v="2025-06-12T00:00:00"/>
        <d v="2025-07-10T00:00:00"/>
        <d v="2024-10-25T00:00:00"/>
        <d v="2025-06-01T00:00:00"/>
        <d v="2025-01-26T00:00:00"/>
        <d v="2025-04-01T00:00:00"/>
        <d v="2025-05-10T00:00:00"/>
        <d v="2024-10-14T00:00:00"/>
        <d v="2024-09-13T00:00:00"/>
        <d v="2025-07-25T00:00:00"/>
        <d v="2025-02-10T00:00:00"/>
        <d v="2024-12-29T00:00:00"/>
        <d v="2024-09-09T00:00:00"/>
        <d v="2024-11-08T00:00:00"/>
        <d v="2025-06-17T00:00:00"/>
        <d v="2025-07-20T00:00:00"/>
        <d v="2024-09-06T00:00:00"/>
        <d v="2024-11-25T00:00:00"/>
        <d v="2025-07-04T00:00:00"/>
        <d v="2025-01-14T00:00:00"/>
        <d v="2024-12-06T00:00:00"/>
        <d v="2025-03-05T00:00:00"/>
        <d v="2024-11-16T00:00:00"/>
        <d v="2025-04-12T00:00:00"/>
        <d v="2024-11-04T00:00:00"/>
        <d v="2025-01-13T00:00:00"/>
        <d v="2024-10-01T00:00:00"/>
        <d v="2024-11-03T00:00:00"/>
        <d v="2025-07-16T00:00:00"/>
        <d v="2025-02-17T00:00:00"/>
        <d v="2025-07-24T00:00:00"/>
        <d v="2024-09-15T00:00:00"/>
        <d v="2024-10-03T00:00:00"/>
        <d v="2024-09-12T00:00:00"/>
        <d v="2025-06-20T00:00:00"/>
        <d v="2024-09-17T00:00:00"/>
        <d v="2024-12-19T00:00:00"/>
        <d v="2024-08-28T00:00:00"/>
        <d v="2024-12-03T00:00:00"/>
        <d v="2024-09-26T00:00:00"/>
        <d v="2024-10-04T00:00:00"/>
        <d v="2024-11-23T00:00:00"/>
        <d v="2024-09-28T00:00:00"/>
        <d v="2025-04-29T00:00:00"/>
        <d v="2025-05-23T00:00:00"/>
        <d v="2025-07-17T00:00:00"/>
        <d v="2024-08-21T00:00:00"/>
        <d v="2025-01-30T00:00:00"/>
        <d v="2024-12-27T00:00:00"/>
        <d v="2024-11-02T00:00:00"/>
        <d v="2024-10-10T00:00:00"/>
        <d v="2025-07-14T00:00:00"/>
        <d v="2024-08-16T00:00:00"/>
        <d v="2025-08-01T00:00:00"/>
        <d v="2025-05-08T00:00:00"/>
        <d v="2025-04-26T00:00:00"/>
        <d v="2024-12-25T00:00:00"/>
        <d v="2024-09-27T00:00:00"/>
        <d v="2025-06-27T00:00:00"/>
        <d v="2025-03-30T00:00:00"/>
        <d v="2024-12-23T00:00:00"/>
        <d v="2025-03-31T00:00:00"/>
        <d v="2025-01-22T00:00:00"/>
        <d v="2025-05-26T00:00:00"/>
        <d v="2024-12-04T00:00:00"/>
        <d v="2024-11-21T00:00:00"/>
        <d v="2025-04-06T00:00:00"/>
        <d v="2025-06-13T00:00:00"/>
        <d v="2025-05-09T00:00:00"/>
        <d v="2025-06-10T00:00:00"/>
        <d v="2025-02-01T00:00:00"/>
        <d v="2025-04-23T00:00:00"/>
        <d v="2025-02-09T00:00:00"/>
        <d v="2025-07-29T00:00:00"/>
        <d v="2025-02-15T00:00:00"/>
        <d v="2025-02-23T00:00:00"/>
        <d v="2024-10-08T00:00:00"/>
        <d v="2024-10-23T00:00:00"/>
        <d v="2024-09-21T00:00:00"/>
        <d v="2025-03-14T00:00:00"/>
        <d v="2024-12-02T00:00:00"/>
        <d v="2024-08-20T00:00:00"/>
        <d v="2025-06-18T00:00:00"/>
        <d v="2024-12-20T00:00:00"/>
        <d v="2025-01-23T00:00:00"/>
        <d v="2025-07-31T00:00:00"/>
        <d v="2025-07-03T00:00:00"/>
        <d v="2024-09-07T00:00:00"/>
        <d v="2025-05-06T00:00:00"/>
        <d v="2024-08-08T00:00:00"/>
        <d v="2024-11-07T00:00:00"/>
        <d v="2024-08-07T00:00:00"/>
        <d v="2024-09-25T00:00:00"/>
        <d v="2025-01-18T00:00:00"/>
        <d v="2024-11-14T00:00:00"/>
        <d v="2025-02-05T00:00:00"/>
        <d v="2025-04-10T00:00:00"/>
        <d v="2025-07-23T00:00:00"/>
        <d v="2025-04-09T00:00:00"/>
        <d v="2025-07-22T00:00:00"/>
        <d v="2024-11-27T00:00:00"/>
        <d v="2025-03-28T00:00:00"/>
        <d v="2025-02-11T00:00:00"/>
        <d v="2025-03-18T00:00:00"/>
        <d v="2025-02-28T00:00:00"/>
        <d v="2025-03-06T00:00:00"/>
        <d v="2025-03-25T00:00:00"/>
        <d v="2025-01-21T00:00:00"/>
        <d v="2024-10-12T00:00:00"/>
        <d v="2025-06-07T00:00:00"/>
        <d v="2025-07-27T00:00:00"/>
        <d v="2025-03-20T00:00:00"/>
        <d v="2025-01-31T00:00:00"/>
        <d v="2025-04-04T00:00:00"/>
        <d v="2025-07-02T00:00:00"/>
        <d v="2024-10-07T00:00:00"/>
        <d v="2024-10-26T00:00:00"/>
        <d v="2025-06-24T00:00:00"/>
        <d v="2025-05-16T00:00:00"/>
        <d v="2025-07-15T00:00:00"/>
        <d v="2025-08-05T00:00:00"/>
        <d v="2024-09-01T00:00:00"/>
        <d v="2025-02-03T00:00:00"/>
        <d v="2024-09-10T00:00:00"/>
        <d v="2025-01-19T00:00:00"/>
        <d v="2025-04-18T00:00:00"/>
        <d v="2025-03-13T00:00:00"/>
        <d v="2024-09-08T00:00:00"/>
        <d v="2025-07-11T00:00:00"/>
        <d v="2024-08-29T00:00:00"/>
        <d v="2024-11-17T00:00:00"/>
        <d v="2025-08-02T00:00:00"/>
        <d v="2025-04-13T00:00:00"/>
        <d v="2025-01-07T00:00:00"/>
        <d v="2024-11-22T00:00:00"/>
        <d v="2025-01-27T00:00:00"/>
        <d v="2025-06-04T00:00:00"/>
        <d v="2024-09-22T00:00:00"/>
        <d v="2025-05-15T00:00:00"/>
        <d v="2024-12-21T00:00:00"/>
        <d v="2024-12-16T00:00:00"/>
        <d v="2024-08-18T00:00:00"/>
        <d v="2025-02-24T00:00:00"/>
        <d v="2024-08-06T00:00:00"/>
        <d v="2025-05-19T00:00:00"/>
        <d v="2025-07-30T00:00:00"/>
        <d v="2025-07-28T00:00:00"/>
        <d v="2025-05-21T00:00:00"/>
        <d v="2024-12-08T00:00:00"/>
        <d v="2025-06-05T00:00:00"/>
        <d v="2025-03-17T00:00:00"/>
        <d v="2024-10-02T00:00:00"/>
        <d v="2024-11-09T00:00:00"/>
        <d v="2024-12-24T00:00:00"/>
        <d v="2025-04-22T00:00:00"/>
        <d v="2025-05-12T00:00:00"/>
        <d v="2025-03-29T00:00:00"/>
        <d v="2024-11-06T00:00:00"/>
        <d v="2024-11-28T00:00:00"/>
        <d v="2024-11-15T00:00:00"/>
        <d v="2025-02-14T00:00:00"/>
        <d v="2025-04-17T00:00:00"/>
        <d v="2025-03-27T00:00:00"/>
        <d v="2024-08-17T00:00:00"/>
        <d v="2025-04-30T00:00:00"/>
        <d v="2025-07-08T00:00:00"/>
        <d v="2025-03-22T00:00:00"/>
        <d v="2025-02-04T00:00:00"/>
        <d v="2024-08-10T00:00:00"/>
        <d v="2025-01-29T00:00:00"/>
        <d v="2025-04-15T00:00:00"/>
        <d v="2025-04-02T00:00:00"/>
        <d v="2025-05-28T00:00:00"/>
        <d v="2024-11-26T00:00:00"/>
        <d v="2025-06-28T00:00:00"/>
        <d v="2025-03-07T00:00:00"/>
        <d v="2025-01-17T00:00:00"/>
        <d v="2024-12-30T00:00:00"/>
        <d v="2025-06-09T00:00:00"/>
        <d v="2025-02-18T00:00:00"/>
        <d v="2024-10-21T00:00:00"/>
        <d v="2024-09-19T00:00:00"/>
        <d v="2025-01-12T00:00:00"/>
        <d v="2025-04-05T00:00:00"/>
        <d v="2025-04-14T00:00:00"/>
        <d v="2024-09-02T00:00:00"/>
        <d v="2025-02-07T00:00:00"/>
        <d v="2025-05-18T00:00:00"/>
        <d v="2025-02-26T00:00:00"/>
        <d v="2024-12-17T00:00:00"/>
        <d v="2025-02-16T00:00:00"/>
        <d v="2025-05-30T00:00:00"/>
        <d v="2024-08-12T00:00:00"/>
        <d v="2025-05-11T00:00:00"/>
        <d v="2025-02-20T00:00:00"/>
        <d v="2024-12-10T00:00:00"/>
        <d v="2025-03-11T00:00:00"/>
        <d v="2025-03-03T00:00:00"/>
        <d v="2024-12-05T00:00:00"/>
        <d v="2024-08-26T00:00:00"/>
        <d v="2025-05-01T00:00:00"/>
        <d v="2025-07-26T00:00:00"/>
        <d v="2024-11-11T00:00:00"/>
        <d v="2025-01-08T00:00:00"/>
        <d v="2024-08-15T00:00:00"/>
        <d v="2024-08-19T00:00:00"/>
        <d v="2025-04-07T00:00:00"/>
        <d v="2024-11-12T00:00:00"/>
        <d v="2024-12-12T00:00:00"/>
        <d v="2024-12-07T00:00:00"/>
        <d v="2024-11-20T00:00:00"/>
        <d v="2025-05-17T00:00:00"/>
        <d v="2025-02-13T00:00:00"/>
        <d v="2025-01-02T00:00:00"/>
        <d v="2025-06-15T00:00:00"/>
        <d v="2024-11-13T00:00:00"/>
        <d v="2025-05-14T00:00:00"/>
        <d v="2024-09-30T00:00:00"/>
        <d v="2025-01-24T00:00:00"/>
        <d v="2024-09-03T00:00:00"/>
        <d v="2024-09-05T00:00:00"/>
        <d v="2024-08-22T00:00:00"/>
        <d v="2025-05-20T00:00:00"/>
        <d v="2025-04-28T00:00:00"/>
        <d v="2024-08-27T00:00:00"/>
        <d v="2025-02-12T00:00:00"/>
        <d v="2025-03-09T00:00:00"/>
        <d v="2025-04-24T00:00:00"/>
        <d v="2025-07-13T00:00:00"/>
        <d v="2024-08-25T00:00:00"/>
        <d v="2025-06-14T00:00:00"/>
        <d v="2025-08-03T00:00:00"/>
        <d v="2025-05-27T00:00:00"/>
        <d v="2024-11-24T00:00:00"/>
        <d v="2024-10-27T00:00:00"/>
        <d v="2024-12-31T00:00:00"/>
        <d v="2024-10-15T00:00:00"/>
        <d v="2025-05-02T00:00:00"/>
        <d v="2025-05-29T00:00:00"/>
        <d v="2025-01-09T00:00:00"/>
        <d v="2025-03-15T00:00:00"/>
        <d v="2025-03-26T00:00:00"/>
        <d v="2025-06-08T00:00:00"/>
        <d v="2024-09-20T00:00:00"/>
        <d v="2025-01-15T00:00:00"/>
        <d v="2025-01-10T00:00:00"/>
        <d v="2024-08-30T00:00:00"/>
        <d v="2025-07-09T00:00:00"/>
        <d v="2024-10-19T00:00:00"/>
        <d v="2025-05-24T00:00:00"/>
        <d v="2025-06-03T00:00:00"/>
        <d v="2024-10-31T00:00:00"/>
        <d v="2024-12-22T00:00:00"/>
        <d v="2025-06-19T00:00:00"/>
        <d v="2025-03-08T00:00:00"/>
        <d v="2024-08-23T00:00:00"/>
        <d v="2024-09-29T00:00:00"/>
        <d v="2025-01-28T00:00:00"/>
        <d v="2025-05-07T00:00:00"/>
        <d v="2025-03-16T00:00:00"/>
      </sharedItems>
    </cacheField>
    <cacheField name="stock_quantity" numFmtId="0">
      <sharedItems containsSemiMixedTypes="0" containsString="0" containsNumber="1" containsInteger="1" minValue="0" maxValue="50"/>
    </cacheField>
    <cacheField name="customer_rating_fix" numFmtId="0">
      <sharedItems containsSemiMixedTypes="0" containsString="0" containsNumber="1" minValue="1" maxValue="5"/>
    </cacheField>
    <cacheField name="is_returned" numFmtId="0">
      <sharedItems/>
    </cacheField>
    <cacheField name="return_reason" numFmtId="0">
      <sharedItems containsBlank="1"/>
    </cacheField>
    <cacheField name="Current value" numFmtId="0" formula="current_price*stock_quantity" databaseField="0"/>
    <cacheField name="original value" numFmtId="0" formula="original_price*stock_quantity" databaseField="0"/>
    <cacheField name="Markdown loss" numFmtId="0" formula=" (original_price-current_price)*stock_quantity"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903.676339351849" createdVersion="4" refreshedVersion="4" minRefreshableVersion="3" recordCount="2176">
  <cacheSource type="worksheet">
    <worksheetSource ref="A1:Q2177" sheet="raw data"/>
  </cacheSource>
  <cacheFields count="17">
    <cacheField name="product_id" numFmtId="0">
      <sharedItems/>
    </cacheField>
    <cacheField name="category" numFmtId="0">
      <sharedItems count="6">
        <s v="Outerwear"/>
        <s v="Tops"/>
        <s v="Accessories"/>
        <s v="Shoes"/>
        <s v="Bottoms"/>
        <s v="Dresses"/>
      </sharedItems>
    </cacheField>
    <cacheField name="brand" numFmtId="0">
      <sharedItems count="8">
        <s v="Zara"/>
        <s v="Uniqlo"/>
        <s v="Banana Republic"/>
        <s v="Mango"/>
        <s v="H&amp;M"/>
        <s v="Ann Taylor"/>
        <s v="Gap"/>
        <s v="Forever21"/>
      </sharedItems>
    </cacheField>
    <cacheField name="season" numFmtId="0">
      <sharedItems count="4">
        <s v="Spring"/>
        <s v="Winter"/>
        <s v="Fall"/>
        <s v="Summer"/>
      </sharedItems>
    </cacheField>
    <cacheField name="size" numFmtId="0">
      <sharedItems containsBlank="1"/>
    </cacheField>
    <cacheField name="color" numFmtId="0">
      <sharedItems count="11">
        <s v="Red"/>
        <s v="Pink"/>
        <s v="Black"/>
        <s v="White"/>
        <s v="Gray"/>
        <s v="Blue"/>
        <s v="Green"/>
        <s v="Beige"/>
        <s v="Navy"/>
        <s v="Purple"/>
        <s v="Brown"/>
      </sharedItems>
    </cacheField>
    <cacheField name="original_price" numFmtId="0">
      <sharedItems containsSemiMixedTypes="0" containsString="0" containsNumber="1" minValue="15.14" maxValue="249.98"/>
    </cacheField>
    <cacheField name="markdown_percentage" numFmtId="0">
      <sharedItems containsSemiMixedTypes="0" containsString="0" containsNumber="1" minValue="0" maxValue="59.9"/>
    </cacheField>
    <cacheField name="current_price" numFmtId="0">
      <sharedItems containsSemiMixedTypes="0" containsString="0" containsNumber="1" minValue="7.29" maxValue="249.98"/>
    </cacheField>
    <cacheField name="purchase_date" numFmtId="164">
      <sharedItems containsSemiMixedTypes="0" containsNonDate="0" containsDate="1" containsString="0" minDate="2024-08-06T00:00:00" maxDate="2025-08-07T00:00:00"/>
    </cacheField>
    <cacheField name="stock_quantity" numFmtId="0">
      <sharedItems containsSemiMixedTypes="0" containsString="0" containsNumber="1" containsInteger="1" minValue="0" maxValue="50"/>
    </cacheField>
    <cacheField name="customer_rating_fix" numFmtId="1">
      <sharedItems containsSemiMixedTypes="0" containsString="0" containsNumber="1" minValue="1" maxValue="5" count="89">
        <n v="3"/>
        <n v="2.5"/>
        <n v="4.3"/>
        <n v="2.6"/>
        <n v="2.953125"/>
        <n v="2.9"/>
        <n v="1.6"/>
        <n v="3.15"/>
        <n v="2.9228571428571426"/>
        <n v="4.4000000000000004"/>
        <n v="3.4"/>
        <n v="3.0575757575757576"/>
        <n v="1.7"/>
        <n v="2.4"/>
        <n v="4.5999999999999996"/>
        <n v="3.5"/>
        <n v="4.0999999999999996"/>
        <n v="3.7"/>
        <n v="2.8142857142857149"/>
        <n v="1.2"/>
        <n v="3.6"/>
        <n v="1.1000000000000001"/>
        <n v="3.8"/>
        <n v="2.9083333333333328"/>
        <n v="2.9074999999999998"/>
        <n v="1.5"/>
        <n v="4.9000000000000004"/>
        <n v="2.9153846153846157"/>
        <n v="3.0384615384615379"/>
        <n v="3.34"/>
        <n v="4"/>
        <n v="3.3"/>
        <n v="2.8"/>
        <n v="2.8694444444444449"/>
        <n v="1.8"/>
        <n v="4.5"/>
        <n v="4.2"/>
        <n v="2.9034482758620692"/>
        <n v="3.9"/>
        <n v="2.2999999999999998"/>
        <n v="1.4"/>
        <n v="2.9804347826086954"/>
        <n v="1.9"/>
        <n v="2.9636363636363638"/>
        <n v="3.0068965517241386"/>
        <n v="2.4137931034482762"/>
        <n v="3.0305555555555546"/>
        <n v="3.1"/>
        <n v="3.0659090909090896"/>
        <n v="1.3"/>
        <n v="1"/>
        <n v="4.8"/>
        <n v="4.7"/>
        <n v="3.2"/>
        <n v="2.1"/>
        <n v="3.1288461538461547"/>
        <n v="3.0846153846153843"/>
        <n v="2.8205128205128198"/>
        <n v="3.1799999999999997"/>
        <n v="2.7030303030303036"/>
        <n v="2.9742857142857138"/>
        <n v="2.9718749999999998"/>
        <n v="3.1874999999999991"/>
        <n v="3.2576923076923077"/>
        <n v="5"/>
        <n v="2.9210526315789478"/>
        <n v="2"/>
        <n v="2.7"/>
        <n v="2.9846153846153847"/>
        <n v="2.9181818181818175"/>
        <n v="2.980952380952381"/>
        <n v="3.2731707317073173"/>
        <n v="2.5131578947368416"/>
        <n v="2.7333333333333334"/>
        <n v="3.1936170212765949"/>
        <n v="3.0424242424242425"/>
        <n v="3.3021276595744684"/>
        <n v="3.1021739130434773"/>
        <n v="2.9116666666666675"/>
        <n v="3.0177777777777774"/>
        <n v="3.2720930232558145"/>
        <n v="2.2000000000000002"/>
        <n v="2.9000000000000008"/>
        <n v="3.1666666666666665"/>
        <n v="2.9657142857142857"/>
        <n v="2.8636363636363633"/>
        <n v="2.6870967741935483"/>
        <n v="3.1051282051282048"/>
        <n v="2.8372093023255811"/>
      </sharedItems>
    </cacheField>
    <cacheField name="is_returned" numFmtId="0">
      <sharedItems count="2">
        <b v="0"/>
        <b v="1"/>
      </sharedItems>
    </cacheField>
    <cacheField name="return_reason" numFmtId="0">
      <sharedItems containsBlank="1" count="7">
        <m/>
        <s v="Color Mismatch"/>
        <s v="Size Issue"/>
        <s v="Damaged"/>
        <s v="Quality Issue"/>
        <s v="Changed Mind"/>
        <s v="Wrong Item"/>
      </sharedItems>
    </cacheField>
    <cacheField name="Inventory  Age" numFmtId="0">
      <sharedItems containsSemiMixedTypes="0" containsString="0" containsNumber="1" containsInteger="1" minValue="28" maxValue="393"/>
    </cacheField>
    <cacheField name="diskon x stock" numFmtId="0">
      <sharedItems containsSemiMixedTypes="0" containsString="0" containsNumber="1" minValue="0" maxValue="2955"/>
    </cacheField>
    <cacheField name="Is returned (0/1)" numFmtId="0">
      <sharedItems containsMixedTypes="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5903.757506365742" createdVersion="4" refreshedVersion="4" minRefreshableVersion="3" recordCount="2176">
  <cacheSource type="worksheet">
    <worksheetSource ref="A1:R2177" sheet="raw data"/>
  </cacheSource>
  <cacheFields count="19">
    <cacheField name="product_id" numFmtId="0">
      <sharedItems/>
    </cacheField>
    <cacheField name="category" numFmtId="0">
      <sharedItems count="6">
        <s v="Outerwear"/>
        <s v="Tops"/>
        <s v="Accessories"/>
        <s v="Shoes"/>
        <s v="Bottoms"/>
        <s v="Dresses"/>
      </sharedItems>
    </cacheField>
    <cacheField name="brand" numFmtId="0">
      <sharedItems count="8">
        <s v="Zara"/>
        <s v="Uniqlo"/>
        <s v="Banana Republic"/>
        <s v="Mango"/>
        <s v="H&amp;M"/>
        <s v="Ann Taylor"/>
        <s v="Gap"/>
        <s v="Forever21"/>
      </sharedItems>
    </cacheField>
    <cacheField name="season" numFmtId="0">
      <sharedItems count="4">
        <s v="Spring"/>
        <s v="Winter"/>
        <s v="Fall"/>
        <s v="Summer"/>
      </sharedItems>
    </cacheField>
    <cacheField name="size" numFmtId="0">
      <sharedItems containsBlank="1"/>
    </cacheField>
    <cacheField name="color" numFmtId="0">
      <sharedItems/>
    </cacheField>
    <cacheField name="original_price" numFmtId="0">
      <sharedItems containsSemiMixedTypes="0" containsString="0" containsNumber="1" minValue="15.14" maxValue="249.98"/>
    </cacheField>
    <cacheField name="markdown_percentage" numFmtId="0">
      <sharedItems containsSemiMixedTypes="0" containsString="0" containsNumber="1" minValue="0" maxValue="59.9"/>
    </cacheField>
    <cacheField name="current_price" numFmtId="0">
      <sharedItems containsSemiMixedTypes="0" containsString="0" containsNumber="1" minValue="7.29" maxValue="249.98"/>
    </cacheField>
    <cacheField name="purchase_date" numFmtId="164">
      <sharedItems containsSemiMixedTypes="0" containsNonDate="0" containsDate="1" containsString="0" minDate="2024-08-06T00:00:00" maxDate="2025-08-07T00:00:00" count="273">
        <d v="2025-07-05T00:00:00"/>
        <d v="2025-08-06T00:00:00"/>
        <d v="2025-07-07T00:00:00"/>
        <d v="2024-10-29T00:00:00"/>
        <d v="2025-03-24T00:00:00"/>
        <d v="2025-04-25T00:00:00"/>
        <d v="2025-01-04T00:00:00"/>
        <d v="2024-09-24T00:00:00"/>
        <d v="2025-06-11T00:00:00"/>
        <d v="2024-10-24T00:00:00"/>
        <d v="2025-04-16T00:00:00"/>
        <d v="2024-10-16T00:00:00"/>
        <d v="2025-05-03T00:00:00"/>
        <d v="2025-06-12T00:00:00"/>
        <d v="2025-07-10T00:00:00"/>
        <d v="2024-10-25T00:00:00"/>
        <d v="2025-06-01T00:00:00"/>
        <d v="2025-01-26T00:00:00"/>
        <d v="2025-04-01T00:00:00"/>
        <d v="2025-05-10T00:00:00"/>
        <d v="2024-10-14T00:00:00"/>
        <d v="2024-09-13T00:00:00"/>
        <d v="2025-07-25T00:00:00"/>
        <d v="2025-02-10T00:00:00"/>
        <d v="2024-12-29T00:00:00"/>
        <d v="2024-09-09T00:00:00"/>
        <d v="2024-11-08T00:00:00"/>
        <d v="2025-06-17T00:00:00"/>
        <d v="2025-07-20T00:00:00"/>
        <d v="2024-09-06T00:00:00"/>
        <d v="2024-11-25T00:00:00"/>
        <d v="2025-07-04T00:00:00"/>
        <d v="2025-01-14T00:00:00"/>
        <d v="2024-12-06T00:00:00"/>
        <d v="2025-03-05T00:00:00"/>
        <d v="2024-11-16T00:00:00"/>
        <d v="2025-04-12T00:00:00"/>
        <d v="2024-11-04T00:00:00"/>
        <d v="2025-01-13T00:00:00"/>
        <d v="2024-10-01T00:00:00"/>
        <d v="2024-11-03T00:00:00"/>
        <d v="2025-07-16T00:00:00"/>
        <d v="2025-02-17T00:00:00"/>
        <d v="2025-07-24T00:00:00"/>
        <d v="2024-09-15T00:00:00"/>
        <d v="2024-10-03T00:00:00"/>
        <d v="2024-09-12T00:00:00"/>
        <d v="2025-06-20T00:00:00"/>
        <d v="2024-09-17T00:00:00"/>
        <d v="2024-12-19T00:00:00"/>
        <d v="2024-08-28T00:00:00"/>
        <d v="2024-12-03T00:00:00"/>
        <d v="2024-09-26T00:00:00"/>
        <d v="2024-10-04T00:00:00"/>
        <d v="2024-11-23T00:00:00"/>
        <d v="2024-09-28T00:00:00"/>
        <d v="2025-04-29T00:00:00"/>
        <d v="2025-05-23T00:00:00"/>
        <d v="2025-07-17T00:00:00"/>
        <d v="2024-08-21T00:00:00"/>
        <d v="2025-01-30T00:00:00"/>
        <d v="2024-12-27T00:00:00"/>
        <d v="2024-11-02T00:00:00"/>
        <d v="2024-10-10T00:00:00"/>
        <d v="2025-07-14T00:00:00"/>
        <d v="2024-08-16T00:00:00"/>
        <d v="2025-08-01T00:00:00"/>
        <d v="2025-05-08T00:00:00"/>
        <d v="2025-04-26T00:00:00"/>
        <d v="2024-12-25T00:00:00"/>
        <d v="2024-09-27T00:00:00"/>
        <d v="2025-06-27T00:00:00"/>
        <d v="2025-03-30T00:00:00"/>
        <d v="2024-12-23T00:00:00"/>
        <d v="2025-03-31T00:00:00"/>
        <d v="2025-01-22T00:00:00"/>
        <d v="2025-05-26T00:00:00"/>
        <d v="2024-12-04T00:00:00"/>
        <d v="2024-11-21T00:00:00"/>
        <d v="2025-04-06T00:00:00"/>
        <d v="2025-06-13T00:00:00"/>
        <d v="2025-05-09T00:00:00"/>
        <d v="2025-06-10T00:00:00"/>
        <d v="2025-02-01T00:00:00"/>
        <d v="2025-04-23T00:00:00"/>
        <d v="2025-02-09T00:00:00"/>
        <d v="2025-07-29T00:00:00"/>
        <d v="2025-02-15T00:00:00"/>
        <d v="2025-02-23T00:00:00"/>
        <d v="2024-10-08T00:00:00"/>
        <d v="2024-10-23T00:00:00"/>
        <d v="2024-09-21T00:00:00"/>
        <d v="2025-03-14T00:00:00"/>
        <d v="2024-12-02T00:00:00"/>
        <d v="2024-08-20T00:00:00"/>
        <d v="2025-06-18T00:00:00"/>
        <d v="2024-12-20T00:00:00"/>
        <d v="2025-01-23T00:00:00"/>
        <d v="2025-07-31T00:00:00"/>
        <d v="2025-07-03T00:00:00"/>
        <d v="2024-09-07T00:00:00"/>
        <d v="2025-05-06T00:00:00"/>
        <d v="2024-08-08T00:00:00"/>
        <d v="2024-11-07T00:00:00"/>
        <d v="2024-08-07T00:00:00"/>
        <d v="2024-09-25T00:00:00"/>
        <d v="2025-01-18T00:00:00"/>
        <d v="2024-11-14T00:00:00"/>
        <d v="2025-02-05T00:00:00"/>
        <d v="2025-04-10T00:00:00"/>
        <d v="2025-07-23T00:00:00"/>
        <d v="2025-04-09T00:00:00"/>
        <d v="2025-07-22T00:00:00"/>
        <d v="2024-11-27T00:00:00"/>
        <d v="2025-03-28T00:00:00"/>
        <d v="2025-02-11T00:00:00"/>
        <d v="2025-03-18T00:00:00"/>
        <d v="2025-02-28T00:00:00"/>
        <d v="2025-03-06T00:00:00"/>
        <d v="2025-03-25T00:00:00"/>
        <d v="2025-01-21T00:00:00"/>
        <d v="2024-10-12T00:00:00"/>
        <d v="2025-06-07T00:00:00"/>
        <d v="2025-07-27T00:00:00"/>
        <d v="2025-03-20T00:00:00"/>
        <d v="2025-01-31T00:00:00"/>
        <d v="2025-04-04T00:00:00"/>
        <d v="2025-07-02T00:00:00"/>
        <d v="2024-10-07T00:00:00"/>
        <d v="2024-10-26T00:00:00"/>
        <d v="2025-06-24T00:00:00"/>
        <d v="2025-05-16T00:00:00"/>
        <d v="2025-07-15T00:00:00"/>
        <d v="2025-08-05T00:00:00"/>
        <d v="2024-09-01T00:00:00"/>
        <d v="2025-02-03T00:00:00"/>
        <d v="2024-09-10T00:00:00"/>
        <d v="2025-01-19T00:00:00"/>
        <d v="2025-04-18T00:00:00"/>
        <d v="2025-03-13T00:00:00"/>
        <d v="2024-09-08T00:00:00"/>
        <d v="2025-07-11T00:00:00"/>
        <d v="2024-08-29T00:00:00"/>
        <d v="2024-11-17T00:00:00"/>
        <d v="2025-08-02T00:00:00"/>
        <d v="2025-04-13T00:00:00"/>
        <d v="2025-01-07T00:00:00"/>
        <d v="2024-11-22T00:00:00"/>
        <d v="2025-01-27T00:00:00"/>
        <d v="2025-06-04T00:00:00"/>
        <d v="2024-09-22T00:00:00"/>
        <d v="2025-05-15T00:00:00"/>
        <d v="2024-12-21T00:00:00"/>
        <d v="2024-12-16T00:00:00"/>
        <d v="2024-08-18T00:00:00"/>
        <d v="2025-02-24T00:00:00"/>
        <d v="2024-08-06T00:00:00"/>
        <d v="2025-05-19T00:00:00"/>
        <d v="2025-07-30T00:00:00"/>
        <d v="2025-07-28T00:00:00"/>
        <d v="2025-05-21T00:00:00"/>
        <d v="2024-12-08T00:00:00"/>
        <d v="2025-06-05T00:00:00"/>
        <d v="2025-03-17T00:00:00"/>
        <d v="2024-10-02T00:00:00"/>
        <d v="2024-11-09T00:00:00"/>
        <d v="2024-12-24T00:00:00"/>
        <d v="2025-04-22T00:00:00"/>
        <d v="2025-05-12T00:00:00"/>
        <d v="2025-03-29T00:00:00"/>
        <d v="2024-11-06T00:00:00"/>
        <d v="2024-11-28T00:00:00"/>
        <d v="2024-11-15T00:00:00"/>
        <d v="2025-02-14T00:00:00"/>
        <d v="2025-04-17T00:00:00"/>
        <d v="2025-03-27T00:00:00"/>
        <d v="2024-08-17T00:00:00"/>
        <d v="2025-04-30T00:00:00"/>
        <d v="2025-07-08T00:00:00"/>
        <d v="2025-03-22T00:00:00"/>
        <d v="2025-02-04T00:00:00"/>
        <d v="2024-08-10T00:00:00"/>
        <d v="2025-01-29T00:00:00"/>
        <d v="2025-04-15T00:00:00"/>
        <d v="2025-04-02T00:00:00"/>
        <d v="2025-05-28T00:00:00"/>
        <d v="2024-11-26T00:00:00"/>
        <d v="2025-06-28T00:00:00"/>
        <d v="2025-03-07T00:00:00"/>
        <d v="2025-01-17T00:00:00"/>
        <d v="2024-12-30T00:00:00"/>
        <d v="2025-06-09T00:00:00"/>
        <d v="2025-02-18T00:00:00"/>
        <d v="2024-10-21T00:00:00"/>
        <d v="2024-09-19T00:00:00"/>
        <d v="2025-01-12T00:00:00"/>
        <d v="2025-04-05T00:00:00"/>
        <d v="2025-04-14T00:00:00"/>
        <d v="2024-09-02T00:00:00"/>
        <d v="2025-02-07T00:00:00"/>
        <d v="2025-05-18T00:00:00"/>
        <d v="2025-02-26T00:00:00"/>
        <d v="2024-12-17T00:00:00"/>
        <d v="2025-02-16T00:00:00"/>
        <d v="2025-05-30T00:00:00"/>
        <d v="2024-08-12T00:00:00"/>
        <d v="2025-05-11T00:00:00"/>
        <d v="2025-02-20T00:00:00"/>
        <d v="2024-12-10T00:00:00"/>
        <d v="2025-03-11T00:00:00"/>
        <d v="2025-03-03T00:00:00"/>
        <d v="2024-12-05T00:00:00"/>
        <d v="2024-08-26T00:00:00"/>
        <d v="2025-05-01T00:00:00"/>
        <d v="2025-07-26T00:00:00"/>
        <d v="2024-11-11T00:00:00"/>
        <d v="2025-01-08T00:00:00"/>
        <d v="2024-08-15T00:00:00"/>
        <d v="2024-08-19T00:00:00"/>
        <d v="2025-04-07T00:00:00"/>
        <d v="2024-11-12T00:00:00"/>
        <d v="2024-12-12T00:00:00"/>
        <d v="2024-12-07T00:00:00"/>
        <d v="2024-11-20T00:00:00"/>
        <d v="2025-05-17T00:00:00"/>
        <d v="2025-02-13T00:00:00"/>
        <d v="2025-01-02T00:00:00"/>
        <d v="2025-06-15T00:00:00"/>
        <d v="2024-11-13T00:00:00"/>
        <d v="2025-05-14T00:00:00"/>
        <d v="2024-09-30T00:00:00"/>
        <d v="2025-01-24T00:00:00"/>
        <d v="2024-09-03T00:00:00"/>
        <d v="2024-09-05T00:00:00"/>
        <d v="2024-08-22T00:00:00"/>
        <d v="2025-05-20T00:00:00"/>
        <d v="2025-04-28T00:00:00"/>
        <d v="2024-08-27T00:00:00"/>
        <d v="2025-02-12T00:00:00"/>
        <d v="2025-03-09T00:00:00"/>
        <d v="2025-04-24T00:00:00"/>
        <d v="2025-07-13T00:00:00"/>
        <d v="2024-08-25T00:00:00"/>
        <d v="2025-06-14T00:00:00"/>
        <d v="2025-08-03T00:00:00"/>
        <d v="2025-05-27T00:00:00"/>
        <d v="2024-11-24T00:00:00"/>
        <d v="2024-10-27T00:00:00"/>
        <d v="2024-12-31T00:00:00"/>
        <d v="2024-10-15T00:00:00"/>
        <d v="2025-05-02T00:00:00"/>
        <d v="2025-05-29T00:00:00"/>
        <d v="2025-01-09T00:00:00"/>
        <d v="2025-03-15T00:00:00"/>
        <d v="2025-03-26T00:00:00"/>
        <d v="2025-06-08T00:00:00"/>
        <d v="2024-09-20T00:00:00"/>
        <d v="2025-01-15T00:00:00"/>
        <d v="2025-01-10T00:00:00"/>
        <d v="2024-08-30T00:00:00"/>
        <d v="2025-07-09T00:00:00"/>
        <d v="2024-10-19T00:00:00"/>
        <d v="2025-05-24T00:00:00"/>
        <d v="2025-06-03T00:00:00"/>
        <d v="2024-10-31T00:00:00"/>
        <d v="2024-12-22T00:00:00"/>
        <d v="2025-06-19T00:00:00"/>
        <d v="2025-03-08T00:00:00"/>
        <d v="2024-08-23T00:00:00"/>
        <d v="2024-09-29T00:00:00"/>
        <d v="2025-01-28T00:00:00"/>
        <d v="2025-05-07T00:00:00"/>
        <d v="2025-03-16T00:00:00"/>
      </sharedItems>
      <fieldGroup par="18" base="9">
        <rangePr groupBy="months" startDate="2024-08-06T00:00:00" endDate="2025-08-07T00:00:00"/>
        <groupItems count="14">
          <s v="&lt;06/08/2024"/>
          <s v="Jan"/>
          <s v="Feb"/>
          <s v="Mar"/>
          <s v="Apr"/>
          <s v="May"/>
          <s v="Jun"/>
          <s v="Jul"/>
          <s v="Aug"/>
          <s v="Sep"/>
          <s v="Oct"/>
          <s v="Nov"/>
          <s v="Dec"/>
          <s v="&gt;07/08/2025"/>
        </groupItems>
      </fieldGroup>
    </cacheField>
    <cacheField name="stock_quantity" numFmtId="0">
      <sharedItems containsSemiMixedTypes="0" containsString="0" containsNumber="1" containsInteger="1" minValue="0" maxValue="50"/>
    </cacheField>
    <cacheField name="customer_rating_fix" numFmtId="1">
      <sharedItems containsSemiMixedTypes="0" containsString="0" containsNumber="1" minValue="1" maxValue="5"/>
    </cacheField>
    <cacheField name="is_returned" numFmtId="0">
      <sharedItems/>
    </cacheField>
    <cacheField name="return_reason" numFmtId="0">
      <sharedItems containsBlank="1"/>
    </cacheField>
    <cacheField name="Inventory  Age" numFmtId="0">
      <sharedItems containsSemiMixedTypes="0" containsString="0" containsNumber="1" containsInteger="1" minValue="28" maxValue="393"/>
    </cacheField>
    <cacheField name="diskon x stock" numFmtId="0">
      <sharedItems containsSemiMixedTypes="0" containsString="0" containsNumber="1" minValue="0" maxValue="2955"/>
    </cacheField>
    <cacheField name="Is returned (0/1)" numFmtId="0">
      <sharedItems containsMixedTypes="1" containsNumber="1" containsInteger="1" minValue="1" maxValue="1"/>
    </cacheField>
    <cacheField name="Diskon dan tanpa diskon" numFmtId="0">
      <sharedItems count="2">
        <s v="Non diskon"/>
        <s v="Diskon"/>
      </sharedItems>
    </cacheField>
    <cacheField name="Years" numFmtId="0" databaseField="0">
      <fieldGroup base="9">
        <rangePr groupBy="years" startDate="2024-08-06T00:00:00" endDate="2025-08-07T00:00:00"/>
        <groupItems count="4">
          <s v="&lt;06/08/2024"/>
          <s v="2024"/>
          <s v="2025"/>
          <s v="&gt;07/08/2025"/>
        </groupItems>
      </fieldGroup>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905.400204861115" createdVersion="4" refreshedVersion="4" minRefreshableVersion="3" recordCount="2176">
  <cacheSource type="worksheet">
    <worksheetSource ref="A1:O2177" sheet="raw data"/>
  </cacheSource>
  <cacheFields count="16">
    <cacheField name="product_id" numFmtId="0">
      <sharedItems/>
    </cacheField>
    <cacheField name="category" numFmtId="0">
      <sharedItems count="6">
        <s v="Outerwear"/>
        <s v="Tops"/>
        <s v="Accessories"/>
        <s v="Shoes"/>
        <s v="Bottoms"/>
        <s v="Dresses"/>
      </sharedItems>
    </cacheField>
    <cacheField name="brand" numFmtId="0">
      <sharedItems count="8">
        <s v="Zara"/>
        <s v="Uniqlo"/>
        <s v="Banana Republic"/>
        <s v="Mango"/>
        <s v="H&amp;M"/>
        <s v="Ann Taylor"/>
        <s v="Gap"/>
        <s v="Forever21"/>
      </sharedItems>
    </cacheField>
    <cacheField name="season" numFmtId="0">
      <sharedItems count="4">
        <s v="Spring"/>
        <s v="Winter"/>
        <s v="Fall"/>
        <s v="Summer"/>
      </sharedItems>
    </cacheField>
    <cacheField name="size" numFmtId="0">
      <sharedItems containsBlank="1" count="7">
        <s v="XL"/>
        <s v="L"/>
        <m/>
        <s v="S"/>
        <s v="XXL"/>
        <s v="XS"/>
        <s v="M"/>
      </sharedItems>
    </cacheField>
    <cacheField name="color" numFmtId="0">
      <sharedItems count="11">
        <s v="Red"/>
        <s v="Pink"/>
        <s v="Black"/>
        <s v="White"/>
        <s v="Gray"/>
        <s v="Blue"/>
        <s v="Green"/>
        <s v="Beige"/>
        <s v="Navy"/>
        <s v="Purple"/>
        <s v="Brown"/>
      </sharedItems>
    </cacheField>
    <cacheField name="original_price" numFmtId="0">
      <sharedItems containsSemiMixedTypes="0" containsString="0" containsNumber="1" minValue="15.14" maxValue="249.98"/>
    </cacheField>
    <cacheField name="markdown_percentage" numFmtId="0">
      <sharedItems containsSemiMixedTypes="0" containsString="0" containsNumber="1" minValue="0" maxValue="59.9"/>
    </cacheField>
    <cacheField name="current_price" numFmtId="0">
      <sharedItems containsSemiMixedTypes="0" containsString="0" containsNumber="1" minValue="7.29" maxValue="249.98"/>
    </cacheField>
    <cacheField name="purchase_date" numFmtId="164">
      <sharedItems containsSemiMixedTypes="0" containsNonDate="0" containsDate="1" containsString="0" minDate="2024-08-06T00:00:00" maxDate="2025-08-07T00:00:00"/>
    </cacheField>
    <cacheField name="stock_quantity" numFmtId="0">
      <sharedItems containsSemiMixedTypes="0" containsString="0" containsNumber="1" containsInteger="1" minValue="0" maxValue="50"/>
    </cacheField>
    <cacheField name="customer_rating_fix" numFmtId="1">
      <sharedItems containsSemiMixedTypes="0" containsString="0" containsNumber="1" minValue="1" maxValue="5"/>
    </cacheField>
    <cacheField name="is_returned" numFmtId="0">
      <sharedItems/>
    </cacheField>
    <cacheField name="return_reason" numFmtId="0">
      <sharedItems containsBlank="1"/>
    </cacheField>
    <cacheField name="Inventory  Age" numFmtId="1">
      <sharedItems containsSemiMixedTypes="0" containsString="0" containsNumber="1" containsInteger="1" minValue="27" maxValue="392"/>
    </cacheField>
    <cacheField name="markdown precentage" numFmtId="0" formula="markdown_percentage*stock_quantity"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76">
  <r>
    <s v="FB000001"/>
    <x v="0"/>
    <x v="0"/>
    <s v="Spring"/>
    <s v="XL"/>
    <x v="0"/>
    <n v="196.01"/>
    <n v="0"/>
    <n v="196.01"/>
    <x v="0"/>
    <n v="37"/>
    <n v="3"/>
    <b v="0"/>
    <m/>
  </r>
  <r>
    <s v="FB000002"/>
    <x v="1"/>
    <x v="1"/>
    <s v="Winter"/>
    <s v="L"/>
    <x v="1"/>
    <n v="119.64"/>
    <n v="0"/>
    <n v="119.64"/>
    <x v="1"/>
    <n v="2"/>
    <n v="2.5"/>
    <b v="0"/>
    <m/>
  </r>
  <r>
    <s v="FB000003"/>
    <x v="2"/>
    <x v="1"/>
    <s v="Winter"/>
    <m/>
    <x v="2"/>
    <n v="33.799999999999997"/>
    <n v="0"/>
    <n v="33.799999999999997"/>
    <x v="1"/>
    <n v="22"/>
    <n v="4.3"/>
    <b v="0"/>
    <m/>
  </r>
  <r>
    <s v="FB000004"/>
    <x v="3"/>
    <x v="1"/>
    <s v="Spring"/>
    <s v="XL"/>
    <x v="2"/>
    <n v="75.36"/>
    <n v="0"/>
    <n v="75.36"/>
    <x v="2"/>
    <n v="48"/>
    <n v="2.6"/>
    <b v="0"/>
    <m/>
  </r>
  <r>
    <s v="FB000005"/>
    <x v="1"/>
    <x v="2"/>
    <s v="Winter"/>
    <s v="XL"/>
    <x v="2"/>
    <n v="105.02"/>
    <n v="0"/>
    <n v="105.02"/>
    <x v="1"/>
    <n v="10"/>
    <n v="2.953125"/>
    <b v="0"/>
    <m/>
  </r>
  <r>
    <s v="FB000006"/>
    <x v="2"/>
    <x v="0"/>
    <s v="Fall"/>
    <m/>
    <x v="3"/>
    <n v="35.03"/>
    <n v="35.4"/>
    <n v="22.63"/>
    <x v="1"/>
    <n v="38"/>
    <n v="2.9"/>
    <b v="1"/>
    <s v="Color Mismatch"/>
  </r>
  <r>
    <s v="FB000007"/>
    <x v="4"/>
    <x v="0"/>
    <s v="Spring"/>
    <s v="S"/>
    <x v="4"/>
    <n v="53.83"/>
    <n v="54.5"/>
    <n v="24.49"/>
    <x v="3"/>
    <n v="38"/>
    <n v="2.6"/>
    <b v="0"/>
    <m/>
  </r>
  <r>
    <s v="FB000008"/>
    <x v="5"/>
    <x v="3"/>
    <s v="Winter"/>
    <s v="XL"/>
    <x v="5"/>
    <n v="91.55"/>
    <n v="22.1"/>
    <n v="71.319999999999993"/>
    <x v="1"/>
    <n v="47"/>
    <n v="1.6"/>
    <b v="0"/>
    <m/>
  </r>
  <r>
    <s v="FB000009"/>
    <x v="0"/>
    <x v="1"/>
    <s v="Spring"/>
    <s v="XL"/>
    <x v="6"/>
    <n v="227.73"/>
    <n v="12.8"/>
    <n v="198.58"/>
    <x v="4"/>
    <n v="14"/>
    <n v="3.15"/>
    <b v="0"/>
    <m/>
  </r>
  <r>
    <s v="FB000010"/>
    <x v="0"/>
    <x v="4"/>
    <s v="Fall"/>
    <s v="XXL"/>
    <x v="1"/>
    <n v="248.41"/>
    <n v="10.9"/>
    <n v="221.33"/>
    <x v="1"/>
    <n v="37"/>
    <n v="2.9228571428571426"/>
    <b v="0"/>
    <m/>
  </r>
  <r>
    <s v="FB000011"/>
    <x v="1"/>
    <x v="3"/>
    <s v="Spring"/>
    <s v="L"/>
    <x v="2"/>
    <n v="116.84"/>
    <n v="0"/>
    <n v="116.84"/>
    <x v="5"/>
    <n v="3"/>
    <n v="4.4000000000000004"/>
    <b v="0"/>
    <m/>
  </r>
  <r>
    <s v="FB000012"/>
    <x v="3"/>
    <x v="1"/>
    <s v="Winter"/>
    <s v="S"/>
    <x v="5"/>
    <n v="146.97999999999999"/>
    <n v="0"/>
    <n v="146.97999999999999"/>
    <x v="1"/>
    <n v="2"/>
    <n v="3.4"/>
    <b v="0"/>
    <m/>
  </r>
  <r>
    <s v="FB000013"/>
    <x v="4"/>
    <x v="5"/>
    <s v="Spring"/>
    <s v="S"/>
    <x v="3"/>
    <n v="37.51"/>
    <n v="0"/>
    <n v="37.51"/>
    <x v="6"/>
    <n v="43"/>
    <n v="3.0575757575757576"/>
    <b v="0"/>
    <m/>
  </r>
  <r>
    <s v="FB000014"/>
    <x v="5"/>
    <x v="1"/>
    <s v="Fall"/>
    <s v="XS"/>
    <x v="7"/>
    <n v="48.15"/>
    <n v="0"/>
    <n v="48.15"/>
    <x v="1"/>
    <n v="39"/>
    <n v="1.6"/>
    <b v="0"/>
    <m/>
  </r>
  <r>
    <s v="FB000015"/>
    <x v="1"/>
    <x v="3"/>
    <s v="Winter"/>
    <s v="M"/>
    <x v="7"/>
    <n v="79.66"/>
    <n v="0"/>
    <n v="79.66"/>
    <x v="1"/>
    <n v="7"/>
    <n v="1.7"/>
    <b v="0"/>
    <m/>
  </r>
  <r>
    <s v="FB000016"/>
    <x v="2"/>
    <x v="3"/>
    <s v="Winter"/>
    <m/>
    <x v="6"/>
    <n v="67.569999999999993"/>
    <n v="0"/>
    <n v="67.569999999999993"/>
    <x v="1"/>
    <n v="17"/>
    <n v="2.4"/>
    <b v="0"/>
    <m/>
  </r>
  <r>
    <s v="FB000017"/>
    <x v="3"/>
    <x v="6"/>
    <s v="Summer"/>
    <s v="S"/>
    <x v="7"/>
    <n v="123.53"/>
    <n v="0"/>
    <n v="123.53"/>
    <x v="1"/>
    <n v="14"/>
    <n v="4.5999999999999996"/>
    <b v="0"/>
    <m/>
  </r>
  <r>
    <s v="FB000018"/>
    <x v="1"/>
    <x v="5"/>
    <s v="Winter"/>
    <s v="L"/>
    <x v="8"/>
    <n v="102.35"/>
    <n v="0"/>
    <n v="102.35"/>
    <x v="1"/>
    <n v="14"/>
    <n v="3.5"/>
    <b v="0"/>
    <m/>
  </r>
  <r>
    <s v="FB000019"/>
    <x v="0"/>
    <x v="3"/>
    <s v="Summer"/>
    <s v="M"/>
    <x v="9"/>
    <n v="137.94999999999999"/>
    <n v="58.5"/>
    <n v="57.25"/>
    <x v="1"/>
    <n v="16"/>
    <n v="4.0999999999999996"/>
    <b v="0"/>
    <m/>
  </r>
  <r>
    <s v="FB000020"/>
    <x v="0"/>
    <x v="2"/>
    <s v="Summer"/>
    <s v="XXL"/>
    <x v="4"/>
    <n v="142.59"/>
    <n v="0"/>
    <n v="142.59"/>
    <x v="1"/>
    <n v="1"/>
    <n v="3.7"/>
    <b v="0"/>
    <m/>
  </r>
  <r>
    <s v="FB000021"/>
    <x v="4"/>
    <x v="3"/>
    <s v="Fall"/>
    <s v="L"/>
    <x v="7"/>
    <n v="33.33"/>
    <n v="21.8"/>
    <n v="26.06"/>
    <x v="1"/>
    <n v="42"/>
    <n v="2.8142857142857149"/>
    <b v="0"/>
    <m/>
  </r>
  <r>
    <s v="FB000022"/>
    <x v="2"/>
    <x v="0"/>
    <s v="Spring"/>
    <m/>
    <x v="10"/>
    <n v="62.3"/>
    <n v="0"/>
    <n v="62.3"/>
    <x v="7"/>
    <n v="10"/>
    <n v="2.5"/>
    <b v="0"/>
    <m/>
  </r>
  <r>
    <s v="FB000023"/>
    <x v="2"/>
    <x v="0"/>
    <s v="Winter"/>
    <m/>
    <x v="1"/>
    <n v="38.479999999999997"/>
    <n v="0"/>
    <n v="38.479999999999997"/>
    <x v="1"/>
    <n v="46"/>
    <n v="1.2"/>
    <b v="0"/>
    <m/>
  </r>
  <r>
    <s v="FB000024"/>
    <x v="5"/>
    <x v="2"/>
    <s v="Summer"/>
    <s v="XL"/>
    <x v="6"/>
    <n v="91.36"/>
    <n v="0"/>
    <n v="91.36"/>
    <x v="1"/>
    <n v="37"/>
    <n v="1.2"/>
    <b v="1"/>
    <s v="Size Issue"/>
  </r>
  <r>
    <s v="FB000025"/>
    <x v="1"/>
    <x v="7"/>
    <s v="Fall"/>
    <s v="XS"/>
    <x v="5"/>
    <n v="80.47"/>
    <n v="29.1"/>
    <n v="57.05"/>
    <x v="1"/>
    <n v="38"/>
    <n v="3.6"/>
    <b v="0"/>
    <m/>
  </r>
  <r>
    <s v="FB000026"/>
    <x v="4"/>
    <x v="1"/>
    <s v="Spring"/>
    <s v="M"/>
    <x v="0"/>
    <n v="40.89"/>
    <n v="34"/>
    <n v="26.99"/>
    <x v="8"/>
    <n v="16"/>
    <n v="3.7"/>
    <b v="0"/>
    <m/>
  </r>
  <r>
    <s v="FB000027"/>
    <x v="4"/>
    <x v="2"/>
    <s v="Summer"/>
    <s v="L"/>
    <x v="0"/>
    <n v="47.04"/>
    <n v="36"/>
    <n v="30.11"/>
    <x v="1"/>
    <n v="25"/>
    <n v="1.1000000000000001"/>
    <b v="1"/>
    <s v="Damaged"/>
  </r>
  <r>
    <s v="FB000028"/>
    <x v="4"/>
    <x v="6"/>
    <s v="Summer"/>
    <s v="M"/>
    <x v="5"/>
    <n v="53.37"/>
    <n v="0"/>
    <n v="53.37"/>
    <x v="1"/>
    <n v="28"/>
    <n v="3.8"/>
    <b v="0"/>
    <m/>
  </r>
  <r>
    <s v="FB000029"/>
    <x v="5"/>
    <x v="5"/>
    <s v="Summer"/>
    <s v="L"/>
    <x v="3"/>
    <n v="114.35"/>
    <n v="0"/>
    <n v="114.35"/>
    <x v="1"/>
    <n v="6"/>
    <n v="1.2"/>
    <b v="0"/>
    <m/>
  </r>
  <r>
    <s v="FB000030"/>
    <x v="3"/>
    <x v="6"/>
    <s v="Spring"/>
    <s v="XL"/>
    <x v="0"/>
    <n v="77.63"/>
    <n v="0"/>
    <n v="77.63"/>
    <x v="9"/>
    <n v="1"/>
    <n v="2.9083333333333328"/>
    <b v="0"/>
    <m/>
  </r>
  <r>
    <s v="FB000031"/>
    <x v="3"/>
    <x v="1"/>
    <s v="Summer"/>
    <s v="S"/>
    <x v="0"/>
    <n v="71.290000000000006"/>
    <n v="0"/>
    <n v="71.290000000000006"/>
    <x v="1"/>
    <n v="37"/>
    <n v="4.0999999999999996"/>
    <b v="1"/>
    <s v="Quality Issue"/>
  </r>
  <r>
    <s v="FB000032"/>
    <x v="1"/>
    <x v="6"/>
    <s v="Spring"/>
    <s v="L"/>
    <x v="9"/>
    <n v="37.43"/>
    <n v="24.4"/>
    <n v="28.3"/>
    <x v="10"/>
    <n v="5"/>
    <n v="2.9074999999999998"/>
    <b v="0"/>
    <m/>
  </r>
  <r>
    <s v="FB000033"/>
    <x v="3"/>
    <x v="0"/>
    <s v="Spring"/>
    <s v="XL"/>
    <x v="9"/>
    <n v="143.78"/>
    <n v="0"/>
    <n v="143.78"/>
    <x v="11"/>
    <n v="43"/>
    <n v="1.1000000000000001"/>
    <b v="0"/>
    <m/>
  </r>
  <r>
    <s v="FB000034"/>
    <x v="1"/>
    <x v="2"/>
    <s v="Summer"/>
    <s v="XL"/>
    <x v="4"/>
    <n v="88.23"/>
    <n v="0"/>
    <n v="88.23"/>
    <x v="1"/>
    <n v="44"/>
    <n v="1.6"/>
    <b v="0"/>
    <m/>
  </r>
  <r>
    <s v="FB000035"/>
    <x v="2"/>
    <x v="7"/>
    <s v="Fall"/>
    <m/>
    <x v="8"/>
    <n v="58.57"/>
    <n v="0"/>
    <n v="58.57"/>
    <x v="1"/>
    <n v="38"/>
    <n v="1.5"/>
    <b v="0"/>
    <m/>
  </r>
  <r>
    <s v="FB000036"/>
    <x v="1"/>
    <x v="1"/>
    <s v="Winter"/>
    <s v="XXL"/>
    <x v="3"/>
    <n v="119.7"/>
    <n v="5.7"/>
    <n v="112.88"/>
    <x v="1"/>
    <n v="37"/>
    <n v="4.9000000000000004"/>
    <b v="0"/>
    <m/>
  </r>
  <r>
    <s v="FB000037"/>
    <x v="4"/>
    <x v="2"/>
    <s v="Fall"/>
    <s v="XXL"/>
    <x v="6"/>
    <n v="97.06"/>
    <n v="47.8"/>
    <n v="50.67"/>
    <x v="1"/>
    <n v="31"/>
    <n v="4.0999999999999996"/>
    <b v="0"/>
    <m/>
  </r>
  <r>
    <s v="FB000038"/>
    <x v="5"/>
    <x v="2"/>
    <s v="Summer"/>
    <s v="L"/>
    <x v="3"/>
    <n v="110.09"/>
    <n v="0"/>
    <n v="110.09"/>
    <x v="1"/>
    <n v="32"/>
    <n v="3.4"/>
    <b v="0"/>
    <m/>
  </r>
  <r>
    <s v="FB000039"/>
    <x v="3"/>
    <x v="0"/>
    <s v="Winter"/>
    <s v="XS"/>
    <x v="6"/>
    <n v="198.42"/>
    <n v="14.2"/>
    <n v="170.24"/>
    <x v="1"/>
    <n v="10"/>
    <n v="2.9153846153846157"/>
    <b v="0"/>
    <m/>
  </r>
  <r>
    <s v="FB000040"/>
    <x v="4"/>
    <x v="2"/>
    <s v="Winter"/>
    <m/>
    <x v="9"/>
    <n v="101.72"/>
    <n v="0"/>
    <n v="101.72"/>
    <x v="1"/>
    <n v="40"/>
    <n v="3.0384615384615379"/>
    <b v="0"/>
    <m/>
  </r>
  <r>
    <s v="FB000041"/>
    <x v="1"/>
    <x v="1"/>
    <s v="Summer"/>
    <s v="S"/>
    <x v="3"/>
    <n v="117.86"/>
    <n v="0"/>
    <n v="117.86"/>
    <x v="1"/>
    <n v="6"/>
    <n v="3.34"/>
    <b v="0"/>
    <m/>
  </r>
  <r>
    <s v="FB000042"/>
    <x v="1"/>
    <x v="5"/>
    <s v="Summer"/>
    <s v="M"/>
    <x v="6"/>
    <n v="78.86"/>
    <n v="0"/>
    <n v="78.86"/>
    <x v="1"/>
    <n v="22"/>
    <n v="4.3"/>
    <b v="0"/>
    <m/>
  </r>
  <r>
    <s v="FB000043"/>
    <x v="0"/>
    <x v="0"/>
    <s v="Winter"/>
    <s v="XS"/>
    <x v="8"/>
    <n v="216.16"/>
    <n v="51.4"/>
    <n v="105.05"/>
    <x v="1"/>
    <n v="36"/>
    <n v="4"/>
    <b v="0"/>
    <m/>
  </r>
  <r>
    <s v="FB000044"/>
    <x v="3"/>
    <x v="0"/>
    <s v="Spring"/>
    <s v="XL"/>
    <x v="1"/>
    <n v="129.85"/>
    <n v="0"/>
    <n v="129.85"/>
    <x v="5"/>
    <n v="36"/>
    <n v="3.3"/>
    <b v="0"/>
    <m/>
  </r>
  <r>
    <s v="FB000045"/>
    <x v="1"/>
    <x v="2"/>
    <s v="Winter"/>
    <s v="XXL"/>
    <x v="6"/>
    <n v="111.3"/>
    <n v="0"/>
    <n v="111.3"/>
    <x v="1"/>
    <n v="11"/>
    <n v="1.7"/>
    <b v="0"/>
    <m/>
  </r>
  <r>
    <s v="FB000046"/>
    <x v="5"/>
    <x v="1"/>
    <s v="Summer"/>
    <s v="XL"/>
    <x v="10"/>
    <n v="73.650000000000006"/>
    <n v="0"/>
    <n v="73.650000000000006"/>
    <x v="1"/>
    <n v="33"/>
    <n v="3.6"/>
    <b v="0"/>
    <m/>
  </r>
  <r>
    <s v="FB000047"/>
    <x v="3"/>
    <x v="3"/>
    <s v="Summer"/>
    <s v="L"/>
    <x v="1"/>
    <n v="147.13"/>
    <n v="30.3"/>
    <n v="102.55"/>
    <x v="1"/>
    <n v="13"/>
    <n v="4.4000000000000004"/>
    <b v="0"/>
    <m/>
  </r>
  <r>
    <s v="FB000048"/>
    <x v="2"/>
    <x v="5"/>
    <s v="Winter"/>
    <m/>
    <x v="6"/>
    <n v="44.6"/>
    <n v="53.9"/>
    <n v="20.56"/>
    <x v="1"/>
    <n v="42"/>
    <n v="2.4"/>
    <b v="0"/>
    <m/>
  </r>
  <r>
    <s v="FB000049"/>
    <x v="4"/>
    <x v="7"/>
    <s v="Summer"/>
    <s v="XL"/>
    <x v="3"/>
    <n v="101.8"/>
    <n v="0"/>
    <n v="101.8"/>
    <x v="1"/>
    <n v="7"/>
    <n v="2.8"/>
    <b v="0"/>
    <m/>
  </r>
  <r>
    <s v="FB000050"/>
    <x v="2"/>
    <x v="2"/>
    <s v="Summer"/>
    <m/>
    <x v="10"/>
    <n v="16.52"/>
    <n v="55.9"/>
    <n v="7.29"/>
    <x v="1"/>
    <n v="43"/>
    <n v="2.8694444444444449"/>
    <b v="0"/>
    <m/>
  </r>
  <r>
    <s v="FB000051"/>
    <x v="4"/>
    <x v="4"/>
    <s v="Fall"/>
    <s v="M"/>
    <x v="7"/>
    <n v="50.91"/>
    <n v="0"/>
    <n v="50.91"/>
    <x v="1"/>
    <n v="3"/>
    <n v="1.8"/>
    <b v="0"/>
    <m/>
  </r>
  <r>
    <s v="FB000052"/>
    <x v="0"/>
    <x v="7"/>
    <s v="Spring"/>
    <s v="S"/>
    <x v="3"/>
    <n v="222.26"/>
    <n v="0"/>
    <n v="222.26"/>
    <x v="12"/>
    <n v="50"/>
    <n v="4.5"/>
    <b v="0"/>
    <m/>
  </r>
  <r>
    <s v="FB000053"/>
    <x v="3"/>
    <x v="6"/>
    <s v="Summer"/>
    <s v="S"/>
    <x v="8"/>
    <n v="104.14"/>
    <n v="57.1"/>
    <n v="44.68"/>
    <x v="1"/>
    <n v="14"/>
    <n v="1.8"/>
    <b v="0"/>
    <m/>
  </r>
  <r>
    <s v="FB000054"/>
    <x v="0"/>
    <x v="0"/>
    <s v="Spring"/>
    <s v="S"/>
    <x v="3"/>
    <n v="166.76"/>
    <n v="0"/>
    <n v="166.76"/>
    <x v="13"/>
    <n v="21"/>
    <n v="4.2"/>
    <b v="0"/>
    <m/>
  </r>
  <r>
    <s v="FB000055"/>
    <x v="2"/>
    <x v="2"/>
    <s v="Fall"/>
    <m/>
    <x v="2"/>
    <n v="44.13"/>
    <n v="50.9"/>
    <n v="21.67"/>
    <x v="1"/>
    <n v="21"/>
    <n v="3"/>
    <b v="0"/>
    <m/>
  </r>
  <r>
    <s v="FB000056"/>
    <x v="0"/>
    <x v="6"/>
    <s v="Summer"/>
    <s v="S"/>
    <x v="6"/>
    <n v="121.29"/>
    <n v="15.2"/>
    <n v="102.85"/>
    <x v="1"/>
    <n v="42"/>
    <n v="2.9034482758620692"/>
    <b v="0"/>
    <m/>
  </r>
  <r>
    <s v="FB000057"/>
    <x v="1"/>
    <x v="4"/>
    <s v="Spring"/>
    <s v="S"/>
    <x v="7"/>
    <n v="73.709999999999994"/>
    <n v="0"/>
    <n v="73.709999999999994"/>
    <x v="14"/>
    <n v="35"/>
    <n v="3.9"/>
    <b v="1"/>
    <s v="Quality Issue"/>
  </r>
  <r>
    <s v="FB000058"/>
    <x v="4"/>
    <x v="0"/>
    <s v="Spring"/>
    <s v="XL"/>
    <x v="10"/>
    <n v="84.07"/>
    <n v="26.3"/>
    <n v="61.96"/>
    <x v="15"/>
    <n v="19"/>
    <n v="2.2999999999999998"/>
    <b v="1"/>
    <s v="Size Issue"/>
  </r>
  <r>
    <s v="FB000059"/>
    <x v="1"/>
    <x v="3"/>
    <s v="Summer"/>
    <s v="XS"/>
    <x v="2"/>
    <n v="28.59"/>
    <n v="0"/>
    <n v="28.59"/>
    <x v="1"/>
    <n v="39"/>
    <n v="1.4"/>
    <b v="0"/>
    <m/>
  </r>
  <r>
    <s v="FB000060"/>
    <x v="3"/>
    <x v="3"/>
    <s v="Winter"/>
    <s v="XXL"/>
    <x v="5"/>
    <n v="166.49"/>
    <n v="2.6"/>
    <n v="162.16"/>
    <x v="1"/>
    <n v="27"/>
    <n v="2.9804347826086954"/>
    <b v="0"/>
    <m/>
  </r>
  <r>
    <s v="FB000061"/>
    <x v="3"/>
    <x v="5"/>
    <s v="Summer"/>
    <s v="M"/>
    <x v="3"/>
    <n v="145.94999999999999"/>
    <n v="6.6"/>
    <n v="136.32"/>
    <x v="1"/>
    <n v="15"/>
    <n v="4"/>
    <b v="0"/>
    <m/>
  </r>
  <r>
    <s v="FB000062"/>
    <x v="0"/>
    <x v="6"/>
    <s v="Fall"/>
    <s v="M"/>
    <x v="9"/>
    <n v="218.42"/>
    <n v="0"/>
    <n v="218.42"/>
    <x v="1"/>
    <n v="33"/>
    <n v="4.4000000000000004"/>
    <b v="1"/>
    <s v="Changed Mind"/>
  </r>
  <r>
    <s v="FB000063"/>
    <x v="2"/>
    <x v="7"/>
    <s v="Winter"/>
    <m/>
    <x v="3"/>
    <n v="46.17"/>
    <n v="1.1000000000000001"/>
    <n v="45.66"/>
    <x v="1"/>
    <n v="30"/>
    <n v="1.9"/>
    <b v="0"/>
    <m/>
  </r>
  <r>
    <s v="FB000064"/>
    <x v="3"/>
    <x v="4"/>
    <s v="Summer"/>
    <m/>
    <x v="6"/>
    <n v="106.18"/>
    <n v="18"/>
    <n v="87.07"/>
    <x v="1"/>
    <n v="11"/>
    <n v="4.5"/>
    <b v="0"/>
    <m/>
  </r>
  <r>
    <s v="FB000065"/>
    <x v="1"/>
    <x v="0"/>
    <s v="Winter"/>
    <s v="XS"/>
    <x v="4"/>
    <n v="93.33"/>
    <n v="2.4"/>
    <n v="91.09"/>
    <x v="1"/>
    <n v="20"/>
    <n v="4.2"/>
    <b v="0"/>
    <m/>
  </r>
  <r>
    <s v="FB000066"/>
    <x v="4"/>
    <x v="3"/>
    <s v="Spring"/>
    <s v="XS"/>
    <x v="3"/>
    <n v="86.54"/>
    <n v="21.7"/>
    <n v="67.760000000000005"/>
    <x v="16"/>
    <n v="21"/>
    <n v="3.6"/>
    <b v="1"/>
    <s v="Changed Mind"/>
  </r>
  <r>
    <s v="FB000067"/>
    <x v="2"/>
    <x v="5"/>
    <s v="Summer"/>
    <m/>
    <x v="6"/>
    <n v="55.57"/>
    <n v="0"/>
    <n v="55.57"/>
    <x v="1"/>
    <n v="44"/>
    <n v="3.8"/>
    <b v="0"/>
    <m/>
  </r>
  <r>
    <s v="FB000068"/>
    <x v="1"/>
    <x v="7"/>
    <s v="Spring"/>
    <s v="XL"/>
    <x v="2"/>
    <n v="76.5"/>
    <n v="0"/>
    <n v="76.5"/>
    <x v="17"/>
    <n v="17"/>
    <n v="4.5999999999999996"/>
    <b v="0"/>
    <m/>
  </r>
  <r>
    <s v="FB000069"/>
    <x v="5"/>
    <x v="7"/>
    <s v="Spring"/>
    <s v="XS"/>
    <x v="6"/>
    <n v="137.19"/>
    <n v="9.5"/>
    <n v="124.16"/>
    <x v="18"/>
    <n v="17"/>
    <n v="2.9636363636363638"/>
    <b v="0"/>
    <m/>
  </r>
  <r>
    <s v="FB000070"/>
    <x v="1"/>
    <x v="0"/>
    <s v="Summer"/>
    <s v="XL"/>
    <x v="9"/>
    <n v="48.92"/>
    <n v="19.8"/>
    <n v="39.229999999999997"/>
    <x v="1"/>
    <n v="17"/>
    <n v="2.6"/>
    <b v="0"/>
    <m/>
  </r>
  <r>
    <s v="FB000071"/>
    <x v="3"/>
    <x v="5"/>
    <s v="Winter"/>
    <s v="XL"/>
    <x v="3"/>
    <n v="69.819999999999993"/>
    <n v="0"/>
    <n v="69.819999999999993"/>
    <x v="1"/>
    <n v="46"/>
    <n v="3.0068965517241386"/>
    <b v="1"/>
    <s v="Wrong Item"/>
  </r>
  <r>
    <s v="FB000072"/>
    <x v="0"/>
    <x v="3"/>
    <s v="Summer"/>
    <s v="XXL"/>
    <x v="0"/>
    <n v="199.39"/>
    <n v="7.4"/>
    <n v="184.64"/>
    <x v="1"/>
    <n v="49"/>
    <n v="2.4137931034482762"/>
    <b v="0"/>
    <m/>
  </r>
  <r>
    <s v="FB000073"/>
    <x v="0"/>
    <x v="2"/>
    <s v="Summer"/>
    <s v="M"/>
    <x v="3"/>
    <n v="222.09"/>
    <n v="55.2"/>
    <n v="99.5"/>
    <x v="1"/>
    <n v="21"/>
    <n v="4.5"/>
    <b v="0"/>
    <m/>
  </r>
  <r>
    <s v="FB000074"/>
    <x v="1"/>
    <x v="3"/>
    <s v="Fall"/>
    <s v="XS"/>
    <x v="0"/>
    <n v="112.86"/>
    <n v="0"/>
    <n v="112.86"/>
    <x v="1"/>
    <n v="8"/>
    <n v="2.9"/>
    <b v="0"/>
    <m/>
  </r>
  <r>
    <s v="FB000075"/>
    <x v="5"/>
    <x v="3"/>
    <s v="Spring"/>
    <s v="XS"/>
    <x v="6"/>
    <n v="100.96"/>
    <n v="0"/>
    <n v="100.96"/>
    <x v="19"/>
    <n v="32"/>
    <n v="3.3"/>
    <b v="0"/>
    <m/>
  </r>
  <r>
    <s v="FB000076"/>
    <x v="0"/>
    <x v="6"/>
    <s v="Spring"/>
    <s v="XL"/>
    <x v="6"/>
    <n v="243.56"/>
    <n v="48"/>
    <n v="126.65"/>
    <x v="20"/>
    <n v="22"/>
    <n v="4.4000000000000004"/>
    <b v="1"/>
    <s v="Changed Mind"/>
  </r>
  <r>
    <s v="FB000077"/>
    <x v="5"/>
    <x v="3"/>
    <s v="Spring"/>
    <s v="XXL"/>
    <x v="0"/>
    <n v="153.32"/>
    <n v="0"/>
    <n v="153.32"/>
    <x v="21"/>
    <n v="43"/>
    <n v="2.9"/>
    <b v="0"/>
    <m/>
  </r>
  <r>
    <s v="FB000078"/>
    <x v="2"/>
    <x v="1"/>
    <s v="Fall"/>
    <m/>
    <x v="9"/>
    <n v="42.95"/>
    <n v="22.5"/>
    <n v="33.29"/>
    <x v="1"/>
    <n v="7"/>
    <n v="1.9"/>
    <b v="1"/>
    <s v="Size Issue"/>
  </r>
  <r>
    <s v="FB000079"/>
    <x v="1"/>
    <x v="4"/>
    <s v="Summer"/>
    <s v="S"/>
    <x v="6"/>
    <n v="30.79"/>
    <n v="0"/>
    <n v="30.79"/>
    <x v="1"/>
    <n v="36"/>
    <n v="3.4"/>
    <b v="0"/>
    <m/>
  </r>
  <r>
    <s v="FB000080"/>
    <x v="2"/>
    <x v="1"/>
    <s v="Fall"/>
    <m/>
    <x v="10"/>
    <n v="59.85"/>
    <n v="0"/>
    <n v="59.85"/>
    <x v="1"/>
    <n v="38"/>
    <n v="4"/>
    <b v="0"/>
    <m/>
  </r>
  <r>
    <s v="FB000081"/>
    <x v="1"/>
    <x v="2"/>
    <s v="Spring"/>
    <s v="S"/>
    <x v="8"/>
    <n v="78.16"/>
    <n v="19.100000000000001"/>
    <n v="63.23"/>
    <x v="22"/>
    <n v="23"/>
    <n v="2.953125"/>
    <b v="0"/>
    <m/>
  </r>
  <r>
    <s v="FB000082"/>
    <x v="1"/>
    <x v="5"/>
    <s v="Fall"/>
    <s v="M"/>
    <x v="3"/>
    <n v="113.17"/>
    <n v="19.100000000000001"/>
    <n v="91.55"/>
    <x v="1"/>
    <n v="15"/>
    <n v="4.9000000000000004"/>
    <b v="0"/>
    <m/>
  </r>
  <r>
    <s v="FB000083"/>
    <x v="5"/>
    <x v="5"/>
    <s v="Winter"/>
    <s v="S"/>
    <x v="5"/>
    <n v="174.13"/>
    <n v="0"/>
    <n v="174.13"/>
    <x v="1"/>
    <n v="34"/>
    <n v="3.7"/>
    <b v="0"/>
    <m/>
  </r>
  <r>
    <s v="FB000084"/>
    <x v="3"/>
    <x v="0"/>
    <s v="Summer"/>
    <s v="XS"/>
    <x v="9"/>
    <n v="191.96"/>
    <n v="0"/>
    <n v="191.96"/>
    <x v="1"/>
    <n v="50"/>
    <n v="2.9153846153846157"/>
    <b v="0"/>
    <m/>
  </r>
  <r>
    <s v="FB000085"/>
    <x v="0"/>
    <x v="5"/>
    <s v="Spring"/>
    <s v="XL"/>
    <x v="7"/>
    <n v="222.55"/>
    <n v="22.6"/>
    <n v="172.25"/>
    <x v="23"/>
    <n v="50"/>
    <n v="3.0305555555555546"/>
    <b v="0"/>
    <m/>
  </r>
  <r>
    <s v="FB000086"/>
    <x v="4"/>
    <x v="7"/>
    <s v="Winter"/>
    <s v="XS"/>
    <x v="2"/>
    <n v="37.85"/>
    <n v="11.9"/>
    <n v="33.35"/>
    <x v="1"/>
    <n v="45"/>
    <n v="3.4"/>
    <b v="1"/>
    <s v="Changed Mind"/>
  </r>
  <r>
    <s v="FB000087"/>
    <x v="0"/>
    <x v="1"/>
    <s v="Summer"/>
    <s v="M"/>
    <x v="4"/>
    <n v="241.09"/>
    <n v="0"/>
    <n v="241.09"/>
    <x v="1"/>
    <n v="26"/>
    <n v="3.15"/>
    <b v="0"/>
    <m/>
  </r>
  <r>
    <s v="FB000088"/>
    <x v="5"/>
    <x v="2"/>
    <s v="Spring"/>
    <s v="S"/>
    <x v="8"/>
    <n v="136.97"/>
    <n v="0"/>
    <n v="136.97"/>
    <x v="15"/>
    <n v="17"/>
    <n v="4.4000000000000004"/>
    <b v="1"/>
    <s v="Quality Issue"/>
  </r>
  <r>
    <s v="FB000089"/>
    <x v="3"/>
    <x v="4"/>
    <s v="Spring"/>
    <s v="M"/>
    <x v="5"/>
    <n v="113.79"/>
    <n v="55.3"/>
    <n v="50.86"/>
    <x v="24"/>
    <n v="47"/>
    <n v="4.0999999999999996"/>
    <b v="0"/>
    <m/>
  </r>
  <r>
    <s v="FB000090"/>
    <x v="4"/>
    <x v="4"/>
    <s v="Summer"/>
    <s v="XXL"/>
    <x v="3"/>
    <n v="93.23"/>
    <n v="40"/>
    <n v="55.94"/>
    <x v="1"/>
    <n v="46"/>
    <n v="1.9"/>
    <b v="0"/>
    <m/>
  </r>
  <r>
    <s v="FB000091"/>
    <x v="3"/>
    <x v="1"/>
    <s v="Spring"/>
    <s v="S"/>
    <x v="8"/>
    <n v="106.24"/>
    <n v="6.4"/>
    <n v="99.44"/>
    <x v="25"/>
    <n v="50"/>
    <n v="1.5"/>
    <b v="0"/>
    <m/>
  </r>
  <r>
    <s v="FB000092"/>
    <x v="2"/>
    <x v="0"/>
    <s v="Winter"/>
    <m/>
    <x v="10"/>
    <n v="30.95"/>
    <n v="0"/>
    <n v="30.95"/>
    <x v="1"/>
    <n v="27"/>
    <n v="3.1"/>
    <b v="1"/>
    <s v="Changed Mind"/>
  </r>
  <r>
    <s v="FB000093"/>
    <x v="3"/>
    <x v="0"/>
    <s v="Summer"/>
    <s v="S"/>
    <x v="2"/>
    <n v="76.92"/>
    <n v="49.5"/>
    <n v="38.840000000000003"/>
    <x v="1"/>
    <n v="7"/>
    <n v="1.1000000000000001"/>
    <b v="0"/>
    <m/>
  </r>
  <r>
    <s v="FB000094"/>
    <x v="4"/>
    <x v="4"/>
    <s v="Fall"/>
    <s v="XS"/>
    <x v="7"/>
    <n v="80.64"/>
    <n v="0"/>
    <n v="80.64"/>
    <x v="1"/>
    <n v="26"/>
    <n v="3.0659090909090896"/>
    <b v="0"/>
    <m/>
  </r>
  <r>
    <s v="FB000095"/>
    <x v="4"/>
    <x v="0"/>
    <s v="Fall"/>
    <s v="XS"/>
    <x v="7"/>
    <n v="32.46"/>
    <n v="52.4"/>
    <n v="15.45"/>
    <x v="1"/>
    <n v="14"/>
    <n v="3.9"/>
    <b v="0"/>
    <m/>
  </r>
  <r>
    <s v="FB000096"/>
    <x v="2"/>
    <x v="6"/>
    <s v="Summer"/>
    <m/>
    <x v="2"/>
    <n v="54.79"/>
    <n v="0"/>
    <n v="54.79"/>
    <x v="1"/>
    <n v="12"/>
    <n v="4.5"/>
    <b v="0"/>
    <m/>
  </r>
  <r>
    <s v="FB000097"/>
    <x v="4"/>
    <x v="4"/>
    <s v="Winter"/>
    <s v="M"/>
    <x v="1"/>
    <n v="71.14"/>
    <n v="56.4"/>
    <n v="31.02"/>
    <x v="1"/>
    <n v="12"/>
    <n v="3.4"/>
    <b v="0"/>
    <m/>
  </r>
  <r>
    <s v="FB000098"/>
    <x v="4"/>
    <x v="5"/>
    <s v="Summer"/>
    <s v="XXL"/>
    <x v="8"/>
    <n v="57.85"/>
    <n v="0"/>
    <n v="57.85"/>
    <x v="1"/>
    <n v="36"/>
    <n v="3.5"/>
    <b v="0"/>
    <m/>
  </r>
  <r>
    <s v="FB000099"/>
    <x v="4"/>
    <x v="0"/>
    <s v="Summer"/>
    <s v="XS"/>
    <x v="6"/>
    <n v="33.369999999999997"/>
    <n v="3"/>
    <n v="32.369999999999997"/>
    <x v="1"/>
    <n v="40"/>
    <n v="1.3"/>
    <b v="0"/>
    <m/>
  </r>
  <r>
    <s v="FB000100"/>
    <x v="1"/>
    <x v="6"/>
    <s v="Summer"/>
    <s v="L"/>
    <x v="2"/>
    <n v="91.83"/>
    <n v="0"/>
    <n v="91.83"/>
    <x v="1"/>
    <n v="39"/>
    <n v="4.9000000000000004"/>
    <b v="0"/>
    <m/>
  </r>
  <r>
    <s v="FB000101"/>
    <x v="4"/>
    <x v="0"/>
    <s v="Fall"/>
    <s v="L"/>
    <x v="3"/>
    <n v="60.12"/>
    <n v="19.5"/>
    <n v="48.4"/>
    <x v="1"/>
    <n v="42"/>
    <n v="1"/>
    <b v="0"/>
    <m/>
  </r>
  <r>
    <s v="FB000102"/>
    <x v="5"/>
    <x v="2"/>
    <s v="Winter"/>
    <s v="S"/>
    <x v="3"/>
    <n v="163.5"/>
    <n v="0"/>
    <n v="163.5"/>
    <x v="1"/>
    <n v="34"/>
    <n v="4.9000000000000004"/>
    <b v="0"/>
    <m/>
  </r>
  <r>
    <s v="FB000103"/>
    <x v="5"/>
    <x v="1"/>
    <s v="Spring"/>
    <s v="S"/>
    <x v="7"/>
    <n v="126.37"/>
    <n v="0"/>
    <n v="126.37"/>
    <x v="26"/>
    <n v="25"/>
    <n v="1.8"/>
    <b v="0"/>
    <m/>
  </r>
  <r>
    <s v="FB000104"/>
    <x v="4"/>
    <x v="1"/>
    <s v="Winter"/>
    <s v="L"/>
    <x v="8"/>
    <n v="50.01"/>
    <n v="58.2"/>
    <n v="20.9"/>
    <x v="1"/>
    <n v="32"/>
    <n v="4.8"/>
    <b v="0"/>
    <m/>
  </r>
  <r>
    <s v="FB000105"/>
    <x v="3"/>
    <x v="4"/>
    <s v="Winter"/>
    <s v="S"/>
    <x v="0"/>
    <n v="84.31"/>
    <n v="0"/>
    <n v="84.31"/>
    <x v="1"/>
    <n v="10"/>
    <n v="3.9"/>
    <b v="0"/>
    <m/>
  </r>
  <r>
    <s v="FB000106"/>
    <x v="4"/>
    <x v="2"/>
    <s v="Spring"/>
    <s v="XL"/>
    <x v="7"/>
    <n v="100.98"/>
    <n v="0"/>
    <n v="100.98"/>
    <x v="27"/>
    <n v="21"/>
    <n v="2.8"/>
    <b v="0"/>
    <m/>
  </r>
  <r>
    <s v="FB000107"/>
    <x v="4"/>
    <x v="2"/>
    <s v="Summer"/>
    <s v="M"/>
    <x v="7"/>
    <n v="38.020000000000003"/>
    <n v="0"/>
    <n v="38.020000000000003"/>
    <x v="1"/>
    <n v="44"/>
    <n v="4.7"/>
    <b v="0"/>
    <m/>
  </r>
  <r>
    <s v="FB000108"/>
    <x v="4"/>
    <x v="4"/>
    <s v="Fall"/>
    <s v="XL"/>
    <x v="5"/>
    <n v="63.85"/>
    <n v="0"/>
    <n v="63.85"/>
    <x v="1"/>
    <n v="41"/>
    <n v="3.0659090909090896"/>
    <b v="0"/>
    <m/>
  </r>
  <r>
    <s v="FB000109"/>
    <x v="3"/>
    <x v="4"/>
    <s v="Fall"/>
    <s v="XS"/>
    <x v="8"/>
    <n v="183.15"/>
    <n v="0"/>
    <n v="183.15"/>
    <x v="1"/>
    <n v="23"/>
    <n v="4.0999999999999996"/>
    <b v="0"/>
    <m/>
  </r>
  <r>
    <s v="FB000110"/>
    <x v="5"/>
    <x v="0"/>
    <s v="Winter"/>
    <s v="S"/>
    <x v="4"/>
    <n v="91"/>
    <n v="59.5"/>
    <n v="36.86"/>
    <x v="1"/>
    <n v="5"/>
    <n v="3.9"/>
    <b v="0"/>
    <m/>
  </r>
  <r>
    <s v="FB000111"/>
    <x v="0"/>
    <x v="1"/>
    <s v="Spring"/>
    <s v="L"/>
    <x v="2"/>
    <n v="92.83"/>
    <n v="0"/>
    <n v="92.83"/>
    <x v="28"/>
    <n v="9"/>
    <n v="1.2"/>
    <b v="0"/>
    <m/>
  </r>
  <r>
    <s v="FB000112"/>
    <x v="2"/>
    <x v="2"/>
    <s v="Winter"/>
    <m/>
    <x v="10"/>
    <n v="34.450000000000003"/>
    <n v="0"/>
    <n v="34.450000000000003"/>
    <x v="1"/>
    <n v="4"/>
    <n v="4.5"/>
    <b v="0"/>
    <m/>
  </r>
  <r>
    <s v="FB000113"/>
    <x v="5"/>
    <x v="4"/>
    <s v="Fall"/>
    <s v="S"/>
    <x v="9"/>
    <n v="128.15"/>
    <n v="50"/>
    <n v="64.08"/>
    <x v="1"/>
    <n v="28"/>
    <n v="3.2"/>
    <b v="0"/>
    <m/>
  </r>
  <r>
    <s v="FB000114"/>
    <x v="1"/>
    <x v="3"/>
    <s v="Summer"/>
    <s v="XXL"/>
    <x v="0"/>
    <n v="99.62"/>
    <n v="33.799999999999997"/>
    <n v="65.95"/>
    <x v="1"/>
    <n v="27"/>
    <n v="2.1"/>
    <b v="0"/>
    <m/>
  </r>
  <r>
    <s v="FB000115"/>
    <x v="4"/>
    <x v="7"/>
    <s v="Winter"/>
    <s v="S"/>
    <x v="1"/>
    <n v="87.39"/>
    <n v="25.5"/>
    <n v="65.11"/>
    <x v="1"/>
    <n v="8"/>
    <n v="2.2999999999999998"/>
    <b v="0"/>
    <m/>
  </r>
  <r>
    <s v="FB000116"/>
    <x v="1"/>
    <x v="0"/>
    <s v="Spring"/>
    <s v="XXL"/>
    <x v="10"/>
    <n v="49.67"/>
    <n v="0"/>
    <n v="49.67"/>
    <x v="29"/>
    <n v="37"/>
    <n v="2.2999999999999998"/>
    <b v="0"/>
    <m/>
  </r>
  <r>
    <s v="FB000117"/>
    <x v="2"/>
    <x v="1"/>
    <s v="Fall"/>
    <m/>
    <x v="10"/>
    <n v="72.040000000000006"/>
    <n v="0"/>
    <n v="72.040000000000006"/>
    <x v="1"/>
    <n v="48"/>
    <n v="3.1288461538461547"/>
    <b v="1"/>
    <s v="Wrong Item"/>
  </r>
  <r>
    <s v="FB000118"/>
    <x v="5"/>
    <x v="0"/>
    <s v="Spring"/>
    <s v="M"/>
    <x v="8"/>
    <n v="133.82"/>
    <n v="0"/>
    <n v="133.82"/>
    <x v="30"/>
    <n v="12"/>
    <n v="1.7"/>
    <b v="0"/>
    <m/>
  </r>
  <r>
    <s v="FB000119"/>
    <x v="4"/>
    <x v="1"/>
    <s v="Winter"/>
    <s v="S"/>
    <x v="2"/>
    <n v="62.93"/>
    <n v="0"/>
    <n v="62.93"/>
    <x v="1"/>
    <n v="49"/>
    <n v="3.0846153846153843"/>
    <b v="0"/>
    <m/>
  </r>
  <r>
    <s v="FB000120"/>
    <x v="0"/>
    <x v="0"/>
    <s v="Spring"/>
    <s v="L"/>
    <x v="0"/>
    <n v="248.58"/>
    <n v="0"/>
    <n v="248.58"/>
    <x v="31"/>
    <n v="27"/>
    <n v="1.5"/>
    <b v="0"/>
    <m/>
  </r>
  <r>
    <s v="FB000121"/>
    <x v="3"/>
    <x v="1"/>
    <s v="Fall"/>
    <s v="XXL"/>
    <x v="8"/>
    <n v="61.08"/>
    <n v="0"/>
    <n v="61.08"/>
    <x v="1"/>
    <n v="27"/>
    <n v="2.8205128205128198"/>
    <b v="1"/>
    <s v="Changed Mind"/>
  </r>
  <r>
    <s v="FB000122"/>
    <x v="4"/>
    <x v="6"/>
    <s v="Winter"/>
    <s v="S"/>
    <x v="0"/>
    <n v="109.12"/>
    <n v="0"/>
    <n v="109.12"/>
    <x v="1"/>
    <n v="34"/>
    <n v="3.1799999999999997"/>
    <b v="0"/>
    <m/>
  </r>
  <r>
    <s v="FB000123"/>
    <x v="0"/>
    <x v="0"/>
    <s v="Winter"/>
    <s v="XXL"/>
    <x v="9"/>
    <n v="82.91"/>
    <n v="45.9"/>
    <n v="44.85"/>
    <x v="1"/>
    <n v="24"/>
    <n v="2.7030303030303036"/>
    <b v="1"/>
    <s v="Quality Issue"/>
  </r>
  <r>
    <s v="FB000124"/>
    <x v="3"/>
    <x v="4"/>
    <s v="Summer"/>
    <s v="XS"/>
    <x v="9"/>
    <n v="113.53"/>
    <n v="10.9"/>
    <n v="101.16"/>
    <x v="1"/>
    <n v="40"/>
    <n v="2.8"/>
    <b v="0"/>
    <m/>
  </r>
  <r>
    <s v="FB000125"/>
    <x v="2"/>
    <x v="1"/>
    <s v="Winter"/>
    <m/>
    <x v="10"/>
    <n v="38.89"/>
    <n v="51.5"/>
    <n v="18.86"/>
    <x v="1"/>
    <n v="28"/>
    <n v="4.3"/>
    <b v="0"/>
    <m/>
  </r>
  <r>
    <s v="FB000126"/>
    <x v="5"/>
    <x v="6"/>
    <s v="Spring"/>
    <s v="XXL"/>
    <x v="2"/>
    <n v="53.01"/>
    <n v="45.9"/>
    <n v="28.68"/>
    <x v="32"/>
    <n v="37"/>
    <n v="3.7"/>
    <b v="0"/>
    <m/>
  </r>
  <r>
    <s v="FB000127"/>
    <x v="3"/>
    <x v="5"/>
    <s v="Spring"/>
    <s v="XXL"/>
    <x v="5"/>
    <n v="81.64"/>
    <n v="0"/>
    <n v="81.64"/>
    <x v="33"/>
    <n v="50"/>
    <n v="1.1000000000000001"/>
    <b v="0"/>
    <m/>
  </r>
  <r>
    <s v="FB000128"/>
    <x v="3"/>
    <x v="5"/>
    <s v="Spring"/>
    <s v="XXL"/>
    <x v="3"/>
    <n v="125.24"/>
    <n v="21.5"/>
    <n v="98.31"/>
    <x v="29"/>
    <n v="7"/>
    <n v="2.9"/>
    <b v="0"/>
    <m/>
  </r>
  <r>
    <s v="FB000129"/>
    <x v="0"/>
    <x v="5"/>
    <s v="Spring"/>
    <s v="XS"/>
    <x v="1"/>
    <n v="98.61"/>
    <n v="0"/>
    <n v="98.61"/>
    <x v="34"/>
    <n v="1"/>
    <n v="2.6"/>
    <b v="0"/>
    <m/>
  </r>
  <r>
    <s v="FB000130"/>
    <x v="3"/>
    <x v="6"/>
    <s v="Fall"/>
    <s v="XS"/>
    <x v="5"/>
    <n v="77.540000000000006"/>
    <n v="0"/>
    <n v="77.540000000000006"/>
    <x v="1"/>
    <n v="36"/>
    <n v="3.4"/>
    <b v="0"/>
    <m/>
  </r>
  <r>
    <s v="FB000131"/>
    <x v="5"/>
    <x v="2"/>
    <s v="Spring"/>
    <s v="XL"/>
    <x v="9"/>
    <n v="79.13"/>
    <n v="0"/>
    <n v="79.13"/>
    <x v="35"/>
    <n v="11"/>
    <n v="3.6"/>
    <b v="0"/>
    <m/>
  </r>
  <r>
    <s v="FB000132"/>
    <x v="4"/>
    <x v="3"/>
    <s v="Spring"/>
    <s v="S"/>
    <x v="6"/>
    <n v="96.11"/>
    <n v="0"/>
    <n v="96.11"/>
    <x v="36"/>
    <n v="13"/>
    <n v="4.2"/>
    <b v="0"/>
    <m/>
  </r>
  <r>
    <s v="FB000133"/>
    <x v="1"/>
    <x v="3"/>
    <s v="Spring"/>
    <s v="XL"/>
    <x v="3"/>
    <n v="116.61"/>
    <n v="0"/>
    <n v="116.61"/>
    <x v="37"/>
    <n v="31"/>
    <n v="2.9742857142857138"/>
    <b v="0"/>
    <m/>
  </r>
  <r>
    <s v="FB000134"/>
    <x v="2"/>
    <x v="5"/>
    <s v="Winter"/>
    <m/>
    <x v="5"/>
    <n v="57.8"/>
    <n v="27"/>
    <n v="42.19"/>
    <x v="1"/>
    <n v="9"/>
    <n v="1.8"/>
    <b v="0"/>
    <m/>
  </r>
  <r>
    <s v="FB000135"/>
    <x v="1"/>
    <x v="4"/>
    <s v="Spring"/>
    <s v="S"/>
    <x v="3"/>
    <n v="110.78"/>
    <n v="0"/>
    <n v="110.78"/>
    <x v="38"/>
    <n v="9"/>
    <n v="1.4"/>
    <b v="0"/>
    <m/>
  </r>
  <r>
    <s v="FB000136"/>
    <x v="1"/>
    <x v="6"/>
    <s v="Spring"/>
    <s v="L"/>
    <x v="2"/>
    <n v="112.63"/>
    <n v="0"/>
    <n v="112.63"/>
    <x v="20"/>
    <n v="50"/>
    <n v="3.6"/>
    <b v="1"/>
    <s v="Quality Issue"/>
  </r>
  <r>
    <s v="FB000137"/>
    <x v="1"/>
    <x v="4"/>
    <s v="Summer"/>
    <s v="XS"/>
    <x v="9"/>
    <n v="89.36"/>
    <n v="0"/>
    <n v="89.36"/>
    <x v="1"/>
    <n v="24"/>
    <n v="4.3"/>
    <b v="1"/>
    <s v="Damaged"/>
  </r>
  <r>
    <s v="FB000138"/>
    <x v="0"/>
    <x v="7"/>
    <s v="Fall"/>
    <s v="M"/>
    <x v="1"/>
    <n v="127.99"/>
    <n v="0"/>
    <n v="127.99"/>
    <x v="1"/>
    <n v="16"/>
    <n v="2.9718749999999998"/>
    <b v="0"/>
    <m/>
  </r>
  <r>
    <s v="FB000139"/>
    <x v="4"/>
    <x v="0"/>
    <s v="Winter"/>
    <s v="XXL"/>
    <x v="7"/>
    <n v="54.88"/>
    <n v="58.8"/>
    <n v="22.61"/>
    <x v="1"/>
    <n v="50"/>
    <n v="3.5"/>
    <b v="0"/>
    <m/>
  </r>
  <r>
    <s v="FB000140"/>
    <x v="3"/>
    <x v="1"/>
    <s v="Spring"/>
    <s v="L"/>
    <x v="3"/>
    <n v="154.13"/>
    <n v="0"/>
    <n v="154.13"/>
    <x v="39"/>
    <n v="31"/>
    <n v="4.0999999999999996"/>
    <b v="1"/>
    <s v="Size Issue"/>
  </r>
  <r>
    <s v="FB000141"/>
    <x v="5"/>
    <x v="5"/>
    <s v="Spring"/>
    <s v="XS"/>
    <x v="4"/>
    <n v="131.5"/>
    <n v="0"/>
    <n v="131.5"/>
    <x v="40"/>
    <n v="5"/>
    <n v="3.1874999999999991"/>
    <b v="0"/>
    <m/>
  </r>
  <r>
    <s v="FB000142"/>
    <x v="0"/>
    <x v="6"/>
    <s v="Summer"/>
    <s v="M"/>
    <x v="5"/>
    <n v="133.26"/>
    <n v="0"/>
    <n v="133.26"/>
    <x v="1"/>
    <n v="29"/>
    <n v="1.3"/>
    <b v="0"/>
    <m/>
  </r>
  <r>
    <s v="FB000143"/>
    <x v="3"/>
    <x v="7"/>
    <s v="Winter"/>
    <s v="XL"/>
    <x v="0"/>
    <n v="173.91"/>
    <n v="0"/>
    <n v="173.91"/>
    <x v="1"/>
    <n v="21"/>
    <n v="3.2576923076923077"/>
    <b v="0"/>
    <m/>
  </r>
  <r>
    <s v="FB000144"/>
    <x v="1"/>
    <x v="4"/>
    <s v="Spring"/>
    <s v="L"/>
    <x v="7"/>
    <n v="102.99"/>
    <n v="0"/>
    <n v="102.99"/>
    <x v="41"/>
    <n v="41"/>
    <n v="3.9"/>
    <b v="0"/>
    <m/>
  </r>
  <r>
    <s v="FB000145"/>
    <x v="0"/>
    <x v="0"/>
    <s v="Spring"/>
    <s v="L"/>
    <x v="7"/>
    <n v="87.78"/>
    <n v="45.3"/>
    <n v="48.02"/>
    <x v="42"/>
    <n v="34"/>
    <n v="1.8"/>
    <b v="0"/>
    <m/>
  </r>
  <r>
    <s v="FB000146"/>
    <x v="1"/>
    <x v="1"/>
    <s v="Winter"/>
    <m/>
    <x v="7"/>
    <n v="91.8"/>
    <n v="15.8"/>
    <n v="77.3"/>
    <x v="1"/>
    <n v="30"/>
    <n v="4.2"/>
    <b v="0"/>
    <m/>
  </r>
  <r>
    <s v="FB000147"/>
    <x v="1"/>
    <x v="0"/>
    <s v="Winter"/>
    <s v="L"/>
    <x v="3"/>
    <n v="107.32"/>
    <n v="25.4"/>
    <n v="80.06"/>
    <x v="1"/>
    <n v="50"/>
    <n v="4.4000000000000004"/>
    <b v="0"/>
    <m/>
  </r>
  <r>
    <s v="FB000148"/>
    <x v="4"/>
    <x v="2"/>
    <s v="Spring"/>
    <s v="XXL"/>
    <x v="10"/>
    <n v="67.69"/>
    <n v="57.3"/>
    <n v="28.9"/>
    <x v="43"/>
    <n v="50"/>
    <n v="4.5999999999999996"/>
    <b v="0"/>
    <m/>
  </r>
  <r>
    <s v="FB000149"/>
    <x v="1"/>
    <x v="5"/>
    <s v="Summer"/>
    <s v="M"/>
    <x v="7"/>
    <n v="68.11"/>
    <n v="46"/>
    <n v="36.78"/>
    <x v="1"/>
    <n v="3"/>
    <n v="2.5"/>
    <b v="0"/>
    <m/>
  </r>
  <r>
    <s v="FB000150"/>
    <x v="3"/>
    <x v="2"/>
    <s v="Spring"/>
    <s v="L"/>
    <x v="5"/>
    <n v="94.29"/>
    <n v="0"/>
    <n v="94.29"/>
    <x v="44"/>
    <n v="18"/>
    <n v="1.7"/>
    <b v="0"/>
    <m/>
  </r>
  <r>
    <s v="FB000151"/>
    <x v="1"/>
    <x v="5"/>
    <s v="Winter"/>
    <s v="XL"/>
    <x v="4"/>
    <n v="94.97"/>
    <n v="0"/>
    <n v="94.97"/>
    <x v="1"/>
    <n v="46"/>
    <n v="4.3"/>
    <b v="0"/>
    <m/>
  </r>
  <r>
    <s v="FB000152"/>
    <x v="3"/>
    <x v="2"/>
    <s v="Winter"/>
    <s v="M"/>
    <x v="8"/>
    <n v="65.87"/>
    <n v="11.4"/>
    <n v="58.36"/>
    <x v="1"/>
    <n v="15"/>
    <n v="3.9"/>
    <b v="0"/>
    <m/>
  </r>
  <r>
    <s v="FB000153"/>
    <x v="5"/>
    <x v="0"/>
    <s v="Winter"/>
    <s v="XXL"/>
    <x v="5"/>
    <n v="155.06"/>
    <n v="29.4"/>
    <n v="109.47"/>
    <x v="1"/>
    <n v="5"/>
    <n v="3.6"/>
    <b v="0"/>
    <m/>
  </r>
  <r>
    <s v="FB000154"/>
    <x v="0"/>
    <x v="0"/>
    <s v="Winter"/>
    <s v="L"/>
    <x v="10"/>
    <n v="172.59"/>
    <n v="0"/>
    <n v="172.59"/>
    <x v="1"/>
    <n v="1"/>
    <n v="2.1"/>
    <b v="0"/>
    <m/>
  </r>
  <r>
    <s v="FB000155"/>
    <x v="5"/>
    <x v="4"/>
    <s v="Summer"/>
    <s v="M"/>
    <x v="5"/>
    <n v="68.72"/>
    <n v="0"/>
    <n v="68.72"/>
    <x v="1"/>
    <n v="28"/>
    <n v="1.7"/>
    <b v="1"/>
    <s v="Quality Issue"/>
  </r>
  <r>
    <s v="FB000156"/>
    <x v="1"/>
    <x v="2"/>
    <s v="Spring"/>
    <s v="XL"/>
    <x v="5"/>
    <n v="28.78"/>
    <n v="0"/>
    <n v="28.78"/>
    <x v="45"/>
    <n v="21"/>
    <n v="2.953125"/>
    <b v="0"/>
    <m/>
  </r>
  <r>
    <s v="FB000157"/>
    <x v="0"/>
    <x v="4"/>
    <s v="Winter"/>
    <s v="XXL"/>
    <x v="2"/>
    <n v="110.32"/>
    <n v="28.3"/>
    <n v="79.099999999999994"/>
    <x v="1"/>
    <n v="49"/>
    <n v="3.3"/>
    <b v="0"/>
    <m/>
  </r>
  <r>
    <s v="FB000158"/>
    <x v="3"/>
    <x v="3"/>
    <s v="Summer"/>
    <s v="XXL"/>
    <x v="2"/>
    <n v="194.24"/>
    <n v="0"/>
    <n v="194.24"/>
    <x v="1"/>
    <n v="17"/>
    <n v="1.2"/>
    <b v="1"/>
    <s v="Changed Mind"/>
  </r>
  <r>
    <s v="FB000159"/>
    <x v="3"/>
    <x v="6"/>
    <s v="Fall"/>
    <s v="XS"/>
    <x v="7"/>
    <n v="175.91"/>
    <n v="0"/>
    <n v="175.91"/>
    <x v="1"/>
    <n v="4"/>
    <n v="2.8"/>
    <b v="0"/>
    <m/>
  </r>
  <r>
    <s v="FB000160"/>
    <x v="4"/>
    <x v="3"/>
    <s v="Winter"/>
    <s v="XXL"/>
    <x v="4"/>
    <n v="79.34"/>
    <n v="0"/>
    <n v="79.34"/>
    <x v="1"/>
    <n v="30"/>
    <n v="4.4000000000000004"/>
    <b v="0"/>
    <m/>
  </r>
  <r>
    <s v="FB000161"/>
    <x v="4"/>
    <x v="4"/>
    <s v="Summer"/>
    <s v="M"/>
    <x v="6"/>
    <n v="111.88"/>
    <n v="0"/>
    <n v="111.88"/>
    <x v="1"/>
    <n v="41"/>
    <n v="4.5"/>
    <b v="0"/>
    <m/>
  </r>
  <r>
    <s v="FB000162"/>
    <x v="2"/>
    <x v="6"/>
    <s v="Spring"/>
    <m/>
    <x v="8"/>
    <n v="42.84"/>
    <n v="40.6"/>
    <n v="25.45"/>
    <x v="46"/>
    <n v="18"/>
    <n v="2.6"/>
    <b v="0"/>
    <m/>
  </r>
  <r>
    <s v="FB000163"/>
    <x v="4"/>
    <x v="6"/>
    <s v="Spring"/>
    <s v="XXL"/>
    <x v="8"/>
    <n v="26.28"/>
    <n v="1.1000000000000001"/>
    <n v="25.99"/>
    <x v="47"/>
    <n v="35"/>
    <n v="5"/>
    <b v="0"/>
    <m/>
  </r>
  <r>
    <s v="FB000164"/>
    <x v="2"/>
    <x v="4"/>
    <s v="Spring"/>
    <m/>
    <x v="6"/>
    <n v="23.11"/>
    <n v="0"/>
    <n v="23.11"/>
    <x v="48"/>
    <n v="2"/>
    <n v="1.4"/>
    <b v="0"/>
    <m/>
  </r>
  <r>
    <s v="FB000165"/>
    <x v="3"/>
    <x v="0"/>
    <s v="Winter"/>
    <s v="M"/>
    <x v="3"/>
    <n v="168.36"/>
    <n v="0"/>
    <n v="168.36"/>
    <x v="1"/>
    <n v="47"/>
    <n v="2.9153846153846157"/>
    <b v="1"/>
    <s v="Damaged"/>
  </r>
  <r>
    <s v="FB000166"/>
    <x v="3"/>
    <x v="6"/>
    <s v="Fall"/>
    <s v="XL"/>
    <x v="6"/>
    <n v="99.26"/>
    <n v="0"/>
    <n v="99.26"/>
    <x v="1"/>
    <n v="33"/>
    <n v="2.9083333333333328"/>
    <b v="1"/>
    <s v="Quality Issue"/>
  </r>
  <r>
    <s v="FB000167"/>
    <x v="2"/>
    <x v="3"/>
    <s v="Spring"/>
    <m/>
    <x v="2"/>
    <n v="53.66"/>
    <n v="0"/>
    <n v="53.66"/>
    <x v="49"/>
    <n v="40"/>
    <n v="2.8"/>
    <b v="0"/>
    <m/>
  </r>
  <r>
    <s v="FB000168"/>
    <x v="2"/>
    <x v="5"/>
    <s v="Summer"/>
    <m/>
    <x v="4"/>
    <n v="69.709999999999994"/>
    <n v="18"/>
    <n v="57.16"/>
    <x v="1"/>
    <n v="34"/>
    <n v="4.2"/>
    <b v="1"/>
    <s v="Color Mismatch"/>
  </r>
  <r>
    <s v="FB000169"/>
    <x v="5"/>
    <x v="7"/>
    <s v="Fall"/>
    <s v="XXL"/>
    <x v="4"/>
    <n v="60.3"/>
    <n v="21.4"/>
    <n v="47.4"/>
    <x v="1"/>
    <n v="4"/>
    <n v="3.6"/>
    <b v="0"/>
    <m/>
  </r>
  <r>
    <s v="FB000170"/>
    <x v="3"/>
    <x v="2"/>
    <s v="Winter"/>
    <s v="XXL"/>
    <x v="0"/>
    <n v="113.58"/>
    <n v="0"/>
    <n v="113.58"/>
    <x v="1"/>
    <n v="33"/>
    <n v="4.9000000000000004"/>
    <b v="1"/>
    <s v="Wrong Item"/>
  </r>
  <r>
    <s v="FB000171"/>
    <x v="4"/>
    <x v="5"/>
    <s v="Fall"/>
    <s v="XS"/>
    <x v="10"/>
    <n v="54.86"/>
    <n v="1.7"/>
    <n v="53.93"/>
    <x v="1"/>
    <n v="40"/>
    <n v="2.5"/>
    <b v="0"/>
    <m/>
  </r>
  <r>
    <s v="FB000172"/>
    <x v="1"/>
    <x v="0"/>
    <s v="Winter"/>
    <s v="XS"/>
    <x v="0"/>
    <n v="92.25"/>
    <n v="0"/>
    <n v="92.25"/>
    <x v="1"/>
    <n v="13"/>
    <n v="2.8"/>
    <b v="1"/>
    <s v="Damaged"/>
  </r>
  <r>
    <s v="FB000173"/>
    <x v="2"/>
    <x v="5"/>
    <s v="Winter"/>
    <m/>
    <x v="3"/>
    <n v="54.07"/>
    <n v="0"/>
    <n v="54.07"/>
    <x v="1"/>
    <n v="47"/>
    <n v="4.5999999999999996"/>
    <b v="0"/>
    <m/>
  </r>
  <r>
    <s v="FB000174"/>
    <x v="3"/>
    <x v="2"/>
    <s v="Winter"/>
    <s v="XL"/>
    <x v="0"/>
    <n v="104.4"/>
    <n v="0"/>
    <n v="104.4"/>
    <x v="1"/>
    <n v="41"/>
    <n v="3.4"/>
    <b v="0"/>
    <m/>
  </r>
  <r>
    <s v="FB000175"/>
    <x v="5"/>
    <x v="5"/>
    <s v="Spring"/>
    <s v="M"/>
    <x v="4"/>
    <n v="45.97"/>
    <n v="0"/>
    <n v="45.97"/>
    <x v="50"/>
    <n v="37"/>
    <n v="3.2"/>
    <b v="1"/>
    <s v="Quality Issue"/>
  </r>
  <r>
    <s v="FB000176"/>
    <x v="1"/>
    <x v="5"/>
    <s v="Summer"/>
    <s v="XXL"/>
    <x v="2"/>
    <n v="28.79"/>
    <n v="0"/>
    <n v="28.79"/>
    <x v="1"/>
    <n v="4"/>
    <n v="4.4000000000000004"/>
    <b v="0"/>
    <m/>
  </r>
  <r>
    <s v="FB000177"/>
    <x v="0"/>
    <x v="1"/>
    <s v="Winter"/>
    <s v="M"/>
    <x v="4"/>
    <n v="204.21"/>
    <n v="0"/>
    <n v="204.21"/>
    <x v="1"/>
    <n v="5"/>
    <n v="3.3"/>
    <b v="0"/>
    <m/>
  </r>
  <r>
    <s v="FB000178"/>
    <x v="3"/>
    <x v="3"/>
    <s v="Fall"/>
    <s v="XXL"/>
    <x v="1"/>
    <n v="190.75"/>
    <n v="20"/>
    <n v="152.6"/>
    <x v="1"/>
    <n v="47"/>
    <n v="2.9804347826086954"/>
    <b v="0"/>
    <m/>
  </r>
  <r>
    <s v="FB000179"/>
    <x v="1"/>
    <x v="7"/>
    <s v="Winter"/>
    <s v="XS"/>
    <x v="10"/>
    <n v="33.01"/>
    <n v="39.200000000000003"/>
    <n v="20.07"/>
    <x v="1"/>
    <n v="16"/>
    <n v="3.7"/>
    <b v="0"/>
    <m/>
  </r>
  <r>
    <s v="FB000180"/>
    <x v="2"/>
    <x v="2"/>
    <s v="Spring"/>
    <m/>
    <x v="5"/>
    <n v="47.61"/>
    <n v="39.799999999999997"/>
    <n v="28.66"/>
    <x v="51"/>
    <n v="18"/>
    <n v="1.3"/>
    <b v="0"/>
    <m/>
  </r>
  <r>
    <s v="FB000181"/>
    <x v="0"/>
    <x v="4"/>
    <s v="Spring"/>
    <s v="XS"/>
    <x v="0"/>
    <n v="137.16"/>
    <n v="0"/>
    <n v="137.16"/>
    <x v="52"/>
    <n v="34"/>
    <n v="3.2"/>
    <b v="0"/>
    <m/>
  </r>
  <r>
    <s v="FB000182"/>
    <x v="1"/>
    <x v="6"/>
    <s v="Fall"/>
    <s v="M"/>
    <x v="8"/>
    <n v="108.49"/>
    <n v="0"/>
    <n v="108.49"/>
    <x v="1"/>
    <n v="7"/>
    <n v="3.3"/>
    <b v="0"/>
    <m/>
  </r>
  <r>
    <s v="FB000183"/>
    <x v="1"/>
    <x v="2"/>
    <s v="Winter"/>
    <s v="XL"/>
    <x v="6"/>
    <n v="106.49"/>
    <n v="0"/>
    <n v="106.49"/>
    <x v="1"/>
    <n v="23"/>
    <n v="4"/>
    <b v="0"/>
    <m/>
  </r>
  <r>
    <s v="FB000184"/>
    <x v="1"/>
    <x v="3"/>
    <s v="Winter"/>
    <s v="XXL"/>
    <x v="1"/>
    <n v="114.86"/>
    <n v="0"/>
    <n v="114.86"/>
    <x v="1"/>
    <n v="48"/>
    <n v="1.1000000000000001"/>
    <b v="0"/>
    <m/>
  </r>
  <r>
    <s v="FB000185"/>
    <x v="5"/>
    <x v="0"/>
    <s v="Fall"/>
    <s v="L"/>
    <x v="5"/>
    <n v="121.68"/>
    <n v="0"/>
    <n v="121.68"/>
    <x v="1"/>
    <n v="9"/>
    <n v="1.5"/>
    <b v="0"/>
    <m/>
  </r>
  <r>
    <s v="FB000186"/>
    <x v="4"/>
    <x v="0"/>
    <s v="Summer"/>
    <s v="XXL"/>
    <x v="2"/>
    <n v="74.08"/>
    <n v="3.9"/>
    <n v="71.19"/>
    <x v="1"/>
    <n v="37"/>
    <n v="1.7"/>
    <b v="0"/>
    <m/>
  </r>
  <r>
    <s v="FB000187"/>
    <x v="1"/>
    <x v="6"/>
    <s v="Fall"/>
    <s v="M"/>
    <x v="5"/>
    <n v="92.37"/>
    <n v="35.9"/>
    <n v="59.21"/>
    <x v="1"/>
    <n v="20"/>
    <n v="2.9074999999999998"/>
    <b v="0"/>
    <m/>
  </r>
  <r>
    <s v="FB000188"/>
    <x v="1"/>
    <x v="1"/>
    <s v="Summer"/>
    <s v="XXL"/>
    <x v="7"/>
    <n v="34.06"/>
    <n v="0"/>
    <n v="34.06"/>
    <x v="1"/>
    <n v="39"/>
    <n v="4.5"/>
    <b v="0"/>
    <m/>
  </r>
  <r>
    <s v="FB000189"/>
    <x v="5"/>
    <x v="0"/>
    <s v="Summer"/>
    <s v="L"/>
    <x v="1"/>
    <n v="173.42"/>
    <n v="0"/>
    <n v="173.42"/>
    <x v="1"/>
    <n v="47"/>
    <n v="4.2"/>
    <b v="0"/>
    <m/>
  </r>
  <r>
    <s v="FB000190"/>
    <x v="4"/>
    <x v="1"/>
    <s v="Spring"/>
    <s v="XXL"/>
    <x v="10"/>
    <n v="66.510000000000005"/>
    <n v="0"/>
    <n v="66.510000000000005"/>
    <x v="53"/>
    <n v="32"/>
    <n v="2.1"/>
    <b v="0"/>
    <m/>
  </r>
  <r>
    <s v="FB000191"/>
    <x v="4"/>
    <x v="1"/>
    <s v="Fall"/>
    <s v="XXL"/>
    <x v="5"/>
    <n v="72.44"/>
    <n v="7.1"/>
    <n v="67.3"/>
    <x v="1"/>
    <n v="10"/>
    <n v="1.8"/>
    <b v="0"/>
    <m/>
  </r>
  <r>
    <s v="FB000192"/>
    <x v="1"/>
    <x v="5"/>
    <s v="Fall"/>
    <s v="S"/>
    <x v="2"/>
    <n v="81.2"/>
    <n v="0"/>
    <n v="81.2"/>
    <x v="1"/>
    <n v="3"/>
    <n v="1.5"/>
    <b v="0"/>
    <m/>
  </r>
  <r>
    <s v="FB000193"/>
    <x v="0"/>
    <x v="6"/>
    <s v="Summer"/>
    <s v="XXL"/>
    <x v="0"/>
    <n v="104.5"/>
    <n v="12.3"/>
    <n v="91.65"/>
    <x v="1"/>
    <n v="42"/>
    <n v="2.9034482758620692"/>
    <b v="0"/>
    <m/>
  </r>
  <r>
    <s v="FB000194"/>
    <x v="5"/>
    <x v="6"/>
    <s v="Winter"/>
    <s v="XL"/>
    <x v="1"/>
    <n v="57.53"/>
    <n v="13"/>
    <n v="50.05"/>
    <x v="1"/>
    <n v="12"/>
    <n v="4.0999999999999996"/>
    <b v="0"/>
    <m/>
  </r>
  <r>
    <s v="FB000195"/>
    <x v="3"/>
    <x v="2"/>
    <s v="Summer"/>
    <s v="XXL"/>
    <x v="4"/>
    <n v="142.58000000000001"/>
    <n v="0"/>
    <n v="142.58000000000001"/>
    <x v="1"/>
    <n v="25"/>
    <n v="4.8"/>
    <b v="1"/>
    <s v="Quality Issue"/>
  </r>
  <r>
    <s v="FB000196"/>
    <x v="5"/>
    <x v="0"/>
    <s v="Fall"/>
    <s v="XXL"/>
    <x v="6"/>
    <n v="162.22999999999999"/>
    <n v="29.4"/>
    <n v="114.53"/>
    <x v="1"/>
    <n v="41"/>
    <n v="4"/>
    <b v="1"/>
    <s v="Quality Issue"/>
  </r>
  <r>
    <s v="FB000197"/>
    <x v="4"/>
    <x v="5"/>
    <s v="Spring"/>
    <s v="XXL"/>
    <x v="0"/>
    <n v="32.1"/>
    <n v="51.7"/>
    <n v="15.5"/>
    <x v="54"/>
    <n v="27"/>
    <n v="3.0575757575757576"/>
    <b v="0"/>
    <m/>
  </r>
  <r>
    <s v="FB000198"/>
    <x v="3"/>
    <x v="1"/>
    <s v="Fall"/>
    <s v="L"/>
    <x v="2"/>
    <n v="162.41"/>
    <n v="42.7"/>
    <n v="93.06"/>
    <x v="1"/>
    <n v="22"/>
    <n v="4.8"/>
    <b v="0"/>
    <m/>
  </r>
  <r>
    <s v="FB000199"/>
    <x v="1"/>
    <x v="2"/>
    <s v="Fall"/>
    <s v="M"/>
    <x v="4"/>
    <n v="77.459999999999994"/>
    <n v="57.5"/>
    <n v="32.92"/>
    <x v="1"/>
    <n v="23"/>
    <n v="4"/>
    <b v="0"/>
    <m/>
  </r>
  <r>
    <s v="FB000200"/>
    <x v="1"/>
    <x v="4"/>
    <s v="Fall"/>
    <s v="XXL"/>
    <x v="5"/>
    <n v="103.42"/>
    <n v="56.1"/>
    <n v="45.4"/>
    <x v="1"/>
    <n v="4"/>
    <n v="4.7"/>
    <b v="0"/>
    <m/>
  </r>
  <r>
    <s v="FB000201"/>
    <x v="4"/>
    <x v="0"/>
    <s v="Spring"/>
    <s v="XS"/>
    <x v="6"/>
    <n v="42.91"/>
    <n v="33.299999999999997"/>
    <n v="28.62"/>
    <x v="54"/>
    <n v="18"/>
    <n v="2.9210526315789478"/>
    <b v="0"/>
    <m/>
  </r>
  <r>
    <s v="FB000202"/>
    <x v="3"/>
    <x v="0"/>
    <s v="Summer"/>
    <s v="XL"/>
    <x v="6"/>
    <n v="144.91999999999999"/>
    <n v="17"/>
    <n v="120.28"/>
    <x v="1"/>
    <n v="32"/>
    <n v="2"/>
    <b v="0"/>
    <m/>
  </r>
  <r>
    <s v="FB000203"/>
    <x v="3"/>
    <x v="2"/>
    <s v="Summer"/>
    <s v="XS"/>
    <x v="2"/>
    <n v="93.07"/>
    <n v="23.9"/>
    <n v="70.83"/>
    <x v="1"/>
    <n v="10"/>
    <n v="3.5"/>
    <b v="1"/>
    <s v="Changed Mind"/>
  </r>
  <r>
    <s v="FB000204"/>
    <x v="0"/>
    <x v="4"/>
    <s v="Summer"/>
    <s v="S"/>
    <x v="0"/>
    <n v="119.96"/>
    <n v="0"/>
    <n v="119.96"/>
    <x v="1"/>
    <n v="20"/>
    <n v="1.1000000000000001"/>
    <b v="0"/>
    <m/>
  </r>
  <r>
    <s v="FB000205"/>
    <x v="2"/>
    <x v="7"/>
    <s v="Summer"/>
    <m/>
    <x v="4"/>
    <n v="42.04"/>
    <n v="50.9"/>
    <n v="20.64"/>
    <x v="1"/>
    <n v="43"/>
    <n v="2.2999999999999998"/>
    <b v="1"/>
    <s v="Wrong Item"/>
  </r>
  <r>
    <s v="FB000206"/>
    <x v="2"/>
    <x v="2"/>
    <s v="Winter"/>
    <m/>
    <x v="0"/>
    <n v="54.45"/>
    <n v="0"/>
    <n v="54.45"/>
    <x v="1"/>
    <n v="12"/>
    <n v="2.7"/>
    <b v="0"/>
    <m/>
  </r>
  <r>
    <s v="FB000207"/>
    <x v="1"/>
    <x v="3"/>
    <s v="Spring"/>
    <s v="M"/>
    <x v="6"/>
    <n v="66.95"/>
    <n v="36.4"/>
    <n v="42.58"/>
    <x v="55"/>
    <n v="44"/>
    <n v="1.9"/>
    <b v="1"/>
    <s v="Quality Issue"/>
  </r>
  <r>
    <s v="FB000208"/>
    <x v="1"/>
    <x v="5"/>
    <s v="Spring"/>
    <s v="XL"/>
    <x v="7"/>
    <n v="116.96"/>
    <n v="8.8000000000000007"/>
    <n v="106.67"/>
    <x v="56"/>
    <n v="33"/>
    <n v="1.6"/>
    <b v="0"/>
    <m/>
  </r>
  <r>
    <s v="FB000209"/>
    <x v="1"/>
    <x v="7"/>
    <s v="Fall"/>
    <s v="XXL"/>
    <x v="1"/>
    <n v="111.14"/>
    <n v="0"/>
    <n v="111.14"/>
    <x v="1"/>
    <n v="49"/>
    <n v="1.6"/>
    <b v="0"/>
    <m/>
  </r>
  <r>
    <s v="FB000210"/>
    <x v="1"/>
    <x v="2"/>
    <s v="Fall"/>
    <s v="XS"/>
    <x v="5"/>
    <n v="59.6"/>
    <n v="0"/>
    <n v="59.6"/>
    <x v="1"/>
    <n v="40"/>
    <n v="2.1"/>
    <b v="0"/>
    <m/>
  </r>
  <r>
    <s v="FB000211"/>
    <x v="1"/>
    <x v="5"/>
    <s v="Spring"/>
    <s v="S"/>
    <x v="4"/>
    <n v="25.49"/>
    <n v="16.7"/>
    <n v="21.23"/>
    <x v="57"/>
    <n v="32"/>
    <n v="2.9846153846153847"/>
    <b v="0"/>
    <m/>
  </r>
  <r>
    <s v="FB000212"/>
    <x v="1"/>
    <x v="0"/>
    <s v="Spring"/>
    <s v="M"/>
    <x v="2"/>
    <n v="82.94"/>
    <n v="0"/>
    <n v="82.94"/>
    <x v="58"/>
    <n v="46"/>
    <n v="1.5"/>
    <b v="0"/>
    <m/>
  </r>
  <r>
    <s v="FB000213"/>
    <x v="1"/>
    <x v="1"/>
    <s v="Spring"/>
    <s v="L"/>
    <x v="5"/>
    <n v="99.71"/>
    <n v="0"/>
    <n v="99.71"/>
    <x v="59"/>
    <n v="23"/>
    <n v="1.4"/>
    <b v="0"/>
    <m/>
  </r>
  <r>
    <s v="FB000214"/>
    <x v="2"/>
    <x v="2"/>
    <s v="Fall"/>
    <m/>
    <x v="2"/>
    <n v="69.739999999999995"/>
    <n v="0"/>
    <n v="69.739999999999995"/>
    <x v="1"/>
    <n v="11"/>
    <n v="3.3"/>
    <b v="1"/>
    <s v="Changed Mind"/>
  </r>
  <r>
    <s v="FB000215"/>
    <x v="4"/>
    <x v="4"/>
    <s v="Summer"/>
    <s v="XXL"/>
    <x v="6"/>
    <n v="57.19"/>
    <n v="0"/>
    <n v="57.19"/>
    <x v="1"/>
    <n v="12"/>
    <n v="2.5"/>
    <b v="0"/>
    <m/>
  </r>
  <r>
    <s v="FB000216"/>
    <x v="1"/>
    <x v="4"/>
    <s v="Summer"/>
    <s v="XXL"/>
    <x v="0"/>
    <n v="58.65"/>
    <n v="0"/>
    <n v="58.65"/>
    <x v="1"/>
    <n v="4"/>
    <n v="1.1000000000000001"/>
    <b v="0"/>
    <m/>
  </r>
  <r>
    <s v="FB000217"/>
    <x v="0"/>
    <x v="1"/>
    <s v="Fall"/>
    <s v="XL"/>
    <x v="1"/>
    <n v="110.22"/>
    <n v="0"/>
    <n v="110.22"/>
    <x v="1"/>
    <n v="4"/>
    <n v="1.6"/>
    <b v="0"/>
    <m/>
  </r>
  <r>
    <s v="FB000218"/>
    <x v="1"/>
    <x v="0"/>
    <s v="Summer"/>
    <s v="XXL"/>
    <x v="1"/>
    <n v="69.36"/>
    <n v="0"/>
    <n v="69.36"/>
    <x v="1"/>
    <n v="25"/>
    <n v="2.9181818181818175"/>
    <b v="0"/>
    <m/>
  </r>
  <r>
    <s v="FB000219"/>
    <x v="4"/>
    <x v="0"/>
    <s v="Winter"/>
    <s v="S"/>
    <x v="2"/>
    <n v="87.03"/>
    <n v="0"/>
    <n v="87.03"/>
    <x v="1"/>
    <n v="39"/>
    <n v="4.3"/>
    <b v="0"/>
    <m/>
  </r>
  <r>
    <s v="FB000220"/>
    <x v="5"/>
    <x v="0"/>
    <s v="Winter"/>
    <s v="XXL"/>
    <x v="10"/>
    <n v="160.6"/>
    <n v="18.399999999999999"/>
    <n v="131.05000000000001"/>
    <x v="1"/>
    <n v="41"/>
    <n v="3"/>
    <b v="0"/>
    <m/>
  </r>
  <r>
    <s v="FB000221"/>
    <x v="0"/>
    <x v="4"/>
    <s v="Spring"/>
    <s v="XS"/>
    <x v="9"/>
    <n v="167.02"/>
    <n v="0"/>
    <n v="167.02"/>
    <x v="60"/>
    <n v="26"/>
    <n v="2.6"/>
    <b v="1"/>
    <s v="Size Issue"/>
  </r>
  <r>
    <s v="FB000222"/>
    <x v="1"/>
    <x v="0"/>
    <s v="Summer"/>
    <s v="XXL"/>
    <x v="4"/>
    <n v="26.09"/>
    <n v="0"/>
    <n v="26.09"/>
    <x v="1"/>
    <n v="32"/>
    <n v="4.5999999999999996"/>
    <b v="1"/>
    <s v="Damaged"/>
  </r>
  <r>
    <s v="FB000223"/>
    <x v="0"/>
    <x v="4"/>
    <s v="Summer"/>
    <s v="XL"/>
    <x v="10"/>
    <n v="246.65"/>
    <n v="0"/>
    <n v="246.65"/>
    <x v="1"/>
    <n v="17"/>
    <n v="2.9"/>
    <b v="1"/>
    <s v="Damaged"/>
  </r>
  <r>
    <s v="FB000224"/>
    <x v="0"/>
    <x v="7"/>
    <s v="Summer"/>
    <s v="S"/>
    <x v="0"/>
    <n v="206.91"/>
    <n v="0"/>
    <n v="206.91"/>
    <x v="1"/>
    <n v="34"/>
    <n v="2.2999999999999998"/>
    <b v="0"/>
    <m/>
  </r>
  <r>
    <s v="FB000225"/>
    <x v="5"/>
    <x v="6"/>
    <s v="Winter"/>
    <s v="XL"/>
    <x v="2"/>
    <n v="85.08"/>
    <n v="0"/>
    <n v="85.08"/>
    <x v="1"/>
    <n v="29"/>
    <n v="2.980952380952381"/>
    <b v="0"/>
    <m/>
  </r>
  <r>
    <s v="FB000226"/>
    <x v="0"/>
    <x v="7"/>
    <s v="Spring"/>
    <s v="XXL"/>
    <x v="3"/>
    <n v="240.32"/>
    <n v="54.8"/>
    <n v="108.62"/>
    <x v="61"/>
    <n v="3"/>
    <n v="4.5"/>
    <b v="0"/>
    <m/>
  </r>
  <r>
    <s v="FB000227"/>
    <x v="5"/>
    <x v="1"/>
    <s v="Fall"/>
    <s v="XXL"/>
    <x v="0"/>
    <n v="130.12"/>
    <n v="1.4"/>
    <n v="128.30000000000001"/>
    <x v="1"/>
    <n v="0"/>
    <n v="5"/>
    <b v="0"/>
    <m/>
  </r>
  <r>
    <s v="FB000228"/>
    <x v="4"/>
    <x v="4"/>
    <s v="Spring"/>
    <s v="XS"/>
    <x v="2"/>
    <n v="42.29"/>
    <n v="15.8"/>
    <n v="35.61"/>
    <x v="62"/>
    <n v="11"/>
    <n v="1.6"/>
    <b v="0"/>
    <m/>
  </r>
  <r>
    <s v="FB000229"/>
    <x v="0"/>
    <x v="4"/>
    <s v="Spring"/>
    <s v="S"/>
    <x v="7"/>
    <n v="191.54"/>
    <n v="0"/>
    <n v="191.54"/>
    <x v="63"/>
    <n v="18"/>
    <n v="1.2"/>
    <b v="0"/>
    <m/>
  </r>
  <r>
    <s v="FB000230"/>
    <x v="2"/>
    <x v="5"/>
    <s v="Spring"/>
    <m/>
    <x v="7"/>
    <n v="42.23"/>
    <n v="0"/>
    <n v="42.23"/>
    <x v="64"/>
    <n v="15"/>
    <n v="3.2731707317073173"/>
    <b v="0"/>
    <m/>
  </r>
  <r>
    <s v="FB000231"/>
    <x v="3"/>
    <x v="4"/>
    <s v="Summer"/>
    <s v="S"/>
    <x v="4"/>
    <n v="109.76"/>
    <n v="0"/>
    <n v="109.76"/>
    <x v="1"/>
    <n v="16"/>
    <n v="4.3"/>
    <b v="0"/>
    <m/>
  </r>
  <r>
    <s v="FB000232"/>
    <x v="2"/>
    <x v="3"/>
    <s v="Summer"/>
    <m/>
    <x v="0"/>
    <n v="76.8"/>
    <n v="43.3"/>
    <n v="43.55"/>
    <x v="1"/>
    <n v="24"/>
    <n v="2.5131578947368416"/>
    <b v="0"/>
    <m/>
  </r>
  <r>
    <s v="FB000233"/>
    <x v="5"/>
    <x v="7"/>
    <s v="Winter"/>
    <m/>
    <x v="2"/>
    <n v="56.34"/>
    <n v="22.4"/>
    <n v="43.72"/>
    <x v="1"/>
    <n v="37"/>
    <n v="2.5"/>
    <b v="1"/>
    <s v="Wrong Item"/>
  </r>
  <r>
    <s v="FB000234"/>
    <x v="1"/>
    <x v="6"/>
    <s v="Fall"/>
    <m/>
    <x v="7"/>
    <n v="88.41"/>
    <n v="0"/>
    <n v="88.41"/>
    <x v="1"/>
    <n v="24"/>
    <n v="4.4000000000000004"/>
    <b v="0"/>
    <m/>
  </r>
  <r>
    <s v="FB000235"/>
    <x v="1"/>
    <x v="6"/>
    <s v="Spring"/>
    <s v="S"/>
    <x v="2"/>
    <n v="25.96"/>
    <n v="0"/>
    <n v="25.96"/>
    <x v="53"/>
    <n v="2"/>
    <n v="1.4"/>
    <b v="0"/>
    <m/>
  </r>
  <r>
    <s v="FB000236"/>
    <x v="4"/>
    <x v="0"/>
    <s v="Spring"/>
    <s v="XXL"/>
    <x v="0"/>
    <n v="60.25"/>
    <n v="0"/>
    <n v="60.25"/>
    <x v="65"/>
    <n v="25"/>
    <n v="4.0999999999999996"/>
    <b v="0"/>
    <m/>
  </r>
  <r>
    <s v="FB000237"/>
    <x v="2"/>
    <x v="4"/>
    <s v="Fall"/>
    <m/>
    <x v="0"/>
    <n v="52.33"/>
    <n v="19.100000000000001"/>
    <n v="42.33"/>
    <x v="1"/>
    <n v="4"/>
    <n v="2.7333333333333334"/>
    <b v="0"/>
    <m/>
  </r>
  <r>
    <s v="FB000238"/>
    <x v="2"/>
    <x v="3"/>
    <s v="Fall"/>
    <m/>
    <x v="3"/>
    <n v="67.61"/>
    <n v="0"/>
    <n v="67.61"/>
    <x v="1"/>
    <n v="14"/>
    <n v="1.8"/>
    <b v="0"/>
    <m/>
  </r>
  <r>
    <s v="FB000239"/>
    <x v="3"/>
    <x v="7"/>
    <s v="Spring"/>
    <s v="L"/>
    <x v="10"/>
    <n v="136"/>
    <n v="0"/>
    <n v="136"/>
    <x v="66"/>
    <n v="46"/>
    <n v="4.5"/>
    <b v="0"/>
    <m/>
  </r>
  <r>
    <s v="FB000240"/>
    <x v="3"/>
    <x v="0"/>
    <s v="Fall"/>
    <m/>
    <x v="10"/>
    <n v="74.48"/>
    <n v="0"/>
    <n v="74.48"/>
    <x v="1"/>
    <n v="24"/>
    <n v="3.7"/>
    <b v="0"/>
    <m/>
  </r>
  <r>
    <s v="FB000241"/>
    <x v="5"/>
    <x v="7"/>
    <s v="Fall"/>
    <s v="XS"/>
    <x v="1"/>
    <n v="101.39"/>
    <n v="0"/>
    <n v="101.39"/>
    <x v="1"/>
    <n v="33"/>
    <n v="2.4"/>
    <b v="1"/>
    <s v="Size Issue"/>
  </r>
  <r>
    <s v="FB000242"/>
    <x v="5"/>
    <x v="7"/>
    <s v="Fall"/>
    <s v="XXL"/>
    <x v="6"/>
    <n v="169.68"/>
    <n v="41.7"/>
    <n v="98.92"/>
    <x v="1"/>
    <n v="43"/>
    <n v="4.5999999999999996"/>
    <b v="0"/>
    <m/>
  </r>
  <r>
    <s v="FB000243"/>
    <x v="2"/>
    <x v="7"/>
    <s v="Winter"/>
    <m/>
    <x v="9"/>
    <n v="52.45"/>
    <n v="0"/>
    <n v="52.45"/>
    <x v="1"/>
    <n v="34"/>
    <n v="2.1"/>
    <b v="0"/>
    <m/>
  </r>
  <r>
    <s v="FB000244"/>
    <x v="3"/>
    <x v="1"/>
    <s v="Summer"/>
    <s v="XXL"/>
    <x v="1"/>
    <n v="153.85"/>
    <n v="47.6"/>
    <n v="80.62"/>
    <x v="1"/>
    <n v="12"/>
    <n v="3.1"/>
    <b v="0"/>
    <m/>
  </r>
  <r>
    <s v="FB000245"/>
    <x v="4"/>
    <x v="3"/>
    <s v="Fall"/>
    <s v="M"/>
    <x v="10"/>
    <n v="32.700000000000003"/>
    <n v="50.5"/>
    <n v="16.190000000000001"/>
    <x v="1"/>
    <n v="46"/>
    <n v="1.3"/>
    <b v="0"/>
    <m/>
  </r>
  <r>
    <s v="FB000246"/>
    <x v="0"/>
    <x v="1"/>
    <s v="Fall"/>
    <s v="L"/>
    <x v="8"/>
    <n v="104.27"/>
    <n v="54.6"/>
    <n v="47.34"/>
    <x v="1"/>
    <n v="42"/>
    <n v="4.2"/>
    <b v="0"/>
    <m/>
  </r>
  <r>
    <s v="FB000247"/>
    <x v="5"/>
    <x v="7"/>
    <s v="Summer"/>
    <s v="M"/>
    <x v="4"/>
    <n v="80.040000000000006"/>
    <n v="50.9"/>
    <n v="39.299999999999997"/>
    <x v="1"/>
    <n v="45"/>
    <n v="2.9636363636363638"/>
    <b v="0"/>
    <m/>
  </r>
  <r>
    <s v="FB000248"/>
    <x v="4"/>
    <x v="2"/>
    <s v="Spring"/>
    <s v="M"/>
    <x v="2"/>
    <n v="72.069999999999993"/>
    <n v="0"/>
    <n v="72.069999999999993"/>
    <x v="67"/>
    <n v="20"/>
    <n v="3.0384615384615379"/>
    <b v="1"/>
    <s v="Color Mismatch"/>
  </r>
  <r>
    <s v="FB000249"/>
    <x v="0"/>
    <x v="0"/>
    <s v="Fall"/>
    <s v="M"/>
    <x v="6"/>
    <n v="220.99"/>
    <n v="0"/>
    <n v="220.99"/>
    <x v="1"/>
    <n v="42"/>
    <n v="3.6"/>
    <b v="0"/>
    <m/>
  </r>
  <r>
    <s v="FB000250"/>
    <x v="0"/>
    <x v="1"/>
    <s v="Fall"/>
    <s v="XS"/>
    <x v="2"/>
    <n v="117.36"/>
    <n v="14.6"/>
    <n v="100.23"/>
    <x v="1"/>
    <n v="33"/>
    <n v="3.15"/>
    <b v="1"/>
    <s v="Size Issue"/>
  </r>
  <r>
    <s v="FB000251"/>
    <x v="0"/>
    <x v="2"/>
    <s v="Spring"/>
    <s v="L"/>
    <x v="8"/>
    <n v="198.76"/>
    <n v="48.8"/>
    <n v="101.77"/>
    <x v="68"/>
    <n v="36"/>
    <n v="3"/>
    <b v="0"/>
    <m/>
  </r>
  <r>
    <s v="FB000252"/>
    <x v="0"/>
    <x v="4"/>
    <s v="Fall"/>
    <s v="L"/>
    <x v="2"/>
    <n v="121.03"/>
    <n v="0"/>
    <n v="121.03"/>
    <x v="1"/>
    <n v="14"/>
    <n v="1.6"/>
    <b v="1"/>
    <s v="Changed Mind"/>
  </r>
  <r>
    <s v="FB000253"/>
    <x v="1"/>
    <x v="4"/>
    <s v="Fall"/>
    <s v="L"/>
    <x v="3"/>
    <n v="88.62"/>
    <n v="0"/>
    <n v="88.62"/>
    <x v="1"/>
    <n v="48"/>
    <n v="2.4"/>
    <b v="0"/>
    <m/>
  </r>
  <r>
    <s v="FB000254"/>
    <x v="3"/>
    <x v="4"/>
    <s v="Summer"/>
    <s v="XL"/>
    <x v="6"/>
    <n v="88.94"/>
    <n v="0"/>
    <n v="88.94"/>
    <x v="1"/>
    <n v="29"/>
    <n v="3.9"/>
    <b v="0"/>
    <m/>
  </r>
  <r>
    <s v="FB000255"/>
    <x v="4"/>
    <x v="0"/>
    <s v="Winter"/>
    <s v="S"/>
    <x v="2"/>
    <n v="115.7"/>
    <n v="17.8"/>
    <n v="95.11"/>
    <x v="1"/>
    <n v="32"/>
    <n v="1.7"/>
    <b v="0"/>
    <m/>
  </r>
  <r>
    <s v="FB000256"/>
    <x v="4"/>
    <x v="7"/>
    <s v="Fall"/>
    <s v="XXL"/>
    <x v="2"/>
    <n v="75.66"/>
    <n v="0"/>
    <n v="75.66"/>
    <x v="1"/>
    <n v="20"/>
    <n v="3"/>
    <b v="0"/>
    <m/>
  </r>
  <r>
    <s v="FB000257"/>
    <x v="2"/>
    <x v="5"/>
    <s v="Winter"/>
    <m/>
    <x v="6"/>
    <n v="42.11"/>
    <n v="0"/>
    <n v="42.11"/>
    <x v="1"/>
    <n v="26"/>
    <n v="4"/>
    <b v="0"/>
    <m/>
  </r>
  <r>
    <s v="FB000258"/>
    <x v="0"/>
    <x v="4"/>
    <s v="Spring"/>
    <s v="XXL"/>
    <x v="7"/>
    <n v="247.9"/>
    <n v="4.3"/>
    <n v="237.24"/>
    <x v="69"/>
    <n v="25"/>
    <n v="4.5999999999999996"/>
    <b v="0"/>
    <m/>
  </r>
  <r>
    <s v="FB000259"/>
    <x v="3"/>
    <x v="2"/>
    <s v="Spring"/>
    <s v="XL"/>
    <x v="7"/>
    <n v="143.44999999999999"/>
    <n v="0"/>
    <n v="143.44999999999999"/>
    <x v="70"/>
    <n v="39"/>
    <n v="3.1936170212765949"/>
    <b v="1"/>
    <s v="Quality Issue"/>
  </r>
  <r>
    <s v="FB000260"/>
    <x v="2"/>
    <x v="2"/>
    <s v="Winter"/>
    <m/>
    <x v="7"/>
    <n v="24.96"/>
    <n v="44.7"/>
    <n v="13.8"/>
    <x v="1"/>
    <n v="44"/>
    <n v="2.8694444444444449"/>
    <b v="0"/>
    <m/>
  </r>
  <r>
    <s v="FB000261"/>
    <x v="0"/>
    <x v="7"/>
    <s v="Summer"/>
    <s v="XL"/>
    <x v="8"/>
    <n v="109.74"/>
    <n v="0"/>
    <n v="109.74"/>
    <x v="1"/>
    <n v="45"/>
    <n v="1.9"/>
    <b v="0"/>
    <m/>
  </r>
  <r>
    <s v="FB000262"/>
    <x v="5"/>
    <x v="4"/>
    <s v="Summer"/>
    <s v="XL"/>
    <x v="5"/>
    <n v="161.13999999999999"/>
    <n v="0"/>
    <n v="161.13999999999999"/>
    <x v="1"/>
    <n v="44"/>
    <n v="1.6"/>
    <b v="0"/>
    <m/>
  </r>
  <r>
    <s v="FB000263"/>
    <x v="0"/>
    <x v="2"/>
    <s v="Spring"/>
    <s v="XXL"/>
    <x v="10"/>
    <n v="220.14"/>
    <n v="9.1999999999999993"/>
    <n v="199.89"/>
    <x v="71"/>
    <n v="23"/>
    <n v="4.8"/>
    <b v="0"/>
    <m/>
  </r>
  <r>
    <s v="FB000264"/>
    <x v="5"/>
    <x v="7"/>
    <s v="Summer"/>
    <s v="S"/>
    <x v="1"/>
    <n v="57.33"/>
    <n v="0"/>
    <n v="57.33"/>
    <x v="1"/>
    <n v="23"/>
    <n v="2"/>
    <b v="0"/>
    <m/>
  </r>
  <r>
    <s v="FB000265"/>
    <x v="4"/>
    <x v="0"/>
    <s v="Fall"/>
    <s v="XXL"/>
    <x v="5"/>
    <n v="108.24"/>
    <n v="0"/>
    <n v="108.24"/>
    <x v="1"/>
    <n v="8"/>
    <n v="2.2999999999999998"/>
    <b v="0"/>
    <m/>
  </r>
  <r>
    <s v="FB000266"/>
    <x v="2"/>
    <x v="2"/>
    <s v="Summer"/>
    <m/>
    <x v="4"/>
    <n v="67.930000000000007"/>
    <n v="0"/>
    <n v="67.930000000000007"/>
    <x v="1"/>
    <n v="22"/>
    <n v="4.5999999999999996"/>
    <b v="0"/>
    <m/>
  </r>
  <r>
    <s v="FB000267"/>
    <x v="5"/>
    <x v="0"/>
    <s v="Winter"/>
    <s v="XS"/>
    <x v="5"/>
    <n v="168.96"/>
    <n v="0"/>
    <n v="168.96"/>
    <x v="1"/>
    <n v="9"/>
    <n v="3.0424242424242425"/>
    <b v="0"/>
    <m/>
  </r>
  <r>
    <s v="FB000268"/>
    <x v="1"/>
    <x v="5"/>
    <s v="Fall"/>
    <s v="S"/>
    <x v="3"/>
    <n v="90.63"/>
    <n v="0"/>
    <n v="90.63"/>
    <x v="1"/>
    <n v="33"/>
    <n v="4.2"/>
    <b v="0"/>
    <m/>
  </r>
  <r>
    <s v="FB000269"/>
    <x v="2"/>
    <x v="3"/>
    <s v="Spring"/>
    <m/>
    <x v="6"/>
    <n v="72.3"/>
    <n v="0.4"/>
    <n v="72.010000000000005"/>
    <x v="24"/>
    <n v="38"/>
    <n v="3"/>
    <b v="1"/>
    <s v="Color Mismatch"/>
  </r>
  <r>
    <s v="FB000270"/>
    <x v="4"/>
    <x v="4"/>
    <s v="Winter"/>
    <s v="S"/>
    <x v="7"/>
    <n v="27.98"/>
    <n v="0"/>
    <n v="27.98"/>
    <x v="1"/>
    <n v="0"/>
    <n v="3"/>
    <b v="0"/>
    <m/>
  </r>
  <r>
    <s v="FB000271"/>
    <x v="5"/>
    <x v="7"/>
    <s v="Summer"/>
    <m/>
    <x v="8"/>
    <n v="92.73"/>
    <n v="0"/>
    <n v="92.73"/>
    <x v="1"/>
    <n v="15"/>
    <n v="1.4"/>
    <b v="0"/>
    <m/>
  </r>
  <r>
    <s v="FB000272"/>
    <x v="4"/>
    <x v="3"/>
    <s v="Summer"/>
    <s v="XXL"/>
    <x v="3"/>
    <n v="64.28"/>
    <n v="0"/>
    <n v="64.28"/>
    <x v="1"/>
    <n v="46"/>
    <n v="3"/>
    <b v="0"/>
    <m/>
  </r>
  <r>
    <s v="FB000273"/>
    <x v="5"/>
    <x v="5"/>
    <s v="Fall"/>
    <s v="M"/>
    <x v="2"/>
    <n v="133.12"/>
    <n v="0"/>
    <n v="133.12"/>
    <x v="1"/>
    <n v="35"/>
    <n v="1.9"/>
    <b v="0"/>
    <m/>
  </r>
  <r>
    <s v="FB000274"/>
    <x v="1"/>
    <x v="6"/>
    <s v="Winter"/>
    <s v="XXL"/>
    <x v="10"/>
    <n v="70.36"/>
    <n v="0"/>
    <n v="70.36"/>
    <x v="1"/>
    <n v="0"/>
    <n v="2.9074999999999998"/>
    <b v="0"/>
    <m/>
  </r>
  <r>
    <s v="FB000275"/>
    <x v="0"/>
    <x v="1"/>
    <s v="Summer"/>
    <s v="XL"/>
    <x v="1"/>
    <n v="199.01"/>
    <n v="0"/>
    <n v="199.01"/>
    <x v="1"/>
    <n v="8"/>
    <n v="4.4000000000000004"/>
    <b v="0"/>
    <m/>
  </r>
  <r>
    <s v="FB000276"/>
    <x v="4"/>
    <x v="4"/>
    <s v="Summer"/>
    <s v="L"/>
    <x v="8"/>
    <n v="62.41"/>
    <n v="37.1"/>
    <n v="39.26"/>
    <x v="1"/>
    <n v="6"/>
    <n v="4.0999999999999996"/>
    <b v="0"/>
    <m/>
  </r>
  <r>
    <s v="FB000277"/>
    <x v="3"/>
    <x v="1"/>
    <s v="Summer"/>
    <s v="XS"/>
    <x v="2"/>
    <n v="71.44"/>
    <n v="0"/>
    <n v="71.44"/>
    <x v="1"/>
    <n v="45"/>
    <n v="4"/>
    <b v="0"/>
    <m/>
  </r>
  <r>
    <s v="FB000278"/>
    <x v="5"/>
    <x v="0"/>
    <s v="Winter"/>
    <m/>
    <x v="5"/>
    <n v="89.69"/>
    <n v="0"/>
    <n v="89.69"/>
    <x v="1"/>
    <n v="50"/>
    <n v="4.3"/>
    <b v="0"/>
    <m/>
  </r>
  <r>
    <s v="FB000279"/>
    <x v="0"/>
    <x v="3"/>
    <s v="Spring"/>
    <s v="XXL"/>
    <x v="4"/>
    <n v="161.65"/>
    <n v="10.199999999999999"/>
    <n v="145.16"/>
    <x v="72"/>
    <n v="42"/>
    <n v="2.4137931034482762"/>
    <b v="0"/>
    <m/>
  </r>
  <r>
    <s v="FB000280"/>
    <x v="2"/>
    <x v="1"/>
    <s v="Winter"/>
    <m/>
    <x v="3"/>
    <n v="46.59"/>
    <n v="0"/>
    <n v="46.59"/>
    <x v="1"/>
    <n v="29"/>
    <n v="4.8"/>
    <b v="0"/>
    <m/>
  </r>
  <r>
    <s v="FB000281"/>
    <x v="2"/>
    <x v="0"/>
    <s v="Fall"/>
    <m/>
    <x v="1"/>
    <n v="74.2"/>
    <n v="0"/>
    <n v="74.2"/>
    <x v="1"/>
    <n v="22"/>
    <n v="1.7"/>
    <b v="0"/>
    <m/>
  </r>
  <r>
    <s v="FB000282"/>
    <x v="4"/>
    <x v="1"/>
    <s v="Fall"/>
    <s v="S"/>
    <x v="10"/>
    <n v="99.67"/>
    <n v="0"/>
    <n v="99.67"/>
    <x v="1"/>
    <n v="13"/>
    <n v="5"/>
    <b v="0"/>
    <m/>
  </r>
  <r>
    <s v="FB000283"/>
    <x v="3"/>
    <x v="7"/>
    <s v="Fall"/>
    <s v="XS"/>
    <x v="9"/>
    <n v="112.74"/>
    <n v="23"/>
    <n v="86.81"/>
    <x v="1"/>
    <n v="37"/>
    <n v="1"/>
    <b v="0"/>
    <m/>
  </r>
  <r>
    <s v="FB000284"/>
    <x v="1"/>
    <x v="2"/>
    <s v="Summer"/>
    <s v="S"/>
    <x v="2"/>
    <n v="95.82"/>
    <n v="39.4"/>
    <n v="58.07"/>
    <x v="1"/>
    <n v="6"/>
    <n v="2.953125"/>
    <b v="1"/>
    <s v="Damaged"/>
  </r>
  <r>
    <s v="FB000285"/>
    <x v="3"/>
    <x v="5"/>
    <s v="Winter"/>
    <s v="M"/>
    <x v="6"/>
    <n v="157.41999999999999"/>
    <n v="0"/>
    <n v="157.41999999999999"/>
    <x v="1"/>
    <n v="38"/>
    <n v="2.4"/>
    <b v="0"/>
    <m/>
  </r>
  <r>
    <s v="FB000286"/>
    <x v="2"/>
    <x v="0"/>
    <s v="Fall"/>
    <m/>
    <x v="0"/>
    <n v="60.17"/>
    <n v="14.1"/>
    <n v="51.69"/>
    <x v="1"/>
    <n v="38"/>
    <n v="5"/>
    <b v="0"/>
    <m/>
  </r>
  <r>
    <s v="FB000287"/>
    <x v="0"/>
    <x v="3"/>
    <s v="Winter"/>
    <s v="XL"/>
    <x v="1"/>
    <n v="169.03"/>
    <n v="0"/>
    <n v="169.03"/>
    <x v="1"/>
    <n v="16"/>
    <n v="1.7"/>
    <b v="0"/>
    <m/>
  </r>
  <r>
    <s v="FB000288"/>
    <x v="5"/>
    <x v="1"/>
    <s v="Fall"/>
    <s v="S"/>
    <x v="1"/>
    <n v="175.86"/>
    <n v="0"/>
    <n v="175.86"/>
    <x v="1"/>
    <n v="0"/>
    <n v="4.5999999999999996"/>
    <b v="0"/>
    <m/>
  </r>
  <r>
    <s v="FB000289"/>
    <x v="3"/>
    <x v="3"/>
    <s v="Summer"/>
    <m/>
    <x v="10"/>
    <n v="169.75"/>
    <n v="0"/>
    <n v="169.75"/>
    <x v="1"/>
    <n v="5"/>
    <n v="2.7"/>
    <b v="0"/>
    <m/>
  </r>
  <r>
    <s v="FB000290"/>
    <x v="2"/>
    <x v="4"/>
    <s v="Summer"/>
    <m/>
    <x v="0"/>
    <n v="51.77"/>
    <n v="24.3"/>
    <n v="39.19"/>
    <x v="1"/>
    <n v="50"/>
    <n v="3.7"/>
    <b v="0"/>
    <m/>
  </r>
  <r>
    <s v="FB000291"/>
    <x v="1"/>
    <x v="3"/>
    <s v="Fall"/>
    <s v="M"/>
    <x v="2"/>
    <n v="83.09"/>
    <n v="0"/>
    <n v="83.09"/>
    <x v="1"/>
    <n v="22"/>
    <n v="2.2999999999999998"/>
    <b v="0"/>
    <m/>
  </r>
  <r>
    <s v="FB000292"/>
    <x v="0"/>
    <x v="5"/>
    <s v="Winter"/>
    <s v="XS"/>
    <x v="9"/>
    <n v="176.1"/>
    <n v="0"/>
    <n v="176.1"/>
    <x v="1"/>
    <n v="12"/>
    <n v="4.5999999999999996"/>
    <b v="0"/>
    <m/>
  </r>
  <r>
    <s v="FB000293"/>
    <x v="4"/>
    <x v="3"/>
    <s v="Fall"/>
    <s v="M"/>
    <x v="5"/>
    <n v="69.11"/>
    <n v="0"/>
    <n v="69.11"/>
    <x v="1"/>
    <n v="18"/>
    <n v="3.9"/>
    <b v="0"/>
    <m/>
  </r>
  <r>
    <s v="FB000294"/>
    <x v="3"/>
    <x v="0"/>
    <s v="Spring"/>
    <s v="S"/>
    <x v="9"/>
    <n v="117.85"/>
    <n v="0"/>
    <n v="117.85"/>
    <x v="73"/>
    <n v="34"/>
    <n v="3.3"/>
    <b v="0"/>
    <m/>
  </r>
  <r>
    <s v="FB000295"/>
    <x v="3"/>
    <x v="2"/>
    <s v="Fall"/>
    <s v="M"/>
    <x v="9"/>
    <n v="96.17"/>
    <n v="36"/>
    <n v="61.55"/>
    <x v="1"/>
    <n v="45"/>
    <n v="3.5"/>
    <b v="0"/>
    <m/>
  </r>
  <r>
    <s v="FB000296"/>
    <x v="3"/>
    <x v="0"/>
    <s v="Spring"/>
    <s v="XXL"/>
    <x v="0"/>
    <n v="80.14"/>
    <n v="0"/>
    <n v="80.14"/>
    <x v="74"/>
    <n v="10"/>
    <n v="5"/>
    <b v="0"/>
    <m/>
  </r>
  <r>
    <s v="FB000297"/>
    <x v="2"/>
    <x v="6"/>
    <s v="Summer"/>
    <m/>
    <x v="1"/>
    <n v="55.08"/>
    <n v="13"/>
    <n v="47.92"/>
    <x v="1"/>
    <n v="17"/>
    <n v="3.9"/>
    <b v="0"/>
    <m/>
  </r>
  <r>
    <s v="FB000298"/>
    <x v="5"/>
    <x v="3"/>
    <s v="Fall"/>
    <s v="S"/>
    <x v="1"/>
    <n v="165.84"/>
    <n v="50.4"/>
    <n v="82.26"/>
    <x v="1"/>
    <n v="17"/>
    <n v="3.2"/>
    <b v="1"/>
    <s v="Damaged"/>
  </r>
  <r>
    <s v="FB000299"/>
    <x v="5"/>
    <x v="6"/>
    <s v="Summer"/>
    <s v="XXL"/>
    <x v="0"/>
    <n v="82.7"/>
    <n v="0"/>
    <n v="82.7"/>
    <x v="1"/>
    <n v="20"/>
    <n v="4"/>
    <b v="0"/>
    <m/>
  </r>
  <r>
    <s v="FB000300"/>
    <x v="0"/>
    <x v="2"/>
    <s v="Spring"/>
    <s v="S"/>
    <x v="9"/>
    <n v="222.86"/>
    <n v="6.6"/>
    <n v="208.15"/>
    <x v="49"/>
    <n v="29"/>
    <n v="2.1"/>
    <b v="0"/>
    <m/>
  </r>
  <r>
    <s v="FB000301"/>
    <x v="1"/>
    <x v="3"/>
    <s v="Winter"/>
    <s v="L"/>
    <x v="4"/>
    <n v="107.15"/>
    <n v="0"/>
    <n v="107.15"/>
    <x v="1"/>
    <n v="33"/>
    <n v="2.9742857142857138"/>
    <b v="1"/>
    <s v="Wrong Item"/>
  </r>
  <r>
    <s v="FB000302"/>
    <x v="3"/>
    <x v="4"/>
    <s v="Fall"/>
    <s v="XXL"/>
    <x v="4"/>
    <n v="85.54"/>
    <n v="0"/>
    <n v="85.54"/>
    <x v="1"/>
    <n v="30"/>
    <n v="3.3021276595744684"/>
    <b v="0"/>
    <m/>
  </r>
  <r>
    <s v="FB000303"/>
    <x v="4"/>
    <x v="3"/>
    <s v="Summer"/>
    <s v="XL"/>
    <x v="6"/>
    <n v="34.36"/>
    <n v="5.4"/>
    <n v="32.5"/>
    <x v="1"/>
    <n v="49"/>
    <n v="4.5"/>
    <b v="0"/>
    <m/>
  </r>
  <r>
    <s v="FB000304"/>
    <x v="4"/>
    <x v="3"/>
    <s v="Winter"/>
    <s v="XL"/>
    <x v="2"/>
    <n v="111.25"/>
    <n v="42.2"/>
    <n v="64.3"/>
    <x v="1"/>
    <n v="34"/>
    <n v="3"/>
    <b v="0"/>
    <m/>
  </r>
  <r>
    <s v="FB000305"/>
    <x v="1"/>
    <x v="0"/>
    <s v="Spring"/>
    <s v="XXL"/>
    <x v="1"/>
    <n v="39.97"/>
    <n v="35.200000000000003"/>
    <n v="25.9"/>
    <x v="75"/>
    <n v="15"/>
    <n v="2.2999999999999998"/>
    <b v="0"/>
    <m/>
  </r>
  <r>
    <s v="FB000306"/>
    <x v="3"/>
    <x v="7"/>
    <s v="Summer"/>
    <s v="M"/>
    <x v="3"/>
    <n v="60.34"/>
    <n v="0"/>
    <n v="60.34"/>
    <x v="1"/>
    <n v="4"/>
    <n v="3.2576923076923077"/>
    <b v="0"/>
    <m/>
  </r>
  <r>
    <s v="FB000307"/>
    <x v="2"/>
    <x v="6"/>
    <s v="Summer"/>
    <m/>
    <x v="5"/>
    <n v="17.7"/>
    <n v="0"/>
    <n v="17.7"/>
    <x v="1"/>
    <n v="42"/>
    <n v="3.9"/>
    <b v="0"/>
    <m/>
  </r>
  <r>
    <s v="FB000308"/>
    <x v="4"/>
    <x v="3"/>
    <s v="Summer"/>
    <s v="M"/>
    <x v="3"/>
    <n v="57.88"/>
    <n v="0"/>
    <n v="57.88"/>
    <x v="1"/>
    <n v="39"/>
    <n v="3"/>
    <b v="0"/>
    <m/>
  </r>
  <r>
    <s v="FB000309"/>
    <x v="1"/>
    <x v="3"/>
    <s v="Summer"/>
    <s v="S"/>
    <x v="5"/>
    <n v="25.15"/>
    <n v="0"/>
    <n v="25.15"/>
    <x v="1"/>
    <n v="34"/>
    <n v="2.6"/>
    <b v="0"/>
    <m/>
  </r>
  <r>
    <s v="FB000310"/>
    <x v="0"/>
    <x v="3"/>
    <s v="Spring"/>
    <s v="L"/>
    <x v="9"/>
    <n v="157.44999999999999"/>
    <n v="0"/>
    <n v="157.44999999999999"/>
    <x v="76"/>
    <n v="7"/>
    <n v="2.9"/>
    <b v="0"/>
    <m/>
  </r>
  <r>
    <s v="FB000311"/>
    <x v="4"/>
    <x v="4"/>
    <s v="Winter"/>
    <s v="L"/>
    <x v="9"/>
    <n v="65.72"/>
    <n v="9.1"/>
    <n v="59.74"/>
    <x v="1"/>
    <n v="10"/>
    <n v="2.8"/>
    <b v="1"/>
    <s v="Quality Issue"/>
  </r>
  <r>
    <s v="FB000312"/>
    <x v="5"/>
    <x v="7"/>
    <s v="Winter"/>
    <s v="XXL"/>
    <x v="10"/>
    <n v="92.8"/>
    <n v="0"/>
    <n v="92.8"/>
    <x v="1"/>
    <n v="25"/>
    <n v="2.5"/>
    <b v="0"/>
    <m/>
  </r>
  <r>
    <s v="FB000313"/>
    <x v="5"/>
    <x v="2"/>
    <s v="Winter"/>
    <s v="XL"/>
    <x v="5"/>
    <n v="88.65"/>
    <n v="0"/>
    <n v="88.65"/>
    <x v="1"/>
    <n v="11"/>
    <n v="3.3"/>
    <b v="0"/>
    <m/>
  </r>
  <r>
    <s v="FB000314"/>
    <x v="1"/>
    <x v="0"/>
    <s v="Winter"/>
    <s v="XXL"/>
    <x v="7"/>
    <n v="47.07"/>
    <n v="57.4"/>
    <n v="20.05"/>
    <x v="1"/>
    <n v="24"/>
    <n v="1.3"/>
    <b v="1"/>
    <s v="Size Issue"/>
  </r>
  <r>
    <s v="FB000315"/>
    <x v="0"/>
    <x v="5"/>
    <s v="Summer"/>
    <s v="XS"/>
    <x v="0"/>
    <n v="101.75"/>
    <n v="0"/>
    <n v="101.75"/>
    <x v="1"/>
    <n v="7"/>
    <n v="3.1"/>
    <b v="0"/>
    <m/>
  </r>
  <r>
    <s v="FB000316"/>
    <x v="5"/>
    <x v="3"/>
    <s v="Spring"/>
    <s v="XS"/>
    <x v="5"/>
    <n v="131.08000000000001"/>
    <n v="7.5"/>
    <n v="121.25"/>
    <x v="77"/>
    <n v="20"/>
    <n v="4.5"/>
    <b v="1"/>
    <s v="Wrong Item"/>
  </r>
  <r>
    <s v="FB000317"/>
    <x v="1"/>
    <x v="0"/>
    <s v="Fall"/>
    <s v="XS"/>
    <x v="2"/>
    <n v="82.06"/>
    <n v="26.1"/>
    <n v="60.64"/>
    <x v="1"/>
    <n v="32"/>
    <n v="1.5"/>
    <b v="0"/>
    <m/>
  </r>
  <r>
    <s v="FB000318"/>
    <x v="5"/>
    <x v="4"/>
    <s v="Summer"/>
    <s v="L"/>
    <x v="9"/>
    <n v="66.31"/>
    <n v="0"/>
    <n v="66.31"/>
    <x v="1"/>
    <n v="47"/>
    <n v="3.9"/>
    <b v="0"/>
    <m/>
  </r>
  <r>
    <s v="FB000319"/>
    <x v="2"/>
    <x v="1"/>
    <s v="Fall"/>
    <m/>
    <x v="6"/>
    <n v="26.03"/>
    <n v="0"/>
    <n v="26.03"/>
    <x v="1"/>
    <n v="15"/>
    <n v="3.8"/>
    <b v="0"/>
    <m/>
  </r>
  <r>
    <s v="FB000320"/>
    <x v="3"/>
    <x v="1"/>
    <s v="Spring"/>
    <s v="S"/>
    <x v="7"/>
    <n v="152.53"/>
    <n v="0"/>
    <n v="152.53"/>
    <x v="78"/>
    <n v="24"/>
    <n v="4.2"/>
    <b v="0"/>
    <m/>
  </r>
  <r>
    <s v="FB000321"/>
    <x v="4"/>
    <x v="3"/>
    <s v="Fall"/>
    <s v="S"/>
    <x v="7"/>
    <n v="26.16"/>
    <n v="16.2"/>
    <n v="21.92"/>
    <x v="1"/>
    <n v="13"/>
    <n v="2.2999999999999998"/>
    <b v="0"/>
    <m/>
  </r>
  <r>
    <s v="FB000322"/>
    <x v="5"/>
    <x v="1"/>
    <s v="Winter"/>
    <s v="XXL"/>
    <x v="5"/>
    <n v="89.17"/>
    <n v="10.8"/>
    <n v="79.540000000000006"/>
    <x v="1"/>
    <n v="27"/>
    <n v="3.3"/>
    <b v="0"/>
    <m/>
  </r>
  <r>
    <s v="FB000323"/>
    <x v="4"/>
    <x v="4"/>
    <s v="Spring"/>
    <m/>
    <x v="3"/>
    <n v="106.37"/>
    <n v="0"/>
    <n v="106.37"/>
    <x v="79"/>
    <n v="37"/>
    <n v="4.9000000000000004"/>
    <b v="0"/>
    <m/>
  </r>
  <r>
    <s v="FB000324"/>
    <x v="5"/>
    <x v="3"/>
    <s v="Fall"/>
    <s v="XL"/>
    <x v="3"/>
    <n v="80.95"/>
    <n v="36.799999999999997"/>
    <n v="51.16"/>
    <x v="1"/>
    <n v="16"/>
    <n v="2.5"/>
    <b v="0"/>
    <m/>
  </r>
  <r>
    <s v="FB000325"/>
    <x v="0"/>
    <x v="2"/>
    <s v="Summer"/>
    <s v="M"/>
    <x v="8"/>
    <n v="169.84"/>
    <n v="50.2"/>
    <n v="84.58"/>
    <x v="1"/>
    <n v="21"/>
    <n v="3"/>
    <b v="1"/>
    <s v="Quality Issue"/>
  </r>
  <r>
    <s v="FB000326"/>
    <x v="5"/>
    <x v="7"/>
    <s v="Fall"/>
    <s v="M"/>
    <x v="6"/>
    <n v="159.4"/>
    <n v="8.8000000000000007"/>
    <n v="145.37"/>
    <x v="1"/>
    <n v="43"/>
    <n v="4.5"/>
    <b v="0"/>
    <m/>
  </r>
  <r>
    <s v="FB000327"/>
    <x v="4"/>
    <x v="7"/>
    <s v="Winter"/>
    <s v="S"/>
    <x v="2"/>
    <n v="106.53"/>
    <n v="46.5"/>
    <n v="56.99"/>
    <x v="1"/>
    <n v="17"/>
    <n v="3.1021739130434773"/>
    <b v="0"/>
    <m/>
  </r>
  <r>
    <s v="FB000328"/>
    <x v="2"/>
    <x v="6"/>
    <s v="Spring"/>
    <m/>
    <x v="2"/>
    <n v="78.81"/>
    <n v="44.7"/>
    <n v="43.58"/>
    <x v="21"/>
    <n v="34"/>
    <n v="1.4"/>
    <b v="0"/>
    <m/>
  </r>
  <r>
    <s v="FB000329"/>
    <x v="0"/>
    <x v="1"/>
    <s v="Summer"/>
    <s v="XS"/>
    <x v="4"/>
    <n v="117.45"/>
    <n v="29.5"/>
    <n v="82.8"/>
    <x v="1"/>
    <n v="43"/>
    <n v="1.2"/>
    <b v="0"/>
    <m/>
  </r>
  <r>
    <s v="FB000330"/>
    <x v="2"/>
    <x v="6"/>
    <s v="Spring"/>
    <m/>
    <x v="7"/>
    <n v="76.94"/>
    <n v="0"/>
    <n v="76.94"/>
    <x v="80"/>
    <n v="21"/>
    <n v="4.3"/>
    <b v="0"/>
    <m/>
  </r>
  <r>
    <s v="FB000331"/>
    <x v="0"/>
    <x v="6"/>
    <s v="Summer"/>
    <s v="L"/>
    <x v="3"/>
    <n v="232.19"/>
    <n v="0"/>
    <n v="232.19"/>
    <x v="1"/>
    <n v="31"/>
    <n v="1.3"/>
    <b v="1"/>
    <s v="Changed Mind"/>
  </r>
  <r>
    <s v="FB000332"/>
    <x v="5"/>
    <x v="7"/>
    <s v="Fall"/>
    <s v="XS"/>
    <x v="8"/>
    <n v="80.400000000000006"/>
    <n v="52.1"/>
    <n v="38.51"/>
    <x v="1"/>
    <n v="7"/>
    <n v="1.2"/>
    <b v="0"/>
    <m/>
  </r>
  <r>
    <s v="FB000333"/>
    <x v="4"/>
    <x v="3"/>
    <s v="Summer"/>
    <s v="XL"/>
    <x v="2"/>
    <n v="102.82"/>
    <n v="0"/>
    <n v="102.82"/>
    <x v="1"/>
    <n v="50"/>
    <n v="3.6"/>
    <b v="0"/>
    <m/>
  </r>
  <r>
    <s v="FB000334"/>
    <x v="2"/>
    <x v="0"/>
    <s v="Spring"/>
    <m/>
    <x v="8"/>
    <n v="48.5"/>
    <n v="0"/>
    <n v="48.5"/>
    <x v="81"/>
    <n v="46"/>
    <n v="2.9116666666666675"/>
    <b v="0"/>
    <m/>
  </r>
  <r>
    <s v="FB000335"/>
    <x v="4"/>
    <x v="3"/>
    <s v="Fall"/>
    <m/>
    <x v="1"/>
    <n v="88.4"/>
    <n v="0"/>
    <n v="88.4"/>
    <x v="1"/>
    <n v="1"/>
    <n v="1.4"/>
    <b v="0"/>
    <m/>
  </r>
  <r>
    <s v="FB000336"/>
    <x v="3"/>
    <x v="3"/>
    <s v="Winter"/>
    <s v="S"/>
    <x v="2"/>
    <n v="112.5"/>
    <n v="0"/>
    <n v="112.5"/>
    <x v="1"/>
    <n v="11"/>
    <n v="4.3"/>
    <b v="0"/>
    <m/>
  </r>
  <r>
    <s v="FB000337"/>
    <x v="4"/>
    <x v="0"/>
    <s v="Fall"/>
    <s v="XXL"/>
    <x v="4"/>
    <n v="97.95"/>
    <n v="11.1"/>
    <n v="87.08"/>
    <x v="1"/>
    <n v="25"/>
    <n v="2.4"/>
    <b v="0"/>
    <m/>
  </r>
  <r>
    <s v="FB000338"/>
    <x v="0"/>
    <x v="4"/>
    <s v="Summer"/>
    <s v="M"/>
    <x v="1"/>
    <n v="114.51"/>
    <n v="36.9"/>
    <n v="72.260000000000005"/>
    <x v="1"/>
    <n v="33"/>
    <n v="1.5"/>
    <b v="0"/>
    <m/>
  </r>
  <r>
    <s v="FB000339"/>
    <x v="4"/>
    <x v="0"/>
    <s v="Winter"/>
    <s v="XS"/>
    <x v="10"/>
    <n v="27.85"/>
    <n v="0"/>
    <n v="27.85"/>
    <x v="1"/>
    <n v="0"/>
    <n v="1.5"/>
    <b v="0"/>
    <m/>
  </r>
  <r>
    <s v="FB000340"/>
    <x v="3"/>
    <x v="5"/>
    <s v="Spring"/>
    <s v="XL"/>
    <x v="5"/>
    <n v="82.08"/>
    <n v="40.6"/>
    <n v="48.76"/>
    <x v="57"/>
    <n v="43"/>
    <n v="2.5"/>
    <b v="1"/>
    <s v="Quality Issue"/>
  </r>
  <r>
    <s v="FB000341"/>
    <x v="4"/>
    <x v="3"/>
    <s v="Summer"/>
    <s v="S"/>
    <x v="2"/>
    <n v="116.41"/>
    <n v="40.700000000000003"/>
    <n v="69.03"/>
    <x v="1"/>
    <n v="23"/>
    <n v="1.2"/>
    <b v="0"/>
    <m/>
  </r>
  <r>
    <s v="FB000342"/>
    <x v="4"/>
    <x v="5"/>
    <s v="Spring"/>
    <s v="M"/>
    <x v="3"/>
    <n v="95.61"/>
    <n v="0"/>
    <n v="95.61"/>
    <x v="82"/>
    <n v="47"/>
    <n v="4.7"/>
    <b v="1"/>
    <s v="Quality Issue"/>
  </r>
  <r>
    <s v="FB000343"/>
    <x v="3"/>
    <x v="3"/>
    <s v="Fall"/>
    <s v="M"/>
    <x v="3"/>
    <n v="70.040000000000006"/>
    <n v="0"/>
    <n v="70.040000000000006"/>
    <x v="1"/>
    <n v="12"/>
    <n v="2.4"/>
    <b v="0"/>
    <m/>
  </r>
  <r>
    <s v="FB000344"/>
    <x v="3"/>
    <x v="2"/>
    <s v="Winter"/>
    <s v="S"/>
    <x v="4"/>
    <n v="112.59"/>
    <n v="54"/>
    <n v="51.79"/>
    <x v="1"/>
    <n v="17"/>
    <n v="4"/>
    <b v="0"/>
    <m/>
  </r>
  <r>
    <s v="FB000345"/>
    <x v="2"/>
    <x v="0"/>
    <s v="Summer"/>
    <m/>
    <x v="9"/>
    <n v="26.8"/>
    <n v="0.9"/>
    <n v="26.56"/>
    <x v="1"/>
    <n v="25"/>
    <n v="1.2"/>
    <b v="1"/>
    <s v="Color Mismatch"/>
  </r>
  <r>
    <s v="FB000346"/>
    <x v="1"/>
    <x v="4"/>
    <s v="Summer"/>
    <s v="L"/>
    <x v="5"/>
    <n v="50.09"/>
    <n v="0"/>
    <n v="50.09"/>
    <x v="1"/>
    <n v="47"/>
    <n v="4"/>
    <b v="0"/>
    <m/>
  </r>
  <r>
    <s v="FB000347"/>
    <x v="4"/>
    <x v="3"/>
    <s v="Spring"/>
    <s v="XS"/>
    <x v="6"/>
    <n v="92.84"/>
    <n v="4.2"/>
    <n v="88.94"/>
    <x v="38"/>
    <n v="0"/>
    <n v="2.8142857142857149"/>
    <b v="1"/>
    <s v="Size Issue"/>
  </r>
  <r>
    <s v="FB000348"/>
    <x v="1"/>
    <x v="1"/>
    <s v="Summer"/>
    <s v="XXL"/>
    <x v="4"/>
    <n v="114.63"/>
    <n v="0"/>
    <n v="114.63"/>
    <x v="1"/>
    <n v="47"/>
    <n v="3.8"/>
    <b v="1"/>
    <s v="Changed Mind"/>
  </r>
  <r>
    <s v="FB000349"/>
    <x v="2"/>
    <x v="6"/>
    <s v="Summer"/>
    <m/>
    <x v="9"/>
    <n v="21.9"/>
    <n v="29.2"/>
    <n v="15.51"/>
    <x v="1"/>
    <n v="35"/>
    <n v="2"/>
    <b v="0"/>
    <m/>
  </r>
  <r>
    <s v="FB000350"/>
    <x v="5"/>
    <x v="0"/>
    <s v="Spring"/>
    <s v="XS"/>
    <x v="8"/>
    <n v="100.55"/>
    <n v="46.7"/>
    <n v="53.59"/>
    <x v="83"/>
    <n v="30"/>
    <n v="3.0424242424242425"/>
    <b v="0"/>
    <m/>
  </r>
  <r>
    <s v="FB000351"/>
    <x v="2"/>
    <x v="7"/>
    <s v="Summer"/>
    <m/>
    <x v="10"/>
    <n v="47.45"/>
    <n v="16.399999999999999"/>
    <n v="39.67"/>
    <x v="1"/>
    <n v="33"/>
    <n v="1.7"/>
    <b v="0"/>
    <m/>
  </r>
  <r>
    <s v="FB000352"/>
    <x v="4"/>
    <x v="4"/>
    <s v="Summer"/>
    <s v="XL"/>
    <x v="10"/>
    <n v="113.21"/>
    <n v="0"/>
    <n v="113.21"/>
    <x v="1"/>
    <n v="8"/>
    <n v="2.7"/>
    <b v="0"/>
    <m/>
  </r>
  <r>
    <s v="FB000353"/>
    <x v="5"/>
    <x v="2"/>
    <s v="Spring"/>
    <s v="XS"/>
    <x v="2"/>
    <n v="163.27000000000001"/>
    <n v="0"/>
    <n v="163.27000000000001"/>
    <x v="84"/>
    <n v="24"/>
    <n v="2.5"/>
    <b v="0"/>
    <m/>
  </r>
  <r>
    <s v="FB000354"/>
    <x v="2"/>
    <x v="1"/>
    <s v="Fall"/>
    <m/>
    <x v="2"/>
    <n v="44.58"/>
    <n v="0"/>
    <n v="44.58"/>
    <x v="1"/>
    <n v="21"/>
    <n v="3.1288461538461547"/>
    <b v="0"/>
    <m/>
  </r>
  <r>
    <s v="FB000355"/>
    <x v="5"/>
    <x v="7"/>
    <s v="Summer"/>
    <s v="L"/>
    <x v="0"/>
    <n v="166.53"/>
    <n v="0"/>
    <n v="166.53"/>
    <x v="1"/>
    <n v="28"/>
    <n v="1.7"/>
    <b v="0"/>
    <m/>
  </r>
  <r>
    <s v="FB000356"/>
    <x v="3"/>
    <x v="2"/>
    <s v="Summer"/>
    <s v="XL"/>
    <x v="1"/>
    <n v="144.61000000000001"/>
    <n v="0"/>
    <n v="144.61000000000001"/>
    <x v="1"/>
    <n v="21"/>
    <n v="2.5"/>
    <b v="0"/>
    <m/>
  </r>
  <r>
    <s v="FB000357"/>
    <x v="2"/>
    <x v="3"/>
    <s v="Fall"/>
    <m/>
    <x v="8"/>
    <n v="31"/>
    <n v="0"/>
    <n v="31"/>
    <x v="1"/>
    <n v="29"/>
    <n v="1.9"/>
    <b v="0"/>
    <m/>
  </r>
  <r>
    <s v="FB000358"/>
    <x v="2"/>
    <x v="7"/>
    <s v="Winter"/>
    <m/>
    <x v="1"/>
    <n v="68.569999999999993"/>
    <n v="29.4"/>
    <n v="48.41"/>
    <x v="1"/>
    <n v="4"/>
    <n v="3.5"/>
    <b v="0"/>
    <m/>
  </r>
  <r>
    <s v="FB000359"/>
    <x v="5"/>
    <x v="7"/>
    <s v="Summer"/>
    <s v="L"/>
    <x v="0"/>
    <n v="73.040000000000006"/>
    <n v="56.5"/>
    <n v="31.77"/>
    <x v="1"/>
    <n v="15"/>
    <n v="3"/>
    <b v="1"/>
    <s v="Changed Mind"/>
  </r>
  <r>
    <s v="FB000360"/>
    <x v="1"/>
    <x v="4"/>
    <s v="Spring"/>
    <s v="L"/>
    <x v="9"/>
    <n v="95.19"/>
    <n v="0"/>
    <n v="95.19"/>
    <x v="85"/>
    <n v="13"/>
    <n v="4.0999999999999996"/>
    <b v="0"/>
    <m/>
  </r>
  <r>
    <s v="FB000361"/>
    <x v="1"/>
    <x v="6"/>
    <s v="Winter"/>
    <s v="XS"/>
    <x v="9"/>
    <n v="104.94"/>
    <n v="0"/>
    <n v="104.94"/>
    <x v="1"/>
    <n v="42"/>
    <n v="2"/>
    <b v="0"/>
    <m/>
  </r>
  <r>
    <s v="FB000362"/>
    <x v="4"/>
    <x v="6"/>
    <s v="Spring"/>
    <s v="XXL"/>
    <x v="7"/>
    <n v="97.29"/>
    <n v="0"/>
    <n v="97.29"/>
    <x v="86"/>
    <n v="42"/>
    <n v="4.5"/>
    <b v="0"/>
    <m/>
  </r>
  <r>
    <s v="FB000363"/>
    <x v="3"/>
    <x v="3"/>
    <s v="Winter"/>
    <s v="L"/>
    <x v="3"/>
    <n v="83.05"/>
    <n v="39.799999999999997"/>
    <n v="50"/>
    <x v="1"/>
    <n v="5"/>
    <n v="3.4"/>
    <b v="0"/>
    <m/>
  </r>
  <r>
    <s v="FB000364"/>
    <x v="0"/>
    <x v="1"/>
    <s v="Fall"/>
    <s v="S"/>
    <x v="7"/>
    <n v="86.13"/>
    <n v="0"/>
    <n v="86.13"/>
    <x v="1"/>
    <n v="28"/>
    <n v="2.7"/>
    <b v="0"/>
    <m/>
  </r>
  <r>
    <s v="FB000365"/>
    <x v="4"/>
    <x v="2"/>
    <s v="Summer"/>
    <s v="S"/>
    <x v="3"/>
    <n v="104.13"/>
    <n v="28.7"/>
    <n v="74.239999999999995"/>
    <x v="1"/>
    <n v="23"/>
    <n v="3.1"/>
    <b v="0"/>
    <m/>
  </r>
  <r>
    <s v="FB000366"/>
    <x v="2"/>
    <x v="1"/>
    <s v="Fall"/>
    <m/>
    <x v="6"/>
    <n v="41.7"/>
    <n v="0"/>
    <n v="41.7"/>
    <x v="1"/>
    <n v="18"/>
    <n v="3.2"/>
    <b v="0"/>
    <m/>
  </r>
  <r>
    <s v="FB000367"/>
    <x v="0"/>
    <x v="2"/>
    <s v="Spring"/>
    <s v="L"/>
    <x v="3"/>
    <n v="80.11"/>
    <n v="0"/>
    <n v="80.11"/>
    <x v="10"/>
    <n v="34"/>
    <n v="1.8"/>
    <b v="0"/>
    <m/>
  </r>
  <r>
    <s v="FB000368"/>
    <x v="1"/>
    <x v="5"/>
    <s v="Fall"/>
    <s v="L"/>
    <x v="3"/>
    <n v="97.84"/>
    <n v="0"/>
    <n v="97.84"/>
    <x v="1"/>
    <n v="16"/>
    <n v="2.9846153846153847"/>
    <b v="0"/>
    <m/>
  </r>
  <r>
    <s v="FB000369"/>
    <x v="4"/>
    <x v="6"/>
    <s v="Fall"/>
    <s v="XL"/>
    <x v="7"/>
    <n v="77.37"/>
    <n v="35.200000000000003"/>
    <n v="50.14"/>
    <x v="1"/>
    <n v="14"/>
    <n v="2.2999999999999998"/>
    <b v="0"/>
    <m/>
  </r>
  <r>
    <s v="FB000370"/>
    <x v="2"/>
    <x v="4"/>
    <s v="Fall"/>
    <m/>
    <x v="0"/>
    <n v="36.35"/>
    <n v="37.6"/>
    <n v="22.68"/>
    <x v="1"/>
    <n v="49"/>
    <n v="4"/>
    <b v="1"/>
    <s v="Changed Mind"/>
  </r>
  <r>
    <s v="FB000371"/>
    <x v="0"/>
    <x v="2"/>
    <s v="Winter"/>
    <s v="XXL"/>
    <x v="6"/>
    <n v="181.04"/>
    <n v="20.2"/>
    <n v="144.47"/>
    <x v="1"/>
    <n v="17"/>
    <n v="3.0177777777777774"/>
    <b v="1"/>
    <s v="Size Issue"/>
  </r>
  <r>
    <s v="FB000372"/>
    <x v="0"/>
    <x v="0"/>
    <s v="Spring"/>
    <s v="XL"/>
    <x v="2"/>
    <n v="158.37"/>
    <n v="0"/>
    <n v="158.37"/>
    <x v="87"/>
    <n v="33"/>
    <n v="2.7030303030303036"/>
    <b v="0"/>
    <m/>
  </r>
  <r>
    <s v="FB000373"/>
    <x v="3"/>
    <x v="7"/>
    <s v="Summer"/>
    <s v="XXL"/>
    <x v="9"/>
    <n v="91.98"/>
    <n v="0"/>
    <n v="91.98"/>
    <x v="1"/>
    <n v="48"/>
    <n v="3.9"/>
    <b v="0"/>
    <m/>
  </r>
  <r>
    <s v="FB000374"/>
    <x v="3"/>
    <x v="0"/>
    <s v="Winter"/>
    <s v="S"/>
    <x v="10"/>
    <n v="140.29"/>
    <n v="55.3"/>
    <n v="62.71"/>
    <x v="1"/>
    <n v="5"/>
    <n v="4.4000000000000004"/>
    <b v="0"/>
    <m/>
  </r>
  <r>
    <s v="FB000375"/>
    <x v="1"/>
    <x v="1"/>
    <s v="Spring"/>
    <s v="XL"/>
    <x v="0"/>
    <n v="26.01"/>
    <n v="0"/>
    <n v="26.01"/>
    <x v="88"/>
    <n v="9"/>
    <n v="4"/>
    <b v="0"/>
    <m/>
  </r>
  <r>
    <s v="FB000376"/>
    <x v="1"/>
    <x v="7"/>
    <s v="Winter"/>
    <s v="XL"/>
    <x v="5"/>
    <n v="51.06"/>
    <n v="9.5"/>
    <n v="46.21"/>
    <x v="1"/>
    <n v="34"/>
    <n v="1.1000000000000001"/>
    <b v="0"/>
    <m/>
  </r>
  <r>
    <s v="FB000377"/>
    <x v="0"/>
    <x v="6"/>
    <s v="Fall"/>
    <s v="XS"/>
    <x v="0"/>
    <n v="132.91999999999999"/>
    <n v="0"/>
    <n v="132.91999999999999"/>
    <x v="1"/>
    <n v="36"/>
    <n v="1.2"/>
    <b v="0"/>
    <m/>
  </r>
  <r>
    <s v="FB000378"/>
    <x v="2"/>
    <x v="6"/>
    <s v="Fall"/>
    <m/>
    <x v="9"/>
    <n v="16.57"/>
    <n v="0"/>
    <n v="16.57"/>
    <x v="1"/>
    <n v="17"/>
    <n v="3.2720930232558145"/>
    <b v="0"/>
    <m/>
  </r>
  <r>
    <s v="FB000379"/>
    <x v="4"/>
    <x v="7"/>
    <s v="Winter"/>
    <s v="XS"/>
    <x v="2"/>
    <n v="78.599999999999994"/>
    <n v="45.8"/>
    <n v="42.6"/>
    <x v="1"/>
    <n v="6"/>
    <n v="2.7"/>
    <b v="0"/>
    <m/>
  </r>
  <r>
    <s v="FB000380"/>
    <x v="2"/>
    <x v="3"/>
    <s v="Summer"/>
    <m/>
    <x v="10"/>
    <n v="69.38"/>
    <n v="0"/>
    <n v="69.38"/>
    <x v="1"/>
    <n v="43"/>
    <n v="2.4"/>
    <b v="0"/>
    <m/>
  </r>
  <r>
    <s v="FB000381"/>
    <x v="2"/>
    <x v="3"/>
    <s v="Fall"/>
    <m/>
    <x v="1"/>
    <n v="23.58"/>
    <n v="0"/>
    <n v="23.58"/>
    <x v="1"/>
    <n v="16"/>
    <n v="1.3"/>
    <b v="0"/>
    <m/>
  </r>
  <r>
    <s v="FB000382"/>
    <x v="1"/>
    <x v="4"/>
    <s v="Spring"/>
    <s v="XS"/>
    <x v="8"/>
    <n v="119.91"/>
    <n v="27.8"/>
    <n v="86.58"/>
    <x v="55"/>
    <n v="12"/>
    <n v="1.7"/>
    <b v="0"/>
    <m/>
  </r>
  <r>
    <s v="FB000383"/>
    <x v="0"/>
    <x v="4"/>
    <s v="Summer"/>
    <s v="M"/>
    <x v="2"/>
    <n v="111.05"/>
    <n v="1.4"/>
    <n v="109.5"/>
    <x v="1"/>
    <n v="7"/>
    <n v="2.8"/>
    <b v="0"/>
    <m/>
  </r>
  <r>
    <s v="FB000384"/>
    <x v="2"/>
    <x v="2"/>
    <s v="Summer"/>
    <m/>
    <x v="4"/>
    <n v="60.22"/>
    <n v="0"/>
    <n v="60.22"/>
    <x v="1"/>
    <n v="6"/>
    <n v="2.1"/>
    <b v="0"/>
    <m/>
  </r>
  <r>
    <s v="FB000385"/>
    <x v="0"/>
    <x v="6"/>
    <s v="Winter"/>
    <s v="M"/>
    <x v="8"/>
    <n v="133.52000000000001"/>
    <n v="0"/>
    <n v="133.52000000000001"/>
    <x v="1"/>
    <n v="27"/>
    <n v="3.6"/>
    <b v="0"/>
    <m/>
  </r>
  <r>
    <s v="FB000386"/>
    <x v="5"/>
    <x v="2"/>
    <s v="Spring"/>
    <s v="XL"/>
    <x v="10"/>
    <n v="54.97"/>
    <n v="49.6"/>
    <n v="27.7"/>
    <x v="89"/>
    <n v="48"/>
    <n v="4.5"/>
    <b v="0"/>
    <m/>
  </r>
  <r>
    <s v="FB000387"/>
    <x v="1"/>
    <x v="1"/>
    <s v="Winter"/>
    <s v="L"/>
    <x v="3"/>
    <n v="85.94"/>
    <n v="0"/>
    <n v="85.94"/>
    <x v="1"/>
    <n v="42"/>
    <n v="4.3"/>
    <b v="0"/>
    <m/>
  </r>
  <r>
    <s v="FB000388"/>
    <x v="2"/>
    <x v="4"/>
    <s v="Fall"/>
    <m/>
    <x v="2"/>
    <n v="24.64"/>
    <n v="0"/>
    <n v="24.64"/>
    <x v="1"/>
    <n v="6"/>
    <n v="4.4000000000000004"/>
    <b v="0"/>
    <m/>
  </r>
  <r>
    <s v="FB000389"/>
    <x v="2"/>
    <x v="2"/>
    <s v="Spring"/>
    <m/>
    <x v="5"/>
    <n v="28.82"/>
    <n v="0"/>
    <n v="28.82"/>
    <x v="90"/>
    <n v="30"/>
    <n v="2.8"/>
    <b v="0"/>
    <m/>
  </r>
  <r>
    <s v="FB000390"/>
    <x v="3"/>
    <x v="7"/>
    <s v="Summer"/>
    <s v="L"/>
    <x v="1"/>
    <n v="79.59"/>
    <n v="24.3"/>
    <n v="60.25"/>
    <x v="1"/>
    <n v="37"/>
    <n v="1.7"/>
    <b v="0"/>
    <m/>
  </r>
  <r>
    <s v="FB000391"/>
    <x v="5"/>
    <x v="6"/>
    <s v="Fall"/>
    <s v="XL"/>
    <x v="5"/>
    <n v="49.44"/>
    <n v="0"/>
    <n v="49.44"/>
    <x v="1"/>
    <n v="19"/>
    <n v="3.4"/>
    <b v="0"/>
    <m/>
  </r>
  <r>
    <s v="FB000392"/>
    <x v="1"/>
    <x v="3"/>
    <s v="Winter"/>
    <s v="XS"/>
    <x v="5"/>
    <n v="41.46"/>
    <n v="0"/>
    <n v="41.46"/>
    <x v="1"/>
    <n v="36"/>
    <n v="3.5"/>
    <b v="0"/>
    <m/>
  </r>
  <r>
    <s v="FB000393"/>
    <x v="5"/>
    <x v="1"/>
    <s v="Fall"/>
    <s v="XS"/>
    <x v="7"/>
    <n v="131.76"/>
    <n v="35.4"/>
    <n v="85.12"/>
    <x v="1"/>
    <n v="21"/>
    <n v="4.7"/>
    <b v="0"/>
    <m/>
  </r>
  <r>
    <s v="FB000394"/>
    <x v="4"/>
    <x v="3"/>
    <s v="Fall"/>
    <s v="M"/>
    <x v="5"/>
    <n v="56.53"/>
    <n v="27.9"/>
    <n v="40.76"/>
    <x v="1"/>
    <n v="22"/>
    <n v="2.8142857142857149"/>
    <b v="0"/>
    <m/>
  </r>
  <r>
    <s v="FB000395"/>
    <x v="1"/>
    <x v="0"/>
    <s v="Winter"/>
    <m/>
    <x v="5"/>
    <n v="111.72"/>
    <n v="33.299999999999997"/>
    <n v="74.52"/>
    <x v="1"/>
    <n v="47"/>
    <n v="2"/>
    <b v="1"/>
    <s v="Quality Issue"/>
  </r>
  <r>
    <s v="FB000396"/>
    <x v="1"/>
    <x v="0"/>
    <s v="Winter"/>
    <s v="L"/>
    <x v="7"/>
    <n v="99.96"/>
    <n v="47.6"/>
    <n v="52.38"/>
    <x v="1"/>
    <n v="18"/>
    <n v="2"/>
    <b v="1"/>
    <s v="Quality Issue"/>
  </r>
  <r>
    <s v="FB000397"/>
    <x v="5"/>
    <x v="1"/>
    <s v="Fall"/>
    <s v="XS"/>
    <x v="0"/>
    <n v="110.04"/>
    <n v="57.1"/>
    <n v="47.21"/>
    <x v="1"/>
    <n v="0"/>
    <n v="4.7"/>
    <b v="0"/>
    <m/>
  </r>
  <r>
    <s v="FB000398"/>
    <x v="5"/>
    <x v="7"/>
    <s v="Winter"/>
    <s v="L"/>
    <x v="5"/>
    <n v="141.84"/>
    <n v="0"/>
    <n v="141.84"/>
    <x v="1"/>
    <n v="39"/>
    <n v="1.7"/>
    <b v="0"/>
    <m/>
  </r>
  <r>
    <s v="FB000399"/>
    <x v="2"/>
    <x v="4"/>
    <s v="Winter"/>
    <m/>
    <x v="10"/>
    <n v="32.630000000000003"/>
    <n v="42.9"/>
    <n v="18.63"/>
    <x v="1"/>
    <n v="5"/>
    <n v="1.1000000000000001"/>
    <b v="0"/>
    <m/>
  </r>
  <r>
    <s v="FB000400"/>
    <x v="0"/>
    <x v="0"/>
    <s v="Spring"/>
    <s v="L"/>
    <x v="2"/>
    <n v="189.68"/>
    <n v="40.799999999999997"/>
    <n v="112.29"/>
    <x v="91"/>
    <n v="27"/>
    <n v="1.8"/>
    <b v="1"/>
    <s v="Damaged"/>
  </r>
  <r>
    <s v="FB000401"/>
    <x v="5"/>
    <x v="5"/>
    <s v="Fall"/>
    <s v="XL"/>
    <x v="1"/>
    <n v="150.88999999999999"/>
    <n v="46.8"/>
    <n v="80.27"/>
    <x v="1"/>
    <n v="18"/>
    <n v="4.9000000000000004"/>
    <b v="0"/>
    <m/>
  </r>
  <r>
    <s v="FB000402"/>
    <x v="2"/>
    <x v="6"/>
    <s v="Fall"/>
    <m/>
    <x v="8"/>
    <n v="42.66"/>
    <n v="21.5"/>
    <n v="33.49"/>
    <x v="1"/>
    <n v="16"/>
    <n v="3.2720930232558145"/>
    <b v="0"/>
    <m/>
  </r>
  <r>
    <s v="FB000403"/>
    <x v="2"/>
    <x v="1"/>
    <s v="Fall"/>
    <m/>
    <x v="0"/>
    <n v="62.05"/>
    <n v="0"/>
    <n v="62.05"/>
    <x v="1"/>
    <n v="50"/>
    <n v="1.4"/>
    <b v="1"/>
    <s v="Changed Mind"/>
  </r>
  <r>
    <s v="FB000404"/>
    <x v="2"/>
    <x v="2"/>
    <s v="Winter"/>
    <m/>
    <x v="6"/>
    <n v="74.319999999999993"/>
    <n v="0"/>
    <n v="74.319999999999993"/>
    <x v="1"/>
    <n v="4"/>
    <n v="2.2000000000000002"/>
    <b v="0"/>
    <m/>
  </r>
  <r>
    <s v="FB000405"/>
    <x v="0"/>
    <x v="1"/>
    <s v="Winter"/>
    <s v="XS"/>
    <x v="8"/>
    <n v="217.34"/>
    <n v="0"/>
    <n v="217.34"/>
    <x v="1"/>
    <n v="4"/>
    <n v="4.2"/>
    <b v="0"/>
    <m/>
  </r>
  <r>
    <s v="FB000406"/>
    <x v="1"/>
    <x v="0"/>
    <s v="Summer"/>
    <s v="XL"/>
    <x v="3"/>
    <n v="111.14"/>
    <n v="56.7"/>
    <n v="48.12"/>
    <x v="1"/>
    <n v="29"/>
    <n v="1.5"/>
    <b v="0"/>
    <m/>
  </r>
  <r>
    <s v="FB000407"/>
    <x v="3"/>
    <x v="4"/>
    <s v="Winter"/>
    <s v="XL"/>
    <x v="8"/>
    <n v="62.5"/>
    <n v="0"/>
    <n v="62.5"/>
    <x v="1"/>
    <n v="0"/>
    <n v="1.9"/>
    <b v="1"/>
    <s v="Changed Mind"/>
  </r>
  <r>
    <s v="FB000408"/>
    <x v="0"/>
    <x v="2"/>
    <s v="Winter"/>
    <s v="XS"/>
    <x v="5"/>
    <n v="165.88"/>
    <n v="3.4"/>
    <n v="160.24"/>
    <x v="1"/>
    <n v="42"/>
    <n v="2.4"/>
    <b v="0"/>
    <m/>
  </r>
  <r>
    <s v="FB000409"/>
    <x v="0"/>
    <x v="6"/>
    <s v="Fall"/>
    <s v="XS"/>
    <x v="10"/>
    <n v="179.8"/>
    <n v="0"/>
    <n v="179.8"/>
    <x v="1"/>
    <n v="25"/>
    <n v="1.7"/>
    <b v="0"/>
    <m/>
  </r>
  <r>
    <s v="FB000410"/>
    <x v="2"/>
    <x v="0"/>
    <s v="Summer"/>
    <m/>
    <x v="7"/>
    <n v="34.15"/>
    <n v="0"/>
    <n v="34.15"/>
    <x v="1"/>
    <n v="27"/>
    <n v="4.0999999999999996"/>
    <b v="0"/>
    <m/>
  </r>
  <r>
    <s v="FB000411"/>
    <x v="1"/>
    <x v="6"/>
    <s v="Spring"/>
    <s v="XS"/>
    <x v="6"/>
    <n v="101.88"/>
    <n v="0"/>
    <n v="101.88"/>
    <x v="92"/>
    <n v="46"/>
    <n v="2.9074999999999998"/>
    <b v="1"/>
    <s v="Size Issue"/>
  </r>
  <r>
    <s v="FB000412"/>
    <x v="3"/>
    <x v="2"/>
    <s v="Summer"/>
    <s v="XL"/>
    <x v="5"/>
    <n v="187.58"/>
    <n v="0"/>
    <n v="187.58"/>
    <x v="1"/>
    <n v="46"/>
    <n v="2.9"/>
    <b v="0"/>
    <m/>
  </r>
  <r>
    <s v="FB000413"/>
    <x v="0"/>
    <x v="5"/>
    <s v="Fall"/>
    <s v="L"/>
    <x v="1"/>
    <n v="145.02000000000001"/>
    <n v="0"/>
    <n v="145.02000000000001"/>
    <x v="1"/>
    <n v="36"/>
    <n v="2.6"/>
    <b v="0"/>
    <m/>
  </r>
  <r>
    <s v="FB000414"/>
    <x v="4"/>
    <x v="6"/>
    <s v="Summer"/>
    <s v="XS"/>
    <x v="5"/>
    <n v="101.61"/>
    <n v="26.9"/>
    <n v="74.28"/>
    <x v="1"/>
    <n v="38"/>
    <n v="3.4"/>
    <b v="1"/>
    <s v="Damaged"/>
  </r>
  <r>
    <s v="FB000415"/>
    <x v="5"/>
    <x v="4"/>
    <s v="Fall"/>
    <s v="XXL"/>
    <x v="7"/>
    <n v="71.14"/>
    <n v="0"/>
    <n v="71.14"/>
    <x v="1"/>
    <n v="33"/>
    <n v="3.1"/>
    <b v="0"/>
    <m/>
  </r>
  <r>
    <s v="FB000416"/>
    <x v="5"/>
    <x v="5"/>
    <s v="Summer"/>
    <s v="M"/>
    <x v="6"/>
    <n v="55.21"/>
    <n v="0"/>
    <n v="55.21"/>
    <x v="1"/>
    <n v="2"/>
    <n v="3.8"/>
    <b v="1"/>
    <s v="Wrong Item"/>
  </r>
  <r>
    <s v="FB000417"/>
    <x v="1"/>
    <x v="0"/>
    <s v="Summer"/>
    <s v="XXL"/>
    <x v="2"/>
    <n v="94.96"/>
    <n v="35.4"/>
    <n v="61.34"/>
    <x v="1"/>
    <n v="34"/>
    <n v="3.9"/>
    <b v="0"/>
    <m/>
  </r>
  <r>
    <s v="FB000418"/>
    <x v="3"/>
    <x v="3"/>
    <s v="Spring"/>
    <s v="M"/>
    <x v="9"/>
    <n v="138.69"/>
    <n v="0"/>
    <n v="138.69"/>
    <x v="93"/>
    <n v="0"/>
    <n v="2.9"/>
    <b v="0"/>
    <m/>
  </r>
  <r>
    <s v="FB000419"/>
    <x v="0"/>
    <x v="6"/>
    <s v="Spring"/>
    <s v="XXL"/>
    <x v="8"/>
    <n v="175.7"/>
    <n v="0"/>
    <n v="175.7"/>
    <x v="88"/>
    <n v="20"/>
    <n v="3"/>
    <b v="0"/>
    <m/>
  </r>
  <r>
    <s v="FB000420"/>
    <x v="3"/>
    <x v="1"/>
    <s v="Summer"/>
    <s v="XS"/>
    <x v="2"/>
    <n v="145.18"/>
    <n v="35.700000000000003"/>
    <n v="93.35"/>
    <x v="1"/>
    <n v="25"/>
    <n v="2.2000000000000002"/>
    <b v="0"/>
    <m/>
  </r>
  <r>
    <s v="FB000421"/>
    <x v="5"/>
    <x v="3"/>
    <s v="Summer"/>
    <s v="M"/>
    <x v="2"/>
    <n v="169.34"/>
    <n v="44.6"/>
    <n v="93.81"/>
    <x v="1"/>
    <n v="37"/>
    <n v="2.7"/>
    <b v="0"/>
    <m/>
  </r>
  <r>
    <s v="FB000422"/>
    <x v="1"/>
    <x v="1"/>
    <s v="Summer"/>
    <s v="L"/>
    <x v="0"/>
    <n v="103.14"/>
    <n v="0"/>
    <n v="103.14"/>
    <x v="1"/>
    <n v="13"/>
    <n v="4.5"/>
    <b v="0"/>
    <m/>
  </r>
  <r>
    <s v="FB000423"/>
    <x v="1"/>
    <x v="3"/>
    <s v="Fall"/>
    <s v="M"/>
    <x v="7"/>
    <n v="97.47"/>
    <n v="32"/>
    <n v="66.28"/>
    <x v="1"/>
    <n v="27"/>
    <n v="3"/>
    <b v="0"/>
    <m/>
  </r>
  <r>
    <s v="FB000424"/>
    <x v="5"/>
    <x v="5"/>
    <s v="Spring"/>
    <s v="M"/>
    <x v="8"/>
    <n v="50.69"/>
    <n v="26.3"/>
    <n v="37.36"/>
    <x v="3"/>
    <n v="37"/>
    <n v="4.0999999999999996"/>
    <b v="0"/>
    <m/>
  </r>
  <r>
    <s v="FB000425"/>
    <x v="0"/>
    <x v="2"/>
    <s v="Fall"/>
    <s v="XL"/>
    <x v="2"/>
    <n v="127.75"/>
    <n v="0"/>
    <n v="127.75"/>
    <x v="1"/>
    <n v="32"/>
    <n v="3.6"/>
    <b v="0"/>
    <m/>
  </r>
  <r>
    <s v="FB000426"/>
    <x v="1"/>
    <x v="7"/>
    <s v="Winter"/>
    <s v="XL"/>
    <x v="2"/>
    <n v="111.64"/>
    <n v="0"/>
    <n v="111.64"/>
    <x v="1"/>
    <n v="13"/>
    <n v="4.8"/>
    <b v="0"/>
    <m/>
  </r>
  <r>
    <s v="FB000427"/>
    <x v="3"/>
    <x v="1"/>
    <s v="Fall"/>
    <m/>
    <x v="9"/>
    <n v="134.6"/>
    <n v="11.6"/>
    <n v="118.99"/>
    <x v="1"/>
    <n v="47"/>
    <n v="3.9"/>
    <b v="0"/>
    <m/>
  </r>
  <r>
    <s v="FB000428"/>
    <x v="4"/>
    <x v="0"/>
    <s v="Spring"/>
    <s v="XXL"/>
    <x v="9"/>
    <n v="56.05"/>
    <n v="0"/>
    <n v="56.05"/>
    <x v="41"/>
    <n v="9"/>
    <n v="2.9210526315789478"/>
    <b v="0"/>
    <m/>
  </r>
  <r>
    <s v="FB000429"/>
    <x v="5"/>
    <x v="2"/>
    <s v="Fall"/>
    <s v="XL"/>
    <x v="9"/>
    <n v="106.2"/>
    <n v="0"/>
    <n v="106.2"/>
    <x v="1"/>
    <n v="35"/>
    <n v="4.5"/>
    <b v="0"/>
    <m/>
  </r>
  <r>
    <s v="FB000430"/>
    <x v="3"/>
    <x v="3"/>
    <s v="Fall"/>
    <m/>
    <x v="6"/>
    <n v="104.26"/>
    <n v="20.6"/>
    <n v="82.78"/>
    <x v="1"/>
    <n v="31"/>
    <n v="3"/>
    <b v="0"/>
    <m/>
  </r>
  <r>
    <s v="FB000431"/>
    <x v="2"/>
    <x v="1"/>
    <s v="Spring"/>
    <m/>
    <x v="9"/>
    <n v="24.53"/>
    <n v="0"/>
    <n v="24.53"/>
    <x v="94"/>
    <n v="44"/>
    <n v="4.2"/>
    <b v="0"/>
    <m/>
  </r>
  <r>
    <s v="FB000432"/>
    <x v="3"/>
    <x v="3"/>
    <s v="Spring"/>
    <s v="L"/>
    <x v="6"/>
    <n v="131.25"/>
    <n v="0"/>
    <n v="131.25"/>
    <x v="95"/>
    <n v="12"/>
    <n v="1.6"/>
    <b v="0"/>
    <m/>
  </r>
  <r>
    <s v="FB000433"/>
    <x v="4"/>
    <x v="7"/>
    <s v="Fall"/>
    <s v="M"/>
    <x v="0"/>
    <n v="72.849999999999994"/>
    <n v="0"/>
    <n v="72.849999999999994"/>
    <x v="1"/>
    <n v="25"/>
    <n v="3.8"/>
    <b v="0"/>
    <m/>
  </r>
  <r>
    <s v="FB000434"/>
    <x v="3"/>
    <x v="0"/>
    <s v="Winter"/>
    <s v="XS"/>
    <x v="6"/>
    <n v="135.38999999999999"/>
    <n v="0"/>
    <n v="135.38999999999999"/>
    <x v="1"/>
    <n v="26"/>
    <n v="3.9"/>
    <b v="0"/>
    <m/>
  </r>
  <r>
    <s v="FB000435"/>
    <x v="3"/>
    <x v="0"/>
    <s v="Winter"/>
    <s v="XL"/>
    <x v="8"/>
    <n v="166.94"/>
    <n v="4.2"/>
    <n v="159.93"/>
    <x v="1"/>
    <n v="17"/>
    <n v="2.6"/>
    <b v="1"/>
    <s v="Color Mismatch"/>
  </r>
  <r>
    <s v="FB000436"/>
    <x v="3"/>
    <x v="2"/>
    <s v="Spring"/>
    <s v="XL"/>
    <x v="6"/>
    <n v="135.36000000000001"/>
    <n v="41.7"/>
    <n v="78.91"/>
    <x v="96"/>
    <n v="17"/>
    <n v="4.3"/>
    <b v="0"/>
    <m/>
  </r>
  <r>
    <s v="FB000437"/>
    <x v="4"/>
    <x v="5"/>
    <s v="Spring"/>
    <s v="L"/>
    <x v="5"/>
    <n v="96.05"/>
    <n v="0"/>
    <n v="96.05"/>
    <x v="25"/>
    <n v="15"/>
    <n v="4"/>
    <b v="0"/>
    <m/>
  </r>
  <r>
    <s v="FB000438"/>
    <x v="0"/>
    <x v="4"/>
    <s v="Summer"/>
    <s v="L"/>
    <x v="0"/>
    <n v="116.1"/>
    <n v="0"/>
    <n v="116.1"/>
    <x v="1"/>
    <n v="27"/>
    <n v="3.6"/>
    <b v="1"/>
    <s v="Changed Mind"/>
  </r>
  <r>
    <s v="FB000439"/>
    <x v="3"/>
    <x v="3"/>
    <s v="Fall"/>
    <s v="L"/>
    <x v="2"/>
    <n v="91.53"/>
    <n v="0"/>
    <n v="91.53"/>
    <x v="1"/>
    <n v="8"/>
    <n v="1.5"/>
    <b v="0"/>
    <m/>
  </r>
  <r>
    <s v="FB000440"/>
    <x v="4"/>
    <x v="0"/>
    <s v="Winter"/>
    <s v="XS"/>
    <x v="4"/>
    <n v="102.16"/>
    <n v="0"/>
    <n v="102.16"/>
    <x v="1"/>
    <n v="50"/>
    <n v="2.9210526315789478"/>
    <b v="0"/>
    <m/>
  </r>
  <r>
    <s v="FB000441"/>
    <x v="3"/>
    <x v="1"/>
    <s v="Winter"/>
    <s v="L"/>
    <x v="4"/>
    <n v="67.739999999999995"/>
    <n v="3.3"/>
    <n v="65.5"/>
    <x v="1"/>
    <n v="23"/>
    <n v="1.5"/>
    <b v="0"/>
    <m/>
  </r>
  <r>
    <s v="FB000442"/>
    <x v="2"/>
    <x v="2"/>
    <s v="Winter"/>
    <m/>
    <x v="6"/>
    <n v="38.340000000000003"/>
    <n v="0"/>
    <n v="38.340000000000003"/>
    <x v="1"/>
    <n v="14"/>
    <n v="1.4"/>
    <b v="0"/>
    <m/>
  </r>
  <r>
    <s v="FB000443"/>
    <x v="2"/>
    <x v="0"/>
    <s v="Winter"/>
    <m/>
    <x v="4"/>
    <n v="60.49"/>
    <n v="0"/>
    <n v="60.49"/>
    <x v="1"/>
    <n v="30"/>
    <n v="2.5"/>
    <b v="0"/>
    <m/>
  </r>
  <r>
    <s v="FB000444"/>
    <x v="0"/>
    <x v="2"/>
    <s v="Spring"/>
    <s v="L"/>
    <x v="8"/>
    <n v="90.27"/>
    <n v="0"/>
    <n v="90.27"/>
    <x v="10"/>
    <n v="35"/>
    <n v="4.2"/>
    <b v="0"/>
    <m/>
  </r>
  <r>
    <s v="FB000445"/>
    <x v="2"/>
    <x v="2"/>
    <s v="Summer"/>
    <m/>
    <x v="0"/>
    <n v="45.42"/>
    <n v="0"/>
    <n v="45.42"/>
    <x v="1"/>
    <n v="36"/>
    <n v="1.3"/>
    <b v="0"/>
    <m/>
  </r>
  <r>
    <s v="FB000446"/>
    <x v="1"/>
    <x v="5"/>
    <s v="Spring"/>
    <m/>
    <x v="9"/>
    <n v="58.56"/>
    <n v="0"/>
    <n v="58.56"/>
    <x v="97"/>
    <n v="21"/>
    <n v="2.2999999999999998"/>
    <b v="0"/>
    <m/>
  </r>
  <r>
    <s v="FB000447"/>
    <x v="5"/>
    <x v="4"/>
    <s v="Summer"/>
    <s v="L"/>
    <x v="1"/>
    <n v="167.64"/>
    <n v="0"/>
    <n v="167.64"/>
    <x v="1"/>
    <n v="18"/>
    <n v="4.0999999999999996"/>
    <b v="0"/>
    <m/>
  </r>
  <r>
    <s v="FB000448"/>
    <x v="0"/>
    <x v="0"/>
    <s v="Fall"/>
    <s v="XXL"/>
    <x v="0"/>
    <n v="193.14"/>
    <n v="0"/>
    <n v="193.14"/>
    <x v="1"/>
    <n v="7"/>
    <n v="3.5"/>
    <b v="0"/>
    <m/>
  </r>
  <r>
    <s v="FB000449"/>
    <x v="2"/>
    <x v="6"/>
    <s v="Winter"/>
    <m/>
    <x v="4"/>
    <n v="60.06"/>
    <n v="15.6"/>
    <n v="50.69"/>
    <x v="1"/>
    <n v="49"/>
    <n v="2"/>
    <b v="1"/>
    <s v="Color Mismatch"/>
  </r>
  <r>
    <s v="FB000450"/>
    <x v="4"/>
    <x v="2"/>
    <s v="Fall"/>
    <s v="M"/>
    <x v="4"/>
    <n v="35.369999999999997"/>
    <n v="0"/>
    <n v="35.369999999999997"/>
    <x v="1"/>
    <n v="29"/>
    <n v="4.7"/>
    <b v="0"/>
    <m/>
  </r>
  <r>
    <s v="FB000451"/>
    <x v="2"/>
    <x v="3"/>
    <s v="Summer"/>
    <m/>
    <x v="9"/>
    <n v="39.85"/>
    <n v="0"/>
    <n v="39.85"/>
    <x v="1"/>
    <n v="28"/>
    <n v="2.4"/>
    <b v="0"/>
    <m/>
  </r>
  <r>
    <s v="FB000452"/>
    <x v="1"/>
    <x v="0"/>
    <s v="Winter"/>
    <s v="XL"/>
    <x v="2"/>
    <n v="85.34"/>
    <n v="59.4"/>
    <n v="34.65"/>
    <x v="1"/>
    <n v="5"/>
    <n v="4.9000000000000004"/>
    <b v="0"/>
    <m/>
  </r>
  <r>
    <s v="FB000453"/>
    <x v="4"/>
    <x v="7"/>
    <s v="Fall"/>
    <s v="XXL"/>
    <x v="3"/>
    <n v="81.17"/>
    <n v="0"/>
    <n v="81.17"/>
    <x v="1"/>
    <n v="21"/>
    <n v="1.2"/>
    <b v="0"/>
    <m/>
  </r>
  <r>
    <s v="FB000454"/>
    <x v="2"/>
    <x v="5"/>
    <s v="Spring"/>
    <m/>
    <x v="3"/>
    <n v="16.809999999999999"/>
    <n v="0"/>
    <n v="16.809999999999999"/>
    <x v="98"/>
    <n v="16"/>
    <n v="2.8"/>
    <b v="0"/>
    <m/>
  </r>
  <r>
    <s v="FB000455"/>
    <x v="1"/>
    <x v="5"/>
    <s v="Winter"/>
    <s v="XL"/>
    <x v="2"/>
    <n v="115.71"/>
    <n v="55"/>
    <n v="52.07"/>
    <x v="1"/>
    <n v="6"/>
    <n v="1.6"/>
    <b v="0"/>
    <m/>
  </r>
  <r>
    <s v="FB000456"/>
    <x v="4"/>
    <x v="3"/>
    <s v="Summer"/>
    <s v="XXL"/>
    <x v="1"/>
    <n v="49.87"/>
    <n v="0"/>
    <n v="49.87"/>
    <x v="1"/>
    <n v="17"/>
    <n v="2.1"/>
    <b v="0"/>
    <m/>
  </r>
  <r>
    <s v="FB000457"/>
    <x v="3"/>
    <x v="3"/>
    <s v="Fall"/>
    <s v="XS"/>
    <x v="7"/>
    <n v="107.96"/>
    <n v="52.9"/>
    <n v="50.85"/>
    <x v="1"/>
    <n v="2"/>
    <n v="4.9000000000000004"/>
    <b v="0"/>
    <m/>
  </r>
  <r>
    <s v="FB000458"/>
    <x v="3"/>
    <x v="3"/>
    <s v="Summer"/>
    <s v="M"/>
    <x v="2"/>
    <n v="138.35"/>
    <n v="31.7"/>
    <n v="94.49"/>
    <x v="1"/>
    <n v="3"/>
    <n v="2.5"/>
    <b v="0"/>
    <m/>
  </r>
  <r>
    <s v="FB000459"/>
    <x v="1"/>
    <x v="6"/>
    <s v="Spring"/>
    <s v="XS"/>
    <x v="0"/>
    <n v="32.01"/>
    <n v="0"/>
    <n v="32.01"/>
    <x v="81"/>
    <n v="43"/>
    <n v="3.4"/>
    <b v="1"/>
    <s v="Wrong Item"/>
  </r>
  <r>
    <s v="FB000460"/>
    <x v="5"/>
    <x v="4"/>
    <s v="Fall"/>
    <s v="XS"/>
    <x v="2"/>
    <n v="129.08000000000001"/>
    <n v="50.6"/>
    <n v="63.77"/>
    <x v="1"/>
    <n v="10"/>
    <n v="4.4000000000000004"/>
    <b v="0"/>
    <m/>
  </r>
  <r>
    <s v="FB000461"/>
    <x v="5"/>
    <x v="2"/>
    <s v="Winter"/>
    <s v="M"/>
    <x v="4"/>
    <n v="68.569999999999993"/>
    <n v="56.4"/>
    <n v="29.9"/>
    <x v="1"/>
    <n v="30"/>
    <n v="1.8"/>
    <b v="0"/>
    <m/>
  </r>
  <r>
    <s v="FB000462"/>
    <x v="2"/>
    <x v="4"/>
    <s v="Winter"/>
    <m/>
    <x v="4"/>
    <n v="46.46"/>
    <n v="0"/>
    <n v="46.46"/>
    <x v="1"/>
    <n v="30"/>
    <n v="2.7333333333333334"/>
    <b v="0"/>
    <m/>
  </r>
  <r>
    <s v="FB000463"/>
    <x v="0"/>
    <x v="2"/>
    <s v="Fall"/>
    <s v="XXL"/>
    <x v="3"/>
    <n v="124.68"/>
    <n v="58.2"/>
    <n v="52.12"/>
    <x v="1"/>
    <n v="44"/>
    <n v="3.2"/>
    <b v="0"/>
    <m/>
  </r>
  <r>
    <s v="FB000464"/>
    <x v="4"/>
    <x v="4"/>
    <s v="Spring"/>
    <s v="XL"/>
    <x v="0"/>
    <n v="36.85"/>
    <n v="0"/>
    <n v="36.85"/>
    <x v="99"/>
    <n v="0"/>
    <n v="4.4000000000000004"/>
    <b v="0"/>
    <m/>
  </r>
  <r>
    <s v="FB000465"/>
    <x v="0"/>
    <x v="5"/>
    <s v="Winter"/>
    <s v="XS"/>
    <x v="2"/>
    <n v="229.63"/>
    <n v="0.3"/>
    <n v="228.94"/>
    <x v="1"/>
    <n v="30"/>
    <n v="3.4"/>
    <b v="0"/>
    <m/>
  </r>
  <r>
    <s v="FB000466"/>
    <x v="1"/>
    <x v="5"/>
    <s v="Spring"/>
    <s v="S"/>
    <x v="8"/>
    <n v="74.09"/>
    <n v="0"/>
    <n v="74.09"/>
    <x v="100"/>
    <n v="35"/>
    <n v="3.4"/>
    <b v="0"/>
    <m/>
  </r>
  <r>
    <s v="FB000467"/>
    <x v="4"/>
    <x v="2"/>
    <s v="Spring"/>
    <s v="XS"/>
    <x v="10"/>
    <n v="27.22"/>
    <n v="0"/>
    <n v="27.22"/>
    <x v="25"/>
    <n v="14"/>
    <n v="2.4"/>
    <b v="0"/>
    <m/>
  </r>
  <r>
    <s v="FB000468"/>
    <x v="1"/>
    <x v="5"/>
    <s v="Spring"/>
    <s v="L"/>
    <x v="9"/>
    <n v="32.64"/>
    <n v="1.4"/>
    <n v="32.18"/>
    <x v="101"/>
    <n v="29"/>
    <n v="1.5"/>
    <b v="1"/>
    <s v="Changed Mind"/>
  </r>
  <r>
    <s v="FB000469"/>
    <x v="2"/>
    <x v="0"/>
    <s v="Summer"/>
    <m/>
    <x v="9"/>
    <n v="30.25"/>
    <n v="11.8"/>
    <n v="26.68"/>
    <x v="1"/>
    <n v="30"/>
    <n v="3.4"/>
    <b v="0"/>
    <m/>
  </r>
  <r>
    <s v="FB000470"/>
    <x v="0"/>
    <x v="1"/>
    <s v="Summer"/>
    <s v="S"/>
    <x v="10"/>
    <n v="180.57"/>
    <n v="0"/>
    <n v="180.57"/>
    <x v="1"/>
    <n v="28"/>
    <n v="3.15"/>
    <b v="0"/>
    <m/>
  </r>
  <r>
    <s v="FB000471"/>
    <x v="4"/>
    <x v="1"/>
    <s v="Summer"/>
    <s v="XS"/>
    <x v="3"/>
    <n v="96.55"/>
    <n v="0"/>
    <n v="96.55"/>
    <x v="1"/>
    <n v="17"/>
    <n v="4.4000000000000004"/>
    <b v="0"/>
    <m/>
  </r>
  <r>
    <s v="FB000472"/>
    <x v="4"/>
    <x v="5"/>
    <s v="Fall"/>
    <m/>
    <x v="1"/>
    <n v="68.53"/>
    <n v="54.3"/>
    <n v="31.32"/>
    <x v="1"/>
    <n v="38"/>
    <n v="2.9"/>
    <b v="0"/>
    <m/>
  </r>
  <r>
    <s v="FB000473"/>
    <x v="3"/>
    <x v="6"/>
    <s v="Fall"/>
    <s v="XS"/>
    <x v="3"/>
    <n v="71.94"/>
    <n v="0"/>
    <n v="71.94"/>
    <x v="1"/>
    <n v="45"/>
    <n v="3.3"/>
    <b v="0"/>
    <m/>
  </r>
  <r>
    <s v="FB000474"/>
    <x v="3"/>
    <x v="6"/>
    <s v="Fall"/>
    <s v="L"/>
    <x v="5"/>
    <n v="80.72"/>
    <n v="9.9"/>
    <n v="72.73"/>
    <x v="1"/>
    <n v="37"/>
    <n v="2.5"/>
    <b v="0"/>
    <m/>
  </r>
  <r>
    <s v="FB000475"/>
    <x v="0"/>
    <x v="0"/>
    <s v="Winter"/>
    <s v="L"/>
    <x v="6"/>
    <n v="208.8"/>
    <n v="0"/>
    <n v="208.8"/>
    <x v="1"/>
    <n v="13"/>
    <n v="1.6"/>
    <b v="0"/>
    <m/>
  </r>
  <r>
    <s v="FB000476"/>
    <x v="3"/>
    <x v="3"/>
    <s v="Summer"/>
    <s v="M"/>
    <x v="8"/>
    <n v="158.15"/>
    <n v="54.1"/>
    <n v="72.59"/>
    <x v="1"/>
    <n v="36"/>
    <n v="4.5"/>
    <b v="0"/>
    <m/>
  </r>
  <r>
    <s v="FB000477"/>
    <x v="1"/>
    <x v="0"/>
    <s v="Fall"/>
    <s v="S"/>
    <x v="3"/>
    <n v="85.92"/>
    <n v="0"/>
    <n v="85.92"/>
    <x v="1"/>
    <n v="12"/>
    <n v="2.9181818181818175"/>
    <b v="0"/>
    <m/>
  </r>
  <r>
    <s v="FB000478"/>
    <x v="2"/>
    <x v="6"/>
    <s v="Spring"/>
    <m/>
    <x v="1"/>
    <n v="69.59"/>
    <n v="0"/>
    <n v="69.59"/>
    <x v="52"/>
    <n v="38"/>
    <n v="1.5"/>
    <b v="0"/>
    <m/>
  </r>
  <r>
    <s v="FB000479"/>
    <x v="5"/>
    <x v="0"/>
    <s v="Winter"/>
    <s v="XL"/>
    <x v="0"/>
    <n v="136.16999999999999"/>
    <n v="19.100000000000001"/>
    <n v="110.16"/>
    <x v="1"/>
    <n v="14"/>
    <n v="3.0424242424242425"/>
    <b v="0"/>
    <m/>
  </r>
  <r>
    <s v="FB000480"/>
    <x v="3"/>
    <x v="3"/>
    <s v="Spring"/>
    <s v="XS"/>
    <x v="1"/>
    <n v="124.26"/>
    <n v="0"/>
    <n v="124.26"/>
    <x v="102"/>
    <n v="44"/>
    <n v="4"/>
    <b v="0"/>
    <m/>
  </r>
  <r>
    <s v="FB000481"/>
    <x v="3"/>
    <x v="2"/>
    <s v="Winter"/>
    <s v="S"/>
    <x v="2"/>
    <n v="129.33000000000001"/>
    <n v="0"/>
    <n v="129.33000000000001"/>
    <x v="1"/>
    <n v="15"/>
    <n v="3.1"/>
    <b v="0"/>
    <m/>
  </r>
  <r>
    <s v="FB000482"/>
    <x v="5"/>
    <x v="4"/>
    <s v="Spring"/>
    <s v="S"/>
    <x v="8"/>
    <n v="123.93"/>
    <n v="30"/>
    <n v="86.75"/>
    <x v="98"/>
    <n v="39"/>
    <n v="1.9"/>
    <b v="0"/>
    <m/>
  </r>
  <r>
    <s v="FB000483"/>
    <x v="3"/>
    <x v="0"/>
    <s v="Summer"/>
    <s v="XS"/>
    <x v="7"/>
    <n v="62.76"/>
    <n v="0"/>
    <n v="62.76"/>
    <x v="1"/>
    <n v="12"/>
    <n v="4.7"/>
    <b v="0"/>
    <m/>
  </r>
  <r>
    <s v="FB000484"/>
    <x v="3"/>
    <x v="1"/>
    <s v="Spring"/>
    <s v="XS"/>
    <x v="5"/>
    <n v="74.540000000000006"/>
    <n v="0"/>
    <n v="74.540000000000006"/>
    <x v="103"/>
    <n v="4"/>
    <n v="3.5"/>
    <b v="0"/>
    <m/>
  </r>
  <r>
    <s v="FB000485"/>
    <x v="1"/>
    <x v="6"/>
    <s v="Summer"/>
    <s v="S"/>
    <x v="1"/>
    <n v="114.03"/>
    <n v="0"/>
    <n v="114.03"/>
    <x v="1"/>
    <n v="2"/>
    <n v="2.9074999999999998"/>
    <b v="0"/>
    <m/>
  </r>
  <r>
    <s v="FB000486"/>
    <x v="2"/>
    <x v="6"/>
    <s v="Fall"/>
    <m/>
    <x v="3"/>
    <n v="20.59"/>
    <n v="27.6"/>
    <n v="14.91"/>
    <x v="1"/>
    <n v="36"/>
    <n v="3.2720930232558145"/>
    <b v="0"/>
    <m/>
  </r>
  <r>
    <s v="FB000487"/>
    <x v="3"/>
    <x v="2"/>
    <s v="Summer"/>
    <s v="XL"/>
    <x v="5"/>
    <n v="167.86"/>
    <n v="0"/>
    <n v="167.86"/>
    <x v="1"/>
    <n v="17"/>
    <n v="3.2"/>
    <b v="0"/>
    <m/>
  </r>
  <r>
    <s v="FB000488"/>
    <x v="2"/>
    <x v="1"/>
    <s v="Fall"/>
    <m/>
    <x v="4"/>
    <n v="62.2"/>
    <n v="37.700000000000003"/>
    <n v="38.75"/>
    <x v="1"/>
    <n v="16"/>
    <n v="3.1"/>
    <b v="0"/>
    <m/>
  </r>
  <r>
    <s v="FB000489"/>
    <x v="0"/>
    <x v="2"/>
    <s v="Fall"/>
    <m/>
    <x v="1"/>
    <n v="223.69"/>
    <n v="6.3"/>
    <n v="209.6"/>
    <x v="1"/>
    <n v="18"/>
    <n v="1.9"/>
    <b v="0"/>
    <m/>
  </r>
  <r>
    <s v="FB000490"/>
    <x v="2"/>
    <x v="3"/>
    <s v="Summer"/>
    <m/>
    <x v="5"/>
    <n v="67.13"/>
    <n v="0"/>
    <n v="67.13"/>
    <x v="1"/>
    <n v="3"/>
    <n v="1.4"/>
    <b v="0"/>
    <m/>
  </r>
  <r>
    <s v="FB000491"/>
    <x v="5"/>
    <x v="0"/>
    <s v="Summer"/>
    <s v="M"/>
    <x v="0"/>
    <n v="144.81"/>
    <n v="33.299999999999997"/>
    <n v="96.59"/>
    <x v="1"/>
    <n v="33"/>
    <n v="2.8"/>
    <b v="0"/>
    <m/>
  </r>
  <r>
    <s v="FB000492"/>
    <x v="0"/>
    <x v="6"/>
    <s v="Winter"/>
    <s v="XS"/>
    <x v="9"/>
    <n v="152.93"/>
    <n v="53"/>
    <n v="71.88"/>
    <x v="1"/>
    <n v="2"/>
    <n v="4.5999999999999996"/>
    <b v="1"/>
    <s v="Changed Mind"/>
  </r>
  <r>
    <s v="FB000493"/>
    <x v="5"/>
    <x v="7"/>
    <s v="Summer"/>
    <s v="XXL"/>
    <x v="3"/>
    <n v="111.29"/>
    <n v="0"/>
    <n v="111.29"/>
    <x v="1"/>
    <n v="48"/>
    <n v="4.9000000000000004"/>
    <b v="0"/>
    <m/>
  </r>
  <r>
    <s v="FB000494"/>
    <x v="0"/>
    <x v="2"/>
    <s v="Winter"/>
    <s v="XS"/>
    <x v="1"/>
    <n v="159.18"/>
    <n v="0"/>
    <n v="159.18"/>
    <x v="1"/>
    <n v="38"/>
    <n v="2.4"/>
    <b v="1"/>
    <s v="Quality Issue"/>
  </r>
  <r>
    <s v="FB000495"/>
    <x v="0"/>
    <x v="0"/>
    <s v="Winter"/>
    <s v="XXL"/>
    <x v="3"/>
    <n v="215.93"/>
    <n v="0"/>
    <n v="215.93"/>
    <x v="1"/>
    <n v="43"/>
    <n v="3.5"/>
    <b v="0"/>
    <m/>
  </r>
  <r>
    <s v="FB000496"/>
    <x v="1"/>
    <x v="5"/>
    <s v="Spring"/>
    <m/>
    <x v="7"/>
    <n v="51.69"/>
    <n v="33.4"/>
    <n v="34.43"/>
    <x v="104"/>
    <n v="36"/>
    <n v="3.4"/>
    <b v="0"/>
    <m/>
  </r>
  <r>
    <s v="FB000497"/>
    <x v="0"/>
    <x v="5"/>
    <s v="Summer"/>
    <s v="L"/>
    <x v="1"/>
    <n v="137.38"/>
    <n v="0"/>
    <n v="137.38"/>
    <x v="1"/>
    <n v="43"/>
    <n v="3.5"/>
    <b v="0"/>
    <m/>
  </r>
  <r>
    <s v="FB000498"/>
    <x v="4"/>
    <x v="7"/>
    <s v="Fall"/>
    <s v="XXL"/>
    <x v="6"/>
    <n v="96.7"/>
    <n v="38.799999999999997"/>
    <n v="59.18"/>
    <x v="1"/>
    <n v="46"/>
    <n v="1.7"/>
    <b v="0"/>
    <m/>
  </r>
  <r>
    <s v="FB000499"/>
    <x v="4"/>
    <x v="4"/>
    <s v="Spring"/>
    <s v="M"/>
    <x v="9"/>
    <n v="58.73"/>
    <n v="38.1"/>
    <n v="36.35"/>
    <x v="61"/>
    <n v="50"/>
    <n v="1.2"/>
    <b v="0"/>
    <m/>
  </r>
  <r>
    <s v="FB000500"/>
    <x v="0"/>
    <x v="6"/>
    <s v="Winter"/>
    <s v="S"/>
    <x v="6"/>
    <n v="204.68"/>
    <n v="0"/>
    <n v="204.68"/>
    <x v="1"/>
    <n v="33"/>
    <n v="3.1"/>
    <b v="0"/>
    <m/>
  </r>
  <r>
    <s v="FB000501"/>
    <x v="4"/>
    <x v="7"/>
    <s v="Spring"/>
    <s v="L"/>
    <x v="3"/>
    <n v="117.26"/>
    <n v="0"/>
    <n v="117.26"/>
    <x v="105"/>
    <n v="29"/>
    <n v="3.1021739130434773"/>
    <b v="0"/>
    <m/>
  </r>
  <r>
    <s v="FB000502"/>
    <x v="0"/>
    <x v="6"/>
    <s v="Summer"/>
    <s v="XXL"/>
    <x v="3"/>
    <n v="91.95"/>
    <n v="0"/>
    <n v="91.95"/>
    <x v="1"/>
    <n v="1"/>
    <n v="2.5"/>
    <b v="0"/>
    <m/>
  </r>
  <r>
    <s v="FB000503"/>
    <x v="4"/>
    <x v="6"/>
    <s v="Fall"/>
    <s v="XL"/>
    <x v="8"/>
    <n v="94.53"/>
    <n v="0"/>
    <n v="94.53"/>
    <x v="1"/>
    <n v="13"/>
    <n v="2.4"/>
    <b v="0"/>
    <m/>
  </r>
  <r>
    <s v="FB000504"/>
    <x v="5"/>
    <x v="3"/>
    <s v="Fall"/>
    <s v="XXL"/>
    <x v="3"/>
    <n v="71.94"/>
    <n v="3"/>
    <n v="69.78"/>
    <x v="1"/>
    <n v="45"/>
    <n v="1.4"/>
    <b v="0"/>
    <m/>
  </r>
  <r>
    <s v="FB000505"/>
    <x v="5"/>
    <x v="5"/>
    <s v="Winter"/>
    <s v="XL"/>
    <x v="6"/>
    <n v="177.72"/>
    <n v="5.9"/>
    <n v="167.23"/>
    <x v="1"/>
    <n v="47"/>
    <n v="3.1874999999999991"/>
    <b v="0"/>
    <m/>
  </r>
  <r>
    <s v="FB000506"/>
    <x v="2"/>
    <x v="0"/>
    <s v="Summer"/>
    <m/>
    <x v="3"/>
    <n v="34.4"/>
    <n v="0"/>
    <n v="34.4"/>
    <x v="1"/>
    <n v="43"/>
    <n v="3"/>
    <b v="1"/>
    <s v="Wrong Item"/>
  </r>
  <r>
    <s v="FB000507"/>
    <x v="4"/>
    <x v="2"/>
    <s v="Spring"/>
    <s v="M"/>
    <x v="4"/>
    <n v="119.72"/>
    <n v="0"/>
    <n v="119.72"/>
    <x v="106"/>
    <n v="18"/>
    <n v="3.7"/>
    <b v="0"/>
    <m/>
  </r>
  <r>
    <s v="FB000508"/>
    <x v="2"/>
    <x v="4"/>
    <s v="Summer"/>
    <m/>
    <x v="10"/>
    <n v="44.09"/>
    <n v="0"/>
    <n v="44.09"/>
    <x v="1"/>
    <n v="2"/>
    <n v="2"/>
    <b v="0"/>
    <m/>
  </r>
  <r>
    <s v="FB000509"/>
    <x v="4"/>
    <x v="3"/>
    <s v="Spring"/>
    <s v="XL"/>
    <x v="9"/>
    <n v="42.47"/>
    <n v="0"/>
    <n v="42.47"/>
    <x v="107"/>
    <n v="33"/>
    <n v="4.5"/>
    <b v="1"/>
    <s v="Changed Mind"/>
  </r>
  <r>
    <s v="FB000510"/>
    <x v="5"/>
    <x v="2"/>
    <s v="Summer"/>
    <s v="XL"/>
    <x v="9"/>
    <n v="68.430000000000007"/>
    <n v="0"/>
    <n v="68.430000000000007"/>
    <x v="1"/>
    <n v="16"/>
    <n v="2.9000000000000008"/>
    <b v="0"/>
    <m/>
  </r>
  <r>
    <s v="FB000511"/>
    <x v="3"/>
    <x v="0"/>
    <s v="Fall"/>
    <s v="XS"/>
    <x v="6"/>
    <n v="165.39"/>
    <n v="31.8"/>
    <n v="112.8"/>
    <x v="1"/>
    <n v="9"/>
    <n v="4.5999999999999996"/>
    <b v="0"/>
    <m/>
  </r>
  <r>
    <s v="FB000512"/>
    <x v="2"/>
    <x v="5"/>
    <s v="Winter"/>
    <m/>
    <x v="6"/>
    <n v="35.36"/>
    <n v="0"/>
    <n v="35.36"/>
    <x v="1"/>
    <n v="42"/>
    <n v="4.5"/>
    <b v="0"/>
    <m/>
  </r>
  <r>
    <s v="FB000513"/>
    <x v="5"/>
    <x v="4"/>
    <s v="Summer"/>
    <s v="M"/>
    <x v="8"/>
    <n v="95.73"/>
    <n v="0"/>
    <n v="95.73"/>
    <x v="1"/>
    <n v="6"/>
    <n v="4.5999999999999996"/>
    <b v="0"/>
    <m/>
  </r>
  <r>
    <s v="FB000514"/>
    <x v="2"/>
    <x v="2"/>
    <s v="Spring"/>
    <m/>
    <x v="10"/>
    <n v="72.28"/>
    <n v="51.3"/>
    <n v="35.200000000000003"/>
    <x v="87"/>
    <n v="31"/>
    <n v="1.9"/>
    <b v="0"/>
    <m/>
  </r>
  <r>
    <s v="FB000515"/>
    <x v="0"/>
    <x v="5"/>
    <s v="Summer"/>
    <m/>
    <x v="3"/>
    <n v="80.349999999999994"/>
    <n v="0"/>
    <n v="80.349999999999994"/>
    <x v="1"/>
    <n v="28"/>
    <n v="2.9"/>
    <b v="0"/>
    <m/>
  </r>
  <r>
    <s v="FB000516"/>
    <x v="4"/>
    <x v="2"/>
    <s v="Winter"/>
    <s v="XL"/>
    <x v="4"/>
    <n v="119.04"/>
    <n v="0"/>
    <n v="119.04"/>
    <x v="1"/>
    <n v="35"/>
    <n v="1.4"/>
    <b v="0"/>
    <m/>
  </r>
  <r>
    <s v="FB000517"/>
    <x v="1"/>
    <x v="6"/>
    <s v="Winter"/>
    <s v="XS"/>
    <x v="10"/>
    <n v="60.53"/>
    <n v="42.5"/>
    <n v="34.799999999999997"/>
    <x v="1"/>
    <n v="8"/>
    <n v="2.9074999999999998"/>
    <b v="1"/>
    <s v="Color Mismatch"/>
  </r>
  <r>
    <s v="FB000518"/>
    <x v="0"/>
    <x v="4"/>
    <s v="Fall"/>
    <s v="M"/>
    <x v="8"/>
    <n v="92.54"/>
    <n v="43.8"/>
    <n v="52.01"/>
    <x v="1"/>
    <n v="33"/>
    <n v="1.5"/>
    <b v="1"/>
    <s v="Damaged"/>
  </r>
  <r>
    <s v="FB000519"/>
    <x v="2"/>
    <x v="1"/>
    <s v="Fall"/>
    <m/>
    <x v="1"/>
    <n v="28.4"/>
    <n v="0"/>
    <n v="28.4"/>
    <x v="1"/>
    <n v="4"/>
    <n v="3.1"/>
    <b v="0"/>
    <m/>
  </r>
  <r>
    <s v="FB000520"/>
    <x v="4"/>
    <x v="0"/>
    <s v="Summer"/>
    <s v="M"/>
    <x v="4"/>
    <n v="91.65"/>
    <n v="0"/>
    <n v="91.65"/>
    <x v="1"/>
    <n v="40"/>
    <n v="3.8"/>
    <b v="0"/>
    <m/>
  </r>
  <r>
    <s v="FB000521"/>
    <x v="2"/>
    <x v="3"/>
    <s v="Fall"/>
    <m/>
    <x v="8"/>
    <n v="72.569999999999993"/>
    <n v="0"/>
    <n v="72.569999999999993"/>
    <x v="1"/>
    <n v="27"/>
    <n v="2.5"/>
    <b v="0"/>
    <m/>
  </r>
  <r>
    <s v="FB000522"/>
    <x v="4"/>
    <x v="4"/>
    <s v="Fall"/>
    <s v="L"/>
    <x v="5"/>
    <n v="39.049999999999997"/>
    <n v="0"/>
    <n v="39.049999999999997"/>
    <x v="1"/>
    <n v="10"/>
    <n v="3.5"/>
    <b v="0"/>
    <m/>
  </r>
  <r>
    <s v="FB000523"/>
    <x v="5"/>
    <x v="0"/>
    <s v="Winter"/>
    <s v="S"/>
    <x v="4"/>
    <n v="113.21"/>
    <n v="0"/>
    <n v="113.21"/>
    <x v="1"/>
    <n v="12"/>
    <n v="4.4000000000000004"/>
    <b v="0"/>
    <m/>
  </r>
  <r>
    <s v="FB000524"/>
    <x v="2"/>
    <x v="7"/>
    <s v="Spring"/>
    <m/>
    <x v="8"/>
    <n v="25.34"/>
    <n v="0"/>
    <n v="25.34"/>
    <x v="98"/>
    <n v="17"/>
    <n v="3.3"/>
    <b v="0"/>
    <m/>
  </r>
  <r>
    <s v="FB000525"/>
    <x v="1"/>
    <x v="3"/>
    <s v="Spring"/>
    <s v="L"/>
    <x v="2"/>
    <n v="98.16"/>
    <n v="56.7"/>
    <n v="42.5"/>
    <x v="108"/>
    <n v="44"/>
    <n v="2.6"/>
    <b v="0"/>
    <m/>
  </r>
  <r>
    <s v="FB000526"/>
    <x v="1"/>
    <x v="2"/>
    <s v="Spring"/>
    <s v="XS"/>
    <x v="9"/>
    <n v="60.54"/>
    <n v="0"/>
    <n v="60.54"/>
    <x v="109"/>
    <n v="35"/>
    <n v="1.7"/>
    <b v="0"/>
    <m/>
  </r>
  <r>
    <s v="FB000527"/>
    <x v="5"/>
    <x v="0"/>
    <s v="Winter"/>
    <s v="S"/>
    <x v="1"/>
    <n v="132.61000000000001"/>
    <n v="7.4"/>
    <n v="122.8"/>
    <x v="1"/>
    <n v="0"/>
    <n v="4.2"/>
    <b v="0"/>
    <m/>
  </r>
  <r>
    <s v="FB000528"/>
    <x v="0"/>
    <x v="5"/>
    <s v="Fall"/>
    <s v="XL"/>
    <x v="1"/>
    <n v="234.14"/>
    <n v="0"/>
    <n v="234.14"/>
    <x v="1"/>
    <n v="40"/>
    <n v="1.7"/>
    <b v="0"/>
    <m/>
  </r>
  <r>
    <s v="FB000529"/>
    <x v="2"/>
    <x v="4"/>
    <s v="Fall"/>
    <m/>
    <x v="2"/>
    <n v="31.86"/>
    <n v="48.2"/>
    <n v="16.5"/>
    <x v="1"/>
    <n v="32"/>
    <n v="4.5"/>
    <b v="0"/>
    <m/>
  </r>
  <r>
    <s v="FB000530"/>
    <x v="2"/>
    <x v="1"/>
    <s v="Spring"/>
    <m/>
    <x v="4"/>
    <n v="15.14"/>
    <n v="36.700000000000003"/>
    <n v="9.58"/>
    <x v="110"/>
    <n v="41"/>
    <n v="3.8"/>
    <b v="0"/>
    <m/>
  </r>
  <r>
    <s v="FB000531"/>
    <x v="3"/>
    <x v="4"/>
    <s v="Winter"/>
    <s v="XS"/>
    <x v="9"/>
    <n v="77.72"/>
    <n v="0"/>
    <n v="77.72"/>
    <x v="1"/>
    <n v="48"/>
    <n v="1.1000000000000001"/>
    <b v="0"/>
    <m/>
  </r>
  <r>
    <s v="FB000532"/>
    <x v="2"/>
    <x v="0"/>
    <s v="Spring"/>
    <m/>
    <x v="4"/>
    <n v="78.040000000000006"/>
    <n v="0"/>
    <n v="78.040000000000006"/>
    <x v="111"/>
    <n v="38"/>
    <n v="4.9000000000000004"/>
    <b v="0"/>
    <m/>
  </r>
  <r>
    <s v="FB000533"/>
    <x v="0"/>
    <x v="6"/>
    <s v="Fall"/>
    <s v="M"/>
    <x v="10"/>
    <n v="169.82"/>
    <n v="0"/>
    <n v="169.82"/>
    <x v="1"/>
    <n v="28"/>
    <n v="4"/>
    <b v="0"/>
    <m/>
  </r>
  <r>
    <s v="FB000534"/>
    <x v="4"/>
    <x v="4"/>
    <s v="Spring"/>
    <s v="L"/>
    <x v="3"/>
    <n v="94.71"/>
    <n v="38.9"/>
    <n v="57.87"/>
    <x v="65"/>
    <n v="39"/>
    <n v="4.7"/>
    <b v="0"/>
    <m/>
  </r>
  <r>
    <s v="FB000535"/>
    <x v="3"/>
    <x v="5"/>
    <s v="Spring"/>
    <s v="XL"/>
    <x v="0"/>
    <n v="112.6"/>
    <n v="22"/>
    <n v="87.83"/>
    <x v="112"/>
    <n v="29"/>
    <n v="2.1"/>
    <b v="1"/>
    <s v="Color Mismatch"/>
  </r>
  <r>
    <s v="FB000536"/>
    <x v="4"/>
    <x v="0"/>
    <s v="Summer"/>
    <s v="L"/>
    <x v="9"/>
    <n v="104.16"/>
    <n v="0"/>
    <n v="104.16"/>
    <x v="1"/>
    <n v="21"/>
    <n v="1.6"/>
    <b v="0"/>
    <m/>
  </r>
  <r>
    <s v="FB000537"/>
    <x v="0"/>
    <x v="6"/>
    <s v="Winter"/>
    <s v="XXL"/>
    <x v="4"/>
    <n v="174.86"/>
    <n v="0"/>
    <n v="174.86"/>
    <x v="1"/>
    <n v="15"/>
    <n v="1.7"/>
    <b v="0"/>
    <m/>
  </r>
  <r>
    <s v="FB000538"/>
    <x v="0"/>
    <x v="1"/>
    <s v="Spring"/>
    <s v="L"/>
    <x v="9"/>
    <n v="217.89"/>
    <n v="49.4"/>
    <n v="110.25"/>
    <x v="113"/>
    <n v="42"/>
    <n v="2.9"/>
    <b v="0"/>
    <m/>
  </r>
  <r>
    <s v="FB000539"/>
    <x v="3"/>
    <x v="3"/>
    <s v="Winter"/>
    <s v="L"/>
    <x v="2"/>
    <n v="123.14"/>
    <n v="0"/>
    <n v="123.14"/>
    <x v="1"/>
    <n v="15"/>
    <n v="1.8"/>
    <b v="1"/>
    <s v="Wrong Item"/>
  </r>
  <r>
    <s v="FB000540"/>
    <x v="1"/>
    <x v="5"/>
    <s v="Winter"/>
    <s v="XL"/>
    <x v="8"/>
    <n v="103.96"/>
    <n v="0"/>
    <n v="103.96"/>
    <x v="1"/>
    <n v="23"/>
    <n v="3.3"/>
    <b v="0"/>
    <m/>
  </r>
  <r>
    <s v="FB000541"/>
    <x v="5"/>
    <x v="4"/>
    <s v="Spring"/>
    <s v="XL"/>
    <x v="5"/>
    <n v="138.44999999999999"/>
    <n v="0"/>
    <n v="138.44999999999999"/>
    <x v="114"/>
    <n v="18"/>
    <n v="3.3"/>
    <b v="0"/>
    <m/>
  </r>
  <r>
    <s v="FB000542"/>
    <x v="3"/>
    <x v="6"/>
    <s v="Summer"/>
    <s v="S"/>
    <x v="2"/>
    <n v="165.1"/>
    <n v="0"/>
    <n v="165.1"/>
    <x v="1"/>
    <n v="7"/>
    <n v="2.9083333333333328"/>
    <b v="0"/>
    <m/>
  </r>
  <r>
    <s v="FB000543"/>
    <x v="3"/>
    <x v="6"/>
    <s v="Winter"/>
    <s v="XXL"/>
    <x v="4"/>
    <n v="147.25"/>
    <n v="0"/>
    <n v="147.25"/>
    <x v="1"/>
    <n v="15"/>
    <n v="2.7"/>
    <b v="0"/>
    <m/>
  </r>
  <r>
    <s v="FB000544"/>
    <x v="3"/>
    <x v="1"/>
    <s v="Fall"/>
    <s v="L"/>
    <x v="1"/>
    <n v="126.23"/>
    <n v="0"/>
    <n v="126.23"/>
    <x v="1"/>
    <n v="48"/>
    <n v="2.1"/>
    <b v="0"/>
    <m/>
  </r>
  <r>
    <s v="FB000545"/>
    <x v="0"/>
    <x v="5"/>
    <s v="Fall"/>
    <s v="M"/>
    <x v="8"/>
    <n v="229.04"/>
    <n v="0"/>
    <n v="229.04"/>
    <x v="1"/>
    <n v="5"/>
    <n v="4.5"/>
    <b v="0"/>
    <m/>
  </r>
  <r>
    <s v="FB000546"/>
    <x v="2"/>
    <x v="5"/>
    <s v="Winter"/>
    <m/>
    <x v="4"/>
    <n v="38.65"/>
    <n v="32.6"/>
    <n v="26.05"/>
    <x v="1"/>
    <n v="46"/>
    <n v="1.1000000000000001"/>
    <b v="0"/>
    <m/>
  </r>
  <r>
    <s v="FB000547"/>
    <x v="4"/>
    <x v="2"/>
    <s v="Spring"/>
    <s v="XS"/>
    <x v="1"/>
    <n v="80.819999999999993"/>
    <n v="0"/>
    <n v="80.819999999999993"/>
    <x v="115"/>
    <n v="42"/>
    <n v="3.0384615384615379"/>
    <b v="0"/>
    <m/>
  </r>
  <r>
    <s v="FB000548"/>
    <x v="2"/>
    <x v="1"/>
    <s v="Spring"/>
    <m/>
    <x v="7"/>
    <n v="56.44"/>
    <n v="0"/>
    <n v="56.44"/>
    <x v="116"/>
    <n v="35"/>
    <n v="4"/>
    <b v="0"/>
    <m/>
  </r>
  <r>
    <s v="FB000549"/>
    <x v="5"/>
    <x v="0"/>
    <s v="Fall"/>
    <s v="M"/>
    <x v="7"/>
    <n v="121.3"/>
    <n v="0"/>
    <n v="121.3"/>
    <x v="1"/>
    <n v="33"/>
    <n v="2.2999999999999998"/>
    <b v="0"/>
    <m/>
  </r>
  <r>
    <s v="FB000550"/>
    <x v="4"/>
    <x v="6"/>
    <s v="Fall"/>
    <m/>
    <x v="2"/>
    <n v="101.98"/>
    <n v="28.4"/>
    <n v="73.02"/>
    <x v="1"/>
    <n v="40"/>
    <n v="4.5"/>
    <b v="0"/>
    <m/>
  </r>
  <r>
    <s v="FB000551"/>
    <x v="4"/>
    <x v="2"/>
    <s v="Spring"/>
    <s v="L"/>
    <x v="0"/>
    <n v="89.99"/>
    <n v="0"/>
    <n v="89.99"/>
    <x v="117"/>
    <n v="26"/>
    <n v="4.0999999999999996"/>
    <b v="0"/>
    <m/>
  </r>
  <r>
    <s v="FB000552"/>
    <x v="3"/>
    <x v="7"/>
    <s v="Summer"/>
    <s v="XXL"/>
    <x v="6"/>
    <n v="64.31"/>
    <n v="34.5"/>
    <n v="42.12"/>
    <x v="1"/>
    <n v="48"/>
    <n v="4.5"/>
    <b v="0"/>
    <m/>
  </r>
  <r>
    <s v="FB000553"/>
    <x v="5"/>
    <x v="0"/>
    <s v="Spring"/>
    <s v="L"/>
    <x v="7"/>
    <n v="168.92"/>
    <n v="0"/>
    <n v="168.92"/>
    <x v="64"/>
    <n v="11"/>
    <n v="4.4000000000000004"/>
    <b v="0"/>
    <m/>
  </r>
  <r>
    <s v="FB000554"/>
    <x v="4"/>
    <x v="6"/>
    <s v="Summer"/>
    <s v="XL"/>
    <x v="8"/>
    <n v="86.46"/>
    <n v="49.5"/>
    <n v="43.66"/>
    <x v="1"/>
    <n v="19"/>
    <n v="4.3"/>
    <b v="0"/>
    <m/>
  </r>
  <r>
    <s v="FB000555"/>
    <x v="1"/>
    <x v="7"/>
    <s v="Winter"/>
    <s v="XS"/>
    <x v="0"/>
    <n v="36.840000000000003"/>
    <n v="18.899999999999999"/>
    <n v="29.88"/>
    <x v="1"/>
    <n v="39"/>
    <n v="1.2"/>
    <b v="0"/>
    <m/>
  </r>
  <r>
    <s v="FB000556"/>
    <x v="1"/>
    <x v="5"/>
    <s v="Spring"/>
    <s v="XS"/>
    <x v="1"/>
    <n v="38.5"/>
    <n v="0"/>
    <n v="38.5"/>
    <x v="118"/>
    <n v="2"/>
    <n v="3.2"/>
    <b v="0"/>
    <m/>
  </r>
  <r>
    <s v="FB000557"/>
    <x v="4"/>
    <x v="3"/>
    <s v="Winter"/>
    <m/>
    <x v="7"/>
    <n v="68.02"/>
    <n v="37.700000000000003"/>
    <n v="42.38"/>
    <x v="1"/>
    <n v="40"/>
    <n v="2.1"/>
    <b v="0"/>
    <m/>
  </r>
  <r>
    <s v="FB000558"/>
    <x v="5"/>
    <x v="1"/>
    <s v="Fall"/>
    <s v="M"/>
    <x v="10"/>
    <n v="117.23"/>
    <n v="0"/>
    <n v="117.23"/>
    <x v="1"/>
    <n v="30"/>
    <n v="3.1666666666666665"/>
    <b v="1"/>
    <s v="Changed Mind"/>
  </r>
  <r>
    <s v="FB000559"/>
    <x v="1"/>
    <x v="5"/>
    <s v="Spring"/>
    <s v="S"/>
    <x v="8"/>
    <n v="79.33"/>
    <n v="0"/>
    <n v="79.33"/>
    <x v="60"/>
    <n v="10"/>
    <n v="3.4"/>
    <b v="1"/>
    <s v="Changed Mind"/>
  </r>
  <r>
    <s v="FB000560"/>
    <x v="4"/>
    <x v="3"/>
    <s v="Summer"/>
    <s v="L"/>
    <x v="6"/>
    <n v="75.819999999999993"/>
    <n v="42.7"/>
    <n v="43.44"/>
    <x v="1"/>
    <n v="11"/>
    <n v="2"/>
    <b v="0"/>
    <m/>
  </r>
  <r>
    <s v="FB000561"/>
    <x v="5"/>
    <x v="5"/>
    <s v="Spring"/>
    <s v="M"/>
    <x v="3"/>
    <n v="141.41999999999999"/>
    <n v="0"/>
    <n v="141.41999999999999"/>
    <x v="119"/>
    <n v="10"/>
    <n v="2.5"/>
    <b v="0"/>
    <m/>
  </r>
  <r>
    <s v="FB000562"/>
    <x v="3"/>
    <x v="1"/>
    <s v="Spring"/>
    <s v="L"/>
    <x v="2"/>
    <n v="124.2"/>
    <n v="0"/>
    <n v="124.2"/>
    <x v="50"/>
    <n v="24"/>
    <n v="1"/>
    <b v="0"/>
    <m/>
  </r>
  <r>
    <s v="FB000563"/>
    <x v="4"/>
    <x v="7"/>
    <s v="Winter"/>
    <s v="L"/>
    <x v="8"/>
    <n v="48.42"/>
    <n v="0"/>
    <n v="48.42"/>
    <x v="1"/>
    <n v="6"/>
    <n v="4.3"/>
    <b v="0"/>
    <m/>
  </r>
  <r>
    <s v="FB000564"/>
    <x v="5"/>
    <x v="4"/>
    <s v="Fall"/>
    <s v="XS"/>
    <x v="4"/>
    <n v="119.4"/>
    <n v="0"/>
    <n v="119.4"/>
    <x v="1"/>
    <n v="45"/>
    <n v="4.2"/>
    <b v="0"/>
    <m/>
  </r>
  <r>
    <s v="FB000565"/>
    <x v="3"/>
    <x v="3"/>
    <s v="Summer"/>
    <s v="M"/>
    <x v="10"/>
    <n v="186.07"/>
    <n v="0"/>
    <n v="186.07"/>
    <x v="1"/>
    <n v="41"/>
    <n v="2.6"/>
    <b v="0"/>
    <m/>
  </r>
  <r>
    <s v="FB000566"/>
    <x v="3"/>
    <x v="3"/>
    <s v="Summer"/>
    <s v="XL"/>
    <x v="10"/>
    <n v="109.46"/>
    <n v="0"/>
    <n v="109.46"/>
    <x v="1"/>
    <n v="38"/>
    <n v="4.0999999999999996"/>
    <b v="0"/>
    <m/>
  </r>
  <r>
    <s v="FB000567"/>
    <x v="5"/>
    <x v="6"/>
    <s v="Winter"/>
    <s v="S"/>
    <x v="4"/>
    <n v="116.18"/>
    <n v="42.7"/>
    <n v="66.569999999999993"/>
    <x v="1"/>
    <n v="3"/>
    <n v="3.5"/>
    <b v="0"/>
    <m/>
  </r>
  <r>
    <s v="FB000568"/>
    <x v="2"/>
    <x v="0"/>
    <s v="Winter"/>
    <m/>
    <x v="6"/>
    <n v="41.29"/>
    <n v="26.3"/>
    <n v="30.43"/>
    <x v="1"/>
    <n v="5"/>
    <n v="4.7"/>
    <b v="0"/>
    <m/>
  </r>
  <r>
    <s v="FB000569"/>
    <x v="1"/>
    <x v="1"/>
    <s v="Winter"/>
    <s v="S"/>
    <x v="6"/>
    <n v="94.68"/>
    <n v="45"/>
    <n v="52.07"/>
    <x v="1"/>
    <n v="47"/>
    <n v="2.6"/>
    <b v="0"/>
    <m/>
  </r>
  <r>
    <s v="FB000570"/>
    <x v="2"/>
    <x v="0"/>
    <s v="Spring"/>
    <m/>
    <x v="3"/>
    <n v="48.55"/>
    <n v="32.700000000000003"/>
    <n v="32.67"/>
    <x v="39"/>
    <n v="39"/>
    <n v="2.8"/>
    <b v="0"/>
    <m/>
  </r>
  <r>
    <s v="FB000571"/>
    <x v="1"/>
    <x v="6"/>
    <s v="Summer"/>
    <s v="M"/>
    <x v="9"/>
    <n v="75.22"/>
    <n v="0"/>
    <n v="75.22"/>
    <x v="1"/>
    <n v="22"/>
    <n v="2.1"/>
    <b v="1"/>
    <s v="Size Issue"/>
  </r>
  <r>
    <s v="FB000572"/>
    <x v="3"/>
    <x v="4"/>
    <s v="Summer"/>
    <s v="XS"/>
    <x v="3"/>
    <n v="98.95"/>
    <n v="30.3"/>
    <n v="68.97"/>
    <x v="1"/>
    <n v="16"/>
    <n v="3.3021276595744684"/>
    <b v="0"/>
    <m/>
  </r>
  <r>
    <s v="FB000573"/>
    <x v="1"/>
    <x v="4"/>
    <s v="Spring"/>
    <s v="XL"/>
    <x v="10"/>
    <n v="39.56"/>
    <n v="0"/>
    <n v="39.56"/>
    <x v="120"/>
    <n v="15"/>
    <n v="2.9657142857142857"/>
    <b v="0"/>
    <m/>
  </r>
  <r>
    <s v="FB000574"/>
    <x v="0"/>
    <x v="1"/>
    <s v="Winter"/>
    <s v="S"/>
    <x v="3"/>
    <n v="153.88"/>
    <n v="0"/>
    <n v="153.88"/>
    <x v="1"/>
    <n v="42"/>
    <n v="2.2000000000000002"/>
    <b v="0"/>
    <m/>
  </r>
  <r>
    <s v="FB000575"/>
    <x v="2"/>
    <x v="5"/>
    <s v="Summer"/>
    <m/>
    <x v="7"/>
    <n v="68.87"/>
    <n v="0"/>
    <n v="68.87"/>
    <x v="1"/>
    <n v="9"/>
    <n v="1.1000000000000001"/>
    <b v="0"/>
    <m/>
  </r>
  <r>
    <s v="FB000576"/>
    <x v="4"/>
    <x v="5"/>
    <s v="Fall"/>
    <s v="M"/>
    <x v="1"/>
    <n v="25.56"/>
    <n v="38.9"/>
    <n v="15.62"/>
    <x v="1"/>
    <n v="48"/>
    <n v="3.0575757575757576"/>
    <b v="0"/>
    <m/>
  </r>
  <r>
    <s v="FB000577"/>
    <x v="0"/>
    <x v="4"/>
    <s v="Fall"/>
    <s v="XXL"/>
    <x v="3"/>
    <n v="246.49"/>
    <n v="0"/>
    <n v="246.49"/>
    <x v="1"/>
    <n v="20"/>
    <n v="4.8"/>
    <b v="0"/>
    <m/>
  </r>
  <r>
    <s v="FB000578"/>
    <x v="2"/>
    <x v="4"/>
    <s v="Fall"/>
    <m/>
    <x v="6"/>
    <n v="52.41"/>
    <n v="0"/>
    <n v="52.41"/>
    <x v="1"/>
    <n v="14"/>
    <n v="2.7333333333333334"/>
    <b v="0"/>
    <m/>
  </r>
  <r>
    <s v="FB000579"/>
    <x v="1"/>
    <x v="0"/>
    <s v="Summer"/>
    <s v="M"/>
    <x v="8"/>
    <n v="33.770000000000003"/>
    <n v="0"/>
    <n v="33.770000000000003"/>
    <x v="1"/>
    <n v="12"/>
    <n v="3.8"/>
    <b v="0"/>
    <m/>
  </r>
  <r>
    <s v="FB000580"/>
    <x v="3"/>
    <x v="4"/>
    <s v="Summer"/>
    <s v="M"/>
    <x v="1"/>
    <n v="96.7"/>
    <n v="0"/>
    <n v="96.7"/>
    <x v="1"/>
    <n v="28"/>
    <n v="3"/>
    <b v="0"/>
    <m/>
  </r>
  <r>
    <s v="FB000581"/>
    <x v="5"/>
    <x v="4"/>
    <s v="Spring"/>
    <s v="M"/>
    <x v="0"/>
    <n v="95.81"/>
    <n v="0"/>
    <n v="95.81"/>
    <x v="81"/>
    <n v="47"/>
    <n v="4.9000000000000004"/>
    <b v="0"/>
    <m/>
  </r>
  <r>
    <s v="FB000582"/>
    <x v="1"/>
    <x v="6"/>
    <s v="Fall"/>
    <s v="M"/>
    <x v="10"/>
    <n v="41.58"/>
    <n v="0"/>
    <n v="41.58"/>
    <x v="1"/>
    <n v="3"/>
    <n v="1.6"/>
    <b v="0"/>
    <m/>
  </r>
  <r>
    <s v="FB000583"/>
    <x v="1"/>
    <x v="1"/>
    <s v="Summer"/>
    <s v="XL"/>
    <x v="4"/>
    <n v="46.67"/>
    <n v="6.6"/>
    <n v="43.59"/>
    <x v="1"/>
    <n v="35"/>
    <n v="1.3"/>
    <b v="1"/>
    <s v="Quality Issue"/>
  </r>
  <r>
    <s v="FB000584"/>
    <x v="4"/>
    <x v="0"/>
    <s v="Winter"/>
    <s v="L"/>
    <x v="7"/>
    <n v="25.98"/>
    <n v="59.4"/>
    <n v="10.55"/>
    <x v="1"/>
    <n v="40"/>
    <n v="2.9210526315789478"/>
    <b v="0"/>
    <m/>
  </r>
  <r>
    <s v="FB000585"/>
    <x v="0"/>
    <x v="1"/>
    <s v="Summer"/>
    <s v="L"/>
    <x v="7"/>
    <n v="204.82"/>
    <n v="14"/>
    <n v="176.15"/>
    <x v="1"/>
    <n v="27"/>
    <n v="3.8"/>
    <b v="0"/>
    <m/>
  </r>
  <r>
    <s v="FB000586"/>
    <x v="1"/>
    <x v="0"/>
    <s v="Winter"/>
    <s v="XXL"/>
    <x v="1"/>
    <n v="43.43"/>
    <n v="47.1"/>
    <n v="22.97"/>
    <x v="1"/>
    <n v="44"/>
    <n v="4.7"/>
    <b v="0"/>
    <m/>
  </r>
  <r>
    <s v="FB000587"/>
    <x v="2"/>
    <x v="4"/>
    <s v="Summer"/>
    <m/>
    <x v="5"/>
    <n v="40.5"/>
    <n v="40.5"/>
    <n v="24.1"/>
    <x v="1"/>
    <n v="25"/>
    <n v="2.9"/>
    <b v="0"/>
    <m/>
  </r>
  <r>
    <s v="FB000588"/>
    <x v="4"/>
    <x v="7"/>
    <s v="Winter"/>
    <s v="M"/>
    <x v="0"/>
    <n v="73.59"/>
    <n v="16.600000000000001"/>
    <n v="61.37"/>
    <x v="1"/>
    <n v="34"/>
    <n v="4"/>
    <b v="0"/>
    <m/>
  </r>
  <r>
    <s v="FB000589"/>
    <x v="2"/>
    <x v="5"/>
    <s v="Summer"/>
    <m/>
    <x v="8"/>
    <n v="17.670000000000002"/>
    <n v="0"/>
    <n v="17.670000000000002"/>
    <x v="1"/>
    <n v="29"/>
    <n v="4.3"/>
    <b v="0"/>
    <m/>
  </r>
  <r>
    <s v="FB000590"/>
    <x v="5"/>
    <x v="6"/>
    <s v="Winter"/>
    <s v="S"/>
    <x v="6"/>
    <n v="70.010000000000005"/>
    <n v="28"/>
    <n v="50.41"/>
    <x v="1"/>
    <n v="23"/>
    <n v="2.980952380952381"/>
    <b v="0"/>
    <m/>
  </r>
  <r>
    <s v="FB000591"/>
    <x v="3"/>
    <x v="3"/>
    <s v="Fall"/>
    <s v="XS"/>
    <x v="0"/>
    <n v="79.319999999999993"/>
    <n v="33.700000000000003"/>
    <n v="52.59"/>
    <x v="1"/>
    <n v="38"/>
    <n v="3"/>
    <b v="1"/>
    <s v="Size Issue"/>
  </r>
  <r>
    <s v="FB000592"/>
    <x v="2"/>
    <x v="0"/>
    <s v="Summer"/>
    <m/>
    <x v="7"/>
    <n v="45.24"/>
    <n v="0"/>
    <n v="45.24"/>
    <x v="1"/>
    <n v="20"/>
    <n v="3"/>
    <b v="1"/>
    <s v="Quality Issue"/>
  </r>
  <r>
    <s v="FB000593"/>
    <x v="1"/>
    <x v="4"/>
    <s v="Summer"/>
    <s v="XXL"/>
    <x v="0"/>
    <n v="63.51"/>
    <n v="13.6"/>
    <n v="54.87"/>
    <x v="1"/>
    <n v="19"/>
    <n v="2.9657142857142857"/>
    <b v="0"/>
    <m/>
  </r>
  <r>
    <s v="FB000594"/>
    <x v="4"/>
    <x v="5"/>
    <s v="Winter"/>
    <s v="XXL"/>
    <x v="3"/>
    <n v="55.23"/>
    <n v="33.6"/>
    <n v="36.67"/>
    <x v="1"/>
    <n v="9"/>
    <n v="3.0575757575757576"/>
    <b v="0"/>
    <m/>
  </r>
  <r>
    <s v="FB000595"/>
    <x v="5"/>
    <x v="2"/>
    <s v="Fall"/>
    <s v="M"/>
    <x v="8"/>
    <n v="137.59"/>
    <n v="0"/>
    <n v="137.59"/>
    <x v="1"/>
    <n v="18"/>
    <n v="2.9000000000000008"/>
    <b v="0"/>
    <m/>
  </r>
  <r>
    <s v="FB000596"/>
    <x v="3"/>
    <x v="4"/>
    <s v="Fall"/>
    <m/>
    <x v="3"/>
    <n v="65.8"/>
    <n v="0"/>
    <n v="65.8"/>
    <x v="1"/>
    <n v="46"/>
    <n v="3.2"/>
    <b v="0"/>
    <m/>
  </r>
  <r>
    <s v="FB000597"/>
    <x v="3"/>
    <x v="1"/>
    <s v="Winter"/>
    <s v="XL"/>
    <x v="5"/>
    <n v="88.42"/>
    <n v="0"/>
    <n v="88.42"/>
    <x v="1"/>
    <n v="44"/>
    <n v="3.4"/>
    <b v="1"/>
    <s v="Damaged"/>
  </r>
  <r>
    <s v="FB000598"/>
    <x v="5"/>
    <x v="3"/>
    <s v="Fall"/>
    <s v="M"/>
    <x v="0"/>
    <n v="75.540000000000006"/>
    <n v="0"/>
    <n v="75.540000000000006"/>
    <x v="1"/>
    <n v="6"/>
    <n v="4.5999999999999996"/>
    <b v="0"/>
    <m/>
  </r>
  <r>
    <s v="FB000599"/>
    <x v="3"/>
    <x v="4"/>
    <s v="Spring"/>
    <s v="L"/>
    <x v="3"/>
    <n v="185.13"/>
    <n v="0"/>
    <n v="185.13"/>
    <x v="81"/>
    <n v="49"/>
    <n v="4.9000000000000004"/>
    <b v="0"/>
    <m/>
  </r>
  <r>
    <s v="FB000600"/>
    <x v="0"/>
    <x v="3"/>
    <s v="Fall"/>
    <s v="L"/>
    <x v="2"/>
    <n v="132.58000000000001"/>
    <n v="0"/>
    <n v="132.58000000000001"/>
    <x v="1"/>
    <n v="45"/>
    <n v="1.6"/>
    <b v="0"/>
    <m/>
  </r>
  <r>
    <s v="FB000601"/>
    <x v="4"/>
    <x v="0"/>
    <s v="Fall"/>
    <s v="M"/>
    <x v="3"/>
    <n v="93.38"/>
    <n v="0"/>
    <n v="93.38"/>
    <x v="1"/>
    <n v="7"/>
    <n v="3.5"/>
    <b v="0"/>
    <m/>
  </r>
  <r>
    <s v="FB000602"/>
    <x v="2"/>
    <x v="5"/>
    <s v="Fall"/>
    <m/>
    <x v="2"/>
    <n v="47.28"/>
    <n v="0"/>
    <n v="47.28"/>
    <x v="1"/>
    <n v="38"/>
    <n v="4.2"/>
    <b v="0"/>
    <m/>
  </r>
  <r>
    <s v="FB000603"/>
    <x v="4"/>
    <x v="2"/>
    <s v="Spring"/>
    <s v="L"/>
    <x v="6"/>
    <n v="59.88"/>
    <n v="0"/>
    <n v="59.88"/>
    <x v="121"/>
    <n v="33"/>
    <n v="2.9"/>
    <b v="0"/>
    <m/>
  </r>
  <r>
    <s v="FB000604"/>
    <x v="5"/>
    <x v="4"/>
    <s v="Winter"/>
    <s v="XXL"/>
    <x v="2"/>
    <n v="140.07"/>
    <n v="0"/>
    <n v="140.07"/>
    <x v="1"/>
    <n v="15"/>
    <n v="2.7"/>
    <b v="0"/>
    <m/>
  </r>
  <r>
    <s v="FB000605"/>
    <x v="2"/>
    <x v="1"/>
    <s v="Winter"/>
    <m/>
    <x v="2"/>
    <n v="66.599999999999994"/>
    <n v="0"/>
    <n v="66.599999999999994"/>
    <x v="1"/>
    <n v="47"/>
    <n v="4"/>
    <b v="0"/>
    <m/>
  </r>
  <r>
    <s v="FB000606"/>
    <x v="2"/>
    <x v="6"/>
    <s v="Summer"/>
    <m/>
    <x v="9"/>
    <n v="39.82"/>
    <n v="35.4"/>
    <n v="25.72"/>
    <x v="1"/>
    <n v="9"/>
    <n v="4.5999999999999996"/>
    <b v="0"/>
    <m/>
  </r>
  <r>
    <s v="FB000607"/>
    <x v="2"/>
    <x v="0"/>
    <s v="Fall"/>
    <m/>
    <x v="0"/>
    <n v="70.739999999999995"/>
    <n v="0"/>
    <n v="70.739999999999995"/>
    <x v="1"/>
    <n v="49"/>
    <n v="1.8"/>
    <b v="0"/>
    <m/>
  </r>
  <r>
    <s v="FB000608"/>
    <x v="5"/>
    <x v="0"/>
    <s v="Spring"/>
    <s v="M"/>
    <x v="0"/>
    <n v="95.33"/>
    <n v="0"/>
    <n v="95.33"/>
    <x v="122"/>
    <n v="36"/>
    <n v="3.0424242424242425"/>
    <b v="1"/>
    <s v="Quality Issue"/>
  </r>
  <r>
    <s v="FB000609"/>
    <x v="2"/>
    <x v="7"/>
    <s v="Spring"/>
    <m/>
    <x v="0"/>
    <n v="32.619999999999997"/>
    <n v="29.1"/>
    <n v="23.13"/>
    <x v="123"/>
    <n v="9"/>
    <n v="1.4"/>
    <b v="0"/>
    <m/>
  </r>
  <r>
    <s v="FB000610"/>
    <x v="4"/>
    <x v="3"/>
    <s v="Summer"/>
    <s v="XL"/>
    <x v="9"/>
    <n v="41.07"/>
    <n v="0"/>
    <n v="41.07"/>
    <x v="1"/>
    <n v="10"/>
    <n v="4.8"/>
    <b v="0"/>
    <m/>
  </r>
  <r>
    <s v="FB000611"/>
    <x v="4"/>
    <x v="0"/>
    <s v="Winter"/>
    <s v="XL"/>
    <x v="4"/>
    <n v="43.1"/>
    <n v="0"/>
    <n v="43.1"/>
    <x v="1"/>
    <n v="34"/>
    <n v="4.9000000000000004"/>
    <b v="0"/>
    <m/>
  </r>
  <r>
    <s v="FB000612"/>
    <x v="0"/>
    <x v="5"/>
    <s v="Winter"/>
    <s v="XXL"/>
    <x v="8"/>
    <n v="102.03"/>
    <n v="27.9"/>
    <n v="73.56"/>
    <x v="1"/>
    <n v="21"/>
    <n v="2.2000000000000002"/>
    <b v="1"/>
    <s v="Size Issue"/>
  </r>
  <r>
    <s v="FB000613"/>
    <x v="2"/>
    <x v="3"/>
    <s v="Winter"/>
    <m/>
    <x v="0"/>
    <n v="54.11"/>
    <n v="0"/>
    <n v="54.11"/>
    <x v="1"/>
    <n v="15"/>
    <n v="2.6"/>
    <b v="0"/>
    <m/>
  </r>
  <r>
    <s v="FB000614"/>
    <x v="2"/>
    <x v="3"/>
    <s v="Winter"/>
    <m/>
    <x v="9"/>
    <n v="43.5"/>
    <n v="0"/>
    <n v="43.5"/>
    <x v="1"/>
    <n v="35"/>
    <n v="2.8"/>
    <b v="0"/>
    <m/>
  </r>
  <r>
    <s v="FB000615"/>
    <x v="2"/>
    <x v="2"/>
    <s v="Winter"/>
    <m/>
    <x v="1"/>
    <n v="66"/>
    <n v="0"/>
    <n v="66"/>
    <x v="1"/>
    <n v="19"/>
    <n v="2.6"/>
    <b v="0"/>
    <m/>
  </r>
  <r>
    <s v="FB000616"/>
    <x v="4"/>
    <x v="2"/>
    <s v="Summer"/>
    <s v="M"/>
    <x v="3"/>
    <n v="38.85"/>
    <n v="0"/>
    <n v="38.85"/>
    <x v="1"/>
    <n v="10"/>
    <n v="3.8"/>
    <b v="0"/>
    <m/>
  </r>
  <r>
    <s v="FB000617"/>
    <x v="2"/>
    <x v="0"/>
    <s v="Summer"/>
    <m/>
    <x v="7"/>
    <n v="61.29"/>
    <n v="0"/>
    <n v="61.29"/>
    <x v="1"/>
    <n v="15"/>
    <n v="4"/>
    <b v="0"/>
    <m/>
  </r>
  <r>
    <s v="FB000618"/>
    <x v="4"/>
    <x v="4"/>
    <s v="Spring"/>
    <s v="XS"/>
    <x v="7"/>
    <n v="90.66"/>
    <n v="0"/>
    <n v="90.66"/>
    <x v="124"/>
    <n v="49"/>
    <n v="2.4"/>
    <b v="1"/>
    <s v="Color Mismatch"/>
  </r>
  <r>
    <s v="FB000619"/>
    <x v="5"/>
    <x v="3"/>
    <s v="Fall"/>
    <s v="XL"/>
    <x v="6"/>
    <n v="119.96"/>
    <n v="0"/>
    <n v="119.96"/>
    <x v="1"/>
    <n v="5"/>
    <n v="5"/>
    <b v="0"/>
    <m/>
  </r>
  <r>
    <s v="FB000620"/>
    <x v="3"/>
    <x v="7"/>
    <s v="Fall"/>
    <s v="XXL"/>
    <x v="0"/>
    <n v="130.21"/>
    <n v="0"/>
    <n v="130.21"/>
    <x v="1"/>
    <n v="50"/>
    <n v="4.7"/>
    <b v="0"/>
    <m/>
  </r>
  <r>
    <s v="FB000621"/>
    <x v="1"/>
    <x v="2"/>
    <s v="Winter"/>
    <s v="XS"/>
    <x v="0"/>
    <n v="49.68"/>
    <n v="0"/>
    <n v="49.68"/>
    <x v="1"/>
    <n v="15"/>
    <n v="2.8"/>
    <b v="0"/>
    <m/>
  </r>
  <r>
    <s v="FB000622"/>
    <x v="2"/>
    <x v="0"/>
    <s v="Spring"/>
    <m/>
    <x v="9"/>
    <n v="46.58"/>
    <n v="0"/>
    <n v="46.58"/>
    <x v="105"/>
    <n v="42"/>
    <n v="1.7"/>
    <b v="0"/>
    <m/>
  </r>
  <r>
    <s v="FB000623"/>
    <x v="2"/>
    <x v="3"/>
    <s v="Summer"/>
    <m/>
    <x v="10"/>
    <n v="69.88"/>
    <n v="0"/>
    <n v="69.88"/>
    <x v="1"/>
    <n v="8"/>
    <n v="2.8"/>
    <b v="0"/>
    <m/>
  </r>
  <r>
    <s v="FB000624"/>
    <x v="2"/>
    <x v="7"/>
    <s v="Fall"/>
    <m/>
    <x v="6"/>
    <n v="32.15"/>
    <n v="0"/>
    <n v="32.15"/>
    <x v="1"/>
    <n v="17"/>
    <n v="1.9"/>
    <b v="1"/>
    <s v="Quality Issue"/>
  </r>
  <r>
    <s v="FB000625"/>
    <x v="4"/>
    <x v="7"/>
    <s v="Summer"/>
    <s v="S"/>
    <x v="2"/>
    <n v="36.340000000000003"/>
    <n v="0"/>
    <n v="36.340000000000003"/>
    <x v="1"/>
    <n v="6"/>
    <n v="4.5"/>
    <b v="1"/>
    <s v="Damaged"/>
  </r>
  <r>
    <s v="FB000626"/>
    <x v="4"/>
    <x v="3"/>
    <s v="Fall"/>
    <s v="M"/>
    <x v="7"/>
    <n v="93.01"/>
    <n v="0"/>
    <n v="93.01"/>
    <x v="1"/>
    <n v="34"/>
    <n v="1.4"/>
    <b v="0"/>
    <m/>
  </r>
  <r>
    <s v="FB000627"/>
    <x v="1"/>
    <x v="6"/>
    <s v="Winter"/>
    <s v="S"/>
    <x v="10"/>
    <n v="75"/>
    <n v="0"/>
    <n v="75"/>
    <x v="1"/>
    <n v="19"/>
    <n v="1.6"/>
    <b v="0"/>
    <m/>
  </r>
  <r>
    <s v="FB000628"/>
    <x v="0"/>
    <x v="0"/>
    <s v="Fall"/>
    <s v="M"/>
    <x v="5"/>
    <n v="81.63"/>
    <n v="12.4"/>
    <n v="71.510000000000005"/>
    <x v="1"/>
    <n v="3"/>
    <n v="2.7030303030303036"/>
    <b v="0"/>
    <m/>
  </r>
  <r>
    <s v="FB000629"/>
    <x v="4"/>
    <x v="1"/>
    <s v="Spring"/>
    <s v="XL"/>
    <x v="4"/>
    <n v="109.81"/>
    <n v="0"/>
    <n v="109.81"/>
    <x v="43"/>
    <n v="17"/>
    <n v="1.9"/>
    <b v="0"/>
    <m/>
  </r>
  <r>
    <s v="FB000630"/>
    <x v="4"/>
    <x v="5"/>
    <s v="Fall"/>
    <m/>
    <x v="2"/>
    <n v="47.7"/>
    <n v="0"/>
    <n v="47.7"/>
    <x v="1"/>
    <n v="14"/>
    <n v="2.2999999999999998"/>
    <b v="0"/>
    <m/>
  </r>
  <r>
    <s v="FB000631"/>
    <x v="1"/>
    <x v="2"/>
    <s v="Winter"/>
    <s v="S"/>
    <x v="0"/>
    <n v="96.08"/>
    <n v="0"/>
    <n v="96.08"/>
    <x v="1"/>
    <n v="7"/>
    <n v="2.5"/>
    <b v="0"/>
    <m/>
  </r>
  <r>
    <s v="FB000632"/>
    <x v="1"/>
    <x v="4"/>
    <s v="Winter"/>
    <s v="XS"/>
    <x v="10"/>
    <n v="28"/>
    <n v="2.6"/>
    <n v="27.27"/>
    <x v="1"/>
    <n v="2"/>
    <n v="2.9657142857142857"/>
    <b v="0"/>
    <m/>
  </r>
  <r>
    <s v="FB000633"/>
    <x v="4"/>
    <x v="0"/>
    <s v="Winter"/>
    <s v="S"/>
    <x v="10"/>
    <n v="52.43"/>
    <n v="6.4"/>
    <n v="49.07"/>
    <x v="1"/>
    <n v="42"/>
    <n v="2.6"/>
    <b v="0"/>
    <m/>
  </r>
  <r>
    <s v="FB000634"/>
    <x v="2"/>
    <x v="6"/>
    <s v="Summer"/>
    <m/>
    <x v="1"/>
    <n v="67.95"/>
    <n v="18.3"/>
    <n v="55.52"/>
    <x v="1"/>
    <n v="37"/>
    <n v="3.2720930232558145"/>
    <b v="0"/>
    <m/>
  </r>
  <r>
    <s v="FB000635"/>
    <x v="5"/>
    <x v="5"/>
    <s v="Fall"/>
    <m/>
    <x v="0"/>
    <n v="131.91999999999999"/>
    <n v="0"/>
    <n v="131.91999999999999"/>
    <x v="1"/>
    <n v="10"/>
    <n v="2.5"/>
    <b v="0"/>
    <m/>
  </r>
  <r>
    <s v="FB000636"/>
    <x v="0"/>
    <x v="5"/>
    <s v="Spring"/>
    <s v="XS"/>
    <x v="3"/>
    <n v="205.77"/>
    <n v="0"/>
    <n v="205.77"/>
    <x v="125"/>
    <n v="38"/>
    <n v="1"/>
    <b v="0"/>
    <m/>
  </r>
  <r>
    <s v="FB000637"/>
    <x v="1"/>
    <x v="1"/>
    <s v="Winter"/>
    <s v="XL"/>
    <x v="3"/>
    <n v="97.88"/>
    <n v="11.3"/>
    <n v="86.82"/>
    <x v="1"/>
    <n v="27"/>
    <n v="1.3"/>
    <b v="0"/>
    <m/>
  </r>
  <r>
    <s v="FB000638"/>
    <x v="3"/>
    <x v="0"/>
    <s v="Summer"/>
    <s v="L"/>
    <x v="4"/>
    <n v="109.55"/>
    <n v="0"/>
    <n v="109.55"/>
    <x v="1"/>
    <n v="32"/>
    <n v="1.4"/>
    <b v="0"/>
    <m/>
  </r>
  <r>
    <s v="FB000639"/>
    <x v="4"/>
    <x v="0"/>
    <s v="Fall"/>
    <s v="L"/>
    <x v="4"/>
    <n v="52.94"/>
    <n v="10.6"/>
    <n v="47.33"/>
    <x v="1"/>
    <n v="50"/>
    <n v="2.7"/>
    <b v="0"/>
    <m/>
  </r>
  <r>
    <s v="FB000640"/>
    <x v="4"/>
    <x v="2"/>
    <s v="Winter"/>
    <s v="XS"/>
    <x v="1"/>
    <n v="70.83"/>
    <n v="18"/>
    <n v="58.08"/>
    <x v="1"/>
    <n v="21"/>
    <n v="2.9"/>
    <b v="0"/>
    <m/>
  </r>
  <r>
    <s v="FB000641"/>
    <x v="5"/>
    <x v="3"/>
    <s v="Fall"/>
    <s v="L"/>
    <x v="8"/>
    <n v="53.17"/>
    <n v="0"/>
    <n v="53.17"/>
    <x v="1"/>
    <n v="14"/>
    <n v="4.5"/>
    <b v="1"/>
    <s v="Changed Mind"/>
  </r>
  <r>
    <s v="FB000642"/>
    <x v="4"/>
    <x v="2"/>
    <s v="Summer"/>
    <s v="XS"/>
    <x v="7"/>
    <n v="119.56"/>
    <n v="46.2"/>
    <n v="64.319999999999993"/>
    <x v="1"/>
    <n v="14"/>
    <n v="3.0384615384615379"/>
    <b v="0"/>
    <m/>
  </r>
  <r>
    <s v="FB000643"/>
    <x v="5"/>
    <x v="3"/>
    <s v="Winter"/>
    <s v="S"/>
    <x v="5"/>
    <n v="144.43"/>
    <n v="0"/>
    <n v="144.43"/>
    <x v="1"/>
    <n v="41"/>
    <n v="3.6"/>
    <b v="0"/>
    <m/>
  </r>
  <r>
    <s v="FB000644"/>
    <x v="0"/>
    <x v="3"/>
    <s v="Spring"/>
    <s v="S"/>
    <x v="9"/>
    <n v="172.93"/>
    <n v="0"/>
    <n v="172.93"/>
    <x v="36"/>
    <n v="43"/>
    <n v="4.7"/>
    <b v="1"/>
    <s v="Quality Issue"/>
  </r>
  <r>
    <s v="FB000645"/>
    <x v="0"/>
    <x v="6"/>
    <s v="Winter"/>
    <s v="XL"/>
    <x v="7"/>
    <n v="191.95"/>
    <n v="40.4"/>
    <n v="114.4"/>
    <x v="1"/>
    <n v="21"/>
    <n v="2.9"/>
    <b v="0"/>
    <m/>
  </r>
  <r>
    <s v="FB000646"/>
    <x v="5"/>
    <x v="4"/>
    <s v="Winter"/>
    <s v="M"/>
    <x v="2"/>
    <n v="128.56"/>
    <n v="0"/>
    <n v="128.56"/>
    <x v="1"/>
    <n v="45"/>
    <n v="2.4"/>
    <b v="0"/>
    <m/>
  </r>
  <r>
    <s v="FB000647"/>
    <x v="5"/>
    <x v="4"/>
    <s v="Summer"/>
    <s v="L"/>
    <x v="3"/>
    <n v="123.08"/>
    <n v="53"/>
    <n v="57.85"/>
    <x v="1"/>
    <n v="38"/>
    <n v="2.5"/>
    <b v="0"/>
    <m/>
  </r>
  <r>
    <s v="FB000648"/>
    <x v="0"/>
    <x v="5"/>
    <s v="Spring"/>
    <s v="S"/>
    <x v="9"/>
    <n v="119.78"/>
    <n v="0"/>
    <n v="119.78"/>
    <x v="126"/>
    <n v="22"/>
    <n v="1.5"/>
    <b v="1"/>
    <s v="Color Mismatch"/>
  </r>
  <r>
    <s v="FB000649"/>
    <x v="4"/>
    <x v="2"/>
    <s v="Summer"/>
    <s v="XS"/>
    <x v="3"/>
    <n v="110.6"/>
    <n v="0"/>
    <n v="110.6"/>
    <x v="1"/>
    <n v="19"/>
    <n v="3.0384615384615379"/>
    <b v="1"/>
    <s v="Color Mismatch"/>
  </r>
  <r>
    <s v="FB000650"/>
    <x v="1"/>
    <x v="0"/>
    <s v="Spring"/>
    <s v="S"/>
    <x v="9"/>
    <n v="58.16"/>
    <n v="0"/>
    <n v="58.16"/>
    <x v="127"/>
    <n v="29"/>
    <n v="4.0999999999999996"/>
    <b v="0"/>
    <m/>
  </r>
  <r>
    <s v="FB000651"/>
    <x v="0"/>
    <x v="3"/>
    <s v="Fall"/>
    <s v="S"/>
    <x v="6"/>
    <n v="208.82"/>
    <n v="0"/>
    <n v="208.82"/>
    <x v="1"/>
    <n v="45"/>
    <n v="1.8"/>
    <b v="0"/>
    <m/>
  </r>
  <r>
    <s v="FB000652"/>
    <x v="3"/>
    <x v="5"/>
    <s v="Winter"/>
    <s v="M"/>
    <x v="2"/>
    <n v="192.74"/>
    <n v="0"/>
    <n v="192.74"/>
    <x v="1"/>
    <n v="43"/>
    <n v="4.3"/>
    <b v="0"/>
    <m/>
  </r>
  <r>
    <s v="FB000653"/>
    <x v="2"/>
    <x v="6"/>
    <s v="Fall"/>
    <m/>
    <x v="0"/>
    <n v="71.819999999999993"/>
    <n v="18.399999999999999"/>
    <n v="58.61"/>
    <x v="1"/>
    <n v="50"/>
    <n v="1.9"/>
    <b v="0"/>
    <m/>
  </r>
  <r>
    <s v="FB000654"/>
    <x v="3"/>
    <x v="0"/>
    <s v="Summer"/>
    <s v="XS"/>
    <x v="0"/>
    <n v="145.4"/>
    <n v="0"/>
    <n v="145.4"/>
    <x v="1"/>
    <n v="14"/>
    <n v="2"/>
    <b v="0"/>
    <m/>
  </r>
  <r>
    <s v="FB000655"/>
    <x v="4"/>
    <x v="3"/>
    <s v="Summer"/>
    <s v="XXL"/>
    <x v="10"/>
    <n v="51.94"/>
    <n v="0"/>
    <n v="51.94"/>
    <x v="1"/>
    <n v="9"/>
    <n v="3.2"/>
    <b v="0"/>
    <m/>
  </r>
  <r>
    <s v="FB000656"/>
    <x v="2"/>
    <x v="5"/>
    <s v="Spring"/>
    <m/>
    <x v="2"/>
    <n v="77.48"/>
    <n v="0"/>
    <n v="77.48"/>
    <x v="128"/>
    <n v="49"/>
    <n v="3.3"/>
    <b v="1"/>
    <s v="Quality Issue"/>
  </r>
  <r>
    <s v="FB000657"/>
    <x v="5"/>
    <x v="3"/>
    <s v="Summer"/>
    <s v="L"/>
    <x v="2"/>
    <n v="59.66"/>
    <n v="45.2"/>
    <n v="32.69"/>
    <x v="1"/>
    <n v="14"/>
    <n v="2.6"/>
    <b v="0"/>
    <m/>
  </r>
  <r>
    <s v="FB000658"/>
    <x v="4"/>
    <x v="1"/>
    <s v="Summer"/>
    <s v="S"/>
    <x v="0"/>
    <n v="102.07"/>
    <n v="0"/>
    <n v="102.07"/>
    <x v="1"/>
    <n v="26"/>
    <n v="3.0846153846153843"/>
    <b v="1"/>
    <s v="Color Mismatch"/>
  </r>
  <r>
    <s v="FB000659"/>
    <x v="2"/>
    <x v="2"/>
    <s v="Spring"/>
    <m/>
    <x v="4"/>
    <n v="48.57"/>
    <n v="0"/>
    <n v="48.57"/>
    <x v="33"/>
    <n v="12"/>
    <n v="4.7"/>
    <b v="0"/>
    <m/>
  </r>
  <r>
    <s v="FB000660"/>
    <x v="3"/>
    <x v="6"/>
    <s v="Summer"/>
    <s v="M"/>
    <x v="8"/>
    <n v="121.55"/>
    <n v="0"/>
    <n v="121.55"/>
    <x v="1"/>
    <n v="16"/>
    <n v="2.9083333333333328"/>
    <b v="1"/>
    <s v="Damaged"/>
  </r>
  <r>
    <s v="FB000661"/>
    <x v="2"/>
    <x v="5"/>
    <s v="Winter"/>
    <m/>
    <x v="8"/>
    <n v="59.22"/>
    <n v="44.8"/>
    <n v="32.69"/>
    <x v="1"/>
    <n v="21"/>
    <n v="2"/>
    <b v="0"/>
    <m/>
  </r>
  <r>
    <s v="FB000662"/>
    <x v="1"/>
    <x v="5"/>
    <s v="Spring"/>
    <s v="XS"/>
    <x v="7"/>
    <n v="58.5"/>
    <n v="2.1"/>
    <n v="57.27"/>
    <x v="57"/>
    <n v="24"/>
    <n v="3.9"/>
    <b v="0"/>
    <m/>
  </r>
  <r>
    <s v="FB000663"/>
    <x v="2"/>
    <x v="7"/>
    <s v="Fall"/>
    <m/>
    <x v="6"/>
    <n v="73.849999999999994"/>
    <n v="0"/>
    <n v="73.849999999999994"/>
    <x v="1"/>
    <n v="46"/>
    <n v="2"/>
    <b v="0"/>
    <m/>
  </r>
  <r>
    <s v="FB000664"/>
    <x v="4"/>
    <x v="4"/>
    <s v="Summer"/>
    <s v="XXL"/>
    <x v="0"/>
    <n v="114.32"/>
    <n v="36.5"/>
    <n v="72.59"/>
    <x v="1"/>
    <n v="41"/>
    <n v="4.0999999999999996"/>
    <b v="0"/>
    <m/>
  </r>
  <r>
    <s v="FB000665"/>
    <x v="4"/>
    <x v="7"/>
    <s v="Summer"/>
    <s v="XS"/>
    <x v="4"/>
    <n v="91.4"/>
    <n v="11"/>
    <n v="81.349999999999994"/>
    <x v="1"/>
    <n v="18"/>
    <n v="1.6"/>
    <b v="0"/>
    <m/>
  </r>
  <r>
    <s v="FB000666"/>
    <x v="2"/>
    <x v="7"/>
    <s v="Winter"/>
    <m/>
    <x v="8"/>
    <n v="69.77"/>
    <n v="0"/>
    <n v="69.77"/>
    <x v="1"/>
    <n v="30"/>
    <n v="2.8636363636363633"/>
    <b v="1"/>
    <s v="Color Mismatch"/>
  </r>
  <r>
    <s v="FB000667"/>
    <x v="1"/>
    <x v="4"/>
    <s v="Summer"/>
    <s v="L"/>
    <x v="2"/>
    <n v="72.95"/>
    <n v="0"/>
    <n v="72.95"/>
    <x v="1"/>
    <n v="27"/>
    <n v="4.8"/>
    <b v="0"/>
    <m/>
  </r>
  <r>
    <s v="FB000668"/>
    <x v="4"/>
    <x v="5"/>
    <s v="Summer"/>
    <s v="XL"/>
    <x v="7"/>
    <n v="63.99"/>
    <n v="42.2"/>
    <n v="36.99"/>
    <x v="1"/>
    <n v="35"/>
    <n v="3.2"/>
    <b v="0"/>
    <m/>
  </r>
  <r>
    <s v="FB000669"/>
    <x v="5"/>
    <x v="2"/>
    <s v="Summer"/>
    <s v="XL"/>
    <x v="5"/>
    <n v="74.84"/>
    <n v="51.9"/>
    <n v="36"/>
    <x v="1"/>
    <n v="35"/>
    <n v="2.5"/>
    <b v="0"/>
    <m/>
  </r>
  <r>
    <s v="FB000670"/>
    <x v="0"/>
    <x v="4"/>
    <s v="Spring"/>
    <s v="XS"/>
    <x v="2"/>
    <n v="158.84"/>
    <n v="0"/>
    <n v="158.84"/>
    <x v="10"/>
    <n v="30"/>
    <n v="4.5999999999999996"/>
    <b v="0"/>
    <m/>
  </r>
  <r>
    <s v="FB000671"/>
    <x v="3"/>
    <x v="3"/>
    <s v="Spring"/>
    <s v="M"/>
    <x v="10"/>
    <n v="96.36"/>
    <n v="58.6"/>
    <n v="39.89"/>
    <x v="23"/>
    <n v="16"/>
    <n v="3.9"/>
    <b v="0"/>
    <m/>
  </r>
  <r>
    <s v="FB000672"/>
    <x v="4"/>
    <x v="4"/>
    <s v="Spring"/>
    <s v="XS"/>
    <x v="9"/>
    <n v="51.06"/>
    <n v="13.9"/>
    <n v="43.96"/>
    <x v="65"/>
    <n v="16"/>
    <n v="1.3"/>
    <b v="0"/>
    <m/>
  </r>
  <r>
    <s v="FB000673"/>
    <x v="4"/>
    <x v="2"/>
    <s v="Summer"/>
    <s v="L"/>
    <x v="8"/>
    <n v="49.75"/>
    <n v="26.4"/>
    <n v="36.619999999999997"/>
    <x v="1"/>
    <n v="24"/>
    <n v="3.8"/>
    <b v="0"/>
    <m/>
  </r>
  <r>
    <s v="FB000674"/>
    <x v="5"/>
    <x v="3"/>
    <s v="Spring"/>
    <s v="XS"/>
    <x v="1"/>
    <n v="148.97999999999999"/>
    <n v="0"/>
    <n v="148.97999999999999"/>
    <x v="129"/>
    <n v="11"/>
    <n v="2.2000000000000002"/>
    <b v="1"/>
    <s v="Wrong Item"/>
  </r>
  <r>
    <s v="FB000675"/>
    <x v="2"/>
    <x v="6"/>
    <s v="Winter"/>
    <m/>
    <x v="4"/>
    <n v="72.239999999999995"/>
    <n v="0"/>
    <n v="72.239999999999995"/>
    <x v="1"/>
    <n v="35"/>
    <n v="4.0999999999999996"/>
    <b v="0"/>
    <m/>
  </r>
  <r>
    <s v="FB000676"/>
    <x v="1"/>
    <x v="3"/>
    <s v="Winter"/>
    <s v="XS"/>
    <x v="5"/>
    <n v="94.92"/>
    <n v="0"/>
    <n v="94.92"/>
    <x v="1"/>
    <n v="5"/>
    <n v="3.3"/>
    <b v="0"/>
    <m/>
  </r>
  <r>
    <s v="FB000677"/>
    <x v="0"/>
    <x v="2"/>
    <s v="Fall"/>
    <s v="XXL"/>
    <x v="10"/>
    <n v="91.08"/>
    <n v="0"/>
    <n v="91.08"/>
    <x v="1"/>
    <n v="47"/>
    <n v="4.9000000000000004"/>
    <b v="0"/>
    <m/>
  </r>
  <r>
    <s v="FB000678"/>
    <x v="2"/>
    <x v="2"/>
    <s v="Fall"/>
    <m/>
    <x v="10"/>
    <n v="49.72"/>
    <n v="58.3"/>
    <n v="20.73"/>
    <x v="1"/>
    <n v="4"/>
    <n v="1.6"/>
    <b v="0"/>
    <m/>
  </r>
  <r>
    <s v="FB000679"/>
    <x v="2"/>
    <x v="6"/>
    <s v="Winter"/>
    <m/>
    <x v="9"/>
    <n v="23.09"/>
    <n v="7.1"/>
    <n v="21.45"/>
    <x v="1"/>
    <n v="11"/>
    <n v="1.2"/>
    <b v="0"/>
    <m/>
  </r>
  <r>
    <s v="FB000680"/>
    <x v="2"/>
    <x v="0"/>
    <s v="Spring"/>
    <m/>
    <x v="0"/>
    <n v="49.95"/>
    <n v="0"/>
    <n v="49.95"/>
    <x v="48"/>
    <n v="29"/>
    <n v="4.3"/>
    <b v="0"/>
    <m/>
  </r>
  <r>
    <s v="FB000681"/>
    <x v="2"/>
    <x v="7"/>
    <s v="Winter"/>
    <m/>
    <x v="6"/>
    <n v="25.7"/>
    <n v="0"/>
    <n v="25.7"/>
    <x v="1"/>
    <n v="38"/>
    <n v="3.2"/>
    <b v="1"/>
    <s v="Quality Issue"/>
  </r>
  <r>
    <s v="FB000682"/>
    <x v="3"/>
    <x v="3"/>
    <s v="Summer"/>
    <s v="XS"/>
    <x v="6"/>
    <n v="175.22"/>
    <n v="0"/>
    <n v="175.22"/>
    <x v="1"/>
    <n v="8"/>
    <n v="4.9000000000000004"/>
    <b v="0"/>
    <m/>
  </r>
  <r>
    <s v="FB000683"/>
    <x v="4"/>
    <x v="5"/>
    <s v="Summer"/>
    <s v="XS"/>
    <x v="4"/>
    <n v="37.57"/>
    <n v="0"/>
    <n v="37.57"/>
    <x v="1"/>
    <n v="18"/>
    <n v="1.9"/>
    <b v="0"/>
    <m/>
  </r>
  <r>
    <s v="FB000684"/>
    <x v="0"/>
    <x v="0"/>
    <s v="Spring"/>
    <s v="M"/>
    <x v="6"/>
    <n v="245.87"/>
    <n v="0"/>
    <n v="245.87"/>
    <x v="130"/>
    <n v="27"/>
    <n v="2.6"/>
    <b v="0"/>
    <m/>
  </r>
  <r>
    <s v="FB000685"/>
    <x v="4"/>
    <x v="2"/>
    <s v="Winter"/>
    <s v="XS"/>
    <x v="0"/>
    <n v="116.92"/>
    <n v="0"/>
    <n v="116.92"/>
    <x v="1"/>
    <n v="13"/>
    <n v="3.2"/>
    <b v="0"/>
    <m/>
  </r>
  <r>
    <s v="FB000686"/>
    <x v="5"/>
    <x v="5"/>
    <s v="Winter"/>
    <s v="L"/>
    <x v="1"/>
    <n v="103.11"/>
    <n v="0"/>
    <n v="103.11"/>
    <x v="1"/>
    <n v="17"/>
    <n v="3.1874999999999991"/>
    <b v="0"/>
    <m/>
  </r>
  <r>
    <s v="FB000687"/>
    <x v="0"/>
    <x v="1"/>
    <s v="Fall"/>
    <s v="M"/>
    <x v="9"/>
    <n v="238.89"/>
    <n v="0.5"/>
    <n v="237.7"/>
    <x v="1"/>
    <n v="28"/>
    <n v="2.7"/>
    <b v="0"/>
    <m/>
  </r>
  <r>
    <s v="FB000688"/>
    <x v="3"/>
    <x v="1"/>
    <s v="Summer"/>
    <s v="XS"/>
    <x v="1"/>
    <n v="86.81"/>
    <n v="12.6"/>
    <n v="75.87"/>
    <x v="1"/>
    <n v="6"/>
    <n v="1.7"/>
    <b v="0"/>
    <m/>
  </r>
  <r>
    <s v="FB000689"/>
    <x v="4"/>
    <x v="3"/>
    <s v="Summer"/>
    <s v="XS"/>
    <x v="5"/>
    <n v="58.8"/>
    <n v="11.8"/>
    <n v="51.86"/>
    <x v="1"/>
    <n v="8"/>
    <n v="2.8142857142857149"/>
    <b v="0"/>
    <m/>
  </r>
  <r>
    <s v="FB000690"/>
    <x v="4"/>
    <x v="5"/>
    <s v="Spring"/>
    <s v="XL"/>
    <x v="7"/>
    <n v="41.65"/>
    <n v="52"/>
    <n v="19.989999999999998"/>
    <x v="131"/>
    <n v="20"/>
    <n v="1.2"/>
    <b v="0"/>
    <m/>
  </r>
  <r>
    <s v="FB000691"/>
    <x v="1"/>
    <x v="4"/>
    <s v="Spring"/>
    <s v="XL"/>
    <x v="2"/>
    <n v="61.67"/>
    <n v="46.4"/>
    <n v="33.06"/>
    <x v="132"/>
    <n v="50"/>
    <n v="2.7"/>
    <b v="0"/>
    <m/>
  </r>
  <r>
    <s v="FB000692"/>
    <x v="4"/>
    <x v="4"/>
    <s v="Fall"/>
    <s v="XS"/>
    <x v="2"/>
    <n v="40.39"/>
    <n v="0"/>
    <n v="40.39"/>
    <x v="1"/>
    <n v="16"/>
    <n v="3.0659090909090896"/>
    <b v="0"/>
    <m/>
  </r>
  <r>
    <s v="FB000693"/>
    <x v="1"/>
    <x v="5"/>
    <s v="Fall"/>
    <s v="XXL"/>
    <x v="9"/>
    <n v="95.13"/>
    <n v="45.4"/>
    <n v="51.94"/>
    <x v="1"/>
    <n v="46"/>
    <n v="2.5"/>
    <b v="0"/>
    <m/>
  </r>
  <r>
    <s v="FB000694"/>
    <x v="4"/>
    <x v="0"/>
    <s v="Fall"/>
    <s v="S"/>
    <x v="6"/>
    <n v="115.14"/>
    <n v="0"/>
    <n v="115.14"/>
    <x v="1"/>
    <n v="43"/>
    <n v="2.5"/>
    <b v="0"/>
    <m/>
  </r>
  <r>
    <s v="FB000695"/>
    <x v="1"/>
    <x v="4"/>
    <s v="Summer"/>
    <m/>
    <x v="7"/>
    <n v="59.58"/>
    <n v="0"/>
    <n v="59.58"/>
    <x v="1"/>
    <n v="27"/>
    <n v="3.3"/>
    <b v="0"/>
    <m/>
  </r>
  <r>
    <s v="FB000696"/>
    <x v="3"/>
    <x v="1"/>
    <s v="Spring"/>
    <s v="M"/>
    <x v="9"/>
    <n v="169.89"/>
    <n v="0"/>
    <n v="169.89"/>
    <x v="64"/>
    <n v="12"/>
    <n v="1.2"/>
    <b v="0"/>
    <m/>
  </r>
  <r>
    <s v="FB000697"/>
    <x v="3"/>
    <x v="3"/>
    <s v="Winter"/>
    <s v="S"/>
    <x v="2"/>
    <n v="117.38"/>
    <n v="22.5"/>
    <n v="90.97"/>
    <x v="1"/>
    <n v="42"/>
    <n v="2.8"/>
    <b v="1"/>
    <s v="Color Mismatch"/>
  </r>
  <r>
    <s v="FB000698"/>
    <x v="1"/>
    <x v="3"/>
    <s v="Winter"/>
    <s v="S"/>
    <x v="1"/>
    <n v="118.95"/>
    <n v="0"/>
    <n v="118.95"/>
    <x v="1"/>
    <n v="18"/>
    <n v="1.9"/>
    <b v="1"/>
    <s v="Quality Issue"/>
  </r>
  <r>
    <s v="FB000699"/>
    <x v="2"/>
    <x v="1"/>
    <s v="Fall"/>
    <m/>
    <x v="0"/>
    <n v="39.299999999999997"/>
    <n v="0"/>
    <n v="39.299999999999997"/>
    <x v="1"/>
    <n v="39"/>
    <n v="3.1288461538461547"/>
    <b v="0"/>
    <m/>
  </r>
  <r>
    <s v="FB000700"/>
    <x v="1"/>
    <x v="4"/>
    <s v="Winter"/>
    <s v="L"/>
    <x v="7"/>
    <n v="74.3"/>
    <n v="0"/>
    <n v="74.3"/>
    <x v="1"/>
    <n v="31"/>
    <n v="3.8"/>
    <b v="1"/>
    <s v="Wrong Item"/>
  </r>
  <r>
    <s v="FB000701"/>
    <x v="4"/>
    <x v="4"/>
    <s v="Spring"/>
    <s v="XS"/>
    <x v="10"/>
    <n v="62.97"/>
    <n v="0"/>
    <n v="62.97"/>
    <x v="76"/>
    <n v="5"/>
    <n v="3.5"/>
    <b v="0"/>
    <m/>
  </r>
  <r>
    <s v="FB000702"/>
    <x v="2"/>
    <x v="4"/>
    <s v="Summer"/>
    <m/>
    <x v="4"/>
    <n v="73.599999999999994"/>
    <n v="0"/>
    <n v="73.599999999999994"/>
    <x v="1"/>
    <n v="1"/>
    <n v="1.8"/>
    <b v="0"/>
    <m/>
  </r>
  <r>
    <s v="FB000703"/>
    <x v="2"/>
    <x v="3"/>
    <s v="Spring"/>
    <m/>
    <x v="2"/>
    <n v="77.849999999999994"/>
    <n v="34.9"/>
    <n v="50.68"/>
    <x v="133"/>
    <n v="11"/>
    <n v="2.5131578947368416"/>
    <b v="0"/>
    <m/>
  </r>
  <r>
    <s v="FB000704"/>
    <x v="1"/>
    <x v="7"/>
    <s v="Summer"/>
    <m/>
    <x v="0"/>
    <n v="94.31"/>
    <n v="0"/>
    <n v="94.31"/>
    <x v="1"/>
    <n v="20"/>
    <n v="3"/>
    <b v="0"/>
    <m/>
  </r>
  <r>
    <s v="FB000705"/>
    <x v="4"/>
    <x v="5"/>
    <s v="Spring"/>
    <m/>
    <x v="8"/>
    <n v="60.36"/>
    <n v="0"/>
    <n v="60.36"/>
    <x v="134"/>
    <n v="35"/>
    <n v="3.3"/>
    <b v="0"/>
    <m/>
  </r>
  <r>
    <s v="FB000706"/>
    <x v="4"/>
    <x v="3"/>
    <s v="Summer"/>
    <s v="XXL"/>
    <x v="10"/>
    <n v="94.85"/>
    <n v="0"/>
    <n v="94.85"/>
    <x v="1"/>
    <n v="28"/>
    <n v="1.5"/>
    <b v="0"/>
    <m/>
  </r>
  <r>
    <s v="FB000707"/>
    <x v="2"/>
    <x v="1"/>
    <s v="Winter"/>
    <m/>
    <x v="5"/>
    <n v="30.52"/>
    <n v="7.9"/>
    <n v="28.11"/>
    <x v="1"/>
    <n v="43"/>
    <n v="4.7"/>
    <b v="0"/>
    <m/>
  </r>
  <r>
    <s v="FB000708"/>
    <x v="5"/>
    <x v="3"/>
    <s v="Summer"/>
    <s v="XS"/>
    <x v="8"/>
    <n v="97.06"/>
    <n v="0"/>
    <n v="97.06"/>
    <x v="1"/>
    <n v="24"/>
    <n v="3.9"/>
    <b v="0"/>
    <m/>
  </r>
  <r>
    <s v="FB000709"/>
    <x v="4"/>
    <x v="7"/>
    <s v="Summer"/>
    <s v="M"/>
    <x v="9"/>
    <n v="57.85"/>
    <n v="35.4"/>
    <n v="37.369999999999997"/>
    <x v="1"/>
    <n v="17"/>
    <n v="3.1021739130434773"/>
    <b v="0"/>
    <m/>
  </r>
  <r>
    <s v="FB000710"/>
    <x v="1"/>
    <x v="0"/>
    <s v="Fall"/>
    <s v="M"/>
    <x v="3"/>
    <n v="51.35"/>
    <n v="19.7"/>
    <n v="41.23"/>
    <x v="1"/>
    <n v="39"/>
    <n v="1.3"/>
    <b v="0"/>
    <m/>
  </r>
  <r>
    <s v="FB000711"/>
    <x v="2"/>
    <x v="5"/>
    <s v="Spring"/>
    <m/>
    <x v="2"/>
    <n v="61.34"/>
    <n v="45.4"/>
    <n v="33.49"/>
    <x v="135"/>
    <n v="46"/>
    <n v="3.2731707317073173"/>
    <b v="0"/>
    <m/>
  </r>
  <r>
    <s v="FB000712"/>
    <x v="0"/>
    <x v="2"/>
    <s v="Summer"/>
    <s v="L"/>
    <x v="9"/>
    <n v="189.28"/>
    <n v="0"/>
    <n v="189.28"/>
    <x v="1"/>
    <n v="41"/>
    <n v="2.7"/>
    <b v="1"/>
    <s v="Wrong Item"/>
  </r>
  <r>
    <s v="FB000713"/>
    <x v="1"/>
    <x v="2"/>
    <s v="Summer"/>
    <s v="XXL"/>
    <x v="9"/>
    <n v="86.67"/>
    <n v="35.799999999999997"/>
    <n v="55.64"/>
    <x v="1"/>
    <n v="2"/>
    <n v="4.9000000000000004"/>
    <b v="0"/>
    <m/>
  </r>
  <r>
    <s v="FB000714"/>
    <x v="4"/>
    <x v="5"/>
    <s v="Spring"/>
    <s v="S"/>
    <x v="8"/>
    <n v="102.84"/>
    <n v="0"/>
    <n v="102.84"/>
    <x v="136"/>
    <n v="27"/>
    <n v="1.8"/>
    <b v="0"/>
    <m/>
  </r>
  <r>
    <s v="FB000715"/>
    <x v="0"/>
    <x v="0"/>
    <s v="Fall"/>
    <s v="XXL"/>
    <x v="6"/>
    <n v="225.21"/>
    <n v="0"/>
    <n v="225.21"/>
    <x v="1"/>
    <n v="27"/>
    <n v="3.1"/>
    <b v="1"/>
    <s v="Changed Mind"/>
  </r>
  <r>
    <s v="FB000716"/>
    <x v="5"/>
    <x v="1"/>
    <s v="Winter"/>
    <s v="XL"/>
    <x v="4"/>
    <n v="48.91"/>
    <n v="27.8"/>
    <n v="35.31"/>
    <x v="1"/>
    <n v="0"/>
    <n v="4.0999999999999996"/>
    <b v="0"/>
    <m/>
  </r>
  <r>
    <s v="FB000717"/>
    <x v="0"/>
    <x v="7"/>
    <s v="Fall"/>
    <s v="L"/>
    <x v="1"/>
    <n v="145.93"/>
    <n v="0"/>
    <n v="145.93"/>
    <x v="1"/>
    <n v="19"/>
    <n v="1.5"/>
    <b v="0"/>
    <m/>
  </r>
  <r>
    <s v="FB000718"/>
    <x v="0"/>
    <x v="2"/>
    <s v="Winter"/>
    <m/>
    <x v="6"/>
    <n v="225.92"/>
    <n v="43.7"/>
    <n v="127.19"/>
    <x v="1"/>
    <n v="30"/>
    <n v="3.2"/>
    <b v="0"/>
    <m/>
  </r>
  <r>
    <s v="FB000719"/>
    <x v="0"/>
    <x v="1"/>
    <s v="Summer"/>
    <s v="XL"/>
    <x v="6"/>
    <n v="202.18"/>
    <n v="39.700000000000003"/>
    <n v="121.91"/>
    <x v="1"/>
    <n v="20"/>
    <n v="4.0999999999999996"/>
    <b v="0"/>
    <m/>
  </r>
  <r>
    <s v="FB000720"/>
    <x v="1"/>
    <x v="1"/>
    <s v="Fall"/>
    <s v="XL"/>
    <x v="5"/>
    <n v="51.85"/>
    <n v="0"/>
    <n v="51.85"/>
    <x v="1"/>
    <n v="28"/>
    <n v="3.34"/>
    <b v="0"/>
    <m/>
  </r>
  <r>
    <s v="FB000721"/>
    <x v="1"/>
    <x v="1"/>
    <s v="Summer"/>
    <s v="L"/>
    <x v="4"/>
    <n v="75.34"/>
    <n v="0"/>
    <n v="75.34"/>
    <x v="1"/>
    <n v="21"/>
    <n v="3.34"/>
    <b v="0"/>
    <m/>
  </r>
  <r>
    <s v="FB000722"/>
    <x v="3"/>
    <x v="6"/>
    <s v="Spring"/>
    <s v="S"/>
    <x v="1"/>
    <n v="92.09"/>
    <n v="54.9"/>
    <n v="41.53"/>
    <x v="137"/>
    <n v="44"/>
    <n v="2.2000000000000002"/>
    <b v="0"/>
    <m/>
  </r>
  <r>
    <s v="FB000723"/>
    <x v="2"/>
    <x v="0"/>
    <s v="Fall"/>
    <m/>
    <x v="5"/>
    <n v="56.39"/>
    <n v="0"/>
    <n v="56.39"/>
    <x v="1"/>
    <n v="49"/>
    <n v="4.2"/>
    <b v="0"/>
    <m/>
  </r>
  <r>
    <s v="FB000724"/>
    <x v="1"/>
    <x v="3"/>
    <s v="Fall"/>
    <s v="L"/>
    <x v="1"/>
    <n v="108.75"/>
    <n v="0"/>
    <n v="108.75"/>
    <x v="1"/>
    <n v="38"/>
    <n v="3.8"/>
    <b v="0"/>
    <m/>
  </r>
  <r>
    <s v="FB000725"/>
    <x v="5"/>
    <x v="1"/>
    <s v="Spring"/>
    <s v="S"/>
    <x v="0"/>
    <n v="156.85"/>
    <n v="0"/>
    <n v="156.85"/>
    <x v="18"/>
    <n v="48"/>
    <n v="3.4"/>
    <b v="0"/>
    <m/>
  </r>
  <r>
    <s v="FB000726"/>
    <x v="0"/>
    <x v="1"/>
    <s v="Spring"/>
    <s v="XS"/>
    <x v="10"/>
    <n v="168.13"/>
    <n v="0"/>
    <n v="168.13"/>
    <x v="138"/>
    <n v="42"/>
    <n v="2.5"/>
    <b v="0"/>
    <m/>
  </r>
  <r>
    <s v="FB000727"/>
    <x v="3"/>
    <x v="7"/>
    <s v="Summer"/>
    <s v="S"/>
    <x v="6"/>
    <n v="145.79"/>
    <n v="57"/>
    <n v="62.69"/>
    <x v="1"/>
    <n v="46"/>
    <n v="3.2576923076923077"/>
    <b v="0"/>
    <m/>
  </r>
  <r>
    <s v="FB000728"/>
    <x v="4"/>
    <x v="6"/>
    <s v="Winter"/>
    <s v="S"/>
    <x v="3"/>
    <n v="54.14"/>
    <n v="0"/>
    <n v="54.14"/>
    <x v="1"/>
    <n v="32"/>
    <n v="3.1799999999999997"/>
    <b v="0"/>
    <m/>
  </r>
  <r>
    <s v="FB000729"/>
    <x v="2"/>
    <x v="0"/>
    <s v="Fall"/>
    <m/>
    <x v="8"/>
    <n v="45.64"/>
    <n v="0"/>
    <n v="45.64"/>
    <x v="1"/>
    <n v="36"/>
    <n v="3.6"/>
    <b v="1"/>
    <s v="Size Issue"/>
  </r>
  <r>
    <s v="FB000730"/>
    <x v="4"/>
    <x v="3"/>
    <s v="Fall"/>
    <s v="S"/>
    <x v="0"/>
    <n v="46.76"/>
    <n v="0"/>
    <n v="46.76"/>
    <x v="1"/>
    <n v="38"/>
    <n v="2.7"/>
    <b v="0"/>
    <m/>
  </r>
  <r>
    <s v="FB000731"/>
    <x v="5"/>
    <x v="2"/>
    <s v="Winter"/>
    <m/>
    <x v="4"/>
    <n v="75.23"/>
    <n v="0"/>
    <n v="75.23"/>
    <x v="1"/>
    <n v="42"/>
    <n v="1.7"/>
    <b v="1"/>
    <s v="Quality Issue"/>
  </r>
  <r>
    <s v="FB000732"/>
    <x v="5"/>
    <x v="3"/>
    <s v="Summer"/>
    <s v="XL"/>
    <x v="3"/>
    <n v="70.38"/>
    <n v="0"/>
    <n v="70.38"/>
    <x v="1"/>
    <n v="37"/>
    <n v="2"/>
    <b v="0"/>
    <m/>
  </r>
  <r>
    <s v="FB000733"/>
    <x v="4"/>
    <x v="4"/>
    <s v="Summer"/>
    <s v="M"/>
    <x v="1"/>
    <n v="76.040000000000006"/>
    <n v="0"/>
    <n v="76.040000000000006"/>
    <x v="1"/>
    <n v="13"/>
    <n v="4.4000000000000004"/>
    <b v="0"/>
    <m/>
  </r>
  <r>
    <s v="FB000734"/>
    <x v="3"/>
    <x v="1"/>
    <s v="Summer"/>
    <s v="XS"/>
    <x v="2"/>
    <n v="110.82"/>
    <n v="15.7"/>
    <n v="93.42"/>
    <x v="1"/>
    <n v="43"/>
    <n v="2.8205128205128198"/>
    <b v="1"/>
    <s v="Size Issue"/>
  </r>
  <r>
    <s v="FB000735"/>
    <x v="2"/>
    <x v="7"/>
    <s v="Fall"/>
    <m/>
    <x v="8"/>
    <n v="47.47"/>
    <n v="0"/>
    <n v="47.47"/>
    <x v="1"/>
    <n v="42"/>
    <n v="4.7"/>
    <b v="0"/>
    <m/>
  </r>
  <r>
    <s v="FB000736"/>
    <x v="2"/>
    <x v="6"/>
    <s v="Spring"/>
    <m/>
    <x v="0"/>
    <n v="79.94"/>
    <n v="0"/>
    <n v="79.94"/>
    <x v="98"/>
    <n v="26"/>
    <n v="3.8"/>
    <b v="0"/>
    <m/>
  </r>
  <r>
    <s v="FB000737"/>
    <x v="4"/>
    <x v="2"/>
    <s v="Fall"/>
    <s v="XXL"/>
    <x v="8"/>
    <n v="74.67"/>
    <n v="0"/>
    <n v="74.67"/>
    <x v="1"/>
    <n v="15"/>
    <n v="4.5999999999999996"/>
    <b v="0"/>
    <m/>
  </r>
  <r>
    <s v="FB000738"/>
    <x v="5"/>
    <x v="7"/>
    <s v="Fall"/>
    <s v="XXL"/>
    <x v="10"/>
    <n v="63.79"/>
    <n v="35.5"/>
    <n v="41.14"/>
    <x v="1"/>
    <n v="15"/>
    <n v="3.1"/>
    <b v="1"/>
    <s v="Quality Issue"/>
  </r>
  <r>
    <s v="FB000739"/>
    <x v="4"/>
    <x v="5"/>
    <s v="Fall"/>
    <s v="XXL"/>
    <x v="10"/>
    <n v="49.6"/>
    <n v="0"/>
    <n v="49.6"/>
    <x v="1"/>
    <n v="32"/>
    <n v="4.7"/>
    <b v="0"/>
    <m/>
  </r>
  <r>
    <s v="FB000740"/>
    <x v="1"/>
    <x v="0"/>
    <s v="Spring"/>
    <s v="XL"/>
    <x v="0"/>
    <n v="57.91"/>
    <n v="0"/>
    <n v="57.91"/>
    <x v="139"/>
    <n v="33"/>
    <n v="3.9"/>
    <b v="0"/>
    <m/>
  </r>
  <r>
    <s v="FB000741"/>
    <x v="5"/>
    <x v="1"/>
    <s v="Summer"/>
    <s v="XL"/>
    <x v="1"/>
    <n v="135.99"/>
    <n v="0"/>
    <n v="135.99"/>
    <x v="1"/>
    <n v="34"/>
    <n v="3"/>
    <b v="0"/>
    <m/>
  </r>
  <r>
    <s v="FB000742"/>
    <x v="5"/>
    <x v="3"/>
    <s v="Winter"/>
    <s v="S"/>
    <x v="9"/>
    <n v="53.49"/>
    <n v="21.8"/>
    <n v="41.83"/>
    <x v="1"/>
    <n v="41"/>
    <n v="2.1"/>
    <b v="0"/>
    <m/>
  </r>
  <r>
    <s v="FB000743"/>
    <x v="1"/>
    <x v="7"/>
    <s v="Summer"/>
    <s v="S"/>
    <x v="1"/>
    <n v="113.29"/>
    <n v="34"/>
    <n v="74.77"/>
    <x v="1"/>
    <n v="10"/>
    <n v="2.6870967741935483"/>
    <b v="0"/>
    <m/>
  </r>
  <r>
    <s v="FB000744"/>
    <x v="1"/>
    <x v="4"/>
    <s v="Winter"/>
    <s v="L"/>
    <x v="3"/>
    <n v="110.87"/>
    <n v="6"/>
    <n v="104.22"/>
    <x v="1"/>
    <n v="15"/>
    <n v="2.9657142857142857"/>
    <b v="0"/>
    <m/>
  </r>
  <r>
    <s v="FB000745"/>
    <x v="1"/>
    <x v="5"/>
    <s v="Fall"/>
    <m/>
    <x v="8"/>
    <n v="94.3"/>
    <n v="0"/>
    <n v="94.3"/>
    <x v="1"/>
    <n v="16"/>
    <n v="2.9846153846153847"/>
    <b v="0"/>
    <m/>
  </r>
  <r>
    <s v="FB000746"/>
    <x v="2"/>
    <x v="7"/>
    <s v="Spring"/>
    <m/>
    <x v="0"/>
    <n v="37.94"/>
    <n v="0"/>
    <n v="37.94"/>
    <x v="89"/>
    <n v="9"/>
    <n v="4.5999999999999996"/>
    <b v="0"/>
    <m/>
  </r>
  <r>
    <s v="FB000747"/>
    <x v="0"/>
    <x v="5"/>
    <s v="Winter"/>
    <s v="XXL"/>
    <x v="4"/>
    <n v="200.24"/>
    <n v="23"/>
    <n v="154.18"/>
    <x v="1"/>
    <n v="38"/>
    <n v="3.0305555555555546"/>
    <b v="0"/>
    <m/>
  </r>
  <r>
    <s v="FB000748"/>
    <x v="2"/>
    <x v="7"/>
    <s v="Winter"/>
    <m/>
    <x v="9"/>
    <n v="43.45"/>
    <n v="0"/>
    <n v="43.45"/>
    <x v="1"/>
    <n v="50"/>
    <n v="4"/>
    <b v="0"/>
    <m/>
  </r>
  <r>
    <s v="FB000749"/>
    <x v="4"/>
    <x v="7"/>
    <s v="Summer"/>
    <s v="L"/>
    <x v="0"/>
    <n v="76.92"/>
    <n v="9.6"/>
    <n v="69.540000000000006"/>
    <x v="1"/>
    <n v="20"/>
    <n v="2"/>
    <b v="0"/>
    <m/>
  </r>
  <r>
    <s v="FB000750"/>
    <x v="2"/>
    <x v="7"/>
    <s v="Fall"/>
    <m/>
    <x v="3"/>
    <n v="21.09"/>
    <n v="0"/>
    <n v="21.09"/>
    <x v="1"/>
    <n v="33"/>
    <n v="4.0999999999999996"/>
    <b v="1"/>
    <s v="Size Issue"/>
  </r>
  <r>
    <s v="FB000751"/>
    <x v="5"/>
    <x v="2"/>
    <s v="Winter"/>
    <s v="XL"/>
    <x v="6"/>
    <n v="55.47"/>
    <n v="0"/>
    <n v="55.47"/>
    <x v="1"/>
    <n v="18"/>
    <n v="2.9000000000000008"/>
    <b v="0"/>
    <m/>
  </r>
  <r>
    <s v="FB000752"/>
    <x v="0"/>
    <x v="4"/>
    <s v="Spring"/>
    <s v="XXL"/>
    <x v="3"/>
    <n v="122.53"/>
    <n v="0"/>
    <n v="122.53"/>
    <x v="91"/>
    <n v="25"/>
    <n v="2.9228571428571426"/>
    <b v="0"/>
    <m/>
  </r>
  <r>
    <s v="FB000753"/>
    <x v="2"/>
    <x v="1"/>
    <s v="Summer"/>
    <m/>
    <x v="7"/>
    <n v="61.13"/>
    <n v="0"/>
    <n v="61.13"/>
    <x v="1"/>
    <n v="34"/>
    <n v="2.6"/>
    <b v="0"/>
    <m/>
  </r>
  <r>
    <s v="FB000754"/>
    <x v="0"/>
    <x v="1"/>
    <s v="Spring"/>
    <s v="XS"/>
    <x v="10"/>
    <n v="127.59"/>
    <n v="0"/>
    <n v="127.59"/>
    <x v="67"/>
    <n v="1"/>
    <n v="4.9000000000000004"/>
    <b v="0"/>
    <m/>
  </r>
  <r>
    <s v="FB000755"/>
    <x v="2"/>
    <x v="5"/>
    <s v="Summer"/>
    <m/>
    <x v="8"/>
    <n v="73.040000000000006"/>
    <n v="0"/>
    <n v="73.040000000000006"/>
    <x v="1"/>
    <n v="44"/>
    <n v="4.2"/>
    <b v="0"/>
    <m/>
  </r>
  <r>
    <s v="FB000756"/>
    <x v="0"/>
    <x v="1"/>
    <s v="Winter"/>
    <s v="XL"/>
    <x v="7"/>
    <n v="129.46"/>
    <n v="0"/>
    <n v="129.46"/>
    <x v="1"/>
    <n v="32"/>
    <n v="4"/>
    <b v="0"/>
    <m/>
  </r>
  <r>
    <s v="FB000757"/>
    <x v="2"/>
    <x v="2"/>
    <s v="Winter"/>
    <m/>
    <x v="3"/>
    <n v="51.3"/>
    <n v="0"/>
    <n v="51.3"/>
    <x v="1"/>
    <n v="33"/>
    <n v="2.8694444444444449"/>
    <b v="0"/>
    <m/>
  </r>
  <r>
    <s v="FB000758"/>
    <x v="5"/>
    <x v="4"/>
    <s v="Spring"/>
    <s v="L"/>
    <x v="4"/>
    <n v="173"/>
    <n v="0"/>
    <n v="173"/>
    <x v="36"/>
    <n v="13"/>
    <n v="3.9"/>
    <b v="0"/>
    <m/>
  </r>
  <r>
    <s v="FB000759"/>
    <x v="2"/>
    <x v="1"/>
    <s v="Summer"/>
    <m/>
    <x v="6"/>
    <n v="70.72"/>
    <n v="0"/>
    <n v="70.72"/>
    <x v="1"/>
    <n v="18"/>
    <n v="2.8"/>
    <b v="0"/>
    <m/>
  </r>
  <r>
    <s v="FB000760"/>
    <x v="5"/>
    <x v="7"/>
    <s v="Summer"/>
    <s v="S"/>
    <x v="2"/>
    <n v="126.37"/>
    <n v="0"/>
    <n v="126.37"/>
    <x v="1"/>
    <n v="42"/>
    <n v="2"/>
    <b v="0"/>
    <m/>
  </r>
  <r>
    <s v="FB000761"/>
    <x v="4"/>
    <x v="0"/>
    <s v="Winter"/>
    <s v="XXL"/>
    <x v="5"/>
    <n v="84.19"/>
    <n v="9.6"/>
    <n v="76.11"/>
    <x v="1"/>
    <n v="45"/>
    <n v="2.1"/>
    <b v="0"/>
    <m/>
  </r>
  <r>
    <s v="FB000762"/>
    <x v="2"/>
    <x v="7"/>
    <s v="Summer"/>
    <m/>
    <x v="1"/>
    <n v="59.39"/>
    <n v="44.6"/>
    <n v="32.9"/>
    <x v="1"/>
    <n v="41"/>
    <n v="2.2999999999999998"/>
    <b v="1"/>
    <s v="Color Mismatch"/>
  </r>
  <r>
    <s v="FB000763"/>
    <x v="0"/>
    <x v="3"/>
    <s v="Fall"/>
    <s v="M"/>
    <x v="6"/>
    <n v="195.38"/>
    <n v="0.3"/>
    <n v="194.79"/>
    <x v="1"/>
    <n v="30"/>
    <n v="2.9"/>
    <b v="0"/>
    <m/>
  </r>
  <r>
    <s v="FB000764"/>
    <x v="5"/>
    <x v="6"/>
    <s v="Spring"/>
    <s v="S"/>
    <x v="3"/>
    <n v="107.64"/>
    <n v="7.5"/>
    <n v="99.57"/>
    <x v="136"/>
    <n v="21"/>
    <n v="4.5999999999999996"/>
    <b v="0"/>
    <m/>
  </r>
  <r>
    <s v="FB000765"/>
    <x v="3"/>
    <x v="4"/>
    <s v="Spring"/>
    <s v="L"/>
    <x v="5"/>
    <n v="63.12"/>
    <n v="0"/>
    <n v="63.12"/>
    <x v="26"/>
    <n v="35"/>
    <n v="2.9"/>
    <b v="0"/>
    <m/>
  </r>
  <r>
    <s v="FB000766"/>
    <x v="4"/>
    <x v="6"/>
    <s v="Fall"/>
    <s v="L"/>
    <x v="5"/>
    <n v="58.91"/>
    <n v="0"/>
    <n v="58.91"/>
    <x v="1"/>
    <n v="17"/>
    <n v="2"/>
    <b v="0"/>
    <m/>
  </r>
  <r>
    <s v="FB000767"/>
    <x v="4"/>
    <x v="4"/>
    <s v="Summer"/>
    <s v="L"/>
    <x v="6"/>
    <n v="93.27"/>
    <n v="0"/>
    <n v="93.27"/>
    <x v="1"/>
    <n v="18"/>
    <n v="3.7"/>
    <b v="0"/>
    <m/>
  </r>
  <r>
    <s v="FB000768"/>
    <x v="5"/>
    <x v="7"/>
    <s v="Spring"/>
    <s v="XL"/>
    <x v="6"/>
    <n v="147.88"/>
    <n v="36.799999999999997"/>
    <n v="93.46"/>
    <x v="140"/>
    <n v="37"/>
    <n v="3.3"/>
    <b v="0"/>
    <m/>
  </r>
  <r>
    <s v="FB000769"/>
    <x v="1"/>
    <x v="1"/>
    <s v="Fall"/>
    <s v="L"/>
    <x v="4"/>
    <n v="30.53"/>
    <n v="0"/>
    <n v="30.53"/>
    <x v="1"/>
    <n v="25"/>
    <n v="2.5"/>
    <b v="0"/>
    <m/>
  </r>
  <r>
    <s v="FB000770"/>
    <x v="1"/>
    <x v="0"/>
    <s v="Fall"/>
    <s v="S"/>
    <x v="3"/>
    <n v="104.96"/>
    <n v="1.6"/>
    <n v="103.28"/>
    <x v="1"/>
    <n v="33"/>
    <n v="2"/>
    <b v="0"/>
    <m/>
  </r>
  <r>
    <s v="FB000771"/>
    <x v="5"/>
    <x v="4"/>
    <s v="Winter"/>
    <s v="XS"/>
    <x v="5"/>
    <n v="75.52"/>
    <n v="0"/>
    <n v="75.52"/>
    <x v="1"/>
    <n v="2"/>
    <n v="2.8"/>
    <b v="0"/>
    <m/>
  </r>
  <r>
    <s v="FB000772"/>
    <x v="4"/>
    <x v="6"/>
    <s v="Winter"/>
    <s v="M"/>
    <x v="0"/>
    <n v="54.7"/>
    <n v="0"/>
    <n v="54.7"/>
    <x v="1"/>
    <n v="18"/>
    <n v="4.2"/>
    <b v="0"/>
    <m/>
  </r>
  <r>
    <s v="FB000773"/>
    <x v="3"/>
    <x v="5"/>
    <s v="Summer"/>
    <s v="XS"/>
    <x v="2"/>
    <n v="126.25"/>
    <n v="25.9"/>
    <n v="93.55"/>
    <x v="1"/>
    <n v="40"/>
    <n v="1.5"/>
    <b v="1"/>
    <s v="Size Issue"/>
  </r>
  <r>
    <s v="FB000774"/>
    <x v="3"/>
    <x v="2"/>
    <s v="Summer"/>
    <s v="XS"/>
    <x v="5"/>
    <n v="63.86"/>
    <n v="52.8"/>
    <n v="30.14"/>
    <x v="1"/>
    <n v="23"/>
    <n v="3.1936170212765949"/>
    <b v="0"/>
    <m/>
  </r>
  <r>
    <s v="FB000775"/>
    <x v="2"/>
    <x v="1"/>
    <s v="Winter"/>
    <m/>
    <x v="0"/>
    <n v="75.930000000000007"/>
    <n v="0"/>
    <n v="75.930000000000007"/>
    <x v="1"/>
    <n v="32"/>
    <n v="3.1"/>
    <b v="0"/>
    <m/>
  </r>
  <r>
    <s v="FB000776"/>
    <x v="1"/>
    <x v="0"/>
    <s v="Fall"/>
    <s v="M"/>
    <x v="10"/>
    <n v="82.51"/>
    <n v="27.3"/>
    <n v="59.98"/>
    <x v="1"/>
    <n v="9"/>
    <n v="3.8"/>
    <b v="0"/>
    <m/>
  </r>
  <r>
    <s v="FB000777"/>
    <x v="4"/>
    <x v="2"/>
    <s v="Fall"/>
    <s v="XXL"/>
    <x v="6"/>
    <n v="46.02"/>
    <n v="0"/>
    <n v="46.02"/>
    <x v="1"/>
    <n v="21"/>
    <n v="1.1000000000000001"/>
    <b v="0"/>
    <m/>
  </r>
  <r>
    <s v="FB000778"/>
    <x v="5"/>
    <x v="3"/>
    <s v="Winter"/>
    <s v="XXL"/>
    <x v="10"/>
    <n v="125.67"/>
    <n v="45.5"/>
    <n v="68.489999999999995"/>
    <x v="1"/>
    <n v="27"/>
    <n v="1.6"/>
    <b v="0"/>
    <m/>
  </r>
  <r>
    <s v="FB000779"/>
    <x v="3"/>
    <x v="3"/>
    <s v="Winter"/>
    <s v="S"/>
    <x v="0"/>
    <n v="65.61"/>
    <n v="50.7"/>
    <n v="32.35"/>
    <x v="1"/>
    <n v="23"/>
    <n v="1.1000000000000001"/>
    <b v="0"/>
    <m/>
  </r>
  <r>
    <s v="FB000780"/>
    <x v="5"/>
    <x v="2"/>
    <s v="Summer"/>
    <s v="XS"/>
    <x v="7"/>
    <n v="91.61"/>
    <n v="0"/>
    <n v="91.61"/>
    <x v="1"/>
    <n v="31"/>
    <n v="1.4"/>
    <b v="0"/>
    <m/>
  </r>
  <r>
    <s v="FB000781"/>
    <x v="0"/>
    <x v="4"/>
    <s v="Summer"/>
    <s v="XS"/>
    <x v="1"/>
    <n v="162.78"/>
    <n v="0"/>
    <n v="162.78"/>
    <x v="1"/>
    <n v="0"/>
    <n v="2.9228571428571426"/>
    <b v="0"/>
    <m/>
  </r>
  <r>
    <s v="FB000782"/>
    <x v="0"/>
    <x v="3"/>
    <s v="Winter"/>
    <s v="M"/>
    <x v="4"/>
    <n v="134.35"/>
    <n v="35.299999999999997"/>
    <n v="86.92"/>
    <x v="1"/>
    <n v="36"/>
    <n v="2.4137931034482762"/>
    <b v="0"/>
    <m/>
  </r>
  <r>
    <s v="FB000783"/>
    <x v="4"/>
    <x v="3"/>
    <s v="Spring"/>
    <m/>
    <x v="4"/>
    <n v="77.739999999999995"/>
    <n v="38.799999999999997"/>
    <n v="47.58"/>
    <x v="141"/>
    <n v="23"/>
    <n v="4.3"/>
    <b v="0"/>
    <m/>
  </r>
  <r>
    <s v="FB000784"/>
    <x v="2"/>
    <x v="6"/>
    <s v="Summer"/>
    <m/>
    <x v="10"/>
    <n v="49.33"/>
    <n v="59.9"/>
    <n v="19.78"/>
    <x v="1"/>
    <n v="47"/>
    <n v="3.2720930232558145"/>
    <b v="0"/>
    <m/>
  </r>
  <r>
    <s v="FB000785"/>
    <x v="0"/>
    <x v="7"/>
    <s v="Summer"/>
    <s v="S"/>
    <x v="4"/>
    <n v="231.52"/>
    <n v="17.3"/>
    <n v="191.47"/>
    <x v="1"/>
    <n v="49"/>
    <n v="2.1"/>
    <b v="0"/>
    <m/>
  </r>
  <r>
    <s v="FB000786"/>
    <x v="0"/>
    <x v="6"/>
    <s v="Winter"/>
    <s v="XL"/>
    <x v="3"/>
    <n v="140.1"/>
    <n v="0"/>
    <n v="140.1"/>
    <x v="1"/>
    <n v="14"/>
    <n v="3.9"/>
    <b v="0"/>
    <m/>
  </r>
  <r>
    <s v="FB000787"/>
    <x v="5"/>
    <x v="5"/>
    <s v="Summer"/>
    <s v="S"/>
    <x v="1"/>
    <n v="117.38"/>
    <n v="27.8"/>
    <n v="84.75"/>
    <x v="1"/>
    <n v="34"/>
    <n v="2.8"/>
    <b v="1"/>
    <s v="Quality Issue"/>
  </r>
  <r>
    <s v="FB000788"/>
    <x v="1"/>
    <x v="5"/>
    <s v="Spring"/>
    <s v="S"/>
    <x v="9"/>
    <n v="83.98"/>
    <n v="0"/>
    <n v="83.98"/>
    <x v="142"/>
    <n v="23"/>
    <n v="1.9"/>
    <b v="0"/>
    <m/>
  </r>
  <r>
    <s v="FB000789"/>
    <x v="5"/>
    <x v="4"/>
    <s v="Spring"/>
    <s v="XL"/>
    <x v="8"/>
    <n v="111.67"/>
    <n v="53.5"/>
    <n v="51.93"/>
    <x v="108"/>
    <n v="19"/>
    <n v="3.1051282051282048"/>
    <b v="0"/>
    <m/>
  </r>
  <r>
    <s v="FB000790"/>
    <x v="4"/>
    <x v="4"/>
    <s v="Summer"/>
    <s v="S"/>
    <x v="3"/>
    <n v="25.16"/>
    <n v="0"/>
    <n v="25.16"/>
    <x v="1"/>
    <n v="37"/>
    <n v="2.8"/>
    <b v="0"/>
    <m/>
  </r>
  <r>
    <s v="FB000791"/>
    <x v="0"/>
    <x v="2"/>
    <s v="Fall"/>
    <s v="XL"/>
    <x v="5"/>
    <n v="175.82"/>
    <n v="23"/>
    <n v="135.38"/>
    <x v="1"/>
    <n v="1"/>
    <n v="3.7"/>
    <b v="0"/>
    <m/>
  </r>
  <r>
    <s v="FB000792"/>
    <x v="1"/>
    <x v="3"/>
    <s v="Summer"/>
    <s v="XS"/>
    <x v="6"/>
    <n v="53.25"/>
    <n v="37.5"/>
    <n v="33.28"/>
    <x v="1"/>
    <n v="33"/>
    <n v="4.3"/>
    <b v="0"/>
    <m/>
  </r>
  <r>
    <s v="FB000793"/>
    <x v="0"/>
    <x v="2"/>
    <s v="Fall"/>
    <s v="M"/>
    <x v="9"/>
    <n v="215.19"/>
    <n v="43"/>
    <n v="122.66"/>
    <x v="1"/>
    <n v="48"/>
    <n v="2.5"/>
    <b v="0"/>
    <m/>
  </r>
  <r>
    <s v="FB000794"/>
    <x v="4"/>
    <x v="0"/>
    <s v="Summer"/>
    <s v="S"/>
    <x v="1"/>
    <n v="78.41"/>
    <n v="20.7"/>
    <n v="62.18"/>
    <x v="1"/>
    <n v="9"/>
    <n v="4.4000000000000004"/>
    <b v="0"/>
    <m/>
  </r>
  <r>
    <s v="FB000795"/>
    <x v="3"/>
    <x v="0"/>
    <s v="Summer"/>
    <s v="XXL"/>
    <x v="1"/>
    <n v="173.15"/>
    <n v="0"/>
    <n v="173.15"/>
    <x v="1"/>
    <n v="45"/>
    <n v="2.2000000000000002"/>
    <b v="0"/>
    <m/>
  </r>
  <r>
    <s v="FB000796"/>
    <x v="2"/>
    <x v="0"/>
    <s v="Fall"/>
    <m/>
    <x v="5"/>
    <n v="16.84"/>
    <n v="36.6"/>
    <n v="10.68"/>
    <x v="1"/>
    <n v="34"/>
    <n v="1.7"/>
    <b v="0"/>
    <m/>
  </r>
  <r>
    <s v="FB000797"/>
    <x v="0"/>
    <x v="7"/>
    <s v="Summer"/>
    <s v="S"/>
    <x v="9"/>
    <n v="128.6"/>
    <n v="0"/>
    <n v="128.6"/>
    <x v="1"/>
    <n v="11"/>
    <n v="2.2999999999999998"/>
    <b v="0"/>
    <m/>
  </r>
  <r>
    <s v="FB000798"/>
    <x v="0"/>
    <x v="5"/>
    <s v="Spring"/>
    <s v="XXL"/>
    <x v="6"/>
    <n v="131.74"/>
    <n v="0"/>
    <n v="131.74"/>
    <x v="21"/>
    <n v="46"/>
    <n v="4.5999999999999996"/>
    <b v="0"/>
    <m/>
  </r>
  <r>
    <s v="FB000799"/>
    <x v="4"/>
    <x v="7"/>
    <s v="Summer"/>
    <s v="XXL"/>
    <x v="3"/>
    <n v="28.15"/>
    <n v="12.7"/>
    <n v="24.57"/>
    <x v="1"/>
    <n v="13"/>
    <n v="3.9"/>
    <b v="0"/>
    <m/>
  </r>
  <r>
    <s v="FB000800"/>
    <x v="0"/>
    <x v="7"/>
    <s v="Winter"/>
    <s v="XL"/>
    <x v="0"/>
    <n v="165.1"/>
    <n v="58.4"/>
    <n v="68.680000000000007"/>
    <x v="1"/>
    <n v="29"/>
    <n v="1.2"/>
    <b v="0"/>
    <m/>
  </r>
  <r>
    <s v="FB000801"/>
    <x v="1"/>
    <x v="3"/>
    <s v="Spring"/>
    <s v="XL"/>
    <x v="4"/>
    <n v="49.62"/>
    <n v="0.8"/>
    <n v="49.22"/>
    <x v="143"/>
    <n v="22"/>
    <n v="2.2999999999999998"/>
    <b v="0"/>
    <m/>
  </r>
  <r>
    <s v="FB000802"/>
    <x v="1"/>
    <x v="2"/>
    <s v="Fall"/>
    <s v="XL"/>
    <x v="2"/>
    <n v="98.52"/>
    <n v="18.899999999999999"/>
    <n v="79.900000000000006"/>
    <x v="1"/>
    <n v="37"/>
    <n v="4.0999999999999996"/>
    <b v="1"/>
    <s v="Wrong Item"/>
  </r>
  <r>
    <s v="FB000803"/>
    <x v="3"/>
    <x v="3"/>
    <s v="Fall"/>
    <s v="S"/>
    <x v="6"/>
    <n v="94.19"/>
    <n v="30.8"/>
    <n v="65.180000000000007"/>
    <x v="1"/>
    <n v="31"/>
    <n v="1.4"/>
    <b v="0"/>
    <m/>
  </r>
  <r>
    <s v="FB000804"/>
    <x v="2"/>
    <x v="7"/>
    <s v="Winter"/>
    <m/>
    <x v="4"/>
    <n v="23.5"/>
    <n v="0"/>
    <n v="23.5"/>
    <x v="1"/>
    <n v="14"/>
    <n v="3.9"/>
    <b v="1"/>
    <s v="Quality Issue"/>
  </r>
  <r>
    <s v="FB000805"/>
    <x v="4"/>
    <x v="0"/>
    <s v="Fall"/>
    <s v="S"/>
    <x v="7"/>
    <n v="109.36"/>
    <n v="0"/>
    <n v="109.36"/>
    <x v="1"/>
    <n v="0"/>
    <n v="1.1000000000000001"/>
    <b v="0"/>
    <m/>
  </r>
  <r>
    <s v="FB000806"/>
    <x v="2"/>
    <x v="4"/>
    <s v="Fall"/>
    <m/>
    <x v="5"/>
    <n v="69.73"/>
    <n v="0"/>
    <n v="69.73"/>
    <x v="1"/>
    <n v="7"/>
    <n v="1.1000000000000001"/>
    <b v="1"/>
    <s v="Color Mismatch"/>
  </r>
  <r>
    <s v="FB000807"/>
    <x v="3"/>
    <x v="4"/>
    <s v="Summer"/>
    <s v="XS"/>
    <x v="6"/>
    <n v="199.03"/>
    <n v="57.3"/>
    <n v="84.99"/>
    <x v="1"/>
    <n v="37"/>
    <n v="3.4"/>
    <b v="0"/>
    <m/>
  </r>
  <r>
    <s v="FB000808"/>
    <x v="4"/>
    <x v="6"/>
    <s v="Spring"/>
    <s v="M"/>
    <x v="3"/>
    <n v="82.32"/>
    <n v="56.7"/>
    <n v="35.64"/>
    <x v="73"/>
    <n v="41"/>
    <n v="3.1799999999999997"/>
    <b v="0"/>
    <m/>
  </r>
  <r>
    <s v="FB000809"/>
    <x v="4"/>
    <x v="1"/>
    <s v="Spring"/>
    <s v="M"/>
    <x v="8"/>
    <n v="52.42"/>
    <n v="9.9"/>
    <n v="47.23"/>
    <x v="11"/>
    <n v="42"/>
    <n v="3.5"/>
    <b v="0"/>
    <m/>
  </r>
  <r>
    <s v="FB000810"/>
    <x v="0"/>
    <x v="5"/>
    <s v="Fall"/>
    <s v="S"/>
    <x v="3"/>
    <n v="180.49"/>
    <n v="0"/>
    <n v="180.49"/>
    <x v="1"/>
    <n v="18"/>
    <n v="2.5"/>
    <b v="1"/>
    <s v="Wrong Item"/>
  </r>
  <r>
    <s v="FB000811"/>
    <x v="5"/>
    <x v="5"/>
    <s v="Fall"/>
    <s v="XL"/>
    <x v="3"/>
    <n v="63.02"/>
    <n v="0"/>
    <n v="63.02"/>
    <x v="1"/>
    <n v="37"/>
    <n v="2.5"/>
    <b v="0"/>
    <m/>
  </r>
  <r>
    <s v="FB000812"/>
    <x v="1"/>
    <x v="3"/>
    <s v="Spring"/>
    <s v="XL"/>
    <x v="0"/>
    <n v="97.05"/>
    <n v="0"/>
    <n v="97.05"/>
    <x v="69"/>
    <n v="9"/>
    <n v="2.9742857142857138"/>
    <b v="0"/>
    <m/>
  </r>
  <r>
    <s v="FB000813"/>
    <x v="4"/>
    <x v="0"/>
    <s v="Winter"/>
    <s v="XXL"/>
    <x v="1"/>
    <n v="79.62"/>
    <n v="0"/>
    <n v="79.62"/>
    <x v="1"/>
    <n v="37"/>
    <n v="4.0999999999999996"/>
    <b v="0"/>
    <m/>
  </r>
  <r>
    <s v="FB000814"/>
    <x v="5"/>
    <x v="0"/>
    <s v="Winter"/>
    <s v="M"/>
    <x v="0"/>
    <n v="82.5"/>
    <n v="0"/>
    <n v="82.5"/>
    <x v="1"/>
    <n v="0"/>
    <n v="3.0424242424242425"/>
    <b v="0"/>
    <m/>
  </r>
  <r>
    <s v="FB000815"/>
    <x v="4"/>
    <x v="5"/>
    <s v="Spring"/>
    <s v="L"/>
    <x v="9"/>
    <n v="117.18"/>
    <n v="13.7"/>
    <n v="101.13"/>
    <x v="144"/>
    <n v="5"/>
    <n v="4.8"/>
    <b v="0"/>
    <m/>
  </r>
  <r>
    <s v="FB000816"/>
    <x v="0"/>
    <x v="5"/>
    <s v="Spring"/>
    <s v="XS"/>
    <x v="10"/>
    <n v="174.05"/>
    <n v="0"/>
    <n v="174.05"/>
    <x v="145"/>
    <n v="9"/>
    <n v="3.0305555555555546"/>
    <b v="0"/>
    <m/>
  </r>
  <r>
    <s v="FB000817"/>
    <x v="4"/>
    <x v="7"/>
    <s v="Spring"/>
    <s v="XS"/>
    <x v="10"/>
    <n v="58.29"/>
    <n v="0"/>
    <n v="58.29"/>
    <x v="146"/>
    <n v="22"/>
    <n v="2.2999999999999998"/>
    <b v="0"/>
    <m/>
  </r>
  <r>
    <s v="FB000818"/>
    <x v="4"/>
    <x v="4"/>
    <s v="Summer"/>
    <s v="M"/>
    <x v="3"/>
    <n v="61.42"/>
    <n v="57.5"/>
    <n v="26.1"/>
    <x v="1"/>
    <n v="3"/>
    <n v="4.8"/>
    <b v="0"/>
    <m/>
  </r>
  <r>
    <s v="FB000819"/>
    <x v="2"/>
    <x v="0"/>
    <s v="Winter"/>
    <m/>
    <x v="1"/>
    <n v="20.239999999999998"/>
    <n v="0"/>
    <n v="20.239999999999998"/>
    <x v="1"/>
    <n v="20"/>
    <n v="4.0999999999999996"/>
    <b v="0"/>
    <m/>
  </r>
  <r>
    <s v="FB000820"/>
    <x v="4"/>
    <x v="0"/>
    <s v="Fall"/>
    <s v="L"/>
    <x v="0"/>
    <n v="88.58"/>
    <n v="0"/>
    <n v="88.58"/>
    <x v="1"/>
    <n v="50"/>
    <n v="2.9210526315789478"/>
    <b v="0"/>
    <m/>
  </r>
  <r>
    <s v="FB000821"/>
    <x v="4"/>
    <x v="5"/>
    <s v="Winter"/>
    <s v="XXL"/>
    <x v="9"/>
    <n v="67.92"/>
    <n v="0"/>
    <n v="67.92"/>
    <x v="1"/>
    <n v="23"/>
    <n v="1.8"/>
    <b v="1"/>
    <s v="Size Issue"/>
  </r>
  <r>
    <s v="FB000822"/>
    <x v="2"/>
    <x v="5"/>
    <s v="Fall"/>
    <m/>
    <x v="3"/>
    <n v="25.39"/>
    <n v="0"/>
    <n v="25.39"/>
    <x v="1"/>
    <n v="42"/>
    <n v="1.8"/>
    <b v="0"/>
    <m/>
  </r>
  <r>
    <s v="FB000823"/>
    <x v="5"/>
    <x v="7"/>
    <s v="Winter"/>
    <s v="S"/>
    <x v="2"/>
    <n v="115.89"/>
    <n v="39.4"/>
    <n v="70.23"/>
    <x v="1"/>
    <n v="14"/>
    <n v="3.8"/>
    <b v="1"/>
    <s v="Damaged"/>
  </r>
  <r>
    <s v="FB000824"/>
    <x v="4"/>
    <x v="7"/>
    <s v="Summer"/>
    <s v="XL"/>
    <x v="5"/>
    <n v="103.94"/>
    <n v="16.100000000000001"/>
    <n v="87.21"/>
    <x v="1"/>
    <n v="6"/>
    <n v="4.9000000000000004"/>
    <b v="1"/>
    <s v="Changed Mind"/>
  </r>
  <r>
    <s v="FB000825"/>
    <x v="3"/>
    <x v="6"/>
    <s v="Winter"/>
    <s v="L"/>
    <x v="0"/>
    <n v="94.72"/>
    <n v="20.5"/>
    <n v="75.3"/>
    <x v="1"/>
    <n v="24"/>
    <n v="3.6"/>
    <b v="0"/>
    <m/>
  </r>
  <r>
    <s v="FB000826"/>
    <x v="2"/>
    <x v="5"/>
    <s v="Fall"/>
    <m/>
    <x v="1"/>
    <n v="23.28"/>
    <n v="0"/>
    <n v="23.28"/>
    <x v="1"/>
    <n v="44"/>
    <n v="3.1"/>
    <b v="1"/>
    <s v="Quality Issue"/>
  </r>
  <r>
    <s v="FB000827"/>
    <x v="1"/>
    <x v="6"/>
    <s v="Summer"/>
    <s v="S"/>
    <x v="1"/>
    <n v="90.73"/>
    <n v="0"/>
    <n v="90.73"/>
    <x v="1"/>
    <n v="14"/>
    <n v="1.1000000000000001"/>
    <b v="0"/>
    <m/>
  </r>
  <r>
    <s v="FB000828"/>
    <x v="4"/>
    <x v="4"/>
    <s v="Fall"/>
    <s v="XXL"/>
    <x v="6"/>
    <n v="25.74"/>
    <n v="0"/>
    <n v="25.74"/>
    <x v="1"/>
    <n v="33"/>
    <n v="1.1000000000000001"/>
    <b v="1"/>
    <s v="Color Mismatch"/>
  </r>
  <r>
    <s v="FB000829"/>
    <x v="3"/>
    <x v="5"/>
    <s v="Spring"/>
    <s v="XL"/>
    <x v="4"/>
    <n v="162.97"/>
    <n v="0"/>
    <n v="162.97"/>
    <x v="147"/>
    <n v="47"/>
    <n v="2.2000000000000002"/>
    <b v="1"/>
    <s v="Wrong Item"/>
  </r>
  <r>
    <s v="FB000830"/>
    <x v="2"/>
    <x v="4"/>
    <s v="Winter"/>
    <m/>
    <x v="2"/>
    <n v="50.33"/>
    <n v="8.6999999999999993"/>
    <n v="45.95"/>
    <x v="1"/>
    <n v="14"/>
    <n v="1.3"/>
    <b v="0"/>
    <m/>
  </r>
  <r>
    <s v="FB000831"/>
    <x v="3"/>
    <x v="1"/>
    <s v="Spring"/>
    <m/>
    <x v="1"/>
    <n v="60.38"/>
    <n v="0"/>
    <n v="60.38"/>
    <x v="56"/>
    <n v="0"/>
    <n v="2.8205128205128198"/>
    <b v="0"/>
    <m/>
  </r>
  <r>
    <s v="FB000832"/>
    <x v="1"/>
    <x v="1"/>
    <s v="Summer"/>
    <s v="XXL"/>
    <x v="2"/>
    <n v="103.65"/>
    <n v="0"/>
    <n v="103.65"/>
    <x v="1"/>
    <n v="29"/>
    <n v="3.7"/>
    <b v="0"/>
    <m/>
  </r>
  <r>
    <s v="FB000833"/>
    <x v="4"/>
    <x v="6"/>
    <s v="Spring"/>
    <s v="L"/>
    <x v="7"/>
    <n v="75.14"/>
    <n v="0"/>
    <n v="75.14"/>
    <x v="148"/>
    <n v="41"/>
    <n v="3.1799999999999997"/>
    <b v="1"/>
    <s v="Changed Mind"/>
  </r>
  <r>
    <s v="FB000834"/>
    <x v="3"/>
    <x v="4"/>
    <s v="Winter"/>
    <s v="S"/>
    <x v="1"/>
    <n v="88"/>
    <n v="0"/>
    <n v="88"/>
    <x v="1"/>
    <n v="2"/>
    <n v="1.9"/>
    <b v="0"/>
    <m/>
  </r>
  <r>
    <s v="FB000835"/>
    <x v="5"/>
    <x v="5"/>
    <s v="Winter"/>
    <s v="XS"/>
    <x v="0"/>
    <n v="69.540000000000006"/>
    <n v="0"/>
    <n v="69.540000000000006"/>
    <x v="1"/>
    <n v="21"/>
    <n v="3.1874999999999991"/>
    <b v="0"/>
    <m/>
  </r>
  <r>
    <s v="FB000836"/>
    <x v="0"/>
    <x v="3"/>
    <s v="Winter"/>
    <s v="XS"/>
    <x v="1"/>
    <n v="209.52"/>
    <n v="0"/>
    <n v="209.52"/>
    <x v="1"/>
    <n v="48"/>
    <n v="2.6"/>
    <b v="0"/>
    <m/>
  </r>
  <r>
    <s v="FB000837"/>
    <x v="3"/>
    <x v="4"/>
    <s v="Fall"/>
    <s v="XXL"/>
    <x v="7"/>
    <n v="97.42"/>
    <n v="0"/>
    <n v="97.42"/>
    <x v="1"/>
    <n v="35"/>
    <n v="2"/>
    <b v="0"/>
    <m/>
  </r>
  <r>
    <s v="FB000838"/>
    <x v="5"/>
    <x v="1"/>
    <s v="Winter"/>
    <s v="XS"/>
    <x v="3"/>
    <n v="154.6"/>
    <n v="0"/>
    <n v="154.6"/>
    <x v="1"/>
    <n v="38"/>
    <n v="4.5"/>
    <b v="1"/>
    <s v="Changed Mind"/>
  </r>
  <r>
    <s v="FB000839"/>
    <x v="4"/>
    <x v="0"/>
    <s v="Summer"/>
    <s v="XL"/>
    <x v="3"/>
    <n v="81.59"/>
    <n v="38"/>
    <n v="50.59"/>
    <x v="1"/>
    <n v="31"/>
    <n v="1.2"/>
    <b v="0"/>
    <m/>
  </r>
  <r>
    <s v="FB000840"/>
    <x v="2"/>
    <x v="3"/>
    <s v="Winter"/>
    <m/>
    <x v="10"/>
    <n v="48.04"/>
    <n v="0"/>
    <n v="48.04"/>
    <x v="1"/>
    <n v="46"/>
    <n v="4.8"/>
    <b v="0"/>
    <m/>
  </r>
  <r>
    <s v="FB000841"/>
    <x v="1"/>
    <x v="2"/>
    <s v="Fall"/>
    <s v="S"/>
    <x v="6"/>
    <n v="70.77"/>
    <n v="0"/>
    <n v="70.77"/>
    <x v="1"/>
    <n v="5"/>
    <n v="3.7"/>
    <b v="0"/>
    <m/>
  </r>
  <r>
    <s v="FB000842"/>
    <x v="0"/>
    <x v="7"/>
    <s v="Fall"/>
    <s v="S"/>
    <x v="4"/>
    <n v="103.49"/>
    <n v="0"/>
    <n v="103.49"/>
    <x v="1"/>
    <n v="12"/>
    <n v="1.8"/>
    <b v="0"/>
    <m/>
  </r>
  <r>
    <s v="FB000843"/>
    <x v="0"/>
    <x v="1"/>
    <s v="Spring"/>
    <s v="L"/>
    <x v="9"/>
    <n v="138.88999999999999"/>
    <n v="0"/>
    <n v="138.88999999999999"/>
    <x v="60"/>
    <n v="10"/>
    <n v="3.15"/>
    <b v="0"/>
    <m/>
  </r>
  <r>
    <s v="FB000844"/>
    <x v="2"/>
    <x v="4"/>
    <s v="Winter"/>
    <m/>
    <x v="6"/>
    <n v="73.510000000000005"/>
    <n v="32.200000000000003"/>
    <n v="49.84"/>
    <x v="1"/>
    <n v="17"/>
    <n v="2.7333333333333334"/>
    <b v="1"/>
    <s v="Wrong Item"/>
  </r>
  <r>
    <s v="FB000845"/>
    <x v="4"/>
    <x v="0"/>
    <s v="Spring"/>
    <s v="M"/>
    <x v="9"/>
    <n v="82.37"/>
    <n v="0"/>
    <n v="82.37"/>
    <x v="149"/>
    <n v="49"/>
    <n v="3.3"/>
    <b v="0"/>
    <m/>
  </r>
  <r>
    <s v="FB000846"/>
    <x v="5"/>
    <x v="5"/>
    <s v="Summer"/>
    <s v="XS"/>
    <x v="8"/>
    <n v="81.709999999999994"/>
    <n v="18"/>
    <n v="67"/>
    <x v="1"/>
    <n v="28"/>
    <n v="4.7"/>
    <b v="0"/>
    <m/>
  </r>
  <r>
    <s v="FB000847"/>
    <x v="5"/>
    <x v="2"/>
    <s v="Winter"/>
    <s v="XXL"/>
    <x v="8"/>
    <n v="107.02"/>
    <n v="10.6"/>
    <n v="95.68"/>
    <x v="1"/>
    <n v="6"/>
    <n v="2.9000000000000008"/>
    <b v="0"/>
    <m/>
  </r>
  <r>
    <s v="FB000848"/>
    <x v="4"/>
    <x v="4"/>
    <s v="Summer"/>
    <s v="XL"/>
    <x v="1"/>
    <n v="103.23"/>
    <n v="18.7"/>
    <n v="83.93"/>
    <x v="1"/>
    <n v="6"/>
    <n v="4"/>
    <b v="0"/>
    <m/>
  </r>
  <r>
    <s v="FB000849"/>
    <x v="1"/>
    <x v="6"/>
    <s v="Fall"/>
    <s v="L"/>
    <x v="5"/>
    <n v="100.48"/>
    <n v="17.600000000000001"/>
    <n v="82.8"/>
    <x v="1"/>
    <n v="19"/>
    <n v="2.9074999999999998"/>
    <b v="0"/>
    <m/>
  </r>
  <r>
    <s v="FB000850"/>
    <x v="3"/>
    <x v="5"/>
    <s v="Winter"/>
    <s v="XL"/>
    <x v="3"/>
    <n v="160.87"/>
    <n v="53.7"/>
    <n v="74.48"/>
    <x v="1"/>
    <n v="18"/>
    <n v="3.0068965517241386"/>
    <b v="0"/>
    <m/>
  </r>
  <r>
    <s v="FB000851"/>
    <x v="2"/>
    <x v="3"/>
    <s v="Fall"/>
    <m/>
    <x v="3"/>
    <n v="78.39"/>
    <n v="0"/>
    <n v="78.39"/>
    <x v="1"/>
    <n v="7"/>
    <n v="4.2"/>
    <b v="0"/>
    <m/>
  </r>
  <r>
    <s v="FB000852"/>
    <x v="0"/>
    <x v="0"/>
    <s v="Spring"/>
    <s v="S"/>
    <x v="7"/>
    <n v="168.38"/>
    <n v="23.1"/>
    <n v="129.47999999999999"/>
    <x v="149"/>
    <n v="3"/>
    <n v="2"/>
    <b v="0"/>
    <m/>
  </r>
  <r>
    <s v="FB000853"/>
    <x v="3"/>
    <x v="2"/>
    <s v="Winter"/>
    <s v="S"/>
    <x v="8"/>
    <n v="128.35"/>
    <n v="0"/>
    <n v="128.35"/>
    <x v="1"/>
    <n v="20"/>
    <n v="2.5"/>
    <b v="0"/>
    <m/>
  </r>
  <r>
    <s v="FB000854"/>
    <x v="5"/>
    <x v="1"/>
    <s v="Spring"/>
    <s v="XL"/>
    <x v="4"/>
    <n v="138.16999999999999"/>
    <n v="3"/>
    <n v="134.02000000000001"/>
    <x v="126"/>
    <n v="34"/>
    <n v="4.0999999999999996"/>
    <b v="0"/>
    <m/>
  </r>
  <r>
    <s v="FB000855"/>
    <x v="5"/>
    <x v="1"/>
    <s v="Fall"/>
    <s v="M"/>
    <x v="8"/>
    <n v="52.45"/>
    <n v="0"/>
    <n v="52.45"/>
    <x v="1"/>
    <n v="16"/>
    <n v="1.7"/>
    <b v="0"/>
    <m/>
  </r>
  <r>
    <s v="FB000856"/>
    <x v="3"/>
    <x v="4"/>
    <s v="Winter"/>
    <s v="XS"/>
    <x v="3"/>
    <n v="171.53"/>
    <n v="0"/>
    <n v="171.53"/>
    <x v="1"/>
    <n v="12"/>
    <n v="4.8"/>
    <b v="0"/>
    <m/>
  </r>
  <r>
    <s v="FB000857"/>
    <x v="1"/>
    <x v="3"/>
    <s v="Fall"/>
    <s v="XXL"/>
    <x v="10"/>
    <n v="81.23"/>
    <n v="1.2"/>
    <n v="80.260000000000005"/>
    <x v="1"/>
    <n v="10"/>
    <n v="4.9000000000000004"/>
    <b v="0"/>
    <m/>
  </r>
  <r>
    <s v="FB000858"/>
    <x v="2"/>
    <x v="2"/>
    <s v="Spring"/>
    <m/>
    <x v="5"/>
    <n v="31.37"/>
    <n v="44.1"/>
    <n v="17.54"/>
    <x v="21"/>
    <n v="11"/>
    <n v="3.4"/>
    <b v="0"/>
    <m/>
  </r>
  <r>
    <s v="FB000859"/>
    <x v="4"/>
    <x v="6"/>
    <s v="Spring"/>
    <s v="S"/>
    <x v="0"/>
    <n v="93.89"/>
    <n v="0"/>
    <n v="93.89"/>
    <x v="135"/>
    <n v="3"/>
    <n v="1.8"/>
    <b v="0"/>
    <m/>
  </r>
  <r>
    <s v="FB000860"/>
    <x v="4"/>
    <x v="1"/>
    <s v="Spring"/>
    <s v="XL"/>
    <x v="4"/>
    <n v="54.84"/>
    <n v="0"/>
    <n v="54.84"/>
    <x v="150"/>
    <n v="12"/>
    <n v="3.2"/>
    <b v="0"/>
    <m/>
  </r>
  <r>
    <s v="FB000861"/>
    <x v="5"/>
    <x v="0"/>
    <s v="Winter"/>
    <s v="L"/>
    <x v="0"/>
    <n v="140.34"/>
    <n v="0"/>
    <n v="140.34"/>
    <x v="1"/>
    <n v="23"/>
    <n v="2.8"/>
    <b v="1"/>
    <s v="Changed Mind"/>
  </r>
  <r>
    <s v="FB000862"/>
    <x v="1"/>
    <x v="2"/>
    <s v="Fall"/>
    <s v="M"/>
    <x v="0"/>
    <n v="51.88"/>
    <n v="16.8"/>
    <n v="43.16"/>
    <x v="1"/>
    <n v="30"/>
    <n v="1.5"/>
    <b v="0"/>
    <m/>
  </r>
  <r>
    <s v="FB000863"/>
    <x v="5"/>
    <x v="3"/>
    <s v="Spring"/>
    <s v="S"/>
    <x v="9"/>
    <n v="136.19999999999999"/>
    <n v="44.3"/>
    <n v="75.86"/>
    <x v="78"/>
    <n v="49"/>
    <n v="2.8372093023255811"/>
    <b v="0"/>
    <m/>
  </r>
  <r>
    <s v="FB000864"/>
    <x v="2"/>
    <x v="4"/>
    <s v="Summer"/>
    <m/>
    <x v="10"/>
    <n v="71.19"/>
    <n v="0"/>
    <n v="71.19"/>
    <x v="1"/>
    <n v="14"/>
    <n v="2.8"/>
    <b v="0"/>
    <m/>
  </r>
  <r>
    <s v="FB000865"/>
    <x v="0"/>
    <x v="7"/>
    <s v="Spring"/>
    <s v="S"/>
    <x v="8"/>
    <n v="241.37"/>
    <n v="44.9"/>
    <n v="132.99"/>
    <x v="151"/>
    <n v="23"/>
    <n v="2.1"/>
    <b v="0"/>
    <m/>
  </r>
  <r>
    <s v="FB000866"/>
    <x v="0"/>
    <x v="6"/>
    <s v="Fall"/>
    <s v="XXL"/>
    <x v="5"/>
    <n v="198.26"/>
    <n v="51.3"/>
    <n v="96.55"/>
    <x v="1"/>
    <n v="38"/>
    <n v="2.9034482758620692"/>
    <b v="0"/>
    <m/>
  </r>
  <r>
    <s v="FB000867"/>
    <x v="4"/>
    <x v="5"/>
    <s v="Winter"/>
    <s v="XXL"/>
    <x v="7"/>
    <n v="64.069999999999993"/>
    <n v="0"/>
    <n v="64.069999999999993"/>
    <x v="1"/>
    <n v="34"/>
    <n v="3.0575757575757576"/>
    <b v="0"/>
    <m/>
  </r>
  <r>
    <s v="FB000868"/>
    <x v="4"/>
    <x v="0"/>
    <s v="Fall"/>
    <s v="XL"/>
    <x v="4"/>
    <n v="110.15"/>
    <n v="10.4"/>
    <n v="98.69"/>
    <x v="1"/>
    <n v="36"/>
    <n v="1.6"/>
    <b v="0"/>
    <m/>
  </r>
  <r>
    <s v="FB000869"/>
    <x v="0"/>
    <x v="7"/>
    <s v="Spring"/>
    <s v="XS"/>
    <x v="5"/>
    <n v="120.68"/>
    <n v="0"/>
    <n v="120.68"/>
    <x v="152"/>
    <n v="6"/>
    <n v="1.9"/>
    <b v="0"/>
    <m/>
  </r>
  <r>
    <s v="FB000870"/>
    <x v="2"/>
    <x v="0"/>
    <s v="Fall"/>
    <m/>
    <x v="2"/>
    <n v="69.180000000000007"/>
    <n v="31"/>
    <n v="47.73"/>
    <x v="1"/>
    <n v="9"/>
    <n v="2.7"/>
    <b v="1"/>
    <s v="Size Issue"/>
  </r>
  <r>
    <s v="FB000871"/>
    <x v="5"/>
    <x v="5"/>
    <s v="Fall"/>
    <s v="L"/>
    <x v="0"/>
    <n v="134.77000000000001"/>
    <n v="0"/>
    <n v="134.77000000000001"/>
    <x v="1"/>
    <n v="36"/>
    <n v="4.8"/>
    <b v="0"/>
    <m/>
  </r>
  <r>
    <s v="FB000872"/>
    <x v="1"/>
    <x v="1"/>
    <s v="Spring"/>
    <s v="S"/>
    <x v="2"/>
    <n v="29.93"/>
    <n v="0"/>
    <n v="29.93"/>
    <x v="63"/>
    <n v="13"/>
    <n v="3.34"/>
    <b v="0"/>
    <m/>
  </r>
  <r>
    <s v="FB000873"/>
    <x v="2"/>
    <x v="6"/>
    <s v="Winter"/>
    <m/>
    <x v="3"/>
    <n v="56.09"/>
    <n v="0"/>
    <n v="56.09"/>
    <x v="1"/>
    <n v="21"/>
    <n v="4.9000000000000004"/>
    <b v="0"/>
    <m/>
  </r>
  <r>
    <s v="FB000874"/>
    <x v="3"/>
    <x v="6"/>
    <s v="Fall"/>
    <s v="XS"/>
    <x v="6"/>
    <n v="124.81"/>
    <n v="33.1"/>
    <n v="83.5"/>
    <x v="1"/>
    <n v="45"/>
    <n v="2.4"/>
    <b v="0"/>
    <m/>
  </r>
  <r>
    <s v="FB000875"/>
    <x v="5"/>
    <x v="0"/>
    <s v="Spring"/>
    <s v="M"/>
    <x v="3"/>
    <n v="94.03"/>
    <n v="56.1"/>
    <n v="41.28"/>
    <x v="153"/>
    <n v="16"/>
    <n v="1.2"/>
    <b v="0"/>
    <m/>
  </r>
  <r>
    <s v="FB000876"/>
    <x v="3"/>
    <x v="0"/>
    <s v="Fall"/>
    <s v="XS"/>
    <x v="0"/>
    <n v="109.51"/>
    <n v="8.1999999999999993"/>
    <n v="100.53"/>
    <x v="1"/>
    <n v="12"/>
    <n v="2.9153846153846157"/>
    <b v="0"/>
    <m/>
  </r>
  <r>
    <s v="FB000877"/>
    <x v="2"/>
    <x v="3"/>
    <s v="Winter"/>
    <m/>
    <x v="8"/>
    <n v="31.13"/>
    <n v="0"/>
    <n v="31.13"/>
    <x v="1"/>
    <n v="29"/>
    <n v="4.7"/>
    <b v="0"/>
    <m/>
  </r>
  <r>
    <s v="FB000878"/>
    <x v="2"/>
    <x v="2"/>
    <s v="Fall"/>
    <m/>
    <x v="5"/>
    <n v="66.3"/>
    <n v="1.7"/>
    <n v="65.17"/>
    <x v="1"/>
    <n v="28"/>
    <n v="1.6"/>
    <b v="0"/>
    <m/>
  </r>
  <r>
    <s v="FB000879"/>
    <x v="4"/>
    <x v="4"/>
    <s v="Winter"/>
    <s v="M"/>
    <x v="0"/>
    <n v="66.63"/>
    <n v="28.4"/>
    <n v="47.71"/>
    <x v="1"/>
    <n v="32"/>
    <n v="2"/>
    <b v="0"/>
    <m/>
  </r>
  <r>
    <s v="FB000880"/>
    <x v="4"/>
    <x v="3"/>
    <s v="Spring"/>
    <s v="L"/>
    <x v="6"/>
    <n v="117.63"/>
    <n v="0"/>
    <n v="117.63"/>
    <x v="55"/>
    <n v="18"/>
    <n v="1.2"/>
    <b v="0"/>
    <m/>
  </r>
  <r>
    <s v="FB000881"/>
    <x v="3"/>
    <x v="2"/>
    <s v="Winter"/>
    <s v="M"/>
    <x v="9"/>
    <n v="174.53"/>
    <n v="0"/>
    <n v="174.53"/>
    <x v="1"/>
    <n v="45"/>
    <n v="3.1936170212765949"/>
    <b v="0"/>
    <m/>
  </r>
  <r>
    <s v="FB000882"/>
    <x v="5"/>
    <x v="0"/>
    <s v="Winter"/>
    <s v="S"/>
    <x v="6"/>
    <n v="152.65"/>
    <n v="0"/>
    <n v="152.65"/>
    <x v="1"/>
    <n v="27"/>
    <n v="3.7"/>
    <b v="0"/>
    <m/>
  </r>
  <r>
    <s v="FB000883"/>
    <x v="0"/>
    <x v="5"/>
    <s v="Summer"/>
    <s v="XL"/>
    <x v="5"/>
    <n v="83.24"/>
    <n v="0"/>
    <n v="83.24"/>
    <x v="1"/>
    <n v="16"/>
    <n v="3.0305555555555546"/>
    <b v="0"/>
    <m/>
  </r>
  <r>
    <s v="FB000884"/>
    <x v="2"/>
    <x v="0"/>
    <s v="Winter"/>
    <m/>
    <x v="10"/>
    <n v="40.18"/>
    <n v="0"/>
    <n v="40.18"/>
    <x v="1"/>
    <n v="27"/>
    <n v="4.7"/>
    <b v="0"/>
    <m/>
  </r>
  <r>
    <s v="FB000885"/>
    <x v="4"/>
    <x v="3"/>
    <s v="Spring"/>
    <s v="XL"/>
    <x v="0"/>
    <n v="73.77"/>
    <n v="22.8"/>
    <n v="56.95"/>
    <x v="154"/>
    <n v="0"/>
    <n v="2.8142857142857149"/>
    <b v="0"/>
    <m/>
  </r>
  <r>
    <s v="FB000886"/>
    <x v="2"/>
    <x v="7"/>
    <s v="Winter"/>
    <m/>
    <x v="0"/>
    <n v="71.3"/>
    <n v="0"/>
    <n v="71.3"/>
    <x v="1"/>
    <n v="29"/>
    <n v="2.8636363636363633"/>
    <b v="0"/>
    <m/>
  </r>
  <r>
    <s v="FB000887"/>
    <x v="2"/>
    <x v="7"/>
    <s v="Summer"/>
    <m/>
    <x v="7"/>
    <n v="50.3"/>
    <n v="52.8"/>
    <n v="23.74"/>
    <x v="1"/>
    <n v="11"/>
    <n v="2.8636363636363633"/>
    <b v="0"/>
    <m/>
  </r>
  <r>
    <s v="FB000888"/>
    <x v="2"/>
    <x v="4"/>
    <s v="Spring"/>
    <m/>
    <x v="6"/>
    <n v="46.97"/>
    <n v="0"/>
    <n v="46.97"/>
    <x v="155"/>
    <n v="33"/>
    <n v="2.6"/>
    <b v="0"/>
    <m/>
  </r>
  <r>
    <s v="FB000889"/>
    <x v="3"/>
    <x v="0"/>
    <s v="Fall"/>
    <m/>
    <x v="10"/>
    <n v="162.9"/>
    <n v="0"/>
    <n v="162.9"/>
    <x v="1"/>
    <n v="30"/>
    <n v="1.9"/>
    <b v="0"/>
    <m/>
  </r>
  <r>
    <s v="FB000890"/>
    <x v="4"/>
    <x v="7"/>
    <s v="Winter"/>
    <s v="XL"/>
    <x v="3"/>
    <n v="57.14"/>
    <n v="0"/>
    <n v="57.14"/>
    <x v="1"/>
    <n v="39"/>
    <n v="1.4"/>
    <b v="0"/>
    <m/>
  </r>
  <r>
    <s v="FB000891"/>
    <x v="3"/>
    <x v="5"/>
    <s v="Spring"/>
    <s v="L"/>
    <x v="9"/>
    <n v="93.6"/>
    <n v="0"/>
    <n v="93.6"/>
    <x v="25"/>
    <n v="49"/>
    <n v="4.3"/>
    <b v="0"/>
    <m/>
  </r>
  <r>
    <s v="FB000892"/>
    <x v="2"/>
    <x v="7"/>
    <s v="Spring"/>
    <m/>
    <x v="10"/>
    <n v="64.56"/>
    <n v="43"/>
    <n v="36.799999999999997"/>
    <x v="156"/>
    <n v="36"/>
    <n v="3.9"/>
    <b v="0"/>
    <m/>
  </r>
  <r>
    <s v="FB000893"/>
    <x v="0"/>
    <x v="5"/>
    <s v="Winter"/>
    <s v="S"/>
    <x v="8"/>
    <n v="142.34"/>
    <n v="0"/>
    <n v="142.34"/>
    <x v="1"/>
    <n v="43"/>
    <n v="3.0305555555555546"/>
    <b v="0"/>
    <m/>
  </r>
  <r>
    <s v="FB000894"/>
    <x v="3"/>
    <x v="6"/>
    <s v="Spring"/>
    <s v="XS"/>
    <x v="3"/>
    <n v="111.02"/>
    <n v="57.8"/>
    <n v="46.85"/>
    <x v="157"/>
    <n v="11"/>
    <n v="2.2000000000000002"/>
    <b v="0"/>
    <m/>
  </r>
  <r>
    <s v="FB000895"/>
    <x v="1"/>
    <x v="2"/>
    <s v="Winter"/>
    <m/>
    <x v="2"/>
    <n v="29.16"/>
    <n v="49"/>
    <n v="14.87"/>
    <x v="1"/>
    <n v="31"/>
    <n v="2.953125"/>
    <b v="0"/>
    <m/>
  </r>
  <r>
    <s v="FB000896"/>
    <x v="1"/>
    <x v="5"/>
    <s v="Summer"/>
    <s v="XS"/>
    <x v="2"/>
    <n v="30.46"/>
    <n v="0"/>
    <n v="30.46"/>
    <x v="1"/>
    <n v="19"/>
    <n v="1.2"/>
    <b v="0"/>
    <m/>
  </r>
  <r>
    <s v="FB000897"/>
    <x v="2"/>
    <x v="7"/>
    <s v="Winter"/>
    <m/>
    <x v="5"/>
    <n v="31.32"/>
    <n v="0"/>
    <n v="31.32"/>
    <x v="1"/>
    <n v="28"/>
    <n v="2.7"/>
    <b v="0"/>
    <m/>
  </r>
  <r>
    <s v="FB000898"/>
    <x v="4"/>
    <x v="1"/>
    <s v="Spring"/>
    <s v="M"/>
    <x v="1"/>
    <n v="61.78"/>
    <n v="0"/>
    <n v="61.78"/>
    <x v="158"/>
    <n v="24"/>
    <n v="3.5"/>
    <b v="0"/>
    <m/>
  </r>
  <r>
    <s v="FB000899"/>
    <x v="0"/>
    <x v="0"/>
    <s v="Summer"/>
    <s v="M"/>
    <x v="6"/>
    <n v="126.27"/>
    <n v="0"/>
    <n v="126.27"/>
    <x v="1"/>
    <n v="1"/>
    <n v="4.7"/>
    <b v="0"/>
    <m/>
  </r>
  <r>
    <s v="FB000900"/>
    <x v="0"/>
    <x v="1"/>
    <s v="Winter"/>
    <s v="L"/>
    <x v="3"/>
    <n v="147.53"/>
    <n v="0"/>
    <n v="147.53"/>
    <x v="1"/>
    <n v="33"/>
    <n v="4.7"/>
    <b v="1"/>
    <s v="Quality Issue"/>
  </r>
  <r>
    <s v="FB000901"/>
    <x v="2"/>
    <x v="2"/>
    <s v="Summer"/>
    <m/>
    <x v="0"/>
    <n v="36.979999999999997"/>
    <n v="12.2"/>
    <n v="32.47"/>
    <x v="1"/>
    <n v="14"/>
    <n v="4.8"/>
    <b v="0"/>
    <m/>
  </r>
  <r>
    <s v="FB000902"/>
    <x v="3"/>
    <x v="4"/>
    <s v="Fall"/>
    <s v="M"/>
    <x v="1"/>
    <n v="172.41"/>
    <n v="0"/>
    <n v="172.41"/>
    <x v="1"/>
    <n v="33"/>
    <n v="2.2999999999999998"/>
    <b v="0"/>
    <m/>
  </r>
  <r>
    <s v="FB000903"/>
    <x v="2"/>
    <x v="4"/>
    <s v="Spring"/>
    <m/>
    <x v="1"/>
    <n v="53.79"/>
    <n v="16"/>
    <n v="45.18"/>
    <x v="39"/>
    <n v="32"/>
    <n v="2.7333333333333334"/>
    <b v="0"/>
    <m/>
  </r>
  <r>
    <s v="FB000904"/>
    <x v="3"/>
    <x v="3"/>
    <s v="Summer"/>
    <s v="XS"/>
    <x v="7"/>
    <n v="80.56"/>
    <n v="0"/>
    <n v="80.56"/>
    <x v="1"/>
    <n v="7"/>
    <n v="1.9"/>
    <b v="0"/>
    <m/>
  </r>
  <r>
    <s v="FB000905"/>
    <x v="2"/>
    <x v="3"/>
    <s v="Fall"/>
    <m/>
    <x v="1"/>
    <n v="51.72"/>
    <n v="0"/>
    <n v="51.72"/>
    <x v="1"/>
    <n v="35"/>
    <n v="3.7"/>
    <b v="1"/>
    <s v="Damaged"/>
  </r>
  <r>
    <s v="FB000906"/>
    <x v="4"/>
    <x v="3"/>
    <s v="Spring"/>
    <s v="XL"/>
    <x v="1"/>
    <n v="107.22"/>
    <n v="37.799999999999997"/>
    <n v="66.69"/>
    <x v="141"/>
    <n v="21"/>
    <n v="2.9"/>
    <b v="0"/>
    <m/>
  </r>
  <r>
    <s v="FB000907"/>
    <x v="3"/>
    <x v="4"/>
    <s v="Fall"/>
    <s v="XXL"/>
    <x v="6"/>
    <n v="174.99"/>
    <n v="50.1"/>
    <n v="87.32"/>
    <x v="1"/>
    <n v="7"/>
    <n v="4.9000000000000004"/>
    <b v="0"/>
    <m/>
  </r>
  <r>
    <s v="FB000908"/>
    <x v="5"/>
    <x v="7"/>
    <s v="Spring"/>
    <s v="S"/>
    <x v="5"/>
    <n v="90.52"/>
    <n v="53.2"/>
    <n v="42.36"/>
    <x v="159"/>
    <n v="37"/>
    <n v="2.2000000000000002"/>
    <b v="0"/>
    <m/>
  </r>
  <r>
    <s v="FB000909"/>
    <x v="3"/>
    <x v="7"/>
    <s v="Summer"/>
    <s v="XXL"/>
    <x v="6"/>
    <n v="94.93"/>
    <n v="16.600000000000001"/>
    <n v="79.17"/>
    <x v="1"/>
    <n v="39"/>
    <n v="4.8"/>
    <b v="0"/>
    <m/>
  </r>
  <r>
    <s v="FB000910"/>
    <x v="3"/>
    <x v="2"/>
    <s v="Winter"/>
    <s v="XS"/>
    <x v="4"/>
    <n v="179.82"/>
    <n v="0"/>
    <n v="179.82"/>
    <x v="1"/>
    <n v="28"/>
    <n v="2.4"/>
    <b v="1"/>
    <s v="Damaged"/>
  </r>
  <r>
    <s v="FB000911"/>
    <x v="1"/>
    <x v="1"/>
    <s v="Spring"/>
    <m/>
    <x v="10"/>
    <n v="101.96"/>
    <n v="23.7"/>
    <n v="77.8"/>
    <x v="160"/>
    <n v="29"/>
    <n v="3.6"/>
    <b v="0"/>
    <m/>
  </r>
  <r>
    <s v="FB000912"/>
    <x v="4"/>
    <x v="2"/>
    <s v="Spring"/>
    <s v="S"/>
    <x v="6"/>
    <n v="27.11"/>
    <n v="16.2"/>
    <n v="22.72"/>
    <x v="161"/>
    <n v="10"/>
    <n v="2.4"/>
    <b v="1"/>
    <s v="Changed Mind"/>
  </r>
  <r>
    <s v="FB000913"/>
    <x v="0"/>
    <x v="6"/>
    <s v="Summer"/>
    <s v="S"/>
    <x v="2"/>
    <n v="141.83000000000001"/>
    <n v="0"/>
    <n v="141.83000000000001"/>
    <x v="1"/>
    <n v="2"/>
    <n v="2.4"/>
    <b v="1"/>
    <s v="Color Mismatch"/>
  </r>
  <r>
    <s v="FB000914"/>
    <x v="3"/>
    <x v="6"/>
    <s v="Spring"/>
    <m/>
    <x v="7"/>
    <n v="156.34"/>
    <n v="37"/>
    <n v="98.49"/>
    <x v="145"/>
    <n v="45"/>
    <n v="2.9"/>
    <b v="1"/>
    <s v="Size Issue"/>
  </r>
  <r>
    <s v="FB000915"/>
    <x v="1"/>
    <x v="7"/>
    <s v="Summer"/>
    <s v="XS"/>
    <x v="10"/>
    <n v="81.84"/>
    <n v="0"/>
    <n v="81.84"/>
    <x v="1"/>
    <n v="41"/>
    <n v="2.4"/>
    <b v="0"/>
    <m/>
  </r>
  <r>
    <s v="FB000916"/>
    <x v="4"/>
    <x v="4"/>
    <s v="Fall"/>
    <s v="L"/>
    <x v="2"/>
    <n v="36.44"/>
    <n v="19.899999999999999"/>
    <n v="29.19"/>
    <x v="1"/>
    <n v="39"/>
    <n v="1.8"/>
    <b v="0"/>
    <m/>
  </r>
  <r>
    <s v="FB000917"/>
    <x v="0"/>
    <x v="5"/>
    <s v="Fall"/>
    <s v="S"/>
    <x v="1"/>
    <n v="155.30000000000001"/>
    <n v="0"/>
    <n v="155.30000000000001"/>
    <x v="1"/>
    <n v="9"/>
    <n v="3"/>
    <b v="0"/>
    <m/>
  </r>
  <r>
    <s v="FB000918"/>
    <x v="4"/>
    <x v="1"/>
    <s v="Fall"/>
    <s v="XL"/>
    <x v="0"/>
    <n v="84.04"/>
    <n v="28.5"/>
    <n v="60.09"/>
    <x v="1"/>
    <n v="3"/>
    <n v="1"/>
    <b v="0"/>
    <m/>
  </r>
  <r>
    <s v="FB000919"/>
    <x v="3"/>
    <x v="6"/>
    <s v="Fall"/>
    <s v="XS"/>
    <x v="10"/>
    <n v="98.76"/>
    <n v="56.4"/>
    <n v="43.06"/>
    <x v="1"/>
    <n v="22"/>
    <n v="4.5"/>
    <b v="0"/>
    <m/>
  </r>
  <r>
    <s v="FB000920"/>
    <x v="2"/>
    <x v="5"/>
    <s v="Summer"/>
    <m/>
    <x v="3"/>
    <n v="52.99"/>
    <n v="59.1"/>
    <n v="21.67"/>
    <x v="1"/>
    <n v="50"/>
    <n v="3.4"/>
    <b v="1"/>
    <s v="Size Issue"/>
  </r>
  <r>
    <s v="FB000921"/>
    <x v="4"/>
    <x v="1"/>
    <s v="Spring"/>
    <s v="L"/>
    <x v="0"/>
    <n v="39.840000000000003"/>
    <n v="0"/>
    <n v="39.840000000000003"/>
    <x v="138"/>
    <n v="24"/>
    <n v="2.4"/>
    <b v="0"/>
    <m/>
  </r>
  <r>
    <s v="FB000922"/>
    <x v="2"/>
    <x v="5"/>
    <s v="Spring"/>
    <m/>
    <x v="6"/>
    <n v="40.01"/>
    <n v="0"/>
    <n v="40.01"/>
    <x v="162"/>
    <n v="22"/>
    <n v="4.5"/>
    <b v="0"/>
    <m/>
  </r>
  <r>
    <s v="FB000923"/>
    <x v="0"/>
    <x v="5"/>
    <s v="Summer"/>
    <s v="L"/>
    <x v="8"/>
    <n v="245.75"/>
    <n v="0"/>
    <n v="245.75"/>
    <x v="1"/>
    <n v="12"/>
    <n v="3.0305555555555546"/>
    <b v="1"/>
    <s v="Changed Mind"/>
  </r>
  <r>
    <s v="FB000924"/>
    <x v="4"/>
    <x v="0"/>
    <s v="Winter"/>
    <s v="XL"/>
    <x v="4"/>
    <n v="102.25"/>
    <n v="0"/>
    <n v="102.25"/>
    <x v="1"/>
    <n v="6"/>
    <n v="3.8"/>
    <b v="0"/>
    <m/>
  </r>
  <r>
    <s v="FB000925"/>
    <x v="1"/>
    <x v="5"/>
    <s v="Summer"/>
    <s v="M"/>
    <x v="4"/>
    <n v="76.33"/>
    <n v="0"/>
    <n v="76.33"/>
    <x v="1"/>
    <n v="15"/>
    <n v="2"/>
    <b v="1"/>
    <s v="Wrong Item"/>
  </r>
  <r>
    <s v="FB000926"/>
    <x v="2"/>
    <x v="0"/>
    <s v="Spring"/>
    <m/>
    <x v="4"/>
    <n v="51.79"/>
    <n v="39"/>
    <n v="31.59"/>
    <x v="163"/>
    <n v="37"/>
    <n v="2.5"/>
    <b v="0"/>
    <m/>
  </r>
  <r>
    <s v="FB000927"/>
    <x v="0"/>
    <x v="0"/>
    <s v="Spring"/>
    <s v="XXL"/>
    <x v="1"/>
    <n v="141.24"/>
    <n v="12.9"/>
    <n v="123.02"/>
    <x v="164"/>
    <n v="23"/>
    <n v="1.7"/>
    <b v="0"/>
    <m/>
  </r>
  <r>
    <s v="FB000928"/>
    <x v="2"/>
    <x v="1"/>
    <s v="Spring"/>
    <m/>
    <x v="2"/>
    <n v="66.180000000000007"/>
    <n v="0"/>
    <n v="66.180000000000007"/>
    <x v="57"/>
    <n v="20"/>
    <n v="1.7"/>
    <b v="0"/>
    <m/>
  </r>
  <r>
    <s v="FB000929"/>
    <x v="1"/>
    <x v="2"/>
    <s v="Summer"/>
    <s v="M"/>
    <x v="8"/>
    <n v="35.15"/>
    <n v="0"/>
    <n v="35.15"/>
    <x v="1"/>
    <n v="38"/>
    <n v="2.2000000000000002"/>
    <b v="0"/>
    <m/>
  </r>
  <r>
    <s v="FB000930"/>
    <x v="2"/>
    <x v="4"/>
    <s v="Spring"/>
    <m/>
    <x v="1"/>
    <n v="35.619999999999997"/>
    <n v="41.2"/>
    <n v="20.94"/>
    <x v="124"/>
    <n v="4"/>
    <n v="3.7"/>
    <b v="0"/>
    <m/>
  </r>
  <r>
    <s v="FB000931"/>
    <x v="2"/>
    <x v="7"/>
    <s v="Summer"/>
    <m/>
    <x v="6"/>
    <n v="35.64"/>
    <n v="0"/>
    <n v="35.64"/>
    <x v="1"/>
    <n v="48"/>
    <n v="5"/>
    <b v="1"/>
    <s v="Color Mismatch"/>
  </r>
  <r>
    <s v="FB000932"/>
    <x v="4"/>
    <x v="5"/>
    <s v="Summer"/>
    <s v="L"/>
    <x v="0"/>
    <n v="86.68"/>
    <n v="0"/>
    <n v="86.68"/>
    <x v="1"/>
    <n v="2"/>
    <n v="3.0575757575757576"/>
    <b v="0"/>
    <m/>
  </r>
  <r>
    <s v="FB000933"/>
    <x v="2"/>
    <x v="4"/>
    <s v="Fall"/>
    <m/>
    <x v="1"/>
    <n v="17.72"/>
    <n v="0"/>
    <n v="17.72"/>
    <x v="1"/>
    <n v="9"/>
    <n v="1.2"/>
    <b v="0"/>
    <m/>
  </r>
  <r>
    <s v="FB000934"/>
    <x v="0"/>
    <x v="1"/>
    <s v="Fall"/>
    <s v="XXL"/>
    <x v="1"/>
    <n v="87.95"/>
    <n v="13.3"/>
    <n v="76.25"/>
    <x v="1"/>
    <n v="4"/>
    <n v="4.5"/>
    <b v="0"/>
    <m/>
  </r>
  <r>
    <s v="FB000935"/>
    <x v="0"/>
    <x v="3"/>
    <s v="Spring"/>
    <s v="XS"/>
    <x v="4"/>
    <n v="216.26"/>
    <n v="0"/>
    <n v="216.26"/>
    <x v="10"/>
    <n v="26"/>
    <n v="1.1000000000000001"/>
    <b v="0"/>
    <m/>
  </r>
  <r>
    <s v="FB000936"/>
    <x v="0"/>
    <x v="3"/>
    <s v="Summer"/>
    <s v="S"/>
    <x v="2"/>
    <n v="238.11"/>
    <n v="0"/>
    <n v="238.11"/>
    <x v="1"/>
    <n v="49"/>
    <n v="2.4137931034482762"/>
    <b v="0"/>
    <m/>
  </r>
  <r>
    <s v="FB000937"/>
    <x v="3"/>
    <x v="1"/>
    <s v="Winter"/>
    <s v="XXL"/>
    <x v="1"/>
    <n v="112.77"/>
    <n v="0"/>
    <n v="112.77"/>
    <x v="1"/>
    <n v="11"/>
    <n v="4.0999999999999996"/>
    <b v="0"/>
    <m/>
  </r>
  <r>
    <s v="FB000938"/>
    <x v="2"/>
    <x v="6"/>
    <s v="Winter"/>
    <m/>
    <x v="8"/>
    <n v="39.020000000000003"/>
    <n v="44.8"/>
    <n v="21.54"/>
    <x v="1"/>
    <n v="29"/>
    <n v="3.4"/>
    <b v="0"/>
    <m/>
  </r>
  <r>
    <s v="FB000939"/>
    <x v="1"/>
    <x v="5"/>
    <s v="Spring"/>
    <s v="XXL"/>
    <x v="9"/>
    <n v="69.77"/>
    <n v="0"/>
    <n v="69.77"/>
    <x v="165"/>
    <n v="29"/>
    <n v="5"/>
    <b v="0"/>
    <m/>
  </r>
  <r>
    <s v="FB000940"/>
    <x v="5"/>
    <x v="4"/>
    <s v="Spring"/>
    <s v="M"/>
    <x v="9"/>
    <n v="124.92"/>
    <n v="48.4"/>
    <n v="64.459999999999994"/>
    <x v="12"/>
    <n v="22"/>
    <n v="3.2"/>
    <b v="0"/>
    <m/>
  </r>
  <r>
    <s v="FB000941"/>
    <x v="5"/>
    <x v="2"/>
    <s v="Summer"/>
    <m/>
    <x v="9"/>
    <n v="83.92"/>
    <n v="29.4"/>
    <n v="59.25"/>
    <x v="1"/>
    <n v="20"/>
    <n v="2.1"/>
    <b v="1"/>
    <s v="Quality Issue"/>
  </r>
  <r>
    <s v="FB000942"/>
    <x v="0"/>
    <x v="7"/>
    <s v="Fall"/>
    <s v="XS"/>
    <x v="7"/>
    <n v="180.91"/>
    <n v="0"/>
    <n v="180.91"/>
    <x v="1"/>
    <n v="10"/>
    <n v="3.8"/>
    <b v="0"/>
    <m/>
  </r>
  <r>
    <s v="FB000943"/>
    <x v="3"/>
    <x v="7"/>
    <s v="Spring"/>
    <s v="XXL"/>
    <x v="10"/>
    <n v="120.11"/>
    <n v="0"/>
    <n v="120.11"/>
    <x v="166"/>
    <n v="27"/>
    <n v="4.0999999999999996"/>
    <b v="0"/>
    <m/>
  </r>
  <r>
    <s v="FB000944"/>
    <x v="0"/>
    <x v="7"/>
    <s v="Summer"/>
    <s v="XL"/>
    <x v="0"/>
    <n v="225.01"/>
    <n v="0"/>
    <n v="225.01"/>
    <x v="1"/>
    <n v="50"/>
    <n v="1.9"/>
    <b v="1"/>
    <s v="Size Issue"/>
  </r>
  <r>
    <s v="FB000945"/>
    <x v="5"/>
    <x v="3"/>
    <s v="Summer"/>
    <s v="L"/>
    <x v="6"/>
    <n v="115.57"/>
    <n v="0"/>
    <n v="115.57"/>
    <x v="1"/>
    <n v="32"/>
    <n v="3"/>
    <b v="0"/>
    <m/>
  </r>
  <r>
    <s v="FB000946"/>
    <x v="2"/>
    <x v="6"/>
    <s v="Fall"/>
    <m/>
    <x v="5"/>
    <n v="21.2"/>
    <n v="19"/>
    <n v="17.170000000000002"/>
    <x v="1"/>
    <n v="22"/>
    <n v="1.3"/>
    <b v="0"/>
    <m/>
  </r>
  <r>
    <s v="FB000947"/>
    <x v="4"/>
    <x v="0"/>
    <s v="Spring"/>
    <s v="XXL"/>
    <x v="2"/>
    <n v="52.36"/>
    <n v="0"/>
    <n v="52.36"/>
    <x v="167"/>
    <n v="35"/>
    <n v="2.9210526315789478"/>
    <b v="0"/>
    <m/>
  </r>
  <r>
    <s v="FB000948"/>
    <x v="2"/>
    <x v="5"/>
    <s v="Fall"/>
    <m/>
    <x v="4"/>
    <n v="73.430000000000007"/>
    <n v="0"/>
    <n v="73.430000000000007"/>
    <x v="1"/>
    <n v="22"/>
    <n v="2.2999999999999998"/>
    <b v="0"/>
    <m/>
  </r>
  <r>
    <s v="FB000949"/>
    <x v="2"/>
    <x v="5"/>
    <s v="Spring"/>
    <m/>
    <x v="9"/>
    <n v="70.75"/>
    <n v="0"/>
    <n v="70.75"/>
    <x v="168"/>
    <n v="0"/>
    <n v="1.4"/>
    <b v="0"/>
    <m/>
  </r>
  <r>
    <s v="FB000950"/>
    <x v="2"/>
    <x v="6"/>
    <s v="Fall"/>
    <m/>
    <x v="3"/>
    <n v="58.9"/>
    <n v="0"/>
    <n v="58.9"/>
    <x v="1"/>
    <n v="39"/>
    <n v="4"/>
    <b v="0"/>
    <m/>
  </r>
  <r>
    <s v="FB000951"/>
    <x v="0"/>
    <x v="7"/>
    <s v="Winter"/>
    <s v="L"/>
    <x v="9"/>
    <n v="104.78"/>
    <n v="16.899999999999999"/>
    <n v="87.07"/>
    <x v="1"/>
    <n v="43"/>
    <n v="4.3"/>
    <b v="0"/>
    <m/>
  </r>
  <r>
    <s v="FB000952"/>
    <x v="2"/>
    <x v="7"/>
    <s v="Fall"/>
    <m/>
    <x v="5"/>
    <n v="55.3"/>
    <n v="0"/>
    <n v="55.3"/>
    <x v="1"/>
    <n v="17"/>
    <n v="2.5"/>
    <b v="0"/>
    <m/>
  </r>
  <r>
    <s v="FB000953"/>
    <x v="4"/>
    <x v="6"/>
    <s v="Summer"/>
    <s v="XS"/>
    <x v="2"/>
    <n v="56.65"/>
    <n v="34"/>
    <n v="37.39"/>
    <x v="1"/>
    <n v="23"/>
    <n v="4.3"/>
    <b v="0"/>
    <m/>
  </r>
  <r>
    <s v="FB000954"/>
    <x v="3"/>
    <x v="1"/>
    <s v="Fall"/>
    <s v="XS"/>
    <x v="1"/>
    <n v="199.14"/>
    <n v="0"/>
    <n v="199.14"/>
    <x v="1"/>
    <n v="18"/>
    <n v="2.8205128205128198"/>
    <b v="0"/>
    <m/>
  </r>
  <r>
    <s v="FB000955"/>
    <x v="3"/>
    <x v="0"/>
    <s v="Fall"/>
    <s v="M"/>
    <x v="1"/>
    <n v="128.68"/>
    <n v="0"/>
    <n v="128.68"/>
    <x v="1"/>
    <n v="8"/>
    <n v="2.2000000000000002"/>
    <b v="0"/>
    <m/>
  </r>
  <r>
    <s v="FB000956"/>
    <x v="0"/>
    <x v="1"/>
    <s v="Fall"/>
    <s v="XL"/>
    <x v="7"/>
    <n v="150.37"/>
    <n v="51.9"/>
    <n v="72.33"/>
    <x v="1"/>
    <n v="15"/>
    <n v="5"/>
    <b v="0"/>
    <m/>
  </r>
  <r>
    <s v="FB000957"/>
    <x v="5"/>
    <x v="7"/>
    <s v="Winter"/>
    <s v="M"/>
    <x v="1"/>
    <n v="162.65"/>
    <n v="0"/>
    <n v="162.65"/>
    <x v="1"/>
    <n v="36"/>
    <n v="1.4"/>
    <b v="0"/>
    <m/>
  </r>
  <r>
    <s v="FB000958"/>
    <x v="4"/>
    <x v="3"/>
    <s v="Summer"/>
    <s v="XXL"/>
    <x v="3"/>
    <n v="28.9"/>
    <n v="0"/>
    <n v="28.9"/>
    <x v="1"/>
    <n v="5"/>
    <n v="4.5999999999999996"/>
    <b v="0"/>
    <m/>
  </r>
  <r>
    <s v="FB000959"/>
    <x v="2"/>
    <x v="7"/>
    <s v="Spring"/>
    <m/>
    <x v="1"/>
    <n v="75.59"/>
    <n v="38.799999999999997"/>
    <n v="46.26"/>
    <x v="169"/>
    <n v="43"/>
    <n v="1.1000000000000001"/>
    <b v="0"/>
    <m/>
  </r>
  <r>
    <s v="FB000960"/>
    <x v="1"/>
    <x v="0"/>
    <s v="Spring"/>
    <s v="S"/>
    <x v="10"/>
    <n v="30.9"/>
    <n v="5.5"/>
    <n v="29.2"/>
    <x v="170"/>
    <n v="25"/>
    <n v="1.4"/>
    <b v="0"/>
    <m/>
  </r>
  <r>
    <s v="FB000961"/>
    <x v="0"/>
    <x v="3"/>
    <s v="Summer"/>
    <s v="S"/>
    <x v="5"/>
    <n v="101.04"/>
    <n v="0"/>
    <n v="101.04"/>
    <x v="1"/>
    <n v="35"/>
    <n v="3.5"/>
    <b v="0"/>
    <m/>
  </r>
  <r>
    <s v="FB000962"/>
    <x v="5"/>
    <x v="7"/>
    <s v="Fall"/>
    <s v="S"/>
    <x v="3"/>
    <n v="54.81"/>
    <n v="0"/>
    <n v="54.81"/>
    <x v="1"/>
    <n v="41"/>
    <n v="1.2"/>
    <b v="1"/>
    <s v="Wrong Item"/>
  </r>
  <r>
    <s v="FB000963"/>
    <x v="3"/>
    <x v="4"/>
    <s v="Summer"/>
    <s v="M"/>
    <x v="8"/>
    <n v="191.61"/>
    <n v="42.1"/>
    <n v="110.94"/>
    <x v="1"/>
    <n v="28"/>
    <n v="4"/>
    <b v="0"/>
    <m/>
  </r>
  <r>
    <s v="FB000964"/>
    <x v="1"/>
    <x v="3"/>
    <s v="Summer"/>
    <s v="XXL"/>
    <x v="1"/>
    <n v="100.5"/>
    <n v="0"/>
    <n v="100.5"/>
    <x v="1"/>
    <n v="12"/>
    <n v="2.7"/>
    <b v="1"/>
    <s v="Damaged"/>
  </r>
  <r>
    <s v="FB000965"/>
    <x v="3"/>
    <x v="3"/>
    <s v="Spring"/>
    <s v="XXL"/>
    <x v="6"/>
    <n v="92.35"/>
    <n v="23.6"/>
    <n v="70.56"/>
    <x v="171"/>
    <n v="32"/>
    <n v="2.2000000000000002"/>
    <b v="0"/>
    <m/>
  </r>
  <r>
    <s v="FB000966"/>
    <x v="3"/>
    <x v="5"/>
    <s v="Summer"/>
    <s v="M"/>
    <x v="4"/>
    <n v="161.24"/>
    <n v="56.6"/>
    <n v="69.98"/>
    <x v="1"/>
    <n v="8"/>
    <n v="2.1"/>
    <b v="0"/>
    <m/>
  </r>
  <r>
    <s v="FB000967"/>
    <x v="5"/>
    <x v="3"/>
    <s v="Winter"/>
    <s v="XS"/>
    <x v="4"/>
    <n v="68.03"/>
    <n v="6.3"/>
    <n v="63.74"/>
    <x v="1"/>
    <n v="43"/>
    <n v="3.4"/>
    <b v="0"/>
    <m/>
  </r>
  <r>
    <s v="FB000968"/>
    <x v="3"/>
    <x v="5"/>
    <s v="Fall"/>
    <s v="XS"/>
    <x v="9"/>
    <n v="121.21"/>
    <n v="47.4"/>
    <n v="63.76"/>
    <x v="1"/>
    <n v="45"/>
    <n v="3"/>
    <b v="1"/>
    <s v="Changed Mind"/>
  </r>
  <r>
    <s v="FB000969"/>
    <x v="1"/>
    <x v="0"/>
    <s v="Winter"/>
    <s v="L"/>
    <x v="5"/>
    <n v="69.599999999999994"/>
    <n v="28.8"/>
    <n v="49.56"/>
    <x v="1"/>
    <n v="42"/>
    <n v="3.7"/>
    <b v="0"/>
    <m/>
  </r>
  <r>
    <s v="FB000970"/>
    <x v="0"/>
    <x v="2"/>
    <s v="Winter"/>
    <s v="XS"/>
    <x v="3"/>
    <n v="222.5"/>
    <n v="18.7"/>
    <n v="180.89"/>
    <x v="1"/>
    <n v="47"/>
    <n v="3.0177777777777774"/>
    <b v="0"/>
    <m/>
  </r>
  <r>
    <s v="FB000971"/>
    <x v="4"/>
    <x v="7"/>
    <s v="Fall"/>
    <s v="XXL"/>
    <x v="1"/>
    <n v="25.58"/>
    <n v="54.5"/>
    <n v="11.64"/>
    <x v="1"/>
    <n v="34"/>
    <n v="2.4"/>
    <b v="0"/>
    <m/>
  </r>
  <r>
    <s v="FB000972"/>
    <x v="5"/>
    <x v="3"/>
    <s v="Summer"/>
    <s v="XL"/>
    <x v="5"/>
    <n v="54.46"/>
    <n v="6.6"/>
    <n v="50.87"/>
    <x v="1"/>
    <n v="17"/>
    <n v="1.7"/>
    <b v="0"/>
    <m/>
  </r>
  <r>
    <s v="FB000973"/>
    <x v="4"/>
    <x v="7"/>
    <s v="Winter"/>
    <s v="S"/>
    <x v="1"/>
    <n v="43.32"/>
    <n v="0"/>
    <n v="43.32"/>
    <x v="1"/>
    <n v="0"/>
    <n v="2.6"/>
    <b v="0"/>
    <m/>
  </r>
  <r>
    <s v="FB000974"/>
    <x v="2"/>
    <x v="7"/>
    <s v="Winter"/>
    <m/>
    <x v="0"/>
    <n v="75.09"/>
    <n v="0"/>
    <n v="75.09"/>
    <x v="1"/>
    <n v="41"/>
    <n v="3.5"/>
    <b v="0"/>
    <m/>
  </r>
  <r>
    <s v="FB000975"/>
    <x v="5"/>
    <x v="1"/>
    <s v="Spring"/>
    <s v="XS"/>
    <x v="0"/>
    <n v="167.46"/>
    <n v="0"/>
    <n v="167.46"/>
    <x v="154"/>
    <n v="4"/>
    <n v="1.3"/>
    <b v="0"/>
    <m/>
  </r>
  <r>
    <s v="FB000976"/>
    <x v="3"/>
    <x v="2"/>
    <s v="Fall"/>
    <s v="L"/>
    <x v="5"/>
    <n v="111.24"/>
    <n v="34.299999999999997"/>
    <n v="73.08"/>
    <x v="1"/>
    <n v="3"/>
    <n v="2.2000000000000002"/>
    <b v="0"/>
    <m/>
  </r>
  <r>
    <s v="FB000977"/>
    <x v="4"/>
    <x v="1"/>
    <s v="Fall"/>
    <s v="XXL"/>
    <x v="8"/>
    <n v="59.36"/>
    <n v="0"/>
    <n v="59.36"/>
    <x v="1"/>
    <n v="16"/>
    <n v="3.0846153846153843"/>
    <b v="0"/>
    <m/>
  </r>
  <r>
    <s v="FB000978"/>
    <x v="3"/>
    <x v="2"/>
    <s v="Fall"/>
    <s v="S"/>
    <x v="8"/>
    <n v="199.46"/>
    <n v="0"/>
    <n v="199.46"/>
    <x v="1"/>
    <n v="15"/>
    <n v="1.4"/>
    <b v="0"/>
    <m/>
  </r>
  <r>
    <s v="FB000979"/>
    <x v="3"/>
    <x v="7"/>
    <s v="Fall"/>
    <s v="M"/>
    <x v="3"/>
    <n v="72.75"/>
    <n v="50.2"/>
    <n v="36.229999999999997"/>
    <x v="1"/>
    <n v="28"/>
    <n v="3.6"/>
    <b v="0"/>
    <m/>
  </r>
  <r>
    <s v="FB000980"/>
    <x v="4"/>
    <x v="3"/>
    <s v="Fall"/>
    <s v="XS"/>
    <x v="1"/>
    <n v="86.52"/>
    <n v="27.6"/>
    <n v="62.64"/>
    <x v="1"/>
    <n v="47"/>
    <n v="1.1000000000000001"/>
    <b v="0"/>
    <m/>
  </r>
  <r>
    <s v="FB000981"/>
    <x v="2"/>
    <x v="7"/>
    <s v="Spring"/>
    <m/>
    <x v="5"/>
    <n v="52.69"/>
    <n v="40.200000000000003"/>
    <n v="31.51"/>
    <x v="172"/>
    <n v="7"/>
    <n v="2.7"/>
    <b v="0"/>
    <m/>
  </r>
  <r>
    <s v="FB000982"/>
    <x v="0"/>
    <x v="2"/>
    <s v="Fall"/>
    <s v="L"/>
    <x v="2"/>
    <n v="104.18"/>
    <n v="0"/>
    <n v="104.18"/>
    <x v="1"/>
    <n v="12"/>
    <n v="5"/>
    <b v="0"/>
    <m/>
  </r>
  <r>
    <s v="FB000983"/>
    <x v="0"/>
    <x v="4"/>
    <s v="Winter"/>
    <s v="L"/>
    <x v="0"/>
    <n v="132.38"/>
    <n v="58.2"/>
    <n v="55.33"/>
    <x v="1"/>
    <n v="24"/>
    <n v="2.9228571428571426"/>
    <b v="0"/>
    <m/>
  </r>
  <r>
    <s v="FB000984"/>
    <x v="3"/>
    <x v="4"/>
    <s v="Fall"/>
    <s v="XL"/>
    <x v="1"/>
    <n v="64.400000000000006"/>
    <n v="0"/>
    <n v="64.400000000000006"/>
    <x v="1"/>
    <n v="40"/>
    <n v="4.9000000000000004"/>
    <b v="0"/>
    <m/>
  </r>
  <r>
    <s v="FB000985"/>
    <x v="4"/>
    <x v="0"/>
    <s v="Summer"/>
    <s v="XL"/>
    <x v="4"/>
    <n v="34.07"/>
    <n v="0"/>
    <n v="34.07"/>
    <x v="1"/>
    <n v="25"/>
    <n v="4.2"/>
    <b v="1"/>
    <s v="Wrong Item"/>
  </r>
  <r>
    <s v="FB000986"/>
    <x v="4"/>
    <x v="0"/>
    <s v="Winter"/>
    <s v="XXL"/>
    <x v="0"/>
    <n v="43.33"/>
    <n v="45.3"/>
    <n v="23.7"/>
    <x v="1"/>
    <n v="1"/>
    <n v="3.4"/>
    <b v="0"/>
    <m/>
  </r>
  <r>
    <s v="FB000987"/>
    <x v="0"/>
    <x v="1"/>
    <s v="Spring"/>
    <s v="XL"/>
    <x v="3"/>
    <n v="122.92"/>
    <n v="0"/>
    <n v="122.92"/>
    <x v="170"/>
    <n v="41"/>
    <n v="2.9"/>
    <b v="0"/>
    <m/>
  </r>
  <r>
    <s v="FB000988"/>
    <x v="3"/>
    <x v="0"/>
    <s v="Spring"/>
    <s v="S"/>
    <x v="4"/>
    <n v="142.84"/>
    <n v="0"/>
    <n v="142.84"/>
    <x v="173"/>
    <n v="36"/>
    <n v="2.9153846153846157"/>
    <b v="0"/>
    <m/>
  </r>
  <r>
    <s v="FB000989"/>
    <x v="3"/>
    <x v="6"/>
    <s v="Summer"/>
    <s v="XXL"/>
    <x v="2"/>
    <n v="131.55000000000001"/>
    <n v="0"/>
    <n v="131.55000000000001"/>
    <x v="1"/>
    <n v="45"/>
    <n v="1.8"/>
    <b v="0"/>
    <m/>
  </r>
  <r>
    <s v="FB000990"/>
    <x v="0"/>
    <x v="0"/>
    <s v="Spring"/>
    <s v="S"/>
    <x v="0"/>
    <n v="192.58"/>
    <n v="0"/>
    <n v="192.58"/>
    <x v="174"/>
    <n v="16"/>
    <n v="1.2"/>
    <b v="0"/>
    <m/>
  </r>
  <r>
    <s v="FB000991"/>
    <x v="2"/>
    <x v="5"/>
    <s v="Spring"/>
    <m/>
    <x v="9"/>
    <n v="33.56"/>
    <n v="0"/>
    <n v="33.56"/>
    <x v="175"/>
    <n v="24"/>
    <n v="3"/>
    <b v="0"/>
    <m/>
  </r>
  <r>
    <s v="FB000992"/>
    <x v="2"/>
    <x v="1"/>
    <s v="Summer"/>
    <m/>
    <x v="5"/>
    <n v="59.1"/>
    <n v="0"/>
    <n v="59.1"/>
    <x v="1"/>
    <n v="29"/>
    <n v="1.3"/>
    <b v="0"/>
    <m/>
  </r>
  <r>
    <s v="FB000993"/>
    <x v="3"/>
    <x v="6"/>
    <s v="Fall"/>
    <s v="S"/>
    <x v="4"/>
    <n v="109.15"/>
    <n v="20.7"/>
    <n v="86.56"/>
    <x v="1"/>
    <n v="28"/>
    <n v="2"/>
    <b v="1"/>
    <s v="Changed Mind"/>
  </r>
  <r>
    <s v="FB000994"/>
    <x v="4"/>
    <x v="5"/>
    <s v="Fall"/>
    <m/>
    <x v="7"/>
    <n v="59.1"/>
    <n v="0"/>
    <n v="59.1"/>
    <x v="1"/>
    <n v="47"/>
    <n v="4.5999999999999996"/>
    <b v="0"/>
    <m/>
  </r>
  <r>
    <s v="FB000995"/>
    <x v="3"/>
    <x v="6"/>
    <s v="Spring"/>
    <s v="M"/>
    <x v="9"/>
    <n v="99.33"/>
    <n v="0"/>
    <n v="99.33"/>
    <x v="160"/>
    <n v="16"/>
    <n v="3.9"/>
    <b v="0"/>
    <m/>
  </r>
  <r>
    <s v="FB000996"/>
    <x v="5"/>
    <x v="5"/>
    <s v="Winter"/>
    <s v="XL"/>
    <x v="8"/>
    <n v="92.75"/>
    <n v="0"/>
    <n v="92.75"/>
    <x v="1"/>
    <n v="29"/>
    <n v="3.1874999999999991"/>
    <b v="1"/>
    <s v="Changed Mind"/>
  </r>
  <r>
    <s v="FB000997"/>
    <x v="1"/>
    <x v="0"/>
    <s v="Summer"/>
    <s v="S"/>
    <x v="7"/>
    <n v="116.82"/>
    <n v="0"/>
    <n v="116.82"/>
    <x v="1"/>
    <n v="34"/>
    <n v="2.9181818181818175"/>
    <b v="0"/>
    <m/>
  </r>
  <r>
    <s v="FB000998"/>
    <x v="0"/>
    <x v="5"/>
    <s v="Summer"/>
    <s v="XL"/>
    <x v="6"/>
    <n v="129.78"/>
    <n v="9.5"/>
    <n v="117.45"/>
    <x v="1"/>
    <n v="17"/>
    <n v="4"/>
    <b v="0"/>
    <m/>
  </r>
  <r>
    <s v="FB000999"/>
    <x v="5"/>
    <x v="2"/>
    <s v="Spring"/>
    <s v="XS"/>
    <x v="10"/>
    <n v="135.69"/>
    <n v="3"/>
    <n v="131.62"/>
    <x v="142"/>
    <n v="16"/>
    <n v="2.9000000000000008"/>
    <b v="0"/>
    <m/>
  </r>
  <r>
    <s v="FB001000"/>
    <x v="5"/>
    <x v="6"/>
    <s v="Fall"/>
    <m/>
    <x v="0"/>
    <n v="48.14"/>
    <n v="28.3"/>
    <n v="34.520000000000003"/>
    <x v="1"/>
    <n v="41"/>
    <n v="2.980952380952381"/>
    <b v="0"/>
    <m/>
  </r>
  <r>
    <s v="FB001001"/>
    <x v="5"/>
    <x v="3"/>
    <s v="Fall"/>
    <s v="XS"/>
    <x v="5"/>
    <n v="142.96"/>
    <n v="47.7"/>
    <n v="74.77"/>
    <x v="1"/>
    <n v="7"/>
    <n v="2.8372093023255811"/>
    <b v="0"/>
    <m/>
  </r>
  <r>
    <s v="FB001002"/>
    <x v="1"/>
    <x v="7"/>
    <s v="Spring"/>
    <s v="L"/>
    <x v="7"/>
    <n v="51.72"/>
    <n v="0"/>
    <n v="51.72"/>
    <x v="173"/>
    <n v="50"/>
    <n v="2.6870967741935483"/>
    <b v="0"/>
    <m/>
  </r>
  <r>
    <s v="FB001003"/>
    <x v="2"/>
    <x v="0"/>
    <s v="Fall"/>
    <m/>
    <x v="10"/>
    <n v="18.3"/>
    <n v="38.299999999999997"/>
    <n v="11.29"/>
    <x v="1"/>
    <n v="14"/>
    <n v="1.1000000000000001"/>
    <b v="0"/>
    <m/>
  </r>
  <r>
    <s v="FB001004"/>
    <x v="0"/>
    <x v="3"/>
    <s v="Spring"/>
    <s v="L"/>
    <x v="8"/>
    <n v="214.99"/>
    <n v="29"/>
    <n v="152.63999999999999"/>
    <x v="29"/>
    <n v="32"/>
    <n v="2.8"/>
    <b v="1"/>
    <s v="Wrong Item"/>
  </r>
  <r>
    <s v="FB001005"/>
    <x v="2"/>
    <x v="6"/>
    <s v="Spring"/>
    <m/>
    <x v="0"/>
    <n v="20.77"/>
    <n v="0"/>
    <n v="20.77"/>
    <x v="176"/>
    <n v="31"/>
    <n v="2"/>
    <b v="0"/>
    <m/>
  </r>
  <r>
    <s v="FB001006"/>
    <x v="2"/>
    <x v="6"/>
    <s v="Summer"/>
    <m/>
    <x v="1"/>
    <n v="77.959999999999994"/>
    <n v="0"/>
    <n v="77.959999999999994"/>
    <x v="1"/>
    <n v="39"/>
    <n v="4.8"/>
    <b v="0"/>
    <m/>
  </r>
  <r>
    <s v="FB001007"/>
    <x v="2"/>
    <x v="0"/>
    <s v="Fall"/>
    <m/>
    <x v="9"/>
    <n v="73.33"/>
    <n v="34.6"/>
    <n v="47.96"/>
    <x v="1"/>
    <n v="45"/>
    <n v="2.1"/>
    <b v="0"/>
    <m/>
  </r>
  <r>
    <s v="FB001008"/>
    <x v="2"/>
    <x v="7"/>
    <s v="Fall"/>
    <m/>
    <x v="9"/>
    <n v="75.22"/>
    <n v="25.9"/>
    <n v="55.74"/>
    <x v="1"/>
    <n v="31"/>
    <n v="1.9"/>
    <b v="1"/>
    <s v="Color Mismatch"/>
  </r>
  <r>
    <s v="FB001009"/>
    <x v="4"/>
    <x v="6"/>
    <s v="Fall"/>
    <s v="XS"/>
    <x v="2"/>
    <n v="46.65"/>
    <n v="24.2"/>
    <n v="35.36"/>
    <x v="1"/>
    <n v="8"/>
    <n v="3.2"/>
    <b v="0"/>
    <m/>
  </r>
  <r>
    <s v="FB001010"/>
    <x v="5"/>
    <x v="3"/>
    <s v="Fall"/>
    <s v="XXL"/>
    <x v="1"/>
    <n v="108.19"/>
    <n v="0"/>
    <n v="108.19"/>
    <x v="1"/>
    <n v="21"/>
    <n v="2.8372093023255811"/>
    <b v="0"/>
    <m/>
  </r>
  <r>
    <s v="FB001011"/>
    <x v="5"/>
    <x v="0"/>
    <s v="Spring"/>
    <s v="L"/>
    <x v="0"/>
    <n v="62.82"/>
    <n v="0"/>
    <n v="62.82"/>
    <x v="89"/>
    <n v="36"/>
    <n v="2.1"/>
    <b v="0"/>
    <m/>
  </r>
  <r>
    <s v="FB001012"/>
    <x v="1"/>
    <x v="0"/>
    <s v="Summer"/>
    <s v="S"/>
    <x v="1"/>
    <n v="57.32"/>
    <n v="57.4"/>
    <n v="24.42"/>
    <x v="1"/>
    <n v="46"/>
    <n v="3.1"/>
    <b v="0"/>
    <m/>
  </r>
  <r>
    <s v="FB001013"/>
    <x v="0"/>
    <x v="4"/>
    <s v="Winter"/>
    <s v="XXL"/>
    <x v="6"/>
    <n v="153.59"/>
    <n v="0"/>
    <n v="153.59"/>
    <x v="1"/>
    <n v="31"/>
    <n v="2.9"/>
    <b v="1"/>
    <s v="Damaged"/>
  </r>
  <r>
    <s v="FB001014"/>
    <x v="3"/>
    <x v="3"/>
    <s v="Winter"/>
    <s v="XL"/>
    <x v="9"/>
    <n v="101.14"/>
    <n v="0"/>
    <n v="101.14"/>
    <x v="1"/>
    <n v="43"/>
    <n v="2.8"/>
    <b v="0"/>
    <m/>
  </r>
  <r>
    <s v="FB001015"/>
    <x v="4"/>
    <x v="5"/>
    <s v="Spring"/>
    <s v="XXL"/>
    <x v="10"/>
    <n v="43.89"/>
    <n v="15.6"/>
    <n v="37.04"/>
    <x v="177"/>
    <n v="31"/>
    <n v="1.7"/>
    <b v="1"/>
    <s v="Wrong Item"/>
  </r>
  <r>
    <s v="FB001016"/>
    <x v="0"/>
    <x v="0"/>
    <s v="Winter"/>
    <s v="S"/>
    <x v="4"/>
    <n v="130.16"/>
    <n v="47.5"/>
    <n v="68.33"/>
    <x v="1"/>
    <n v="21"/>
    <n v="2.7030303030303036"/>
    <b v="0"/>
    <m/>
  </r>
  <r>
    <s v="FB001017"/>
    <x v="5"/>
    <x v="6"/>
    <s v="Winter"/>
    <s v="L"/>
    <x v="2"/>
    <n v="153.12"/>
    <n v="0"/>
    <n v="153.12"/>
    <x v="1"/>
    <n v="27"/>
    <n v="3.3"/>
    <b v="0"/>
    <m/>
  </r>
  <r>
    <s v="FB001018"/>
    <x v="1"/>
    <x v="7"/>
    <s v="Summer"/>
    <s v="XXL"/>
    <x v="5"/>
    <n v="37.119999999999997"/>
    <n v="12.1"/>
    <n v="32.630000000000003"/>
    <x v="1"/>
    <n v="43"/>
    <n v="3.2"/>
    <b v="0"/>
    <m/>
  </r>
  <r>
    <s v="FB001019"/>
    <x v="1"/>
    <x v="3"/>
    <s v="Summer"/>
    <s v="XXL"/>
    <x v="9"/>
    <n v="41.05"/>
    <n v="0"/>
    <n v="41.05"/>
    <x v="1"/>
    <n v="24"/>
    <n v="2.9742857142857138"/>
    <b v="0"/>
    <m/>
  </r>
  <r>
    <s v="FB001020"/>
    <x v="3"/>
    <x v="7"/>
    <s v="Fall"/>
    <s v="M"/>
    <x v="8"/>
    <n v="61.04"/>
    <n v="0"/>
    <n v="61.04"/>
    <x v="1"/>
    <n v="43"/>
    <n v="1.9"/>
    <b v="0"/>
    <m/>
  </r>
  <r>
    <s v="FB001021"/>
    <x v="1"/>
    <x v="5"/>
    <s v="Summer"/>
    <s v="S"/>
    <x v="2"/>
    <n v="97.17"/>
    <n v="0"/>
    <n v="97.17"/>
    <x v="1"/>
    <n v="35"/>
    <n v="3"/>
    <b v="0"/>
    <m/>
  </r>
  <r>
    <s v="FB001022"/>
    <x v="2"/>
    <x v="1"/>
    <s v="Summer"/>
    <m/>
    <x v="0"/>
    <n v="63.45"/>
    <n v="0"/>
    <n v="63.45"/>
    <x v="1"/>
    <n v="4"/>
    <n v="3.9"/>
    <b v="0"/>
    <m/>
  </r>
  <r>
    <s v="FB001023"/>
    <x v="1"/>
    <x v="3"/>
    <s v="Fall"/>
    <m/>
    <x v="4"/>
    <n v="117.39"/>
    <n v="0"/>
    <n v="117.39"/>
    <x v="1"/>
    <n v="14"/>
    <n v="3.2"/>
    <b v="0"/>
    <m/>
  </r>
  <r>
    <s v="FB001024"/>
    <x v="1"/>
    <x v="2"/>
    <s v="Spring"/>
    <s v="S"/>
    <x v="10"/>
    <n v="32.89"/>
    <n v="0"/>
    <n v="32.89"/>
    <x v="178"/>
    <n v="6"/>
    <n v="4.5999999999999996"/>
    <b v="0"/>
    <m/>
  </r>
  <r>
    <s v="FB001025"/>
    <x v="4"/>
    <x v="5"/>
    <s v="Spring"/>
    <s v="L"/>
    <x v="5"/>
    <n v="102.6"/>
    <n v="38.6"/>
    <n v="63"/>
    <x v="19"/>
    <n v="14"/>
    <n v="4"/>
    <b v="0"/>
    <m/>
  </r>
  <r>
    <s v="FB001026"/>
    <x v="3"/>
    <x v="6"/>
    <s v="Spring"/>
    <s v="XXL"/>
    <x v="8"/>
    <n v="155.91999999999999"/>
    <n v="32.200000000000003"/>
    <n v="105.71"/>
    <x v="164"/>
    <n v="5"/>
    <n v="2"/>
    <b v="0"/>
    <m/>
  </r>
  <r>
    <s v="FB001027"/>
    <x v="0"/>
    <x v="6"/>
    <s v="Fall"/>
    <s v="L"/>
    <x v="9"/>
    <n v="178.39"/>
    <n v="0"/>
    <n v="178.39"/>
    <x v="1"/>
    <n v="29"/>
    <n v="4.2"/>
    <b v="0"/>
    <m/>
  </r>
  <r>
    <s v="FB001028"/>
    <x v="0"/>
    <x v="4"/>
    <s v="Spring"/>
    <s v="XL"/>
    <x v="4"/>
    <n v="151.1"/>
    <n v="0"/>
    <n v="151.1"/>
    <x v="179"/>
    <n v="24"/>
    <n v="2.4"/>
    <b v="0"/>
    <m/>
  </r>
  <r>
    <s v="FB001029"/>
    <x v="1"/>
    <x v="7"/>
    <s v="Summer"/>
    <s v="XXL"/>
    <x v="7"/>
    <n v="91.03"/>
    <n v="55.4"/>
    <n v="40.6"/>
    <x v="1"/>
    <n v="2"/>
    <n v="2.5"/>
    <b v="0"/>
    <m/>
  </r>
  <r>
    <s v="FB001030"/>
    <x v="1"/>
    <x v="4"/>
    <s v="Fall"/>
    <s v="M"/>
    <x v="4"/>
    <n v="89.03"/>
    <n v="41.3"/>
    <n v="52.26"/>
    <x v="1"/>
    <n v="50"/>
    <n v="2.9657142857142857"/>
    <b v="0"/>
    <m/>
  </r>
  <r>
    <s v="FB001031"/>
    <x v="5"/>
    <x v="5"/>
    <s v="Summer"/>
    <s v="S"/>
    <x v="6"/>
    <n v="147.58000000000001"/>
    <n v="0"/>
    <n v="147.58000000000001"/>
    <x v="1"/>
    <n v="10"/>
    <n v="4.3"/>
    <b v="0"/>
    <m/>
  </r>
  <r>
    <s v="FB001032"/>
    <x v="5"/>
    <x v="2"/>
    <s v="Summer"/>
    <s v="XL"/>
    <x v="5"/>
    <n v="79.98"/>
    <n v="0"/>
    <n v="79.98"/>
    <x v="1"/>
    <n v="25"/>
    <n v="1.5"/>
    <b v="0"/>
    <m/>
  </r>
  <r>
    <s v="FB001033"/>
    <x v="5"/>
    <x v="4"/>
    <s v="Fall"/>
    <s v="XS"/>
    <x v="7"/>
    <n v="86.38"/>
    <n v="0"/>
    <n v="86.38"/>
    <x v="1"/>
    <n v="40"/>
    <n v="2.7"/>
    <b v="0"/>
    <m/>
  </r>
  <r>
    <s v="FB001034"/>
    <x v="1"/>
    <x v="2"/>
    <s v="Summer"/>
    <s v="XXL"/>
    <x v="10"/>
    <n v="47.29"/>
    <n v="40.4"/>
    <n v="28.18"/>
    <x v="1"/>
    <n v="26"/>
    <n v="4.4000000000000004"/>
    <b v="0"/>
    <m/>
  </r>
  <r>
    <s v="FB001035"/>
    <x v="0"/>
    <x v="7"/>
    <s v="Spring"/>
    <s v="L"/>
    <x v="8"/>
    <n v="196.54"/>
    <n v="22.6"/>
    <n v="152.12"/>
    <x v="168"/>
    <n v="33"/>
    <n v="1.4"/>
    <b v="0"/>
    <m/>
  </r>
  <r>
    <s v="FB001036"/>
    <x v="1"/>
    <x v="0"/>
    <s v="Spring"/>
    <s v="XXL"/>
    <x v="4"/>
    <n v="72.72"/>
    <n v="0"/>
    <n v="72.72"/>
    <x v="125"/>
    <n v="23"/>
    <n v="1.6"/>
    <b v="0"/>
    <m/>
  </r>
  <r>
    <s v="FB001037"/>
    <x v="1"/>
    <x v="6"/>
    <s v="Summer"/>
    <s v="XXL"/>
    <x v="7"/>
    <n v="115.5"/>
    <n v="0"/>
    <n v="115.5"/>
    <x v="1"/>
    <n v="36"/>
    <n v="2.9074999999999998"/>
    <b v="1"/>
    <s v="Quality Issue"/>
  </r>
  <r>
    <s v="FB001038"/>
    <x v="2"/>
    <x v="4"/>
    <s v="Summer"/>
    <m/>
    <x v="4"/>
    <n v="68.22"/>
    <n v="8.1"/>
    <n v="62.69"/>
    <x v="1"/>
    <n v="28"/>
    <n v="4"/>
    <b v="0"/>
    <m/>
  </r>
  <r>
    <s v="FB001039"/>
    <x v="1"/>
    <x v="3"/>
    <s v="Fall"/>
    <s v="XXL"/>
    <x v="2"/>
    <n v="91.03"/>
    <n v="0"/>
    <n v="91.03"/>
    <x v="1"/>
    <n v="20"/>
    <n v="2.1"/>
    <b v="0"/>
    <m/>
  </r>
  <r>
    <s v="FB001040"/>
    <x v="0"/>
    <x v="7"/>
    <s v="Fall"/>
    <s v="XXL"/>
    <x v="9"/>
    <n v="100.39"/>
    <n v="16.5"/>
    <n v="83.83"/>
    <x v="1"/>
    <n v="17"/>
    <n v="4.5999999999999996"/>
    <b v="0"/>
    <m/>
  </r>
  <r>
    <s v="FB001041"/>
    <x v="1"/>
    <x v="6"/>
    <s v="Fall"/>
    <s v="XS"/>
    <x v="8"/>
    <n v="100.03"/>
    <n v="0"/>
    <n v="100.03"/>
    <x v="1"/>
    <n v="39"/>
    <n v="1.2"/>
    <b v="0"/>
    <m/>
  </r>
  <r>
    <s v="FB001042"/>
    <x v="2"/>
    <x v="6"/>
    <s v="Spring"/>
    <m/>
    <x v="3"/>
    <n v="50.14"/>
    <n v="29.2"/>
    <n v="35.5"/>
    <x v="180"/>
    <n v="33"/>
    <n v="4.4000000000000004"/>
    <b v="0"/>
    <m/>
  </r>
  <r>
    <s v="FB001043"/>
    <x v="4"/>
    <x v="0"/>
    <s v="Summer"/>
    <s v="XL"/>
    <x v="2"/>
    <n v="33.130000000000003"/>
    <n v="0"/>
    <n v="33.130000000000003"/>
    <x v="1"/>
    <n v="41"/>
    <n v="3.3"/>
    <b v="0"/>
    <m/>
  </r>
  <r>
    <s v="FB001044"/>
    <x v="2"/>
    <x v="4"/>
    <s v="Spring"/>
    <m/>
    <x v="8"/>
    <n v="67.67"/>
    <n v="0"/>
    <n v="67.67"/>
    <x v="105"/>
    <n v="7"/>
    <n v="3.3"/>
    <b v="0"/>
    <m/>
  </r>
  <r>
    <s v="FB001045"/>
    <x v="4"/>
    <x v="2"/>
    <s v="Summer"/>
    <s v="S"/>
    <x v="2"/>
    <n v="93.94"/>
    <n v="56.3"/>
    <n v="41.05"/>
    <x v="1"/>
    <n v="36"/>
    <n v="1.1000000000000001"/>
    <b v="0"/>
    <m/>
  </r>
  <r>
    <s v="FB001046"/>
    <x v="1"/>
    <x v="2"/>
    <s v="Fall"/>
    <s v="XS"/>
    <x v="2"/>
    <n v="34.56"/>
    <n v="11.2"/>
    <n v="30.69"/>
    <x v="1"/>
    <n v="46"/>
    <n v="3.4"/>
    <b v="0"/>
    <m/>
  </r>
  <r>
    <s v="FB001047"/>
    <x v="0"/>
    <x v="5"/>
    <s v="Summer"/>
    <s v="M"/>
    <x v="2"/>
    <n v="235.33"/>
    <n v="0"/>
    <n v="235.33"/>
    <x v="1"/>
    <n v="11"/>
    <n v="4.7"/>
    <b v="1"/>
    <s v="Size Issue"/>
  </r>
  <r>
    <s v="FB001048"/>
    <x v="1"/>
    <x v="1"/>
    <s v="Spring"/>
    <s v="XS"/>
    <x v="0"/>
    <n v="25.45"/>
    <n v="0"/>
    <n v="25.45"/>
    <x v="181"/>
    <n v="29"/>
    <n v="3.7"/>
    <b v="0"/>
    <m/>
  </r>
  <r>
    <s v="FB001049"/>
    <x v="1"/>
    <x v="6"/>
    <s v="Winter"/>
    <s v="XL"/>
    <x v="4"/>
    <n v="71.44"/>
    <n v="0"/>
    <n v="71.44"/>
    <x v="1"/>
    <n v="18"/>
    <n v="4.3"/>
    <b v="0"/>
    <m/>
  </r>
  <r>
    <s v="FB001050"/>
    <x v="5"/>
    <x v="2"/>
    <s v="Summer"/>
    <s v="XL"/>
    <x v="3"/>
    <n v="98.33"/>
    <n v="0"/>
    <n v="98.33"/>
    <x v="1"/>
    <n v="46"/>
    <n v="3.7"/>
    <b v="0"/>
    <m/>
  </r>
  <r>
    <s v="FB001051"/>
    <x v="5"/>
    <x v="7"/>
    <s v="Spring"/>
    <s v="S"/>
    <x v="5"/>
    <n v="171.1"/>
    <n v="0"/>
    <n v="171.1"/>
    <x v="110"/>
    <n v="34"/>
    <n v="2.9636363636363638"/>
    <b v="0"/>
    <m/>
  </r>
  <r>
    <s v="FB001052"/>
    <x v="5"/>
    <x v="7"/>
    <s v="Winter"/>
    <s v="XS"/>
    <x v="3"/>
    <n v="155.57"/>
    <n v="0"/>
    <n v="155.57"/>
    <x v="1"/>
    <n v="48"/>
    <n v="3.8"/>
    <b v="0"/>
    <m/>
  </r>
  <r>
    <s v="FB001053"/>
    <x v="0"/>
    <x v="3"/>
    <s v="Fall"/>
    <s v="L"/>
    <x v="6"/>
    <n v="198.44"/>
    <n v="0"/>
    <n v="198.44"/>
    <x v="1"/>
    <n v="40"/>
    <n v="2.2000000000000002"/>
    <b v="0"/>
    <m/>
  </r>
  <r>
    <s v="FB001054"/>
    <x v="3"/>
    <x v="5"/>
    <s v="Spring"/>
    <s v="M"/>
    <x v="2"/>
    <n v="175.85"/>
    <n v="18.100000000000001"/>
    <n v="144.02000000000001"/>
    <x v="182"/>
    <n v="4"/>
    <n v="4"/>
    <b v="0"/>
    <m/>
  </r>
  <r>
    <s v="FB001055"/>
    <x v="0"/>
    <x v="7"/>
    <s v="Summer"/>
    <s v="M"/>
    <x v="1"/>
    <n v="100.23"/>
    <n v="0"/>
    <n v="100.23"/>
    <x v="1"/>
    <n v="12"/>
    <n v="3.5"/>
    <b v="0"/>
    <m/>
  </r>
  <r>
    <s v="FB001056"/>
    <x v="0"/>
    <x v="0"/>
    <s v="Winter"/>
    <s v="XXL"/>
    <x v="7"/>
    <n v="88.94"/>
    <n v="0"/>
    <n v="88.94"/>
    <x v="1"/>
    <n v="36"/>
    <n v="2.7030303030303036"/>
    <b v="0"/>
    <m/>
  </r>
  <r>
    <s v="FB001057"/>
    <x v="0"/>
    <x v="4"/>
    <s v="Fall"/>
    <s v="XXL"/>
    <x v="8"/>
    <n v="205.91"/>
    <n v="0"/>
    <n v="205.91"/>
    <x v="1"/>
    <n v="3"/>
    <n v="4.8"/>
    <b v="0"/>
    <m/>
  </r>
  <r>
    <s v="FB001058"/>
    <x v="2"/>
    <x v="1"/>
    <s v="Fall"/>
    <m/>
    <x v="1"/>
    <n v="29.06"/>
    <n v="1.1000000000000001"/>
    <n v="28.74"/>
    <x v="1"/>
    <n v="12"/>
    <n v="1.1000000000000001"/>
    <b v="1"/>
    <s v="Color Mismatch"/>
  </r>
  <r>
    <s v="FB001059"/>
    <x v="2"/>
    <x v="6"/>
    <s v="Summer"/>
    <m/>
    <x v="10"/>
    <n v="68.56"/>
    <n v="0"/>
    <n v="68.56"/>
    <x v="1"/>
    <n v="2"/>
    <n v="2.4"/>
    <b v="0"/>
    <m/>
  </r>
  <r>
    <s v="FB001060"/>
    <x v="1"/>
    <x v="7"/>
    <s v="Summer"/>
    <s v="L"/>
    <x v="9"/>
    <n v="91.6"/>
    <n v="59.5"/>
    <n v="37.1"/>
    <x v="1"/>
    <n v="2"/>
    <n v="4.3"/>
    <b v="0"/>
    <m/>
  </r>
  <r>
    <s v="FB001061"/>
    <x v="5"/>
    <x v="4"/>
    <s v="Summer"/>
    <s v="XS"/>
    <x v="2"/>
    <n v="96.57"/>
    <n v="0"/>
    <n v="96.57"/>
    <x v="1"/>
    <n v="6"/>
    <n v="1.9"/>
    <b v="0"/>
    <m/>
  </r>
  <r>
    <s v="FB001062"/>
    <x v="4"/>
    <x v="4"/>
    <s v="Winter"/>
    <s v="S"/>
    <x v="1"/>
    <n v="35.630000000000003"/>
    <n v="57.9"/>
    <n v="15"/>
    <x v="1"/>
    <n v="11"/>
    <n v="1.8"/>
    <b v="0"/>
    <m/>
  </r>
  <r>
    <s v="FB001063"/>
    <x v="3"/>
    <x v="1"/>
    <s v="Winter"/>
    <s v="XS"/>
    <x v="6"/>
    <n v="118.98"/>
    <n v="38.1"/>
    <n v="73.650000000000006"/>
    <x v="1"/>
    <n v="36"/>
    <n v="1.1000000000000001"/>
    <b v="1"/>
    <s v="Color Mismatch"/>
  </r>
  <r>
    <s v="FB001064"/>
    <x v="3"/>
    <x v="4"/>
    <s v="Spring"/>
    <s v="XL"/>
    <x v="0"/>
    <n v="62.62"/>
    <n v="10.1"/>
    <n v="56.3"/>
    <x v="183"/>
    <n v="32"/>
    <n v="2.9"/>
    <b v="0"/>
    <m/>
  </r>
  <r>
    <s v="FB001065"/>
    <x v="3"/>
    <x v="7"/>
    <s v="Summer"/>
    <s v="M"/>
    <x v="10"/>
    <n v="153.34"/>
    <n v="55.5"/>
    <n v="68.239999999999995"/>
    <x v="1"/>
    <n v="46"/>
    <n v="4.2"/>
    <b v="1"/>
    <s v="Wrong Item"/>
  </r>
  <r>
    <s v="FB001066"/>
    <x v="1"/>
    <x v="5"/>
    <s v="Summer"/>
    <s v="L"/>
    <x v="6"/>
    <n v="71.66"/>
    <n v="49.7"/>
    <n v="36.04"/>
    <x v="1"/>
    <n v="33"/>
    <n v="2.9846153846153847"/>
    <b v="1"/>
    <s v="Color Mismatch"/>
  </r>
  <r>
    <s v="FB001067"/>
    <x v="5"/>
    <x v="5"/>
    <s v="Spring"/>
    <s v="S"/>
    <x v="2"/>
    <n v="107.58"/>
    <n v="55.9"/>
    <n v="47.44"/>
    <x v="87"/>
    <n v="19"/>
    <n v="4.4000000000000004"/>
    <b v="0"/>
    <m/>
  </r>
  <r>
    <s v="FB001068"/>
    <x v="3"/>
    <x v="0"/>
    <s v="Spring"/>
    <s v="XL"/>
    <x v="5"/>
    <n v="137.16"/>
    <n v="0"/>
    <n v="137.16"/>
    <x v="184"/>
    <n v="34"/>
    <n v="4"/>
    <b v="0"/>
    <m/>
  </r>
  <r>
    <s v="FB001069"/>
    <x v="1"/>
    <x v="2"/>
    <s v="Winter"/>
    <s v="M"/>
    <x v="3"/>
    <n v="119.29"/>
    <n v="0"/>
    <n v="119.29"/>
    <x v="1"/>
    <n v="3"/>
    <n v="2.953125"/>
    <b v="0"/>
    <m/>
  </r>
  <r>
    <s v="FB001070"/>
    <x v="1"/>
    <x v="3"/>
    <s v="Spring"/>
    <s v="M"/>
    <x v="8"/>
    <n v="104.09"/>
    <n v="0"/>
    <n v="104.09"/>
    <x v="152"/>
    <n v="29"/>
    <n v="2.9742857142857138"/>
    <b v="0"/>
    <m/>
  </r>
  <r>
    <s v="FB001071"/>
    <x v="5"/>
    <x v="2"/>
    <s v="Fall"/>
    <m/>
    <x v="1"/>
    <n v="73.069999999999993"/>
    <n v="0"/>
    <n v="73.069999999999993"/>
    <x v="1"/>
    <n v="5"/>
    <n v="4.2"/>
    <b v="0"/>
    <m/>
  </r>
  <r>
    <s v="FB001072"/>
    <x v="4"/>
    <x v="0"/>
    <s v="Fall"/>
    <s v="XXL"/>
    <x v="6"/>
    <n v="76.94"/>
    <n v="7.6"/>
    <n v="71.09"/>
    <x v="1"/>
    <n v="20"/>
    <n v="3.7"/>
    <b v="0"/>
    <m/>
  </r>
  <r>
    <s v="FB001073"/>
    <x v="4"/>
    <x v="7"/>
    <s v="Winter"/>
    <s v="XL"/>
    <x v="7"/>
    <n v="119.92"/>
    <n v="0"/>
    <n v="119.92"/>
    <x v="1"/>
    <n v="37"/>
    <n v="5"/>
    <b v="0"/>
    <m/>
  </r>
  <r>
    <s v="FB001074"/>
    <x v="0"/>
    <x v="5"/>
    <s v="Winter"/>
    <s v="XS"/>
    <x v="3"/>
    <n v="116.49"/>
    <n v="0"/>
    <n v="116.49"/>
    <x v="1"/>
    <n v="17"/>
    <n v="3.3"/>
    <b v="1"/>
    <s v="Damaged"/>
  </r>
  <r>
    <s v="FB001075"/>
    <x v="3"/>
    <x v="6"/>
    <s v="Fall"/>
    <s v="XL"/>
    <x v="1"/>
    <n v="179.59"/>
    <n v="14.7"/>
    <n v="153.19"/>
    <x v="1"/>
    <n v="47"/>
    <n v="2.9"/>
    <b v="0"/>
    <m/>
  </r>
  <r>
    <s v="FB001076"/>
    <x v="2"/>
    <x v="1"/>
    <s v="Winter"/>
    <m/>
    <x v="2"/>
    <n v="33.799999999999997"/>
    <n v="0"/>
    <n v="33.799999999999997"/>
    <x v="1"/>
    <n v="34"/>
    <n v="4.8"/>
    <b v="0"/>
    <m/>
  </r>
  <r>
    <s v="FB001077"/>
    <x v="1"/>
    <x v="1"/>
    <s v="Fall"/>
    <s v="L"/>
    <x v="7"/>
    <n v="41.57"/>
    <n v="3.3"/>
    <n v="40.200000000000003"/>
    <x v="1"/>
    <n v="5"/>
    <n v="2.9"/>
    <b v="0"/>
    <m/>
  </r>
  <r>
    <s v="FB001078"/>
    <x v="3"/>
    <x v="7"/>
    <s v="Spring"/>
    <s v="XL"/>
    <x v="9"/>
    <n v="139.1"/>
    <n v="47"/>
    <n v="73.72"/>
    <x v="6"/>
    <n v="6"/>
    <n v="3.4"/>
    <b v="0"/>
    <m/>
  </r>
  <r>
    <s v="FB001079"/>
    <x v="5"/>
    <x v="3"/>
    <s v="Fall"/>
    <s v="L"/>
    <x v="1"/>
    <n v="102.04"/>
    <n v="0"/>
    <n v="102.04"/>
    <x v="1"/>
    <n v="34"/>
    <n v="3.4"/>
    <b v="0"/>
    <m/>
  </r>
  <r>
    <s v="FB001080"/>
    <x v="4"/>
    <x v="6"/>
    <s v="Fall"/>
    <s v="XXL"/>
    <x v="8"/>
    <n v="47.25"/>
    <n v="54.2"/>
    <n v="21.64"/>
    <x v="1"/>
    <n v="4"/>
    <n v="4.9000000000000004"/>
    <b v="0"/>
    <m/>
  </r>
  <r>
    <s v="FB001081"/>
    <x v="5"/>
    <x v="1"/>
    <s v="Summer"/>
    <s v="XS"/>
    <x v="3"/>
    <n v="55.08"/>
    <n v="0"/>
    <n v="55.08"/>
    <x v="1"/>
    <n v="48"/>
    <n v="4.0999999999999996"/>
    <b v="0"/>
    <m/>
  </r>
  <r>
    <s v="FB001082"/>
    <x v="0"/>
    <x v="7"/>
    <s v="Winter"/>
    <s v="L"/>
    <x v="6"/>
    <n v="88.32"/>
    <n v="54.8"/>
    <n v="39.92"/>
    <x v="1"/>
    <n v="36"/>
    <n v="3.1"/>
    <b v="0"/>
    <m/>
  </r>
  <r>
    <s v="FB001083"/>
    <x v="4"/>
    <x v="3"/>
    <s v="Fall"/>
    <s v="M"/>
    <x v="0"/>
    <n v="74.900000000000006"/>
    <n v="16.8"/>
    <n v="62.32"/>
    <x v="1"/>
    <n v="13"/>
    <n v="2.8142857142857149"/>
    <b v="1"/>
    <s v="Color Mismatch"/>
  </r>
  <r>
    <s v="FB001084"/>
    <x v="4"/>
    <x v="3"/>
    <s v="Winter"/>
    <s v="M"/>
    <x v="3"/>
    <n v="69.88"/>
    <n v="57.4"/>
    <n v="29.77"/>
    <x v="1"/>
    <n v="30"/>
    <n v="4.2"/>
    <b v="0"/>
    <m/>
  </r>
  <r>
    <s v="FB001085"/>
    <x v="3"/>
    <x v="1"/>
    <s v="Fall"/>
    <s v="S"/>
    <x v="4"/>
    <n v="142.83000000000001"/>
    <n v="0"/>
    <n v="142.83000000000001"/>
    <x v="1"/>
    <n v="25"/>
    <n v="3.5"/>
    <b v="0"/>
    <m/>
  </r>
  <r>
    <s v="FB001086"/>
    <x v="3"/>
    <x v="0"/>
    <s v="Fall"/>
    <m/>
    <x v="9"/>
    <n v="140.16999999999999"/>
    <n v="0"/>
    <n v="140.16999999999999"/>
    <x v="1"/>
    <n v="43"/>
    <n v="3.1"/>
    <b v="0"/>
    <m/>
  </r>
  <r>
    <s v="FB001087"/>
    <x v="1"/>
    <x v="6"/>
    <s v="Winter"/>
    <s v="M"/>
    <x v="10"/>
    <n v="106.11"/>
    <n v="33.799999999999997"/>
    <n v="70.239999999999995"/>
    <x v="1"/>
    <n v="15"/>
    <n v="4.5"/>
    <b v="0"/>
    <m/>
  </r>
  <r>
    <s v="FB001088"/>
    <x v="5"/>
    <x v="4"/>
    <s v="Summer"/>
    <s v="XS"/>
    <x v="1"/>
    <n v="53.23"/>
    <n v="0"/>
    <n v="53.23"/>
    <x v="1"/>
    <n v="41"/>
    <n v="2.8"/>
    <b v="1"/>
    <s v="Color Mismatch"/>
  </r>
  <r>
    <s v="FB001089"/>
    <x v="0"/>
    <x v="2"/>
    <s v="Spring"/>
    <s v="XXL"/>
    <x v="2"/>
    <n v="92.25"/>
    <n v="0"/>
    <n v="92.25"/>
    <x v="185"/>
    <n v="22"/>
    <n v="3.3"/>
    <b v="1"/>
    <s v="Wrong Item"/>
  </r>
  <r>
    <s v="FB001090"/>
    <x v="2"/>
    <x v="5"/>
    <s v="Summer"/>
    <m/>
    <x v="10"/>
    <n v="39.17"/>
    <n v="0"/>
    <n v="39.17"/>
    <x v="1"/>
    <n v="4"/>
    <n v="3.5"/>
    <b v="1"/>
    <s v="Color Mismatch"/>
  </r>
  <r>
    <s v="FB001091"/>
    <x v="2"/>
    <x v="6"/>
    <s v="Spring"/>
    <m/>
    <x v="3"/>
    <n v="72.83"/>
    <n v="0"/>
    <n v="72.83"/>
    <x v="186"/>
    <n v="6"/>
    <n v="2"/>
    <b v="0"/>
    <m/>
  </r>
  <r>
    <s v="FB001092"/>
    <x v="4"/>
    <x v="7"/>
    <s v="Winter"/>
    <s v="S"/>
    <x v="10"/>
    <n v="29.73"/>
    <n v="28.7"/>
    <n v="21.2"/>
    <x v="1"/>
    <n v="37"/>
    <n v="2.5"/>
    <b v="0"/>
    <m/>
  </r>
  <r>
    <s v="FB001093"/>
    <x v="5"/>
    <x v="3"/>
    <s v="Winter"/>
    <s v="XL"/>
    <x v="2"/>
    <n v="144.1"/>
    <n v="0"/>
    <n v="144.1"/>
    <x v="1"/>
    <n v="36"/>
    <n v="2.5"/>
    <b v="0"/>
    <m/>
  </r>
  <r>
    <s v="FB001094"/>
    <x v="5"/>
    <x v="4"/>
    <s v="Summer"/>
    <s v="XL"/>
    <x v="10"/>
    <n v="109.23"/>
    <n v="10.8"/>
    <n v="97.43"/>
    <x v="1"/>
    <n v="38"/>
    <n v="3.3"/>
    <b v="0"/>
    <m/>
  </r>
  <r>
    <s v="FB001095"/>
    <x v="0"/>
    <x v="3"/>
    <s v="Winter"/>
    <s v="XL"/>
    <x v="1"/>
    <n v="180.65"/>
    <n v="17.5"/>
    <n v="149.04"/>
    <x v="1"/>
    <n v="41"/>
    <n v="1.4"/>
    <b v="0"/>
    <m/>
  </r>
  <r>
    <s v="FB001096"/>
    <x v="0"/>
    <x v="2"/>
    <s v="Spring"/>
    <s v="M"/>
    <x v="6"/>
    <n v="129.24"/>
    <n v="46.2"/>
    <n v="69.53"/>
    <x v="175"/>
    <n v="28"/>
    <n v="3.2"/>
    <b v="0"/>
    <m/>
  </r>
  <r>
    <s v="FB001097"/>
    <x v="3"/>
    <x v="6"/>
    <s v="Summer"/>
    <s v="XS"/>
    <x v="5"/>
    <n v="195.67"/>
    <n v="47.1"/>
    <n v="103.51"/>
    <x v="1"/>
    <n v="36"/>
    <n v="4"/>
    <b v="0"/>
    <m/>
  </r>
  <r>
    <s v="FB001098"/>
    <x v="2"/>
    <x v="2"/>
    <s v="Winter"/>
    <m/>
    <x v="8"/>
    <n v="65.64"/>
    <n v="20.7"/>
    <n v="52.05"/>
    <x v="1"/>
    <n v="20"/>
    <n v="2.6"/>
    <b v="0"/>
    <m/>
  </r>
  <r>
    <s v="FB001099"/>
    <x v="4"/>
    <x v="4"/>
    <s v="Spring"/>
    <s v="XS"/>
    <x v="9"/>
    <n v="113.18"/>
    <n v="0"/>
    <n v="113.18"/>
    <x v="184"/>
    <n v="3"/>
    <n v="4.9000000000000004"/>
    <b v="0"/>
    <m/>
  </r>
  <r>
    <s v="FB001100"/>
    <x v="3"/>
    <x v="5"/>
    <s v="Fall"/>
    <s v="XL"/>
    <x v="7"/>
    <n v="173.69"/>
    <n v="0"/>
    <n v="173.69"/>
    <x v="1"/>
    <n v="25"/>
    <n v="3.6"/>
    <b v="0"/>
    <m/>
  </r>
  <r>
    <s v="FB001101"/>
    <x v="0"/>
    <x v="0"/>
    <s v="Fall"/>
    <s v="S"/>
    <x v="4"/>
    <n v="156.54"/>
    <n v="0"/>
    <n v="156.54"/>
    <x v="1"/>
    <n v="23"/>
    <n v="1.8"/>
    <b v="0"/>
    <m/>
  </r>
  <r>
    <s v="FB001102"/>
    <x v="5"/>
    <x v="4"/>
    <s v="Spring"/>
    <s v="XL"/>
    <x v="10"/>
    <n v="103.78"/>
    <n v="39"/>
    <n v="63.31"/>
    <x v="121"/>
    <n v="5"/>
    <n v="3.1051282051282048"/>
    <b v="0"/>
    <m/>
  </r>
  <r>
    <s v="FB001103"/>
    <x v="2"/>
    <x v="6"/>
    <s v="Fall"/>
    <m/>
    <x v="2"/>
    <n v="79.599999999999994"/>
    <n v="0"/>
    <n v="79.599999999999994"/>
    <x v="1"/>
    <n v="22"/>
    <n v="3.2720930232558145"/>
    <b v="0"/>
    <m/>
  </r>
  <r>
    <s v="FB001104"/>
    <x v="2"/>
    <x v="5"/>
    <s v="Fall"/>
    <m/>
    <x v="7"/>
    <n v="34.18"/>
    <n v="18.899999999999999"/>
    <n v="27.72"/>
    <x v="1"/>
    <n v="50"/>
    <n v="3.6"/>
    <b v="0"/>
    <m/>
  </r>
  <r>
    <s v="FB001105"/>
    <x v="4"/>
    <x v="6"/>
    <s v="Winter"/>
    <s v="XXL"/>
    <x v="5"/>
    <n v="58.44"/>
    <n v="0"/>
    <n v="58.44"/>
    <x v="1"/>
    <n v="3"/>
    <n v="2.6"/>
    <b v="1"/>
    <s v="Wrong Item"/>
  </r>
  <r>
    <s v="FB001106"/>
    <x v="2"/>
    <x v="0"/>
    <s v="Summer"/>
    <m/>
    <x v="8"/>
    <n v="30.62"/>
    <n v="0"/>
    <n v="30.62"/>
    <x v="1"/>
    <n v="31"/>
    <n v="3"/>
    <b v="1"/>
    <s v="Damaged"/>
  </r>
  <r>
    <s v="FB001107"/>
    <x v="0"/>
    <x v="1"/>
    <s v="Fall"/>
    <s v="XXL"/>
    <x v="9"/>
    <n v="213.94"/>
    <n v="0"/>
    <n v="213.94"/>
    <x v="1"/>
    <n v="16"/>
    <n v="4.7"/>
    <b v="0"/>
    <m/>
  </r>
  <r>
    <s v="FB001108"/>
    <x v="4"/>
    <x v="7"/>
    <s v="Fall"/>
    <s v="XL"/>
    <x v="1"/>
    <n v="29.31"/>
    <n v="0"/>
    <n v="29.31"/>
    <x v="1"/>
    <n v="25"/>
    <n v="4.5999999999999996"/>
    <b v="1"/>
    <s v="Changed Mind"/>
  </r>
  <r>
    <s v="FB001109"/>
    <x v="1"/>
    <x v="7"/>
    <s v="Spring"/>
    <s v="M"/>
    <x v="0"/>
    <n v="49.12"/>
    <n v="0"/>
    <n v="49.12"/>
    <x v="187"/>
    <n v="47"/>
    <n v="2.6870967741935483"/>
    <b v="0"/>
    <m/>
  </r>
  <r>
    <s v="FB001110"/>
    <x v="4"/>
    <x v="2"/>
    <s v="Fall"/>
    <m/>
    <x v="9"/>
    <n v="113.23"/>
    <n v="0"/>
    <n v="113.23"/>
    <x v="1"/>
    <n v="13"/>
    <n v="3.7"/>
    <b v="0"/>
    <m/>
  </r>
  <r>
    <s v="FB001111"/>
    <x v="0"/>
    <x v="2"/>
    <s v="Spring"/>
    <s v="XXL"/>
    <x v="10"/>
    <n v="103.65"/>
    <n v="0"/>
    <n v="103.65"/>
    <x v="35"/>
    <n v="4"/>
    <n v="1"/>
    <b v="0"/>
    <m/>
  </r>
  <r>
    <s v="FB001112"/>
    <x v="5"/>
    <x v="5"/>
    <s v="Fall"/>
    <m/>
    <x v="4"/>
    <n v="71.84"/>
    <n v="49.4"/>
    <n v="36.35"/>
    <x v="1"/>
    <n v="25"/>
    <n v="3.1874999999999991"/>
    <b v="0"/>
    <m/>
  </r>
  <r>
    <s v="FB001113"/>
    <x v="3"/>
    <x v="0"/>
    <s v="Winter"/>
    <s v="L"/>
    <x v="4"/>
    <n v="128.31"/>
    <n v="0"/>
    <n v="128.31"/>
    <x v="1"/>
    <n v="36"/>
    <n v="4"/>
    <b v="1"/>
    <s v="Changed Mind"/>
  </r>
  <r>
    <s v="FB001114"/>
    <x v="3"/>
    <x v="7"/>
    <s v="Winter"/>
    <s v="L"/>
    <x v="5"/>
    <n v="118.97"/>
    <n v="0"/>
    <n v="118.97"/>
    <x v="1"/>
    <n v="45"/>
    <n v="3.8"/>
    <b v="0"/>
    <m/>
  </r>
  <r>
    <s v="FB001115"/>
    <x v="4"/>
    <x v="0"/>
    <s v="Winter"/>
    <s v="S"/>
    <x v="0"/>
    <n v="31.98"/>
    <n v="16.5"/>
    <n v="26.7"/>
    <x v="1"/>
    <n v="48"/>
    <n v="1.8"/>
    <b v="0"/>
    <m/>
  </r>
  <r>
    <s v="FB001116"/>
    <x v="1"/>
    <x v="2"/>
    <s v="Winter"/>
    <s v="XXL"/>
    <x v="9"/>
    <n v="115.89"/>
    <n v="26.8"/>
    <n v="84.83"/>
    <x v="1"/>
    <n v="26"/>
    <n v="4.5999999999999996"/>
    <b v="0"/>
    <m/>
  </r>
  <r>
    <s v="FB001117"/>
    <x v="5"/>
    <x v="5"/>
    <s v="Fall"/>
    <s v="XL"/>
    <x v="1"/>
    <n v="140.06"/>
    <n v="0"/>
    <n v="140.06"/>
    <x v="1"/>
    <n v="37"/>
    <n v="2.2999999999999998"/>
    <b v="0"/>
    <m/>
  </r>
  <r>
    <s v="FB001118"/>
    <x v="3"/>
    <x v="3"/>
    <s v="Fall"/>
    <s v="XS"/>
    <x v="1"/>
    <n v="154.82"/>
    <n v="0"/>
    <n v="154.82"/>
    <x v="1"/>
    <n v="10"/>
    <n v="4.0999999999999996"/>
    <b v="0"/>
    <m/>
  </r>
  <r>
    <s v="FB001119"/>
    <x v="5"/>
    <x v="1"/>
    <s v="Winter"/>
    <s v="XL"/>
    <x v="5"/>
    <n v="114.21"/>
    <n v="20.2"/>
    <n v="91.14"/>
    <x v="1"/>
    <n v="5"/>
    <n v="2"/>
    <b v="1"/>
    <s v="Wrong Item"/>
  </r>
  <r>
    <s v="FB001120"/>
    <x v="3"/>
    <x v="0"/>
    <s v="Winter"/>
    <s v="XL"/>
    <x v="5"/>
    <n v="114.84"/>
    <n v="0"/>
    <n v="114.84"/>
    <x v="1"/>
    <n v="38"/>
    <n v="2.6"/>
    <b v="1"/>
    <s v="Color Mismatch"/>
  </r>
  <r>
    <s v="FB001121"/>
    <x v="5"/>
    <x v="3"/>
    <s v="Winter"/>
    <s v="XL"/>
    <x v="8"/>
    <n v="131.32"/>
    <n v="6.8"/>
    <n v="122.39"/>
    <x v="1"/>
    <n v="18"/>
    <n v="2"/>
    <b v="0"/>
    <m/>
  </r>
  <r>
    <s v="FB001122"/>
    <x v="1"/>
    <x v="3"/>
    <s v="Fall"/>
    <s v="S"/>
    <x v="1"/>
    <n v="91.41"/>
    <n v="32.1"/>
    <n v="62.07"/>
    <x v="1"/>
    <n v="49"/>
    <n v="2.2999999999999998"/>
    <b v="0"/>
    <m/>
  </r>
  <r>
    <s v="FB001123"/>
    <x v="0"/>
    <x v="6"/>
    <s v="Fall"/>
    <s v="XS"/>
    <x v="2"/>
    <n v="202.28"/>
    <n v="0"/>
    <n v="202.28"/>
    <x v="1"/>
    <n v="4"/>
    <n v="2.9034482758620692"/>
    <b v="0"/>
    <m/>
  </r>
  <r>
    <s v="FB001124"/>
    <x v="4"/>
    <x v="7"/>
    <s v="Fall"/>
    <s v="M"/>
    <x v="0"/>
    <n v="119.63"/>
    <n v="0"/>
    <n v="119.63"/>
    <x v="1"/>
    <n v="14"/>
    <n v="2.1"/>
    <b v="0"/>
    <m/>
  </r>
  <r>
    <s v="FB001125"/>
    <x v="3"/>
    <x v="2"/>
    <s v="Summer"/>
    <s v="L"/>
    <x v="5"/>
    <n v="167.89"/>
    <n v="0"/>
    <n v="167.89"/>
    <x v="1"/>
    <n v="12"/>
    <n v="1"/>
    <b v="0"/>
    <m/>
  </r>
  <r>
    <s v="FB001126"/>
    <x v="3"/>
    <x v="1"/>
    <s v="Spring"/>
    <s v="XL"/>
    <x v="5"/>
    <n v="100.39"/>
    <n v="0"/>
    <n v="100.39"/>
    <x v="188"/>
    <n v="24"/>
    <n v="3.2"/>
    <b v="1"/>
    <s v="Quality Issue"/>
  </r>
  <r>
    <s v="FB001127"/>
    <x v="5"/>
    <x v="6"/>
    <s v="Summer"/>
    <s v="L"/>
    <x v="4"/>
    <n v="162.41999999999999"/>
    <n v="40.9"/>
    <n v="95.99"/>
    <x v="1"/>
    <n v="32"/>
    <n v="1"/>
    <b v="0"/>
    <m/>
  </r>
  <r>
    <s v="FB001128"/>
    <x v="3"/>
    <x v="6"/>
    <s v="Spring"/>
    <s v="XS"/>
    <x v="4"/>
    <n v="65.069999999999993"/>
    <n v="5.0999999999999996"/>
    <n v="61.75"/>
    <x v="189"/>
    <n v="16"/>
    <n v="4.3"/>
    <b v="0"/>
    <m/>
  </r>
  <r>
    <s v="FB001129"/>
    <x v="4"/>
    <x v="7"/>
    <s v="Spring"/>
    <s v="XXL"/>
    <x v="0"/>
    <n v="78.099999999999994"/>
    <n v="48.7"/>
    <n v="40.07"/>
    <x v="101"/>
    <n v="0"/>
    <n v="3.1021739130434773"/>
    <b v="0"/>
    <m/>
  </r>
  <r>
    <s v="FB001130"/>
    <x v="0"/>
    <x v="0"/>
    <s v="Spring"/>
    <s v="M"/>
    <x v="5"/>
    <n v="115.73"/>
    <n v="59.8"/>
    <n v="46.52"/>
    <x v="55"/>
    <n v="10"/>
    <n v="4.2"/>
    <b v="0"/>
    <m/>
  </r>
  <r>
    <s v="FB001131"/>
    <x v="2"/>
    <x v="5"/>
    <s v="Fall"/>
    <m/>
    <x v="8"/>
    <n v="21.57"/>
    <n v="11.9"/>
    <n v="19"/>
    <x v="1"/>
    <n v="37"/>
    <n v="3"/>
    <b v="1"/>
    <s v="Changed Mind"/>
  </r>
  <r>
    <s v="FB001132"/>
    <x v="5"/>
    <x v="2"/>
    <s v="Fall"/>
    <s v="S"/>
    <x v="10"/>
    <n v="75.849999999999994"/>
    <n v="50.3"/>
    <n v="37.700000000000003"/>
    <x v="1"/>
    <n v="50"/>
    <n v="4.7"/>
    <b v="1"/>
    <s v="Quality Issue"/>
  </r>
  <r>
    <s v="FB001133"/>
    <x v="0"/>
    <x v="1"/>
    <s v="Summer"/>
    <s v="L"/>
    <x v="6"/>
    <n v="170.91"/>
    <n v="0"/>
    <n v="170.91"/>
    <x v="1"/>
    <n v="36"/>
    <n v="1.6"/>
    <b v="1"/>
    <s v="Quality Issue"/>
  </r>
  <r>
    <s v="FB001134"/>
    <x v="3"/>
    <x v="4"/>
    <s v="Fall"/>
    <s v="XL"/>
    <x v="3"/>
    <n v="94.06"/>
    <n v="22.4"/>
    <n v="72.989999999999995"/>
    <x v="1"/>
    <n v="0"/>
    <n v="3.3021276595744684"/>
    <b v="0"/>
    <m/>
  </r>
  <r>
    <s v="FB001135"/>
    <x v="4"/>
    <x v="4"/>
    <s v="Summer"/>
    <s v="S"/>
    <x v="5"/>
    <n v="84.44"/>
    <n v="0"/>
    <n v="84.44"/>
    <x v="1"/>
    <n v="2"/>
    <n v="1.1000000000000001"/>
    <b v="0"/>
    <m/>
  </r>
  <r>
    <s v="FB001136"/>
    <x v="0"/>
    <x v="0"/>
    <s v="Summer"/>
    <s v="XS"/>
    <x v="1"/>
    <n v="93.11"/>
    <n v="0"/>
    <n v="93.11"/>
    <x v="1"/>
    <n v="43"/>
    <n v="2.8"/>
    <b v="0"/>
    <m/>
  </r>
  <r>
    <s v="FB001137"/>
    <x v="1"/>
    <x v="0"/>
    <s v="Winter"/>
    <s v="S"/>
    <x v="5"/>
    <n v="84.85"/>
    <n v="8.8000000000000007"/>
    <n v="77.38"/>
    <x v="1"/>
    <n v="19"/>
    <n v="4.0999999999999996"/>
    <b v="1"/>
    <s v="Changed Mind"/>
  </r>
  <r>
    <s v="FB001138"/>
    <x v="3"/>
    <x v="1"/>
    <s v="Spring"/>
    <s v="M"/>
    <x v="6"/>
    <n v="138.41"/>
    <n v="0"/>
    <n v="138.41"/>
    <x v="143"/>
    <n v="40"/>
    <n v="3.1"/>
    <b v="0"/>
    <m/>
  </r>
  <r>
    <s v="FB001139"/>
    <x v="2"/>
    <x v="0"/>
    <s v="Fall"/>
    <m/>
    <x v="1"/>
    <n v="20.190000000000001"/>
    <n v="21.6"/>
    <n v="15.83"/>
    <x v="1"/>
    <n v="45"/>
    <n v="4.4000000000000004"/>
    <b v="1"/>
    <s v="Changed Mind"/>
  </r>
  <r>
    <s v="FB001140"/>
    <x v="5"/>
    <x v="2"/>
    <s v="Fall"/>
    <s v="M"/>
    <x v="4"/>
    <n v="124.17"/>
    <n v="37.6"/>
    <n v="77.48"/>
    <x v="1"/>
    <n v="24"/>
    <n v="2.2999999999999998"/>
    <b v="0"/>
    <m/>
  </r>
  <r>
    <s v="FB001141"/>
    <x v="0"/>
    <x v="2"/>
    <s v="Spring"/>
    <s v="L"/>
    <x v="0"/>
    <n v="133.91999999999999"/>
    <n v="0"/>
    <n v="133.91999999999999"/>
    <x v="145"/>
    <n v="41"/>
    <n v="2.8"/>
    <b v="0"/>
    <m/>
  </r>
  <r>
    <s v="FB001142"/>
    <x v="2"/>
    <x v="2"/>
    <s v="Spring"/>
    <m/>
    <x v="4"/>
    <n v="77.78"/>
    <n v="0"/>
    <n v="77.78"/>
    <x v="2"/>
    <n v="23"/>
    <n v="2.5"/>
    <b v="1"/>
    <s v="Size Issue"/>
  </r>
  <r>
    <s v="FB001143"/>
    <x v="5"/>
    <x v="3"/>
    <s v="Winter"/>
    <s v="XXL"/>
    <x v="10"/>
    <n v="157.69"/>
    <n v="35.9"/>
    <n v="101.08"/>
    <x v="1"/>
    <n v="6"/>
    <n v="1"/>
    <b v="0"/>
    <m/>
  </r>
  <r>
    <s v="FB001144"/>
    <x v="1"/>
    <x v="0"/>
    <s v="Winter"/>
    <s v="L"/>
    <x v="2"/>
    <n v="99.57"/>
    <n v="0"/>
    <n v="99.57"/>
    <x v="1"/>
    <n v="17"/>
    <n v="1"/>
    <b v="0"/>
    <m/>
  </r>
  <r>
    <s v="FB001145"/>
    <x v="2"/>
    <x v="0"/>
    <s v="Summer"/>
    <m/>
    <x v="10"/>
    <n v="43.61"/>
    <n v="33.299999999999997"/>
    <n v="29.09"/>
    <x v="1"/>
    <n v="47"/>
    <n v="2.5"/>
    <b v="0"/>
    <m/>
  </r>
  <r>
    <s v="FB001146"/>
    <x v="0"/>
    <x v="6"/>
    <s v="Winter"/>
    <s v="M"/>
    <x v="10"/>
    <n v="88.87"/>
    <n v="0"/>
    <n v="88.87"/>
    <x v="1"/>
    <n v="27"/>
    <n v="2.4"/>
    <b v="0"/>
    <m/>
  </r>
  <r>
    <s v="FB001147"/>
    <x v="4"/>
    <x v="7"/>
    <s v="Fall"/>
    <s v="M"/>
    <x v="3"/>
    <n v="112.6"/>
    <n v="19.8"/>
    <n v="90.31"/>
    <x v="1"/>
    <n v="2"/>
    <n v="1"/>
    <b v="0"/>
    <m/>
  </r>
  <r>
    <s v="FB001148"/>
    <x v="1"/>
    <x v="1"/>
    <s v="Fall"/>
    <s v="XL"/>
    <x v="6"/>
    <n v="33.35"/>
    <n v="0"/>
    <n v="33.35"/>
    <x v="1"/>
    <n v="29"/>
    <n v="1.2"/>
    <b v="0"/>
    <m/>
  </r>
  <r>
    <s v="FB001149"/>
    <x v="4"/>
    <x v="7"/>
    <s v="Fall"/>
    <s v="L"/>
    <x v="8"/>
    <n v="115.82"/>
    <n v="2.9"/>
    <n v="112.46"/>
    <x v="1"/>
    <n v="46"/>
    <n v="3.1021739130434773"/>
    <b v="0"/>
    <m/>
  </r>
  <r>
    <s v="FB001150"/>
    <x v="1"/>
    <x v="2"/>
    <s v="Fall"/>
    <s v="XL"/>
    <x v="3"/>
    <n v="107.79"/>
    <n v="3.1"/>
    <n v="104.45"/>
    <x v="1"/>
    <n v="6"/>
    <n v="2.8"/>
    <b v="0"/>
    <m/>
  </r>
  <r>
    <s v="FB001151"/>
    <x v="1"/>
    <x v="4"/>
    <s v="Summer"/>
    <s v="S"/>
    <x v="3"/>
    <n v="53.87"/>
    <n v="0"/>
    <n v="53.87"/>
    <x v="1"/>
    <n v="50"/>
    <n v="4.2"/>
    <b v="1"/>
    <s v="Damaged"/>
  </r>
  <r>
    <s v="FB001152"/>
    <x v="1"/>
    <x v="6"/>
    <s v="Spring"/>
    <s v="XS"/>
    <x v="6"/>
    <n v="72.5"/>
    <n v="40.799999999999997"/>
    <n v="42.92"/>
    <x v="190"/>
    <n v="23"/>
    <n v="4.4000000000000004"/>
    <b v="0"/>
    <m/>
  </r>
  <r>
    <s v="FB001153"/>
    <x v="3"/>
    <x v="6"/>
    <s v="Spring"/>
    <s v="S"/>
    <x v="4"/>
    <n v="152.32"/>
    <n v="0"/>
    <n v="152.32"/>
    <x v="191"/>
    <n v="15"/>
    <n v="2.9083333333333328"/>
    <b v="0"/>
    <m/>
  </r>
  <r>
    <s v="FB001154"/>
    <x v="5"/>
    <x v="4"/>
    <s v="Winter"/>
    <s v="M"/>
    <x v="0"/>
    <n v="67.63"/>
    <n v="0"/>
    <n v="67.63"/>
    <x v="1"/>
    <n v="9"/>
    <n v="4.7"/>
    <b v="0"/>
    <m/>
  </r>
  <r>
    <s v="FB001155"/>
    <x v="0"/>
    <x v="1"/>
    <s v="Summer"/>
    <s v="XS"/>
    <x v="9"/>
    <n v="221.94"/>
    <n v="0"/>
    <n v="221.94"/>
    <x v="1"/>
    <n v="35"/>
    <n v="1.5"/>
    <b v="0"/>
    <m/>
  </r>
  <r>
    <s v="FB001156"/>
    <x v="4"/>
    <x v="0"/>
    <s v="Fall"/>
    <s v="XS"/>
    <x v="1"/>
    <n v="118.77"/>
    <n v="8.4"/>
    <n v="108.79"/>
    <x v="1"/>
    <n v="30"/>
    <n v="4.5999999999999996"/>
    <b v="1"/>
    <s v="Wrong Item"/>
  </r>
  <r>
    <s v="FB001157"/>
    <x v="1"/>
    <x v="7"/>
    <s v="Fall"/>
    <s v="XS"/>
    <x v="6"/>
    <n v="100.17"/>
    <n v="0"/>
    <n v="100.17"/>
    <x v="1"/>
    <n v="18"/>
    <n v="1.2"/>
    <b v="0"/>
    <m/>
  </r>
  <r>
    <s v="FB001158"/>
    <x v="2"/>
    <x v="2"/>
    <s v="Summer"/>
    <m/>
    <x v="3"/>
    <n v="18.45"/>
    <n v="0"/>
    <n v="18.45"/>
    <x v="1"/>
    <n v="39"/>
    <n v="2.2000000000000002"/>
    <b v="0"/>
    <m/>
  </r>
  <r>
    <s v="FB001159"/>
    <x v="2"/>
    <x v="6"/>
    <s v="Summer"/>
    <m/>
    <x v="9"/>
    <n v="45.56"/>
    <n v="13.5"/>
    <n v="39.409999999999997"/>
    <x v="1"/>
    <n v="40"/>
    <n v="3.2"/>
    <b v="0"/>
    <m/>
  </r>
  <r>
    <s v="FB001160"/>
    <x v="1"/>
    <x v="1"/>
    <s v="Spring"/>
    <s v="S"/>
    <x v="9"/>
    <n v="62.21"/>
    <n v="0"/>
    <n v="62.21"/>
    <x v="110"/>
    <n v="38"/>
    <n v="2.6"/>
    <b v="0"/>
    <m/>
  </r>
  <r>
    <s v="FB001161"/>
    <x v="2"/>
    <x v="7"/>
    <s v="Winter"/>
    <m/>
    <x v="5"/>
    <n v="37.020000000000003"/>
    <n v="0"/>
    <n v="37.020000000000003"/>
    <x v="1"/>
    <n v="12"/>
    <n v="4.3"/>
    <b v="0"/>
    <m/>
  </r>
  <r>
    <s v="FB001162"/>
    <x v="5"/>
    <x v="0"/>
    <s v="Summer"/>
    <s v="XL"/>
    <x v="7"/>
    <n v="51.86"/>
    <n v="39"/>
    <n v="31.63"/>
    <x v="1"/>
    <n v="40"/>
    <n v="2.4"/>
    <b v="0"/>
    <m/>
  </r>
  <r>
    <s v="FB001163"/>
    <x v="5"/>
    <x v="0"/>
    <s v="Spring"/>
    <s v="XS"/>
    <x v="9"/>
    <n v="76.239999999999995"/>
    <n v="0"/>
    <n v="76.239999999999995"/>
    <x v="146"/>
    <n v="14"/>
    <n v="2.8"/>
    <b v="0"/>
    <m/>
  </r>
  <r>
    <s v="FB001164"/>
    <x v="2"/>
    <x v="0"/>
    <s v="Fall"/>
    <m/>
    <x v="4"/>
    <n v="74.17"/>
    <n v="0"/>
    <n v="74.17"/>
    <x v="1"/>
    <n v="24"/>
    <n v="1.7"/>
    <b v="0"/>
    <m/>
  </r>
  <r>
    <s v="FB001165"/>
    <x v="4"/>
    <x v="7"/>
    <s v="Spring"/>
    <s v="L"/>
    <x v="7"/>
    <n v="75.989999999999995"/>
    <n v="0"/>
    <n v="75.989999999999995"/>
    <x v="192"/>
    <n v="19"/>
    <n v="1.7"/>
    <b v="1"/>
    <s v="Size Issue"/>
  </r>
  <r>
    <s v="FB001166"/>
    <x v="4"/>
    <x v="4"/>
    <s v="Winter"/>
    <s v="XS"/>
    <x v="8"/>
    <n v="62.33"/>
    <n v="49.4"/>
    <n v="31.54"/>
    <x v="1"/>
    <n v="46"/>
    <n v="3.5"/>
    <b v="0"/>
    <m/>
  </r>
  <r>
    <s v="FB001167"/>
    <x v="4"/>
    <x v="3"/>
    <s v="Winter"/>
    <s v="XXL"/>
    <x v="0"/>
    <n v="93.59"/>
    <n v="0"/>
    <n v="93.59"/>
    <x v="1"/>
    <n v="38"/>
    <n v="1.9"/>
    <b v="0"/>
    <m/>
  </r>
  <r>
    <s v="FB001168"/>
    <x v="1"/>
    <x v="7"/>
    <s v="Fall"/>
    <m/>
    <x v="5"/>
    <n v="72.83"/>
    <n v="35.700000000000003"/>
    <n v="46.83"/>
    <x v="1"/>
    <n v="11"/>
    <n v="3.1"/>
    <b v="0"/>
    <m/>
  </r>
  <r>
    <s v="FB001169"/>
    <x v="0"/>
    <x v="1"/>
    <s v="Winter"/>
    <s v="XXL"/>
    <x v="4"/>
    <n v="134.59"/>
    <n v="33.6"/>
    <n v="89.37"/>
    <x v="1"/>
    <n v="42"/>
    <n v="2.9"/>
    <b v="0"/>
    <m/>
  </r>
  <r>
    <s v="FB001170"/>
    <x v="4"/>
    <x v="0"/>
    <s v="Spring"/>
    <m/>
    <x v="7"/>
    <n v="71.599999999999994"/>
    <n v="41.9"/>
    <n v="41.6"/>
    <x v="36"/>
    <n v="16"/>
    <n v="2.8"/>
    <b v="0"/>
    <m/>
  </r>
  <r>
    <s v="FB001171"/>
    <x v="3"/>
    <x v="5"/>
    <s v="Summer"/>
    <s v="XL"/>
    <x v="0"/>
    <n v="62.35"/>
    <n v="53.5"/>
    <n v="28.99"/>
    <x v="1"/>
    <n v="1"/>
    <n v="4.0999999999999996"/>
    <b v="0"/>
    <m/>
  </r>
  <r>
    <s v="FB001172"/>
    <x v="0"/>
    <x v="5"/>
    <s v="Spring"/>
    <s v="XS"/>
    <x v="8"/>
    <n v="80.55"/>
    <n v="43.7"/>
    <n v="45.35"/>
    <x v="193"/>
    <n v="41"/>
    <n v="4.8"/>
    <b v="1"/>
    <s v="Changed Mind"/>
  </r>
  <r>
    <s v="FB001173"/>
    <x v="3"/>
    <x v="2"/>
    <s v="Winter"/>
    <s v="M"/>
    <x v="7"/>
    <n v="171.48"/>
    <n v="0"/>
    <n v="171.48"/>
    <x v="1"/>
    <n v="15"/>
    <n v="2.4"/>
    <b v="0"/>
    <m/>
  </r>
  <r>
    <s v="FB001174"/>
    <x v="1"/>
    <x v="5"/>
    <s v="Spring"/>
    <s v="XL"/>
    <x v="8"/>
    <n v="30.81"/>
    <n v="15.7"/>
    <n v="25.97"/>
    <x v="194"/>
    <n v="4"/>
    <n v="2.9846153846153847"/>
    <b v="0"/>
    <m/>
  </r>
  <r>
    <s v="FB001175"/>
    <x v="5"/>
    <x v="4"/>
    <s v="Summer"/>
    <s v="L"/>
    <x v="5"/>
    <n v="97.14"/>
    <n v="0"/>
    <n v="97.14"/>
    <x v="1"/>
    <n v="20"/>
    <n v="4.0999999999999996"/>
    <b v="0"/>
    <m/>
  </r>
  <r>
    <s v="FB001176"/>
    <x v="3"/>
    <x v="7"/>
    <s v="Fall"/>
    <s v="S"/>
    <x v="3"/>
    <n v="128.27000000000001"/>
    <n v="0"/>
    <n v="128.27000000000001"/>
    <x v="1"/>
    <n v="28"/>
    <n v="3.2576923076923077"/>
    <b v="0"/>
    <m/>
  </r>
  <r>
    <s v="FB001177"/>
    <x v="5"/>
    <x v="0"/>
    <s v="Winter"/>
    <s v="XL"/>
    <x v="6"/>
    <n v="174.86"/>
    <n v="0"/>
    <n v="174.86"/>
    <x v="1"/>
    <n v="43"/>
    <n v="4.5999999999999996"/>
    <b v="0"/>
    <m/>
  </r>
  <r>
    <s v="FB001178"/>
    <x v="5"/>
    <x v="2"/>
    <s v="Winter"/>
    <s v="XL"/>
    <x v="3"/>
    <n v="100.03"/>
    <n v="0"/>
    <n v="100.03"/>
    <x v="1"/>
    <n v="36"/>
    <n v="1.9"/>
    <b v="1"/>
    <s v="Quality Issue"/>
  </r>
  <r>
    <s v="FB001179"/>
    <x v="5"/>
    <x v="0"/>
    <s v="Winter"/>
    <s v="S"/>
    <x v="9"/>
    <n v="49.89"/>
    <n v="0"/>
    <n v="49.89"/>
    <x v="1"/>
    <n v="0"/>
    <n v="3.5"/>
    <b v="1"/>
    <s v="Wrong Item"/>
  </r>
  <r>
    <s v="FB001180"/>
    <x v="3"/>
    <x v="4"/>
    <s v="Fall"/>
    <s v="XL"/>
    <x v="10"/>
    <n v="170.43"/>
    <n v="0"/>
    <n v="170.43"/>
    <x v="1"/>
    <n v="22"/>
    <n v="3.3021276595744684"/>
    <b v="0"/>
    <m/>
  </r>
  <r>
    <s v="FB001181"/>
    <x v="0"/>
    <x v="6"/>
    <s v="Summer"/>
    <s v="XS"/>
    <x v="8"/>
    <n v="186.78"/>
    <n v="0"/>
    <n v="186.78"/>
    <x v="1"/>
    <n v="22"/>
    <n v="2.9"/>
    <b v="0"/>
    <m/>
  </r>
  <r>
    <s v="FB001182"/>
    <x v="2"/>
    <x v="7"/>
    <s v="Fall"/>
    <m/>
    <x v="8"/>
    <n v="63.98"/>
    <n v="0"/>
    <n v="63.98"/>
    <x v="1"/>
    <n v="36"/>
    <n v="1.7"/>
    <b v="0"/>
    <m/>
  </r>
  <r>
    <s v="FB001183"/>
    <x v="0"/>
    <x v="7"/>
    <s v="Fall"/>
    <s v="XS"/>
    <x v="8"/>
    <n v="225.64"/>
    <n v="0"/>
    <n v="225.64"/>
    <x v="1"/>
    <n v="31"/>
    <n v="1.3"/>
    <b v="0"/>
    <m/>
  </r>
  <r>
    <s v="FB001184"/>
    <x v="1"/>
    <x v="3"/>
    <s v="Fall"/>
    <s v="XS"/>
    <x v="3"/>
    <n v="115.29"/>
    <n v="13.9"/>
    <n v="99.26"/>
    <x v="1"/>
    <n v="37"/>
    <n v="2.9742857142857138"/>
    <b v="0"/>
    <m/>
  </r>
  <r>
    <s v="FB001185"/>
    <x v="4"/>
    <x v="3"/>
    <s v="Fall"/>
    <s v="XS"/>
    <x v="3"/>
    <n v="92.59"/>
    <n v="0"/>
    <n v="92.59"/>
    <x v="1"/>
    <n v="39"/>
    <n v="2.2999999999999998"/>
    <b v="0"/>
    <m/>
  </r>
  <r>
    <s v="FB001186"/>
    <x v="2"/>
    <x v="1"/>
    <s v="Spring"/>
    <m/>
    <x v="7"/>
    <n v="67.650000000000006"/>
    <n v="26.2"/>
    <n v="49.93"/>
    <x v="185"/>
    <n v="23"/>
    <n v="1.7"/>
    <b v="0"/>
    <m/>
  </r>
  <r>
    <s v="FB001187"/>
    <x v="0"/>
    <x v="5"/>
    <s v="Spring"/>
    <s v="L"/>
    <x v="3"/>
    <n v="128.91999999999999"/>
    <n v="0"/>
    <n v="128.91999999999999"/>
    <x v="14"/>
    <n v="40"/>
    <n v="1.5"/>
    <b v="0"/>
    <m/>
  </r>
  <r>
    <s v="FB001188"/>
    <x v="2"/>
    <x v="2"/>
    <s v="Fall"/>
    <m/>
    <x v="0"/>
    <n v="16.510000000000002"/>
    <n v="16.8"/>
    <n v="13.74"/>
    <x v="1"/>
    <n v="47"/>
    <n v="1.2"/>
    <b v="0"/>
    <m/>
  </r>
  <r>
    <s v="FB001189"/>
    <x v="3"/>
    <x v="2"/>
    <s v="Winter"/>
    <m/>
    <x v="4"/>
    <n v="173.66"/>
    <n v="42.7"/>
    <n v="99.51"/>
    <x v="1"/>
    <n v="1"/>
    <n v="3.1"/>
    <b v="0"/>
    <m/>
  </r>
  <r>
    <s v="FB001190"/>
    <x v="1"/>
    <x v="4"/>
    <s v="Spring"/>
    <s v="S"/>
    <x v="2"/>
    <n v="71.489999999999995"/>
    <n v="20.9"/>
    <n v="56.55"/>
    <x v="195"/>
    <n v="33"/>
    <n v="1.3"/>
    <b v="0"/>
    <m/>
  </r>
  <r>
    <s v="FB001191"/>
    <x v="0"/>
    <x v="1"/>
    <s v="Fall"/>
    <s v="XXL"/>
    <x v="4"/>
    <n v="230.81"/>
    <n v="24.3"/>
    <n v="174.72"/>
    <x v="1"/>
    <n v="26"/>
    <n v="3.15"/>
    <b v="1"/>
    <s v="Size Issue"/>
  </r>
  <r>
    <s v="FB001192"/>
    <x v="3"/>
    <x v="4"/>
    <s v="Spring"/>
    <s v="XS"/>
    <x v="6"/>
    <n v="101"/>
    <n v="58.6"/>
    <n v="41.81"/>
    <x v="31"/>
    <n v="44"/>
    <n v="1.2"/>
    <b v="0"/>
    <m/>
  </r>
  <r>
    <s v="FB001193"/>
    <x v="0"/>
    <x v="3"/>
    <s v="Winter"/>
    <s v="XXL"/>
    <x v="10"/>
    <n v="116.37"/>
    <n v="52.6"/>
    <n v="55.16"/>
    <x v="1"/>
    <n v="43"/>
    <n v="2.4"/>
    <b v="0"/>
    <m/>
  </r>
  <r>
    <s v="FB001194"/>
    <x v="3"/>
    <x v="4"/>
    <s v="Spring"/>
    <s v="L"/>
    <x v="7"/>
    <n v="150.28"/>
    <n v="8.3000000000000007"/>
    <n v="137.81"/>
    <x v="75"/>
    <n v="48"/>
    <n v="2.9"/>
    <b v="0"/>
    <m/>
  </r>
  <r>
    <s v="FB001195"/>
    <x v="0"/>
    <x v="0"/>
    <s v="Winter"/>
    <s v="XL"/>
    <x v="4"/>
    <n v="107.81"/>
    <n v="0"/>
    <n v="107.81"/>
    <x v="1"/>
    <n v="15"/>
    <n v="2.7"/>
    <b v="0"/>
    <m/>
  </r>
  <r>
    <s v="FB001196"/>
    <x v="5"/>
    <x v="0"/>
    <s v="Spring"/>
    <s v="L"/>
    <x v="8"/>
    <n v="61.24"/>
    <n v="0"/>
    <n v="61.24"/>
    <x v="196"/>
    <n v="3"/>
    <n v="3.0424242424242425"/>
    <b v="0"/>
    <m/>
  </r>
  <r>
    <s v="FB001197"/>
    <x v="2"/>
    <x v="0"/>
    <s v="Winter"/>
    <m/>
    <x v="6"/>
    <n v="34.04"/>
    <n v="0"/>
    <n v="34.04"/>
    <x v="1"/>
    <n v="3"/>
    <n v="1.9"/>
    <b v="0"/>
    <m/>
  </r>
  <r>
    <s v="FB001198"/>
    <x v="5"/>
    <x v="6"/>
    <s v="Summer"/>
    <s v="S"/>
    <x v="10"/>
    <n v="168.16"/>
    <n v="45.9"/>
    <n v="90.97"/>
    <x v="1"/>
    <n v="44"/>
    <n v="1.5"/>
    <b v="0"/>
    <m/>
  </r>
  <r>
    <s v="FB001199"/>
    <x v="1"/>
    <x v="5"/>
    <s v="Fall"/>
    <s v="M"/>
    <x v="0"/>
    <n v="74.069999999999993"/>
    <n v="0"/>
    <n v="74.069999999999993"/>
    <x v="1"/>
    <n v="47"/>
    <n v="1.4"/>
    <b v="0"/>
    <m/>
  </r>
  <r>
    <s v="FB001200"/>
    <x v="1"/>
    <x v="7"/>
    <s v="Winter"/>
    <s v="XXL"/>
    <x v="10"/>
    <n v="84.75"/>
    <n v="0"/>
    <n v="84.75"/>
    <x v="1"/>
    <n v="7"/>
    <n v="2.5"/>
    <b v="0"/>
    <m/>
  </r>
  <r>
    <s v="FB001201"/>
    <x v="3"/>
    <x v="3"/>
    <s v="Summer"/>
    <s v="M"/>
    <x v="0"/>
    <n v="187.47"/>
    <n v="9.6"/>
    <n v="169.47"/>
    <x v="1"/>
    <n v="28"/>
    <n v="4"/>
    <b v="0"/>
    <m/>
  </r>
  <r>
    <s v="FB001202"/>
    <x v="2"/>
    <x v="1"/>
    <s v="Spring"/>
    <m/>
    <x v="6"/>
    <n v="45.81"/>
    <n v="14.1"/>
    <n v="39.35"/>
    <x v="197"/>
    <n v="29"/>
    <n v="3.1288461538461547"/>
    <b v="0"/>
    <m/>
  </r>
  <r>
    <s v="FB001203"/>
    <x v="0"/>
    <x v="2"/>
    <s v="Fall"/>
    <s v="XL"/>
    <x v="10"/>
    <n v="87.09"/>
    <n v="0"/>
    <n v="87.09"/>
    <x v="1"/>
    <n v="8"/>
    <n v="2.8"/>
    <b v="0"/>
    <m/>
  </r>
  <r>
    <s v="FB001204"/>
    <x v="0"/>
    <x v="4"/>
    <s v="Summer"/>
    <s v="XS"/>
    <x v="10"/>
    <n v="232.5"/>
    <n v="56.8"/>
    <n v="100.44"/>
    <x v="1"/>
    <n v="23"/>
    <n v="2.9"/>
    <b v="1"/>
    <s v="Size Issue"/>
  </r>
  <r>
    <s v="FB001205"/>
    <x v="3"/>
    <x v="5"/>
    <s v="Spring"/>
    <s v="XS"/>
    <x v="9"/>
    <n v="184.87"/>
    <n v="0"/>
    <n v="184.87"/>
    <x v="55"/>
    <n v="32"/>
    <n v="1.8"/>
    <b v="0"/>
    <m/>
  </r>
  <r>
    <s v="FB001206"/>
    <x v="1"/>
    <x v="6"/>
    <s v="Fall"/>
    <s v="XS"/>
    <x v="4"/>
    <n v="31.36"/>
    <n v="0"/>
    <n v="31.36"/>
    <x v="1"/>
    <n v="50"/>
    <n v="3.4"/>
    <b v="0"/>
    <m/>
  </r>
  <r>
    <s v="FB001207"/>
    <x v="2"/>
    <x v="4"/>
    <s v="Winter"/>
    <m/>
    <x v="8"/>
    <n v="62.26"/>
    <n v="24.6"/>
    <n v="46.94"/>
    <x v="1"/>
    <n v="33"/>
    <n v="3.5"/>
    <b v="0"/>
    <m/>
  </r>
  <r>
    <s v="FB001208"/>
    <x v="2"/>
    <x v="3"/>
    <s v="Summer"/>
    <m/>
    <x v="8"/>
    <n v="64.819999999999993"/>
    <n v="42.2"/>
    <n v="37.47"/>
    <x v="1"/>
    <n v="26"/>
    <n v="1.3"/>
    <b v="0"/>
    <m/>
  </r>
  <r>
    <s v="FB001209"/>
    <x v="2"/>
    <x v="0"/>
    <s v="Spring"/>
    <m/>
    <x v="5"/>
    <n v="15.92"/>
    <n v="0"/>
    <n v="15.92"/>
    <x v="29"/>
    <n v="7"/>
    <n v="4.0999999999999996"/>
    <b v="0"/>
    <m/>
  </r>
  <r>
    <s v="FB001210"/>
    <x v="0"/>
    <x v="4"/>
    <s v="Spring"/>
    <s v="M"/>
    <x v="9"/>
    <n v="180.83"/>
    <n v="0"/>
    <n v="180.83"/>
    <x v="198"/>
    <n v="20"/>
    <n v="2"/>
    <b v="0"/>
    <m/>
  </r>
  <r>
    <s v="FB001211"/>
    <x v="3"/>
    <x v="7"/>
    <s v="Summer"/>
    <s v="L"/>
    <x v="10"/>
    <n v="73.81"/>
    <n v="0"/>
    <n v="73.81"/>
    <x v="1"/>
    <n v="44"/>
    <n v="1.3"/>
    <b v="0"/>
    <m/>
  </r>
  <r>
    <s v="FB001212"/>
    <x v="3"/>
    <x v="5"/>
    <s v="Summer"/>
    <s v="XXL"/>
    <x v="7"/>
    <n v="127.52"/>
    <n v="0"/>
    <n v="127.52"/>
    <x v="1"/>
    <n v="0"/>
    <n v="3.4"/>
    <b v="0"/>
    <m/>
  </r>
  <r>
    <s v="FB001213"/>
    <x v="4"/>
    <x v="4"/>
    <s v="Fall"/>
    <m/>
    <x v="10"/>
    <n v="52.08"/>
    <n v="0"/>
    <n v="52.08"/>
    <x v="1"/>
    <n v="12"/>
    <n v="3.0659090909090896"/>
    <b v="0"/>
    <m/>
  </r>
  <r>
    <s v="FB001214"/>
    <x v="4"/>
    <x v="7"/>
    <s v="Winter"/>
    <s v="XS"/>
    <x v="0"/>
    <n v="32.83"/>
    <n v="23"/>
    <n v="25.28"/>
    <x v="1"/>
    <n v="24"/>
    <n v="1.1000000000000001"/>
    <b v="0"/>
    <m/>
  </r>
  <r>
    <s v="FB001215"/>
    <x v="1"/>
    <x v="2"/>
    <s v="Winter"/>
    <s v="S"/>
    <x v="9"/>
    <n v="108.92"/>
    <n v="0"/>
    <n v="108.92"/>
    <x v="1"/>
    <n v="6"/>
    <n v="1.8"/>
    <b v="0"/>
    <m/>
  </r>
  <r>
    <s v="FB001216"/>
    <x v="3"/>
    <x v="7"/>
    <s v="Winter"/>
    <m/>
    <x v="8"/>
    <n v="85.83"/>
    <n v="47.5"/>
    <n v="45.06"/>
    <x v="1"/>
    <n v="8"/>
    <n v="1.1000000000000001"/>
    <b v="0"/>
    <m/>
  </r>
  <r>
    <s v="FB001217"/>
    <x v="2"/>
    <x v="0"/>
    <s v="Spring"/>
    <m/>
    <x v="5"/>
    <n v="62.02"/>
    <n v="0"/>
    <n v="62.02"/>
    <x v="5"/>
    <n v="3"/>
    <n v="3.7"/>
    <b v="0"/>
    <m/>
  </r>
  <r>
    <s v="FB001218"/>
    <x v="3"/>
    <x v="4"/>
    <s v="Summer"/>
    <s v="XL"/>
    <x v="2"/>
    <n v="127.31"/>
    <n v="5.4"/>
    <n v="120.44"/>
    <x v="1"/>
    <n v="34"/>
    <n v="2.5"/>
    <b v="0"/>
    <m/>
  </r>
  <r>
    <s v="FB001219"/>
    <x v="1"/>
    <x v="5"/>
    <s v="Fall"/>
    <m/>
    <x v="0"/>
    <n v="35.74"/>
    <n v="0"/>
    <n v="35.74"/>
    <x v="1"/>
    <n v="33"/>
    <n v="2.9846153846153847"/>
    <b v="1"/>
    <s v="Color Mismatch"/>
  </r>
  <r>
    <s v="FB001220"/>
    <x v="2"/>
    <x v="4"/>
    <s v="Summer"/>
    <m/>
    <x v="4"/>
    <n v="69.62"/>
    <n v="27.9"/>
    <n v="50.2"/>
    <x v="1"/>
    <n v="5"/>
    <n v="1.1000000000000001"/>
    <b v="0"/>
    <m/>
  </r>
  <r>
    <s v="FB001221"/>
    <x v="1"/>
    <x v="0"/>
    <s v="Winter"/>
    <s v="XXL"/>
    <x v="2"/>
    <n v="92.01"/>
    <n v="28.8"/>
    <n v="65.510000000000005"/>
    <x v="1"/>
    <n v="37"/>
    <n v="1.9"/>
    <b v="0"/>
    <m/>
  </r>
  <r>
    <s v="FB001222"/>
    <x v="3"/>
    <x v="3"/>
    <s v="Fall"/>
    <s v="M"/>
    <x v="2"/>
    <n v="110.1"/>
    <n v="0"/>
    <n v="110.1"/>
    <x v="1"/>
    <n v="13"/>
    <n v="3.6"/>
    <b v="1"/>
    <s v="Changed Mind"/>
  </r>
  <r>
    <s v="FB001223"/>
    <x v="4"/>
    <x v="0"/>
    <s v="Fall"/>
    <s v="XXL"/>
    <x v="0"/>
    <n v="109.05"/>
    <n v="0"/>
    <n v="109.05"/>
    <x v="1"/>
    <n v="13"/>
    <n v="3.7"/>
    <b v="0"/>
    <m/>
  </r>
  <r>
    <s v="FB001224"/>
    <x v="2"/>
    <x v="7"/>
    <s v="Winter"/>
    <m/>
    <x v="7"/>
    <n v="67.459999999999994"/>
    <n v="0"/>
    <n v="67.459999999999994"/>
    <x v="1"/>
    <n v="28"/>
    <n v="1.4"/>
    <b v="0"/>
    <m/>
  </r>
  <r>
    <s v="FB001225"/>
    <x v="3"/>
    <x v="5"/>
    <s v="Winter"/>
    <s v="M"/>
    <x v="3"/>
    <n v="110.11"/>
    <n v="10.199999999999999"/>
    <n v="98.88"/>
    <x v="1"/>
    <n v="47"/>
    <n v="3.0068965517241386"/>
    <b v="0"/>
    <m/>
  </r>
  <r>
    <s v="FB001226"/>
    <x v="3"/>
    <x v="2"/>
    <s v="Summer"/>
    <s v="XL"/>
    <x v="3"/>
    <n v="162.5"/>
    <n v="0"/>
    <n v="162.5"/>
    <x v="1"/>
    <n v="45"/>
    <n v="3.1936170212765949"/>
    <b v="0"/>
    <m/>
  </r>
  <r>
    <s v="FB001227"/>
    <x v="2"/>
    <x v="1"/>
    <s v="Summer"/>
    <m/>
    <x v="2"/>
    <n v="23.8"/>
    <n v="8.3000000000000007"/>
    <n v="21.82"/>
    <x v="1"/>
    <n v="0"/>
    <n v="3.5"/>
    <b v="0"/>
    <m/>
  </r>
  <r>
    <s v="FB001228"/>
    <x v="4"/>
    <x v="2"/>
    <s v="Fall"/>
    <s v="XS"/>
    <x v="10"/>
    <n v="115.89"/>
    <n v="0"/>
    <n v="115.89"/>
    <x v="1"/>
    <n v="34"/>
    <n v="2.9"/>
    <b v="0"/>
    <m/>
  </r>
  <r>
    <s v="FB001229"/>
    <x v="0"/>
    <x v="4"/>
    <s v="Spring"/>
    <s v="M"/>
    <x v="0"/>
    <n v="139.19999999999999"/>
    <n v="42.5"/>
    <n v="80.040000000000006"/>
    <x v="164"/>
    <n v="27"/>
    <n v="2.9"/>
    <b v="0"/>
    <m/>
  </r>
  <r>
    <s v="FB001230"/>
    <x v="5"/>
    <x v="7"/>
    <s v="Fall"/>
    <s v="S"/>
    <x v="8"/>
    <n v="120.42"/>
    <n v="36.700000000000003"/>
    <n v="76.23"/>
    <x v="1"/>
    <n v="46"/>
    <n v="2.4"/>
    <b v="0"/>
    <m/>
  </r>
  <r>
    <s v="FB001231"/>
    <x v="2"/>
    <x v="2"/>
    <s v="Fall"/>
    <m/>
    <x v="7"/>
    <n v="72.81"/>
    <n v="0"/>
    <n v="72.81"/>
    <x v="1"/>
    <n v="4"/>
    <n v="4.3"/>
    <b v="0"/>
    <m/>
  </r>
  <r>
    <s v="FB001232"/>
    <x v="2"/>
    <x v="0"/>
    <s v="Spring"/>
    <m/>
    <x v="10"/>
    <n v="29.75"/>
    <n v="0"/>
    <n v="29.75"/>
    <x v="199"/>
    <n v="37"/>
    <n v="3.9"/>
    <b v="0"/>
    <m/>
  </r>
  <r>
    <s v="FB001233"/>
    <x v="1"/>
    <x v="6"/>
    <s v="Summer"/>
    <s v="XL"/>
    <x v="2"/>
    <n v="33.630000000000003"/>
    <n v="0"/>
    <n v="33.630000000000003"/>
    <x v="1"/>
    <n v="13"/>
    <n v="4.7"/>
    <b v="0"/>
    <m/>
  </r>
  <r>
    <s v="FB001234"/>
    <x v="0"/>
    <x v="2"/>
    <s v="Fall"/>
    <s v="S"/>
    <x v="10"/>
    <n v="101.93"/>
    <n v="0"/>
    <n v="101.93"/>
    <x v="1"/>
    <n v="31"/>
    <n v="3.0177777777777774"/>
    <b v="0"/>
    <m/>
  </r>
  <r>
    <s v="FB001235"/>
    <x v="2"/>
    <x v="3"/>
    <s v="Winter"/>
    <m/>
    <x v="3"/>
    <n v="41.43"/>
    <n v="0"/>
    <n v="41.43"/>
    <x v="1"/>
    <n v="10"/>
    <n v="2.5131578947368416"/>
    <b v="0"/>
    <m/>
  </r>
  <r>
    <s v="FB001236"/>
    <x v="0"/>
    <x v="5"/>
    <s v="Spring"/>
    <s v="L"/>
    <x v="6"/>
    <n v="126.14"/>
    <n v="0"/>
    <n v="126.14"/>
    <x v="200"/>
    <n v="24"/>
    <n v="3.6"/>
    <b v="0"/>
    <m/>
  </r>
  <r>
    <s v="FB001237"/>
    <x v="4"/>
    <x v="0"/>
    <s v="Spring"/>
    <s v="M"/>
    <x v="9"/>
    <n v="96.76"/>
    <n v="0"/>
    <n v="96.76"/>
    <x v="201"/>
    <n v="6"/>
    <n v="2.9210526315789478"/>
    <b v="0"/>
    <m/>
  </r>
  <r>
    <s v="FB001238"/>
    <x v="1"/>
    <x v="3"/>
    <s v="Winter"/>
    <s v="XS"/>
    <x v="8"/>
    <n v="114.32"/>
    <n v="0"/>
    <n v="114.32"/>
    <x v="1"/>
    <n v="27"/>
    <n v="5"/>
    <b v="0"/>
    <m/>
  </r>
  <r>
    <s v="FB001239"/>
    <x v="3"/>
    <x v="4"/>
    <s v="Spring"/>
    <s v="S"/>
    <x v="9"/>
    <n v="102.46"/>
    <n v="0"/>
    <n v="102.46"/>
    <x v="202"/>
    <n v="20"/>
    <n v="3.7"/>
    <b v="1"/>
    <s v="Quality Issue"/>
  </r>
  <r>
    <s v="FB001240"/>
    <x v="4"/>
    <x v="1"/>
    <s v="Summer"/>
    <s v="L"/>
    <x v="1"/>
    <n v="95.7"/>
    <n v="15"/>
    <n v="81.34"/>
    <x v="1"/>
    <n v="9"/>
    <n v="4.9000000000000004"/>
    <b v="0"/>
    <m/>
  </r>
  <r>
    <s v="FB001241"/>
    <x v="4"/>
    <x v="4"/>
    <s v="Winter"/>
    <s v="M"/>
    <x v="5"/>
    <n v="55.49"/>
    <n v="0"/>
    <n v="55.49"/>
    <x v="1"/>
    <n v="25"/>
    <n v="4.5999999999999996"/>
    <b v="0"/>
    <m/>
  </r>
  <r>
    <s v="FB001242"/>
    <x v="2"/>
    <x v="5"/>
    <s v="Winter"/>
    <m/>
    <x v="3"/>
    <n v="30.58"/>
    <n v="9.8000000000000007"/>
    <n v="27.58"/>
    <x v="1"/>
    <n v="34"/>
    <n v="3.4"/>
    <b v="0"/>
    <m/>
  </r>
  <r>
    <s v="FB001243"/>
    <x v="4"/>
    <x v="3"/>
    <s v="Fall"/>
    <s v="S"/>
    <x v="0"/>
    <n v="116.58"/>
    <n v="0"/>
    <n v="116.58"/>
    <x v="1"/>
    <n v="47"/>
    <n v="1.2"/>
    <b v="0"/>
    <m/>
  </r>
  <r>
    <s v="FB001244"/>
    <x v="5"/>
    <x v="0"/>
    <s v="Winter"/>
    <s v="XL"/>
    <x v="8"/>
    <n v="79.180000000000007"/>
    <n v="21.1"/>
    <n v="62.47"/>
    <x v="1"/>
    <n v="36"/>
    <n v="1.5"/>
    <b v="1"/>
    <s v="Changed Mind"/>
  </r>
  <r>
    <s v="FB001245"/>
    <x v="5"/>
    <x v="7"/>
    <s v="Summer"/>
    <m/>
    <x v="8"/>
    <n v="88.71"/>
    <n v="0"/>
    <n v="88.71"/>
    <x v="1"/>
    <n v="3"/>
    <n v="3.5"/>
    <b v="0"/>
    <m/>
  </r>
  <r>
    <s v="FB001246"/>
    <x v="5"/>
    <x v="2"/>
    <s v="Spring"/>
    <s v="XXL"/>
    <x v="9"/>
    <n v="150.58000000000001"/>
    <n v="0"/>
    <n v="150.58000000000001"/>
    <x v="49"/>
    <n v="38"/>
    <n v="2.1"/>
    <b v="0"/>
    <m/>
  </r>
  <r>
    <s v="FB001247"/>
    <x v="5"/>
    <x v="1"/>
    <s v="Summer"/>
    <s v="XXL"/>
    <x v="3"/>
    <n v="179.9"/>
    <n v="9.3000000000000007"/>
    <n v="163.16999999999999"/>
    <x v="1"/>
    <n v="34"/>
    <n v="2.1"/>
    <b v="0"/>
    <m/>
  </r>
  <r>
    <s v="FB001248"/>
    <x v="0"/>
    <x v="7"/>
    <s v="Spring"/>
    <s v="XL"/>
    <x v="0"/>
    <n v="135.30000000000001"/>
    <n v="0"/>
    <n v="135.30000000000001"/>
    <x v="203"/>
    <n v="19"/>
    <n v="4.5999999999999996"/>
    <b v="0"/>
    <m/>
  </r>
  <r>
    <s v="FB001249"/>
    <x v="3"/>
    <x v="1"/>
    <s v="Fall"/>
    <s v="XXL"/>
    <x v="2"/>
    <n v="146.43"/>
    <n v="0"/>
    <n v="146.43"/>
    <x v="1"/>
    <n v="7"/>
    <n v="2.5"/>
    <b v="0"/>
    <m/>
  </r>
  <r>
    <s v="FB001250"/>
    <x v="0"/>
    <x v="7"/>
    <s v="Winter"/>
    <s v="M"/>
    <x v="6"/>
    <n v="160.27000000000001"/>
    <n v="0"/>
    <n v="160.27000000000001"/>
    <x v="1"/>
    <n v="11"/>
    <n v="2"/>
    <b v="0"/>
    <m/>
  </r>
  <r>
    <s v="FB001251"/>
    <x v="3"/>
    <x v="3"/>
    <s v="Winter"/>
    <s v="M"/>
    <x v="4"/>
    <n v="169.87"/>
    <n v="8.8000000000000007"/>
    <n v="154.91999999999999"/>
    <x v="1"/>
    <n v="36"/>
    <n v="2.1"/>
    <b v="0"/>
    <m/>
  </r>
  <r>
    <s v="FB001252"/>
    <x v="3"/>
    <x v="5"/>
    <s v="Summer"/>
    <m/>
    <x v="4"/>
    <n v="137.33000000000001"/>
    <n v="0"/>
    <n v="137.33000000000001"/>
    <x v="1"/>
    <n v="35"/>
    <n v="4.5999999999999996"/>
    <b v="0"/>
    <m/>
  </r>
  <r>
    <s v="FB001253"/>
    <x v="4"/>
    <x v="7"/>
    <s v="Summer"/>
    <s v="XXL"/>
    <x v="0"/>
    <n v="38.18"/>
    <n v="0"/>
    <n v="38.18"/>
    <x v="1"/>
    <n v="38"/>
    <n v="3.1021739130434773"/>
    <b v="0"/>
    <m/>
  </r>
  <r>
    <s v="FB001254"/>
    <x v="1"/>
    <x v="0"/>
    <s v="Summer"/>
    <s v="XXL"/>
    <x v="5"/>
    <n v="40.619999999999997"/>
    <n v="20.100000000000001"/>
    <n v="32.46"/>
    <x v="1"/>
    <n v="7"/>
    <n v="2.9181818181818175"/>
    <b v="0"/>
    <m/>
  </r>
  <r>
    <s v="FB001255"/>
    <x v="4"/>
    <x v="4"/>
    <s v="Winter"/>
    <s v="XS"/>
    <x v="2"/>
    <n v="56.4"/>
    <n v="23.3"/>
    <n v="43.26"/>
    <x v="1"/>
    <n v="35"/>
    <n v="3.0659090909090896"/>
    <b v="0"/>
    <m/>
  </r>
  <r>
    <s v="FB001256"/>
    <x v="2"/>
    <x v="7"/>
    <s v="Summer"/>
    <m/>
    <x v="6"/>
    <n v="19.559999999999999"/>
    <n v="0"/>
    <n v="19.559999999999999"/>
    <x v="1"/>
    <n v="13"/>
    <n v="3.1"/>
    <b v="0"/>
    <m/>
  </r>
  <r>
    <s v="FB001257"/>
    <x v="3"/>
    <x v="4"/>
    <s v="Winter"/>
    <s v="L"/>
    <x v="3"/>
    <n v="155.66"/>
    <n v="0"/>
    <n v="155.66"/>
    <x v="1"/>
    <n v="3"/>
    <n v="4"/>
    <b v="0"/>
    <m/>
  </r>
  <r>
    <s v="FB001258"/>
    <x v="1"/>
    <x v="0"/>
    <s v="Summer"/>
    <s v="S"/>
    <x v="9"/>
    <n v="106.2"/>
    <n v="0"/>
    <n v="106.2"/>
    <x v="1"/>
    <n v="10"/>
    <n v="1.1000000000000001"/>
    <b v="0"/>
    <m/>
  </r>
  <r>
    <s v="FB001259"/>
    <x v="0"/>
    <x v="5"/>
    <s v="Fall"/>
    <s v="XXL"/>
    <x v="8"/>
    <n v="158.31"/>
    <n v="0"/>
    <n v="158.31"/>
    <x v="1"/>
    <n v="7"/>
    <n v="5"/>
    <b v="0"/>
    <m/>
  </r>
  <r>
    <s v="FB001260"/>
    <x v="5"/>
    <x v="3"/>
    <s v="Spring"/>
    <s v="XL"/>
    <x v="1"/>
    <n v="102.3"/>
    <n v="42.2"/>
    <n v="59.13"/>
    <x v="204"/>
    <n v="43"/>
    <n v="1.3"/>
    <b v="0"/>
    <m/>
  </r>
  <r>
    <s v="FB001261"/>
    <x v="2"/>
    <x v="6"/>
    <s v="Fall"/>
    <m/>
    <x v="8"/>
    <n v="53.46"/>
    <n v="58"/>
    <n v="22.45"/>
    <x v="1"/>
    <n v="6"/>
    <n v="4.2"/>
    <b v="0"/>
    <m/>
  </r>
  <r>
    <s v="FB001262"/>
    <x v="5"/>
    <x v="1"/>
    <s v="Summer"/>
    <s v="XS"/>
    <x v="5"/>
    <n v="101.78"/>
    <n v="22.9"/>
    <n v="78.47"/>
    <x v="1"/>
    <n v="5"/>
    <n v="1.2"/>
    <b v="1"/>
    <s v="Damaged"/>
  </r>
  <r>
    <s v="FB001263"/>
    <x v="0"/>
    <x v="2"/>
    <s v="Summer"/>
    <s v="M"/>
    <x v="4"/>
    <n v="112.28"/>
    <n v="0"/>
    <n v="112.28"/>
    <x v="1"/>
    <n v="41"/>
    <n v="4.0999999999999996"/>
    <b v="0"/>
    <m/>
  </r>
  <r>
    <s v="FB001264"/>
    <x v="2"/>
    <x v="2"/>
    <s v="Winter"/>
    <m/>
    <x v="1"/>
    <n v="47.51"/>
    <n v="0"/>
    <n v="47.51"/>
    <x v="1"/>
    <n v="39"/>
    <n v="4.4000000000000004"/>
    <b v="0"/>
    <m/>
  </r>
  <r>
    <s v="FB001265"/>
    <x v="1"/>
    <x v="1"/>
    <s v="Winter"/>
    <s v="XXL"/>
    <x v="7"/>
    <n v="80.39"/>
    <n v="0"/>
    <n v="80.39"/>
    <x v="1"/>
    <n v="24"/>
    <n v="3.34"/>
    <b v="0"/>
    <m/>
  </r>
  <r>
    <s v="FB001266"/>
    <x v="4"/>
    <x v="3"/>
    <s v="Winter"/>
    <s v="L"/>
    <x v="0"/>
    <n v="64.75"/>
    <n v="26.4"/>
    <n v="47.66"/>
    <x v="1"/>
    <n v="7"/>
    <n v="2.9"/>
    <b v="1"/>
    <s v="Wrong Item"/>
  </r>
  <r>
    <s v="FB001267"/>
    <x v="0"/>
    <x v="0"/>
    <s v="Winter"/>
    <s v="L"/>
    <x v="0"/>
    <n v="129.86000000000001"/>
    <n v="0"/>
    <n v="129.86000000000001"/>
    <x v="1"/>
    <n v="41"/>
    <n v="1.7"/>
    <b v="0"/>
    <m/>
  </r>
  <r>
    <s v="FB001268"/>
    <x v="4"/>
    <x v="2"/>
    <s v="Spring"/>
    <s v="L"/>
    <x v="6"/>
    <n v="32.74"/>
    <n v="0"/>
    <n v="32.74"/>
    <x v="205"/>
    <n v="23"/>
    <n v="4"/>
    <b v="1"/>
    <s v="Damaged"/>
  </r>
  <r>
    <s v="FB001269"/>
    <x v="4"/>
    <x v="1"/>
    <s v="Spring"/>
    <s v="L"/>
    <x v="5"/>
    <n v="79.27"/>
    <n v="0"/>
    <n v="79.27"/>
    <x v="206"/>
    <n v="13"/>
    <n v="3.5"/>
    <b v="0"/>
    <m/>
  </r>
  <r>
    <s v="FB001270"/>
    <x v="1"/>
    <x v="7"/>
    <s v="Spring"/>
    <s v="S"/>
    <x v="7"/>
    <n v="119.38"/>
    <n v="0"/>
    <n v="119.38"/>
    <x v="207"/>
    <n v="18"/>
    <n v="4.4000000000000004"/>
    <b v="0"/>
    <m/>
  </r>
  <r>
    <s v="FB001271"/>
    <x v="5"/>
    <x v="4"/>
    <s v="Winter"/>
    <s v="S"/>
    <x v="3"/>
    <n v="66.17"/>
    <n v="0"/>
    <n v="66.17"/>
    <x v="1"/>
    <n v="1"/>
    <n v="3.1051282051282048"/>
    <b v="0"/>
    <m/>
  </r>
  <r>
    <s v="FB001272"/>
    <x v="2"/>
    <x v="4"/>
    <s v="Fall"/>
    <m/>
    <x v="9"/>
    <n v="68.3"/>
    <n v="8"/>
    <n v="62.84"/>
    <x v="1"/>
    <n v="18"/>
    <n v="3.1"/>
    <b v="0"/>
    <m/>
  </r>
  <r>
    <s v="FB001273"/>
    <x v="0"/>
    <x v="3"/>
    <s v="Fall"/>
    <s v="L"/>
    <x v="9"/>
    <n v="209.66"/>
    <n v="0"/>
    <n v="209.66"/>
    <x v="1"/>
    <n v="30"/>
    <n v="2.1"/>
    <b v="0"/>
    <m/>
  </r>
  <r>
    <s v="FB001274"/>
    <x v="3"/>
    <x v="1"/>
    <s v="Summer"/>
    <s v="XS"/>
    <x v="5"/>
    <n v="154.82"/>
    <n v="0"/>
    <n v="154.82"/>
    <x v="1"/>
    <n v="31"/>
    <n v="2.8205128205128198"/>
    <b v="0"/>
    <m/>
  </r>
  <r>
    <s v="FB001275"/>
    <x v="4"/>
    <x v="4"/>
    <s v="Winter"/>
    <s v="S"/>
    <x v="4"/>
    <n v="37.53"/>
    <n v="0"/>
    <n v="37.53"/>
    <x v="1"/>
    <n v="8"/>
    <n v="3"/>
    <b v="1"/>
    <s v="Changed Mind"/>
  </r>
  <r>
    <s v="FB001276"/>
    <x v="3"/>
    <x v="0"/>
    <s v="Summer"/>
    <s v="XS"/>
    <x v="2"/>
    <n v="140.28"/>
    <n v="0"/>
    <n v="140.28"/>
    <x v="1"/>
    <n v="10"/>
    <n v="1.9"/>
    <b v="0"/>
    <m/>
  </r>
  <r>
    <s v="FB001277"/>
    <x v="3"/>
    <x v="1"/>
    <s v="Summer"/>
    <s v="XS"/>
    <x v="3"/>
    <n v="171.07"/>
    <n v="0"/>
    <n v="171.07"/>
    <x v="1"/>
    <n v="25"/>
    <n v="3"/>
    <b v="0"/>
    <m/>
  </r>
  <r>
    <s v="FB001278"/>
    <x v="1"/>
    <x v="0"/>
    <s v="Summer"/>
    <s v="M"/>
    <x v="9"/>
    <n v="77.87"/>
    <n v="0"/>
    <n v="77.87"/>
    <x v="1"/>
    <n v="4"/>
    <n v="2.7"/>
    <b v="0"/>
    <m/>
  </r>
  <r>
    <s v="FB001279"/>
    <x v="1"/>
    <x v="4"/>
    <s v="Spring"/>
    <s v="XL"/>
    <x v="8"/>
    <n v="80.540000000000006"/>
    <n v="0"/>
    <n v="80.540000000000006"/>
    <x v="208"/>
    <n v="50"/>
    <n v="2.1"/>
    <b v="0"/>
    <m/>
  </r>
  <r>
    <s v="FB001280"/>
    <x v="4"/>
    <x v="1"/>
    <s v="Summer"/>
    <s v="S"/>
    <x v="3"/>
    <n v="48.68"/>
    <n v="41.7"/>
    <n v="28.38"/>
    <x v="1"/>
    <n v="20"/>
    <n v="1.3"/>
    <b v="1"/>
    <s v="Damaged"/>
  </r>
  <r>
    <s v="FB001281"/>
    <x v="3"/>
    <x v="5"/>
    <s v="Winter"/>
    <s v="XS"/>
    <x v="9"/>
    <n v="137.83000000000001"/>
    <n v="0"/>
    <n v="137.83000000000001"/>
    <x v="1"/>
    <n v="32"/>
    <n v="3.4"/>
    <b v="1"/>
    <s v="Changed Mind"/>
  </r>
  <r>
    <s v="FB001282"/>
    <x v="4"/>
    <x v="0"/>
    <s v="Fall"/>
    <s v="XXL"/>
    <x v="10"/>
    <n v="96.88"/>
    <n v="44.8"/>
    <n v="53.48"/>
    <x v="1"/>
    <n v="15"/>
    <n v="1.3"/>
    <b v="0"/>
    <m/>
  </r>
  <r>
    <s v="FB001283"/>
    <x v="1"/>
    <x v="4"/>
    <s v="Spring"/>
    <s v="XL"/>
    <x v="5"/>
    <n v="46.44"/>
    <n v="36.799999999999997"/>
    <n v="29.35"/>
    <x v="209"/>
    <n v="19"/>
    <n v="1.9"/>
    <b v="0"/>
    <m/>
  </r>
  <r>
    <s v="FB001284"/>
    <x v="4"/>
    <x v="6"/>
    <s v="Winter"/>
    <s v="L"/>
    <x v="10"/>
    <n v="86.4"/>
    <n v="0"/>
    <n v="86.4"/>
    <x v="1"/>
    <n v="26"/>
    <n v="3.7"/>
    <b v="0"/>
    <m/>
  </r>
  <r>
    <s v="FB001285"/>
    <x v="4"/>
    <x v="3"/>
    <s v="Fall"/>
    <s v="XXL"/>
    <x v="6"/>
    <n v="113.83"/>
    <n v="51.6"/>
    <n v="55.09"/>
    <x v="1"/>
    <n v="12"/>
    <n v="2.9"/>
    <b v="0"/>
    <m/>
  </r>
  <r>
    <s v="FB001286"/>
    <x v="4"/>
    <x v="0"/>
    <s v="Summer"/>
    <s v="XS"/>
    <x v="9"/>
    <n v="64.680000000000007"/>
    <n v="42.9"/>
    <n v="36.93"/>
    <x v="1"/>
    <n v="36"/>
    <n v="2.9210526315789478"/>
    <b v="0"/>
    <m/>
  </r>
  <r>
    <s v="FB001287"/>
    <x v="3"/>
    <x v="7"/>
    <s v="Fall"/>
    <m/>
    <x v="7"/>
    <n v="123.23"/>
    <n v="0"/>
    <n v="123.23"/>
    <x v="1"/>
    <n v="40"/>
    <n v="4.3"/>
    <b v="0"/>
    <m/>
  </r>
  <r>
    <s v="FB001288"/>
    <x v="2"/>
    <x v="5"/>
    <s v="Winter"/>
    <m/>
    <x v="0"/>
    <n v="69.69"/>
    <n v="0"/>
    <n v="69.69"/>
    <x v="1"/>
    <n v="35"/>
    <n v="3"/>
    <b v="0"/>
    <m/>
  </r>
  <r>
    <s v="FB001289"/>
    <x v="2"/>
    <x v="2"/>
    <s v="Winter"/>
    <m/>
    <x v="6"/>
    <n v="46.15"/>
    <n v="24.4"/>
    <n v="34.89"/>
    <x v="1"/>
    <n v="31"/>
    <n v="4.4000000000000004"/>
    <b v="1"/>
    <s v="Size Issue"/>
  </r>
  <r>
    <s v="FB001290"/>
    <x v="0"/>
    <x v="4"/>
    <s v="Summer"/>
    <s v="XS"/>
    <x v="8"/>
    <n v="229.8"/>
    <n v="0"/>
    <n v="229.8"/>
    <x v="1"/>
    <n v="46"/>
    <n v="3.6"/>
    <b v="0"/>
    <m/>
  </r>
  <r>
    <s v="FB001291"/>
    <x v="0"/>
    <x v="1"/>
    <s v="Fall"/>
    <s v="XS"/>
    <x v="9"/>
    <n v="179.44"/>
    <n v="19.600000000000001"/>
    <n v="144.27000000000001"/>
    <x v="1"/>
    <n v="42"/>
    <n v="3"/>
    <b v="0"/>
    <m/>
  </r>
  <r>
    <s v="FB001292"/>
    <x v="3"/>
    <x v="2"/>
    <s v="Fall"/>
    <s v="L"/>
    <x v="6"/>
    <n v="80.959999999999994"/>
    <n v="56.3"/>
    <n v="35.380000000000003"/>
    <x v="1"/>
    <n v="41"/>
    <n v="2.2000000000000002"/>
    <b v="1"/>
    <s v="Changed Mind"/>
  </r>
  <r>
    <s v="FB001293"/>
    <x v="4"/>
    <x v="1"/>
    <s v="Fall"/>
    <s v="L"/>
    <x v="6"/>
    <n v="62.3"/>
    <n v="19.2"/>
    <n v="50.34"/>
    <x v="1"/>
    <n v="9"/>
    <n v="2.5"/>
    <b v="0"/>
    <m/>
  </r>
  <r>
    <s v="FB001294"/>
    <x v="2"/>
    <x v="1"/>
    <s v="Fall"/>
    <m/>
    <x v="7"/>
    <n v="58.83"/>
    <n v="12.5"/>
    <n v="51.48"/>
    <x v="1"/>
    <n v="3"/>
    <n v="1.5"/>
    <b v="0"/>
    <m/>
  </r>
  <r>
    <s v="FB001295"/>
    <x v="1"/>
    <x v="4"/>
    <s v="Summer"/>
    <s v="XXL"/>
    <x v="8"/>
    <n v="119.04"/>
    <n v="1.7"/>
    <n v="117.02"/>
    <x v="1"/>
    <n v="34"/>
    <n v="4.0999999999999996"/>
    <b v="0"/>
    <m/>
  </r>
  <r>
    <s v="FB001296"/>
    <x v="0"/>
    <x v="0"/>
    <s v="Summer"/>
    <s v="S"/>
    <x v="8"/>
    <n v="80.540000000000006"/>
    <n v="0"/>
    <n v="80.540000000000006"/>
    <x v="1"/>
    <n v="3"/>
    <n v="1.8"/>
    <b v="1"/>
    <s v="Size Issue"/>
  </r>
  <r>
    <s v="FB001297"/>
    <x v="4"/>
    <x v="2"/>
    <s v="Winter"/>
    <s v="XS"/>
    <x v="2"/>
    <n v="47.32"/>
    <n v="25.7"/>
    <n v="35.159999999999997"/>
    <x v="1"/>
    <n v="2"/>
    <n v="3.2"/>
    <b v="0"/>
    <m/>
  </r>
  <r>
    <s v="FB001298"/>
    <x v="3"/>
    <x v="6"/>
    <s v="Winter"/>
    <s v="XL"/>
    <x v="1"/>
    <n v="104.57"/>
    <n v="27.4"/>
    <n v="75.92"/>
    <x v="1"/>
    <n v="7"/>
    <n v="1"/>
    <b v="1"/>
    <s v="Quality Issue"/>
  </r>
  <r>
    <s v="FB001299"/>
    <x v="2"/>
    <x v="0"/>
    <s v="Winter"/>
    <m/>
    <x v="5"/>
    <n v="38.369999999999997"/>
    <n v="23.3"/>
    <n v="29.43"/>
    <x v="1"/>
    <n v="22"/>
    <n v="1.4"/>
    <b v="0"/>
    <m/>
  </r>
  <r>
    <s v="FB001300"/>
    <x v="0"/>
    <x v="4"/>
    <s v="Winter"/>
    <m/>
    <x v="0"/>
    <n v="86.3"/>
    <n v="0"/>
    <n v="86.3"/>
    <x v="1"/>
    <n v="33"/>
    <n v="3.9"/>
    <b v="0"/>
    <m/>
  </r>
  <r>
    <s v="FB001301"/>
    <x v="2"/>
    <x v="3"/>
    <s v="Winter"/>
    <m/>
    <x v="9"/>
    <n v="64.89"/>
    <n v="4.2"/>
    <n v="62.16"/>
    <x v="1"/>
    <n v="40"/>
    <n v="1.4"/>
    <b v="0"/>
    <m/>
  </r>
  <r>
    <s v="FB001302"/>
    <x v="2"/>
    <x v="3"/>
    <s v="Fall"/>
    <m/>
    <x v="8"/>
    <n v="53.64"/>
    <n v="0"/>
    <n v="53.64"/>
    <x v="1"/>
    <n v="18"/>
    <n v="2.2999999999999998"/>
    <b v="0"/>
    <m/>
  </r>
  <r>
    <s v="FB001303"/>
    <x v="5"/>
    <x v="3"/>
    <s v="Summer"/>
    <s v="XXL"/>
    <x v="1"/>
    <n v="113.81"/>
    <n v="9.1999999999999993"/>
    <n v="103.34"/>
    <x v="1"/>
    <n v="11"/>
    <n v="2.4"/>
    <b v="0"/>
    <m/>
  </r>
  <r>
    <s v="FB001304"/>
    <x v="1"/>
    <x v="5"/>
    <s v="Summer"/>
    <s v="XXL"/>
    <x v="7"/>
    <n v="40.119999999999997"/>
    <n v="27.7"/>
    <n v="29.01"/>
    <x v="1"/>
    <n v="29"/>
    <n v="1.7"/>
    <b v="1"/>
    <s v="Size Issue"/>
  </r>
  <r>
    <s v="FB001305"/>
    <x v="1"/>
    <x v="6"/>
    <s v="Winter"/>
    <s v="M"/>
    <x v="2"/>
    <n v="49.64"/>
    <n v="30.9"/>
    <n v="34.299999999999997"/>
    <x v="1"/>
    <n v="21"/>
    <n v="2"/>
    <b v="0"/>
    <m/>
  </r>
  <r>
    <s v="FB001306"/>
    <x v="4"/>
    <x v="7"/>
    <s v="Summer"/>
    <s v="L"/>
    <x v="10"/>
    <n v="117.64"/>
    <n v="54.2"/>
    <n v="53.88"/>
    <x v="1"/>
    <n v="25"/>
    <n v="4.5999999999999996"/>
    <b v="1"/>
    <s v="Wrong Item"/>
  </r>
  <r>
    <s v="FB001307"/>
    <x v="2"/>
    <x v="3"/>
    <s v="Summer"/>
    <m/>
    <x v="0"/>
    <n v="69.78"/>
    <n v="3.7"/>
    <n v="67.2"/>
    <x v="1"/>
    <n v="14"/>
    <n v="3.2"/>
    <b v="0"/>
    <m/>
  </r>
  <r>
    <s v="FB001308"/>
    <x v="2"/>
    <x v="7"/>
    <s v="Spring"/>
    <m/>
    <x v="3"/>
    <n v="29.91"/>
    <n v="18.399999999999999"/>
    <n v="24.41"/>
    <x v="210"/>
    <n v="10"/>
    <n v="4.9000000000000004"/>
    <b v="0"/>
    <m/>
  </r>
  <r>
    <s v="FB001309"/>
    <x v="3"/>
    <x v="4"/>
    <s v="Fall"/>
    <s v="XL"/>
    <x v="2"/>
    <n v="187.11"/>
    <n v="43.3"/>
    <n v="106.09"/>
    <x v="1"/>
    <n v="26"/>
    <n v="3"/>
    <b v="0"/>
    <m/>
  </r>
  <r>
    <s v="FB001310"/>
    <x v="2"/>
    <x v="5"/>
    <s v="Summer"/>
    <m/>
    <x v="7"/>
    <n v="40.04"/>
    <n v="15.8"/>
    <n v="33.71"/>
    <x v="1"/>
    <n v="31"/>
    <n v="1.8"/>
    <b v="0"/>
    <m/>
  </r>
  <r>
    <s v="FB001311"/>
    <x v="5"/>
    <x v="3"/>
    <s v="Spring"/>
    <s v="XS"/>
    <x v="7"/>
    <n v="113.44"/>
    <n v="23.4"/>
    <n v="86.9"/>
    <x v="188"/>
    <n v="1"/>
    <n v="2.8372093023255811"/>
    <b v="0"/>
    <m/>
  </r>
  <r>
    <s v="FB001312"/>
    <x v="4"/>
    <x v="0"/>
    <s v="Spring"/>
    <s v="S"/>
    <x v="4"/>
    <n v="119.84"/>
    <n v="0"/>
    <n v="119.84"/>
    <x v="70"/>
    <n v="47"/>
    <n v="1.4"/>
    <b v="0"/>
    <m/>
  </r>
  <r>
    <s v="FB001313"/>
    <x v="3"/>
    <x v="1"/>
    <s v="Fall"/>
    <s v="XXL"/>
    <x v="10"/>
    <n v="167.27"/>
    <n v="0"/>
    <n v="167.27"/>
    <x v="1"/>
    <n v="9"/>
    <n v="4"/>
    <b v="0"/>
    <m/>
  </r>
  <r>
    <s v="FB001314"/>
    <x v="5"/>
    <x v="2"/>
    <s v="Spring"/>
    <s v="XL"/>
    <x v="5"/>
    <n v="148"/>
    <n v="1.1000000000000001"/>
    <n v="146.37"/>
    <x v="88"/>
    <n v="43"/>
    <n v="2"/>
    <b v="0"/>
    <m/>
  </r>
  <r>
    <s v="FB001315"/>
    <x v="4"/>
    <x v="4"/>
    <s v="Winter"/>
    <s v="XXL"/>
    <x v="0"/>
    <n v="65.34"/>
    <n v="49.8"/>
    <n v="32.799999999999997"/>
    <x v="1"/>
    <n v="9"/>
    <n v="3.0659090909090896"/>
    <b v="0"/>
    <m/>
  </r>
  <r>
    <s v="FB001316"/>
    <x v="3"/>
    <x v="2"/>
    <s v="Spring"/>
    <s v="M"/>
    <x v="6"/>
    <n v="84.57"/>
    <n v="5.4"/>
    <n v="80"/>
    <x v="58"/>
    <n v="33"/>
    <n v="3.1936170212765949"/>
    <b v="0"/>
    <m/>
  </r>
  <r>
    <s v="FB001317"/>
    <x v="4"/>
    <x v="6"/>
    <s v="Summer"/>
    <s v="XS"/>
    <x v="4"/>
    <n v="52.6"/>
    <n v="0"/>
    <n v="52.6"/>
    <x v="1"/>
    <n v="35"/>
    <n v="1.2"/>
    <b v="1"/>
    <s v="Color Mismatch"/>
  </r>
  <r>
    <s v="FB001318"/>
    <x v="3"/>
    <x v="1"/>
    <s v="Summer"/>
    <s v="L"/>
    <x v="6"/>
    <n v="106.37"/>
    <n v="0"/>
    <n v="106.37"/>
    <x v="1"/>
    <n v="30"/>
    <n v="1.1000000000000001"/>
    <b v="0"/>
    <m/>
  </r>
  <r>
    <s v="FB001319"/>
    <x v="1"/>
    <x v="6"/>
    <s v="Summer"/>
    <s v="XXL"/>
    <x v="2"/>
    <n v="96.77"/>
    <n v="40.4"/>
    <n v="57.67"/>
    <x v="1"/>
    <n v="31"/>
    <n v="4.5"/>
    <b v="0"/>
    <m/>
  </r>
  <r>
    <s v="FB001320"/>
    <x v="0"/>
    <x v="2"/>
    <s v="Spring"/>
    <s v="L"/>
    <x v="10"/>
    <n v="99.02"/>
    <n v="0"/>
    <n v="99.02"/>
    <x v="11"/>
    <n v="21"/>
    <n v="1.2"/>
    <b v="0"/>
    <m/>
  </r>
  <r>
    <s v="FB001321"/>
    <x v="2"/>
    <x v="0"/>
    <s v="Spring"/>
    <m/>
    <x v="9"/>
    <n v="68.89"/>
    <n v="36.9"/>
    <n v="43.47"/>
    <x v="211"/>
    <n v="9"/>
    <n v="1.8"/>
    <b v="0"/>
    <m/>
  </r>
  <r>
    <s v="FB001322"/>
    <x v="5"/>
    <x v="4"/>
    <s v="Spring"/>
    <s v="S"/>
    <x v="1"/>
    <n v="63.91"/>
    <n v="3.5"/>
    <n v="61.67"/>
    <x v="157"/>
    <n v="14"/>
    <n v="2.1"/>
    <b v="0"/>
    <m/>
  </r>
  <r>
    <s v="FB001323"/>
    <x v="3"/>
    <x v="3"/>
    <s v="Fall"/>
    <s v="S"/>
    <x v="8"/>
    <n v="116.38"/>
    <n v="11.4"/>
    <n v="103.11"/>
    <x v="1"/>
    <n v="15"/>
    <n v="2.9804347826086954"/>
    <b v="0"/>
    <m/>
  </r>
  <r>
    <s v="FB001324"/>
    <x v="4"/>
    <x v="1"/>
    <s v="Fall"/>
    <s v="XS"/>
    <x v="6"/>
    <n v="71.739999999999995"/>
    <n v="0"/>
    <n v="71.739999999999995"/>
    <x v="1"/>
    <n v="16"/>
    <n v="3.0846153846153843"/>
    <b v="0"/>
    <m/>
  </r>
  <r>
    <s v="FB001325"/>
    <x v="4"/>
    <x v="7"/>
    <s v="Winter"/>
    <s v="M"/>
    <x v="7"/>
    <n v="91.11"/>
    <n v="0"/>
    <n v="91.11"/>
    <x v="1"/>
    <n v="38"/>
    <n v="3.3"/>
    <b v="0"/>
    <m/>
  </r>
  <r>
    <s v="FB001326"/>
    <x v="2"/>
    <x v="0"/>
    <s v="Summer"/>
    <m/>
    <x v="3"/>
    <n v="46.07"/>
    <n v="0"/>
    <n v="46.07"/>
    <x v="1"/>
    <n v="25"/>
    <n v="2.5"/>
    <b v="0"/>
    <m/>
  </r>
  <r>
    <s v="FB001327"/>
    <x v="5"/>
    <x v="3"/>
    <s v="Fall"/>
    <s v="S"/>
    <x v="6"/>
    <n v="156.27000000000001"/>
    <n v="0"/>
    <n v="156.27000000000001"/>
    <x v="1"/>
    <n v="43"/>
    <n v="2.8372093023255811"/>
    <b v="0"/>
    <m/>
  </r>
  <r>
    <s v="FB001328"/>
    <x v="1"/>
    <x v="3"/>
    <s v="Fall"/>
    <s v="XS"/>
    <x v="1"/>
    <n v="56.35"/>
    <n v="0"/>
    <n v="56.35"/>
    <x v="1"/>
    <n v="31"/>
    <n v="1.5"/>
    <b v="0"/>
    <m/>
  </r>
  <r>
    <s v="FB001329"/>
    <x v="4"/>
    <x v="0"/>
    <s v="Winter"/>
    <s v="XS"/>
    <x v="9"/>
    <n v="118.21"/>
    <n v="23.1"/>
    <n v="90.9"/>
    <x v="1"/>
    <n v="15"/>
    <n v="5"/>
    <b v="0"/>
    <m/>
  </r>
  <r>
    <s v="FB001330"/>
    <x v="1"/>
    <x v="6"/>
    <s v="Fall"/>
    <s v="XS"/>
    <x v="7"/>
    <n v="25.86"/>
    <n v="0"/>
    <n v="25.86"/>
    <x v="1"/>
    <n v="46"/>
    <n v="1.5"/>
    <b v="0"/>
    <m/>
  </r>
  <r>
    <s v="FB001331"/>
    <x v="1"/>
    <x v="4"/>
    <s v="Fall"/>
    <s v="S"/>
    <x v="6"/>
    <n v="91.67"/>
    <n v="23.7"/>
    <n v="69.94"/>
    <x v="1"/>
    <n v="3"/>
    <n v="3.7"/>
    <b v="0"/>
    <m/>
  </r>
  <r>
    <s v="FB001332"/>
    <x v="4"/>
    <x v="1"/>
    <s v="Fall"/>
    <s v="L"/>
    <x v="5"/>
    <n v="25.29"/>
    <n v="7.9"/>
    <n v="23.29"/>
    <x v="1"/>
    <n v="39"/>
    <n v="1.7"/>
    <b v="0"/>
    <m/>
  </r>
  <r>
    <s v="FB001333"/>
    <x v="2"/>
    <x v="4"/>
    <s v="Winter"/>
    <m/>
    <x v="8"/>
    <n v="51.61"/>
    <n v="32.200000000000003"/>
    <n v="34.99"/>
    <x v="1"/>
    <n v="34"/>
    <n v="4.8"/>
    <b v="0"/>
    <m/>
  </r>
  <r>
    <s v="FB001334"/>
    <x v="0"/>
    <x v="2"/>
    <s v="Summer"/>
    <s v="XL"/>
    <x v="2"/>
    <n v="143.61000000000001"/>
    <n v="24.6"/>
    <n v="108.28"/>
    <x v="1"/>
    <n v="50"/>
    <n v="4.0999999999999996"/>
    <b v="0"/>
    <m/>
  </r>
  <r>
    <s v="FB001335"/>
    <x v="4"/>
    <x v="6"/>
    <s v="Summer"/>
    <s v="L"/>
    <x v="0"/>
    <n v="45.48"/>
    <n v="0"/>
    <n v="45.48"/>
    <x v="1"/>
    <n v="29"/>
    <n v="2.2999999999999998"/>
    <b v="0"/>
    <m/>
  </r>
  <r>
    <s v="FB001336"/>
    <x v="3"/>
    <x v="0"/>
    <s v="Summer"/>
    <m/>
    <x v="3"/>
    <n v="177.79"/>
    <n v="10.7"/>
    <n v="158.77000000000001"/>
    <x v="1"/>
    <n v="37"/>
    <n v="2.9153846153846157"/>
    <b v="0"/>
    <m/>
  </r>
  <r>
    <s v="FB001337"/>
    <x v="0"/>
    <x v="6"/>
    <s v="Fall"/>
    <s v="XS"/>
    <x v="9"/>
    <n v="145.1"/>
    <n v="34.200000000000003"/>
    <n v="95.48"/>
    <x v="1"/>
    <n v="14"/>
    <n v="2.9034482758620692"/>
    <b v="0"/>
    <m/>
  </r>
  <r>
    <s v="FB001338"/>
    <x v="3"/>
    <x v="5"/>
    <s v="Summer"/>
    <s v="XXL"/>
    <x v="8"/>
    <n v="190.78"/>
    <n v="0"/>
    <n v="190.78"/>
    <x v="1"/>
    <n v="39"/>
    <n v="3.7"/>
    <b v="0"/>
    <m/>
  </r>
  <r>
    <s v="FB001339"/>
    <x v="2"/>
    <x v="7"/>
    <s v="Fall"/>
    <m/>
    <x v="5"/>
    <n v="44.73"/>
    <n v="0"/>
    <n v="44.73"/>
    <x v="1"/>
    <n v="25"/>
    <n v="1.1000000000000001"/>
    <b v="0"/>
    <m/>
  </r>
  <r>
    <s v="FB001340"/>
    <x v="3"/>
    <x v="2"/>
    <s v="Winter"/>
    <s v="XXL"/>
    <x v="3"/>
    <n v="65.48"/>
    <n v="0"/>
    <n v="65.48"/>
    <x v="1"/>
    <n v="7"/>
    <n v="4.5999999999999996"/>
    <b v="0"/>
    <m/>
  </r>
  <r>
    <s v="FB001341"/>
    <x v="3"/>
    <x v="6"/>
    <s v="Spring"/>
    <s v="XS"/>
    <x v="9"/>
    <n v="86.1"/>
    <n v="0"/>
    <n v="86.1"/>
    <x v="61"/>
    <n v="4"/>
    <n v="2.4"/>
    <b v="0"/>
    <m/>
  </r>
  <r>
    <s v="FB001342"/>
    <x v="4"/>
    <x v="1"/>
    <s v="Winter"/>
    <s v="XS"/>
    <x v="6"/>
    <n v="100.14"/>
    <n v="0"/>
    <n v="100.14"/>
    <x v="1"/>
    <n v="48"/>
    <n v="4.2"/>
    <b v="0"/>
    <m/>
  </r>
  <r>
    <s v="FB001343"/>
    <x v="0"/>
    <x v="2"/>
    <s v="Winter"/>
    <m/>
    <x v="0"/>
    <n v="203.4"/>
    <n v="0"/>
    <n v="203.4"/>
    <x v="1"/>
    <n v="18"/>
    <n v="1.8"/>
    <b v="0"/>
    <m/>
  </r>
  <r>
    <s v="FB001344"/>
    <x v="1"/>
    <x v="6"/>
    <s v="Winter"/>
    <s v="XS"/>
    <x v="3"/>
    <n v="95.22"/>
    <n v="24.4"/>
    <n v="71.989999999999995"/>
    <x v="1"/>
    <n v="26"/>
    <n v="2.2999999999999998"/>
    <b v="0"/>
    <m/>
  </r>
  <r>
    <s v="FB001345"/>
    <x v="5"/>
    <x v="4"/>
    <s v="Fall"/>
    <s v="XL"/>
    <x v="0"/>
    <n v="173.88"/>
    <n v="31.6"/>
    <n v="118.93"/>
    <x v="1"/>
    <n v="5"/>
    <n v="3.2"/>
    <b v="0"/>
    <m/>
  </r>
  <r>
    <s v="FB001346"/>
    <x v="5"/>
    <x v="4"/>
    <s v="Winter"/>
    <s v="L"/>
    <x v="7"/>
    <n v="160.05000000000001"/>
    <n v="0"/>
    <n v="160.05000000000001"/>
    <x v="1"/>
    <n v="23"/>
    <n v="4"/>
    <b v="0"/>
    <m/>
  </r>
  <r>
    <s v="FB001347"/>
    <x v="1"/>
    <x v="7"/>
    <s v="Winter"/>
    <s v="XS"/>
    <x v="5"/>
    <n v="59.53"/>
    <n v="0"/>
    <n v="59.53"/>
    <x v="1"/>
    <n v="28"/>
    <n v="1.5"/>
    <b v="0"/>
    <m/>
  </r>
  <r>
    <s v="FB001348"/>
    <x v="5"/>
    <x v="3"/>
    <s v="Fall"/>
    <s v="XS"/>
    <x v="5"/>
    <n v="155.32"/>
    <n v="0"/>
    <n v="155.32"/>
    <x v="1"/>
    <n v="19"/>
    <n v="4.0999999999999996"/>
    <b v="0"/>
    <m/>
  </r>
  <r>
    <s v="FB001349"/>
    <x v="4"/>
    <x v="7"/>
    <s v="Spring"/>
    <s v="XL"/>
    <x v="2"/>
    <n v="29.65"/>
    <n v="41"/>
    <n v="17.489999999999998"/>
    <x v="212"/>
    <n v="21"/>
    <n v="4.5"/>
    <b v="1"/>
    <s v="Quality Issue"/>
  </r>
  <r>
    <s v="FB001350"/>
    <x v="0"/>
    <x v="3"/>
    <s v="Winter"/>
    <s v="XXL"/>
    <x v="10"/>
    <n v="237.53"/>
    <n v="23.2"/>
    <n v="182.42"/>
    <x v="1"/>
    <n v="23"/>
    <n v="2.2000000000000002"/>
    <b v="0"/>
    <m/>
  </r>
  <r>
    <s v="FB001351"/>
    <x v="0"/>
    <x v="5"/>
    <s v="Summer"/>
    <s v="M"/>
    <x v="1"/>
    <n v="81.67"/>
    <n v="0"/>
    <n v="81.67"/>
    <x v="1"/>
    <n v="34"/>
    <n v="3.1"/>
    <b v="1"/>
    <s v="Damaged"/>
  </r>
  <r>
    <s v="FB001352"/>
    <x v="4"/>
    <x v="2"/>
    <s v="Spring"/>
    <s v="M"/>
    <x v="7"/>
    <n v="37.07"/>
    <n v="0"/>
    <n v="37.07"/>
    <x v="213"/>
    <n v="13"/>
    <n v="3.0384615384615379"/>
    <b v="0"/>
    <m/>
  </r>
  <r>
    <s v="FB001353"/>
    <x v="1"/>
    <x v="1"/>
    <s v="Fall"/>
    <s v="XXL"/>
    <x v="9"/>
    <n v="80.97"/>
    <n v="0"/>
    <n v="80.97"/>
    <x v="1"/>
    <n v="13"/>
    <n v="3.34"/>
    <b v="0"/>
    <m/>
  </r>
  <r>
    <s v="FB001354"/>
    <x v="2"/>
    <x v="0"/>
    <s v="Spring"/>
    <m/>
    <x v="4"/>
    <n v="77.680000000000007"/>
    <n v="29.9"/>
    <n v="54.45"/>
    <x v="43"/>
    <n v="33"/>
    <n v="4"/>
    <b v="1"/>
    <s v="Damaged"/>
  </r>
  <r>
    <s v="FB001355"/>
    <x v="1"/>
    <x v="2"/>
    <s v="Summer"/>
    <s v="XXL"/>
    <x v="6"/>
    <n v="117.58"/>
    <n v="1"/>
    <n v="116.4"/>
    <x v="1"/>
    <n v="27"/>
    <n v="3.3"/>
    <b v="0"/>
    <m/>
  </r>
  <r>
    <s v="FB001356"/>
    <x v="0"/>
    <x v="3"/>
    <s v="Fall"/>
    <s v="XL"/>
    <x v="5"/>
    <n v="130.09"/>
    <n v="28.3"/>
    <n v="93.27"/>
    <x v="1"/>
    <n v="41"/>
    <n v="2.2999999999999998"/>
    <b v="0"/>
    <m/>
  </r>
  <r>
    <s v="FB001357"/>
    <x v="1"/>
    <x v="1"/>
    <s v="Fall"/>
    <s v="XS"/>
    <x v="9"/>
    <n v="63.69"/>
    <n v="0"/>
    <n v="63.69"/>
    <x v="1"/>
    <n v="11"/>
    <n v="3"/>
    <b v="0"/>
    <m/>
  </r>
  <r>
    <s v="FB001358"/>
    <x v="0"/>
    <x v="2"/>
    <s v="Spring"/>
    <s v="XL"/>
    <x v="0"/>
    <n v="135.02000000000001"/>
    <n v="0"/>
    <n v="135.02000000000001"/>
    <x v="158"/>
    <n v="25"/>
    <n v="3.4"/>
    <b v="1"/>
    <s v="Changed Mind"/>
  </r>
  <r>
    <s v="FB001359"/>
    <x v="2"/>
    <x v="4"/>
    <s v="Winter"/>
    <m/>
    <x v="7"/>
    <n v="45.37"/>
    <n v="0"/>
    <n v="45.37"/>
    <x v="1"/>
    <n v="19"/>
    <n v="1.1000000000000001"/>
    <b v="0"/>
    <m/>
  </r>
  <r>
    <s v="FB001360"/>
    <x v="4"/>
    <x v="0"/>
    <s v="Winter"/>
    <s v="XL"/>
    <x v="10"/>
    <n v="51.17"/>
    <n v="8"/>
    <n v="47.08"/>
    <x v="1"/>
    <n v="7"/>
    <n v="2.9210526315789478"/>
    <b v="0"/>
    <m/>
  </r>
  <r>
    <s v="FB001361"/>
    <x v="5"/>
    <x v="7"/>
    <s v="Summer"/>
    <s v="XXL"/>
    <x v="10"/>
    <n v="49.34"/>
    <n v="5.5"/>
    <n v="46.63"/>
    <x v="1"/>
    <n v="10"/>
    <n v="4.3"/>
    <b v="0"/>
    <m/>
  </r>
  <r>
    <s v="FB001362"/>
    <x v="3"/>
    <x v="1"/>
    <s v="Spring"/>
    <s v="S"/>
    <x v="6"/>
    <n v="119.78"/>
    <n v="0"/>
    <n v="119.78"/>
    <x v="82"/>
    <n v="40"/>
    <n v="2.8205128205128198"/>
    <b v="0"/>
    <m/>
  </r>
  <r>
    <s v="FB001363"/>
    <x v="1"/>
    <x v="2"/>
    <s v="Spring"/>
    <s v="S"/>
    <x v="4"/>
    <n v="77.3"/>
    <n v="35.1"/>
    <n v="50.17"/>
    <x v="214"/>
    <n v="16"/>
    <n v="2.953125"/>
    <b v="0"/>
    <m/>
  </r>
  <r>
    <s v="FB001364"/>
    <x v="1"/>
    <x v="6"/>
    <s v="Fall"/>
    <s v="XS"/>
    <x v="0"/>
    <n v="72.69"/>
    <n v="0"/>
    <n v="72.69"/>
    <x v="1"/>
    <n v="6"/>
    <n v="2.9074999999999998"/>
    <b v="0"/>
    <m/>
  </r>
  <r>
    <s v="FB001365"/>
    <x v="3"/>
    <x v="6"/>
    <s v="Fall"/>
    <s v="XL"/>
    <x v="10"/>
    <n v="117.57"/>
    <n v="0"/>
    <n v="117.57"/>
    <x v="1"/>
    <n v="30"/>
    <n v="4.8"/>
    <b v="0"/>
    <m/>
  </r>
  <r>
    <s v="FB001366"/>
    <x v="0"/>
    <x v="7"/>
    <s v="Spring"/>
    <s v="S"/>
    <x v="6"/>
    <n v="161.25"/>
    <n v="48.4"/>
    <n v="83.2"/>
    <x v="215"/>
    <n v="32"/>
    <n v="2.9718749999999998"/>
    <b v="0"/>
    <m/>
  </r>
  <r>
    <s v="FB001367"/>
    <x v="3"/>
    <x v="5"/>
    <s v="Fall"/>
    <s v="S"/>
    <x v="9"/>
    <n v="158.01"/>
    <n v="0"/>
    <n v="158.01"/>
    <x v="1"/>
    <n v="19"/>
    <n v="2.6"/>
    <b v="0"/>
    <m/>
  </r>
  <r>
    <s v="FB001368"/>
    <x v="1"/>
    <x v="5"/>
    <s v="Summer"/>
    <s v="L"/>
    <x v="5"/>
    <n v="60.92"/>
    <n v="0"/>
    <n v="60.92"/>
    <x v="1"/>
    <n v="25"/>
    <n v="2.9846153846153847"/>
    <b v="1"/>
    <s v="Quality Issue"/>
  </r>
  <r>
    <s v="FB001369"/>
    <x v="3"/>
    <x v="4"/>
    <s v="Summer"/>
    <s v="XL"/>
    <x v="4"/>
    <n v="122.03"/>
    <n v="25.2"/>
    <n v="91.28"/>
    <x v="1"/>
    <n v="21"/>
    <n v="4.7"/>
    <b v="0"/>
    <m/>
  </r>
  <r>
    <s v="FB001370"/>
    <x v="3"/>
    <x v="3"/>
    <s v="Spring"/>
    <s v="S"/>
    <x v="10"/>
    <n v="109.15"/>
    <n v="0"/>
    <n v="109.15"/>
    <x v="215"/>
    <n v="11"/>
    <n v="2.9804347826086954"/>
    <b v="0"/>
    <m/>
  </r>
  <r>
    <s v="FB001371"/>
    <x v="4"/>
    <x v="5"/>
    <s v="Fall"/>
    <s v="M"/>
    <x v="7"/>
    <n v="60.97"/>
    <n v="0"/>
    <n v="60.97"/>
    <x v="1"/>
    <n v="29"/>
    <n v="4.5"/>
    <b v="0"/>
    <m/>
  </r>
  <r>
    <s v="FB001372"/>
    <x v="2"/>
    <x v="1"/>
    <s v="Summer"/>
    <m/>
    <x v="1"/>
    <n v="64.87"/>
    <n v="35.299999999999997"/>
    <n v="41.97"/>
    <x v="1"/>
    <n v="12"/>
    <n v="4.2"/>
    <b v="1"/>
    <s v="Size Issue"/>
  </r>
  <r>
    <s v="FB001373"/>
    <x v="3"/>
    <x v="3"/>
    <s v="Fall"/>
    <s v="S"/>
    <x v="1"/>
    <n v="151.35"/>
    <n v="0"/>
    <n v="151.35"/>
    <x v="1"/>
    <n v="18"/>
    <n v="2.9804347826086954"/>
    <b v="0"/>
    <m/>
  </r>
  <r>
    <s v="FB001374"/>
    <x v="2"/>
    <x v="6"/>
    <s v="Winter"/>
    <m/>
    <x v="5"/>
    <n v="72.900000000000006"/>
    <n v="44"/>
    <n v="40.82"/>
    <x v="1"/>
    <n v="25"/>
    <n v="3"/>
    <b v="0"/>
    <m/>
  </r>
  <r>
    <s v="FB001375"/>
    <x v="2"/>
    <x v="6"/>
    <s v="Winter"/>
    <m/>
    <x v="9"/>
    <n v="79.48"/>
    <n v="0"/>
    <n v="79.48"/>
    <x v="1"/>
    <n v="2"/>
    <n v="3.3"/>
    <b v="0"/>
    <m/>
  </r>
  <r>
    <s v="FB001376"/>
    <x v="3"/>
    <x v="3"/>
    <s v="Fall"/>
    <s v="M"/>
    <x v="7"/>
    <n v="122.77"/>
    <n v="59.8"/>
    <n v="49.35"/>
    <x v="1"/>
    <n v="33"/>
    <n v="4"/>
    <b v="0"/>
    <m/>
  </r>
  <r>
    <s v="FB001377"/>
    <x v="4"/>
    <x v="7"/>
    <s v="Summer"/>
    <s v="XL"/>
    <x v="2"/>
    <n v="79.61"/>
    <n v="0"/>
    <n v="79.61"/>
    <x v="1"/>
    <n v="29"/>
    <n v="3.7"/>
    <b v="0"/>
    <m/>
  </r>
  <r>
    <s v="FB001378"/>
    <x v="4"/>
    <x v="1"/>
    <s v="Winter"/>
    <s v="L"/>
    <x v="3"/>
    <n v="60.13"/>
    <n v="0"/>
    <n v="60.13"/>
    <x v="1"/>
    <n v="27"/>
    <n v="3.0846153846153843"/>
    <b v="0"/>
    <m/>
  </r>
  <r>
    <s v="FB001379"/>
    <x v="2"/>
    <x v="6"/>
    <s v="Winter"/>
    <m/>
    <x v="4"/>
    <n v="72.260000000000005"/>
    <n v="41"/>
    <n v="42.63"/>
    <x v="1"/>
    <n v="43"/>
    <n v="3.5"/>
    <b v="0"/>
    <m/>
  </r>
  <r>
    <s v="FB001380"/>
    <x v="4"/>
    <x v="3"/>
    <s v="Summer"/>
    <s v="XL"/>
    <x v="6"/>
    <n v="66.38"/>
    <n v="17"/>
    <n v="55.1"/>
    <x v="1"/>
    <n v="24"/>
    <n v="4.9000000000000004"/>
    <b v="1"/>
    <s v="Size Issue"/>
  </r>
  <r>
    <s v="FB001381"/>
    <x v="0"/>
    <x v="5"/>
    <s v="Spring"/>
    <s v="XS"/>
    <x v="7"/>
    <n v="100.27"/>
    <n v="0"/>
    <n v="100.27"/>
    <x v="210"/>
    <n v="37"/>
    <n v="3.1"/>
    <b v="0"/>
    <m/>
  </r>
  <r>
    <s v="FB001382"/>
    <x v="5"/>
    <x v="0"/>
    <s v="Summer"/>
    <s v="S"/>
    <x v="7"/>
    <n v="116.09"/>
    <n v="52.8"/>
    <n v="54.79"/>
    <x v="1"/>
    <n v="22"/>
    <n v="3.0424242424242425"/>
    <b v="0"/>
    <m/>
  </r>
  <r>
    <s v="FB001383"/>
    <x v="0"/>
    <x v="3"/>
    <s v="Fall"/>
    <s v="S"/>
    <x v="3"/>
    <n v="80.709999999999994"/>
    <n v="0.9"/>
    <n v="79.98"/>
    <x v="1"/>
    <n v="11"/>
    <n v="1.1000000000000001"/>
    <b v="0"/>
    <m/>
  </r>
  <r>
    <s v="FB001384"/>
    <x v="5"/>
    <x v="2"/>
    <s v="Summer"/>
    <s v="M"/>
    <x v="5"/>
    <n v="175.11"/>
    <n v="0"/>
    <n v="175.11"/>
    <x v="1"/>
    <n v="39"/>
    <n v="2.9"/>
    <b v="0"/>
    <m/>
  </r>
  <r>
    <s v="FB001385"/>
    <x v="5"/>
    <x v="3"/>
    <s v="Fall"/>
    <s v="XS"/>
    <x v="10"/>
    <n v="122.35"/>
    <n v="37"/>
    <n v="77.08"/>
    <x v="1"/>
    <n v="25"/>
    <n v="2.8372093023255811"/>
    <b v="0"/>
    <m/>
  </r>
  <r>
    <s v="FB001386"/>
    <x v="3"/>
    <x v="1"/>
    <s v="Winter"/>
    <s v="S"/>
    <x v="5"/>
    <n v="127.99"/>
    <n v="0"/>
    <n v="127.99"/>
    <x v="1"/>
    <n v="14"/>
    <n v="2.7"/>
    <b v="0"/>
    <m/>
  </r>
  <r>
    <s v="FB001387"/>
    <x v="4"/>
    <x v="0"/>
    <s v="Summer"/>
    <s v="S"/>
    <x v="10"/>
    <n v="101.07"/>
    <n v="4.5999999999999996"/>
    <n v="96.42"/>
    <x v="1"/>
    <n v="19"/>
    <n v="4.7"/>
    <b v="0"/>
    <m/>
  </r>
  <r>
    <s v="FB001388"/>
    <x v="4"/>
    <x v="7"/>
    <s v="Winter"/>
    <s v="L"/>
    <x v="10"/>
    <n v="41.83"/>
    <n v="44.1"/>
    <n v="23.38"/>
    <x v="1"/>
    <n v="6"/>
    <n v="2.4"/>
    <b v="0"/>
    <m/>
  </r>
  <r>
    <s v="FB001389"/>
    <x v="3"/>
    <x v="4"/>
    <s v="Spring"/>
    <s v="M"/>
    <x v="6"/>
    <n v="147.52000000000001"/>
    <n v="0"/>
    <n v="147.52000000000001"/>
    <x v="216"/>
    <n v="41"/>
    <n v="4"/>
    <b v="0"/>
    <m/>
  </r>
  <r>
    <s v="FB001390"/>
    <x v="1"/>
    <x v="2"/>
    <s v="Fall"/>
    <s v="S"/>
    <x v="4"/>
    <n v="85.94"/>
    <n v="0"/>
    <n v="85.94"/>
    <x v="1"/>
    <n v="49"/>
    <n v="1.5"/>
    <b v="0"/>
    <m/>
  </r>
  <r>
    <s v="FB001391"/>
    <x v="5"/>
    <x v="6"/>
    <s v="Winter"/>
    <s v="XXL"/>
    <x v="6"/>
    <n v="115.61"/>
    <n v="0"/>
    <n v="115.61"/>
    <x v="1"/>
    <n v="35"/>
    <n v="1.8"/>
    <b v="0"/>
    <m/>
  </r>
  <r>
    <s v="FB001392"/>
    <x v="0"/>
    <x v="5"/>
    <s v="Winter"/>
    <s v="XS"/>
    <x v="1"/>
    <n v="90.58"/>
    <n v="0"/>
    <n v="90.58"/>
    <x v="1"/>
    <n v="1"/>
    <n v="1"/>
    <b v="0"/>
    <m/>
  </r>
  <r>
    <s v="FB001393"/>
    <x v="1"/>
    <x v="6"/>
    <s v="Spring"/>
    <s v="S"/>
    <x v="0"/>
    <n v="64.84"/>
    <n v="0"/>
    <n v="64.84"/>
    <x v="129"/>
    <n v="25"/>
    <n v="3.9"/>
    <b v="0"/>
    <m/>
  </r>
  <r>
    <s v="FB001394"/>
    <x v="4"/>
    <x v="2"/>
    <s v="Summer"/>
    <s v="XS"/>
    <x v="2"/>
    <n v="37.270000000000003"/>
    <n v="0"/>
    <n v="37.270000000000003"/>
    <x v="1"/>
    <n v="27"/>
    <n v="2.8"/>
    <b v="1"/>
    <s v="Changed Mind"/>
  </r>
  <r>
    <s v="FB001395"/>
    <x v="1"/>
    <x v="6"/>
    <s v="Summer"/>
    <s v="XL"/>
    <x v="5"/>
    <n v="90.48"/>
    <n v="55.2"/>
    <n v="40.54"/>
    <x v="1"/>
    <n v="26"/>
    <n v="3"/>
    <b v="0"/>
    <m/>
  </r>
  <r>
    <s v="FB001396"/>
    <x v="3"/>
    <x v="6"/>
    <s v="Summer"/>
    <s v="S"/>
    <x v="6"/>
    <n v="159.62"/>
    <n v="58.4"/>
    <n v="66.400000000000006"/>
    <x v="1"/>
    <n v="45"/>
    <n v="1.1000000000000001"/>
    <b v="0"/>
    <m/>
  </r>
  <r>
    <s v="FB001397"/>
    <x v="3"/>
    <x v="5"/>
    <s v="Summer"/>
    <s v="L"/>
    <x v="4"/>
    <n v="81.459999999999994"/>
    <n v="58.8"/>
    <n v="33.56"/>
    <x v="1"/>
    <n v="37"/>
    <n v="4.5999999999999996"/>
    <b v="0"/>
    <m/>
  </r>
  <r>
    <s v="FB001398"/>
    <x v="3"/>
    <x v="7"/>
    <s v="Winter"/>
    <s v="XS"/>
    <x v="3"/>
    <n v="93.63"/>
    <n v="0"/>
    <n v="93.63"/>
    <x v="1"/>
    <n v="47"/>
    <n v="4.0999999999999996"/>
    <b v="0"/>
    <m/>
  </r>
  <r>
    <s v="FB001399"/>
    <x v="1"/>
    <x v="5"/>
    <s v="Summer"/>
    <s v="M"/>
    <x v="10"/>
    <n v="95.55"/>
    <n v="0"/>
    <n v="95.55"/>
    <x v="1"/>
    <n v="25"/>
    <n v="4.7"/>
    <b v="0"/>
    <m/>
  </r>
  <r>
    <s v="FB001400"/>
    <x v="0"/>
    <x v="0"/>
    <s v="Winter"/>
    <s v="M"/>
    <x v="3"/>
    <n v="146.44999999999999"/>
    <n v="0"/>
    <n v="146.44999999999999"/>
    <x v="1"/>
    <n v="45"/>
    <n v="3.4"/>
    <b v="0"/>
    <m/>
  </r>
  <r>
    <s v="FB001401"/>
    <x v="3"/>
    <x v="2"/>
    <s v="Spring"/>
    <s v="M"/>
    <x v="5"/>
    <n v="96.9"/>
    <n v="0"/>
    <n v="96.9"/>
    <x v="135"/>
    <n v="24"/>
    <n v="4.3"/>
    <b v="0"/>
    <m/>
  </r>
  <r>
    <s v="FB001402"/>
    <x v="1"/>
    <x v="2"/>
    <s v="Fall"/>
    <s v="XXL"/>
    <x v="10"/>
    <n v="71.83"/>
    <n v="0"/>
    <n v="71.83"/>
    <x v="1"/>
    <n v="46"/>
    <n v="4.5"/>
    <b v="0"/>
    <m/>
  </r>
  <r>
    <s v="FB001403"/>
    <x v="1"/>
    <x v="4"/>
    <s v="Summer"/>
    <s v="L"/>
    <x v="8"/>
    <n v="29.17"/>
    <n v="0"/>
    <n v="29.17"/>
    <x v="1"/>
    <n v="17"/>
    <n v="1.6"/>
    <b v="0"/>
    <m/>
  </r>
  <r>
    <s v="FB001404"/>
    <x v="1"/>
    <x v="4"/>
    <s v="Spring"/>
    <s v="S"/>
    <x v="6"/>
    <n v="31.3"/>
    <n v="43.6"/>
    <n v="17.649999999999999"/>
    <x v="118"/>
    <n v="21"/>
    <n v="4.4000000000000004"/>
    <b v="0"/>
    <m/>
  </r>
  <r>
    <s v="FB001405"/>
    <x v="2"/>
    <x v="0"/>
    <s v="Fall"/>
    <m/>
    <x v="6"/>
    <n v="73.569999999999993"/>
    <n v="0"/>
    <n v="73.569999999999993"/>
    <x v="1"/>
    <n v="22"/>
    <n v="1.1000000000000001"/>
    <b v="0"/>
    <m/>
  </r>
  <r>
    <s v="FB001406"/>
    <x v="3"/>
    <x v="3"/>
    <s v="Summer"/>
    <m/>
    <x v="1"/>
    <n v="75.95"/>
    <n v="0"/>
    <n v="75.95"/>
    <x v="1"/>
    <n v="14"/>
    <n v="2.9804347826086954"/>
    <b v="0"/>
    <m/>
  </r>
  <r>
    <s v="FB001407"/>
    <x v="2"/>
    <x v="4"/>
    <s v="Spring"/>
    <m/>
    <x v="6"/>
    <n v="79.040000000000006"/>
    <n v="0"/>
    <n v="79.040000000000006"/>
    <x v="45"/>
    <n v="28"/>
    <n v="4.7"/>
    <b v="0"/>
    <m/>
  </r>
  <r>
    <s v="FB001408"/>
    <x v="1"/>
    <x v="3"/>
    <s v="Fall"/>
    <s v="L"/>
    <x v="3"/>
    <n v="26.85"/>
    <n v="0"/>
    <n v="26.85"/>
    <x v="1"/>
    <n v="26"/>
    <n v="2.9742857142857138"/>
    <b v="0"/>
    <m/>
  </r>
  <r>
    <s v="FB001409"/>
    <x v="5"/>
    <x v="5"/>
    <s v="Spring"/>
    <s v="L"/>
    <x v="4"/>
    <n v="126.21"/>
    <n v="29.2"/>
    <n v="89.36"/>
    <x v="217"/>
    <n v="25"/>
    <n v="1.1000000000000001"/>
    <b v="0"/>
    <m/>
  </r>
  <r>
    <s v="FB001410"/>
    <x v="3"/>
    <x v="3"/>
    <s v="Fall"/>
    <s v="S"/>
    <x v="8"/>
    <n v="71.459999999999994"/>
    <n v="0"/>
    <n v="71.459999999999994"/>
    <x v="1"/>
    <n v="2"/>
    <n v="3.1"/>
    <b v="0"/>
    <m/>
  </r>
  <r>
    <s v="FB001411"/>
    <x v="5"/>
    <x v="3"/>
    <s v="Winter"/>
    <s v="M"/>
    <x v="7"/>
    <n v="65.069999999999993"/>
    <n v="14.8"/>
    <n v="55.44"/>
    <x v="1"/>
    <n v="21"/>
    <n v="2.8372093023255811"/>
    <b v="0"/>
    <m/>
  </r>
  <r>
    <s v="FB001412"/>
    <x v="4"/>
    <x v="3"/>
    <s v="Fall"/>
    <s v="XL"/>
    <x v="1"/>
    <n v="28.11"/>
    <n v="20.9"/>
    <n v="22.24"/>
    <x v="1"/>
    <n v="6"/>
    <n v="2.2999999999999998"/>
    <b v="0"/>
    <m/>
  </r>
  <r>
    <s v="FB001413"/>
    <x v="1"/>
    <x v="4"/>
    <s v="Spring"/>
    <s v="L"/>
    <x v="6"/>
    <n v="29.12"/>
    <n v="0"/>
    <n v="29.12"/>
    <x v="119"/>
    <n v="14"/>
    <n v="2.7"/>
    <b v="0"/>
    <m/>
  </r>
  <r>
    <s v="FB001414"/>
    <x v="2"/>
    <x v="7"/>
    <s v="Winter"/>
    <m/>
    <x v="2"/>
    <n v="57.1"/>
    <n v="0"/>
    <n v="57.1"/>
    <x v="1"/>
    <n v="28"/>
    <n v="2.8636363636363633"/>
    <b v="1"/>
    <s v="Wrong Item"/>
  </r>
  <r>
    <s v="FB001415"/>
    <x v="0"/>
    <x v="1"/>
    <s v="Spring"/>
    <s v="M"/>
    <x v="2"/>
    <n v="248.05"/>
    <n v="0"/>
    <n v="248.05"/>
    <x v="56"/>
    <n v="17"/>
    <n v="4.5999999999999996"/>
    <b v="0"/>
    <m/>
  </r>
  <r>
    <s v="FB001416"/>
    <x v="4"/>
    <x v="0"/>
    <s v="Fall"/>
    <s v="S"/>
    <x v="4"/>
    <n v="108.59"/>
    <n v="40.6"/>
    <n v="64.5"/>
    <x v="1"/>
    <n v="9"/>
    <n v="1.3"/>
    <b v="0"/>
    <m/>
  </r>
  <r>
    <s v="FB001417"/>
    <x v="0"/>
    <x v="7"/>
    <s v="Summer"/>
    <s v="XL"/>
    <x v="7"/>
    <n v="124.13"/>
    <n v="0"/>
    <n v="124.13"/>
    <x v="1"/>
    <n v="33"/>
    <n v="5"/>
    <b v="0"/>
    <m/>
  </r>
  <r>
    <s v="FB001418"/>
    <x v="2"/>
    <x v="0"/>
    <s v="Spring"/>
    <m/>
    <x v="10"/>
    <n v="62.21"/>
    <n v="1.8"/>
    <n v="61.09"/>
    <x v="40"/>
    <n v="4"/>
    <n v="2.2999999999999998"/>
    <b v="0"/>
    <m/>
  </r>
  <r>
    <s v="FB001419"/>
    <x v="4"/>
    <x v="1"/>
    <s v="Fall"/>
    <s v="M"/>
    <x v="4"/>
    <n v="48.27"/>
    <n v="0"/>
    <n v="48.27"/>
    <x v="1"/>
    <n v="33"/>
    <n v="3.0846153846153843"/>
    <b v="0"/>
    <m/>
  </r>
  <r>
    <s v="FB001420"/>
    <x v="1"/>
    <x v="0"/>
    <s v="Spring"/>
    <s v="XL"/>
    <x v="5"/>
    <n v="88.77"/>
    <n v="0"/>
    <n v="88.77"/>
    <x v="131"/>
    <n v="40"/>
    <n v="4.8"/>
    <b v="0"/>
    <m/>
  </r>
  <r>
    <s v="FB001421"/>
    <x v="5"/>
    <x v="6"/>
    <s v="Fall"/>
    <s v="M"/>
    <x v="8"/>
    <n v="94.17"/>
    <n v="0"/>
    <n v="94.17"/>
    <x v="1"/>
    <n v="2"/>
    <n v="2.980952380952381"/>
    <b v="0"/>
    <m/>
  </r>
  <r>
    <s v="FB001422"/>
    <x v="2"/>
    <x v="7"/>
    <s v="Fall"/>
    <m/>
    <x v="2"/>
    <n v="30.44"/>
    <n v="0"/>
    <n v="30.44"/>
    <x v="1"/>
    <n v="42"/>
    <n v="2.8636363636363633"/>
    <b v="0"/>
    <m/>
  </r>
  <r>
    <s v="FB001423"/>
    <x v="4"/>
    <x v="1"/>
    <s v="Fall"/>
    <s v="XS"/>
    <x v="9"/>
    <n v="114.29"/>
    <n v="0"/>
    <n v="114.29"/>
    <x v="1"/>
    <n v="9"/>
    <n v="3.2"/>
    <b v="0"/>
    <m/>
  </r>
  <r>
    <s v="FB001424"/>
    <x v="3"/>
    <x v="1"/>
    <s v="Fall"/>
    <s v="XL"/>
    <x v="4"/>
    <n v="105.01"/>
    <n v="25.8"/>
    <n v="77.92"/>
    <x v="1"/>
    <n v="17"/>
    <n v="3.2"/>
    <b v="0"/>
    <m/>
  </r>
  <r>
    <s v="FB001425"/>
    <x v="1"/>
    <x v="5"/>
    <s v="Spring"/>
    <s v="XL"/>
    <x v="5"/>
    <n v="38.56"/>
    <n v="0"/>
    <n v="38.56"/>
    <x v="204"/>
    <n v="39"/>
    <n v="1.5"/>
    <b v="0"/>
    <m/>
  </r>
  <r>
    <s v="FB001426"/>
    <x v="3"/>
    <x v="3"/>
    <s v="Winter"/>
    <s v="L"/>
    <x v="9"/>
    <n v="64.94"/>
    <n v="0"/>
    <n v="64.94"/>
    <x v="1"/>
    <n v="32"/>
    <n v="4.5"/>
    <b v="0"/>
    <m/>
  </r>
  <r>
    <s v="FB001427"/>
    <x v="4"/>
    <x v="3"/>
    <s v="Winter"/>
    <s v="S"/>
    <x v="6"/>
    <n v="63.74"/>
    <n v="56.8"/>
    <n v="27.54"/>
    <x v="1"/>
    <n v="15"/>
    <n v="4"/>
    <b v="0"/>
    <m/>
  </r>
  <r>
    <s v="FB001428"/>
    <x v="1"/>
    <x v="0"/>
    <s v="Summer"/>
    <s v="XL"/>
    <x v="1"/>
    <n v="67.23"/>
    <n v="11.1"/>
    <n v="59.77"/>
    <x v="1"/>
    <n v="39"/>
    <n v="1.1000000000000001"/>
    <b v="1"/>
    <s v="Wrong Item"/>
  </r>
  <r>
    <s v="FB001429"/>
    <x v="2"/>
    <x v="4"/>
    <s v="Spring"/>
    <m/>
    <x v="5"/>
    <n v="27.2"/>
    <n v="40.4"/>
    <n v="16.21"/>
    <x v="218"/>
    <n v="20"/>
    <n v="4.3"/>
    <b v="0"/>
    <m/>
  </r>
  <r>
    <s v="FB001430"/>
    <x v="1"/>
    <x v="3"/>
    <s v="Spring"/>
    <s v="XL"/>
    <x v="10"/>
    <n v="75.84"/>
    <n v="0"/>
    <n v="75.84"/>
    <x v="219"/>
    <n v="8"/>
    <n v="4.0999999999999996"/>
    <b v="0"/>
    <m/>
  </r>
  <r>
    <s v="FB001431"/>
    <x v="5"/>
    <x v="3"/>
    <s v="Winter"/>
    <s v="M"/>
    <x v="8"/>
    <n v="68.510000000000005"/>
    <n v="0"/>
    <n v="68.510000000000005"/>
    <x v="1"/>
    <n v="1"/>
    <n v="2.6"/>
    <b v="0"/>
    <m/>
  </r>
  <r>
    <s v="FB001432"/>
    <x v="2"/>
    <x v="3"/>
    <s v="Summer"/>
    <m/>
    <x v="9"/>
    <n v="25.49"/>
    <n v="0"/>
    <n v="25.49"/>
    <x v="1"/>
    <n v="35"/>
    <n v="2.2000000000000002"/>
    <b v="1"/>
    <s v="Size Issue"/>
  </r>
  <r>
    <s v="FB001433"/>
    <x v="1"/>
    <x v="5"/>
    <s v="Fall"/>
    <s v="XS"/>
    <x v="0"/>
    <n v="70.88"/>
    <n v="0"/>
    <n v="70.88"/>
    <x v="1"/>
    <n v="5"/>
    <n v="2.2999999999999998"/>
    <b v="0"/>
    <m/>
  </r>
  <r>
    <s v="FB001434"/>
    <x v="3"/>
    <x v="4"/>
    <s v="Summer"/>
    <s v="XS"/>
    <x v="3"/>
    <n v="176.64"/>
    <n v="8.8000000000000007"/>
    <n v="161.1"/>
    <x v="1"/>
    <n v="1"/>
    <n v="1.7"/>
    <b v="0"/>
    <m/>
  </r>
  <r>
    <s v="FB001435"/>
    <x v="5"/>
    <x v="5"/>
    <s v="Winter"/>
    <s v="L"/>
    <x v="0"/>
    <n v="50.76"/>
    <n v="0"/>
    <n v="50.76"/>
    <x v="1"/>
    <n v="45"/>
    <n v="4.3"/>
    <b v="0"/>
    <m/>
  </r>
  <r>
    <s v="FB001436"/>
    <x v="3"/>
    <x v="3"/>
    <s v="Fall"/>
    <s v="XL"/>
    <x v="1"/>
    <n v="155.85"/>
    <n v="0"/>
    <n v="155.85"/>
    <x v="1"/>
    <n v="1"/>
    <n v="3.5"/>
    <b v="0"/>
    <m/>
  </r>
  <r>
    <s v="FB001437"/>
    <x v="5"/>
    <x v="2"/>
    <s v="Spring"/>
    <s v="XL"/>
    <x v="5"/>
    <n v="48.04"/>
    <n v="0"/>
    <n v="48.04"/>
    <x v="213"/>
    <n v="20"/>
    <n v="3.2"/>
    <b v="0"/>
    <m/>
  </r>
  <r>
    <s v="FB001438"/>
    <x v="1"/>
    <x v="7"/>
    <s v="Spring"/>
    <s v="XS"/>
    <x v="8"/>
    <n v="44.79"/>
    <n v="0"/>
    <n v="44.79"/>
    <x v="137"/>
    <n v="7"/>
    <n v="3.6"/>
    <b v="0"/>
    <m/>
  </r>
  <r>
    <s v="FB001439"/>
    <x v="1"/>
    <x v="1"/>
    <s v="Spring"/>
    <s v="XS"/>
    <x v="5"/>
    <n v="76.95"/>
    <n v="0"/>
    <n v="76.95"/>
    <x v="195"/>
    <n v="9"/>
    <n v="2.5"/>
    <b v="0"/>
    <m/>
  </r>
  <r>
    <s v="FB001440"/>
    <x v="2"/>
    <x v="6"/>
    <s v="Summer"/>
    <m/>
    <x v="4"/>
    <n v="35.93"/>
    <n v="49.9"/>
    <n v="18"/>
    <x v="1"/>
    <n v="26"/>
    <n v="4"/>
    <b v="0"/>
    <m/>
  </r>
  <r>
    <s v="FB001441"/>
    <x v="4"/>
    <x v="2"/>
    <s v="Fall"/>
    <s v="XL"/>
    <x v="0"/>
    <n v="49.97"/>
    <n v="0"/>
    <n v="49.97"/>
    <x v="1"/>
    <n v="11"/>
    <n v="3.5"/>
    <b v="1"/>
    <s v="Quality Issue"/>
  </r>
  <r>
    <s v="FB001442"/>
    <x v="0"/>
    <x v="4"/>
    <s v="Summer"/>
    <m/>
    <x v="2"/>
    <n v="169.69"/>
    <n v="0"/>
    <n v="169.69"/>
    <x v="1"/>
    <n v="29"/>
    <n v="1.9"/>
    <b v="0"/>
    <m/>
  </r>
  <r>
    <s v="FB001443"/>
    <x v="0"/>
    <x v="5"/>
    <s v="Spring"/>
    <m/>
    <x v="3"/>
    <n v="209.3"/>
    <n v="14.2"/>
    <n v="179.58"/>
    <x v="34"/>
    <n v="29"/>
    <n v="3.0305555555555546"/>
    <b v="0"/>
    <m/>
  </r>
  <r>
    <s v="FB001444"/>
    <x v="1"/>
    <x v="6"/>
    <s v="Summer"/>
    <s v="XXL"/>
    <x v="1"/>
    <n v="110.81"/>
    <n v="0"/>
    <n v="110.81"/>
    <x v="1"/>
    <n v="24"/>
    <n v="2.4"/>
    <b v="0"/>
    <m/>
  </r>
  <r>
    <s v="FB001445"/>
    <x v="2"/>
    <x v="1"/>
    <s v="Fall"/>
    <m/>
    <x v="2"/>
    <n v="61.84"/>
    <n v="0"/>
    <n v="61.84"/>
    <x v="1"/>
    <n v="0"/>
    <n v="4.7"/>
    <b v="1"/>
    <s v="Wrong Item"/>
  </r>
  <r>
    <s v="FB001446"/>
    <x v="0"/>
    <x v="0"/>
    <s v="Spring"/>
    <s v="S"/>
    <x v="10"/>
    <n v="190.03"/>
    <n v="14.9"/>
    <n v="161.72"/>
    <x v="43"/>
    <n v="35"/>
    <n v="4.0999999999999996"/>
    <b v="0"/>
    <m/>
  </r>
  <r>
    <s v="FB001447"/>
    <x v="4"/>
    <x v="2"/>
    <s v="Fall"/>
    <s v="XS"/>
    <x v="0"/>
    <n v="74.27"/>
    <n v="0"/>
    <n v="74.27"/>
    <x v="1"/>
    <n v="6"/>
    <n v="1.3"/>
    <b v="0"/>
    <m/>
  </r>
  <r>
    <s v="FB001448"/>
    <x v="0"/>
    <x v="0"/>
    <s v="Fall"/>
    <s v="XL"/>
    <x v="7"/>
    <n v="163.77000000000001"/>
    <n v="30.5"/>
    <n v="113.82"/>
    <x v="1"/>
    <n v="10"/>
    <n v="2.7030303030303036"/>
    <b v="0"/>
    <m/>
  </r>
  <r>
    <s v="FB001449"/>
    <x v="2"/>
    <x v="3"/>
    <s v="Winter"/>
    <m/>
    <x v="9"/>
    <n v="42.28"/>
    <n v="0"/>
    <n v="42.28"/>
    <x v="1"/>
    <n v="22"/>
    <n v="1.9"/>
    <b v="0"/>
    <m/>
  </r>
  <r>
    <s v="FB001450"/>
    <x v="4"/>
    <x v="4"/>
    <s v="Summer"/>
    <s v="XS"/>
    <x v="8"/>
    <n v="52.92"/>
    <n v="0"/>
    <n v="52.92"/>
    <x v="1"/>
    <n v="9"/>
    <n v="3.0659090909090896"/>
    <b v="0"/>
    <m/>
  </r>
  <r>
    <s v="FB001451"/>
    <x v="2"/>
    <x v="5"/>
    <s v="Spring"/>
    <m/>
    <x v="2"/>
    <n v="40.549999999999997"/>
    <n v="6.2"/>
    <n v="38.04"/>
    <x v="25"/>
    <n v="26"/>
    <n v="3.7"/>
    <b v="1"/>
    <s v="Wrong Item"/>
  </r>
  <r>
    <s v="FB001452"/>
    <x v="3"/>
    <x v="3"/>
    <s v="Summer"/>
    <s v="XXL"/>
    <x v="2"/>
    <n v="129.76"/>
    <n v="0"/>
    <n v="129.76"/>
    <x v="1"/>
    <n v="39"/>
    <n v="2.9"/>
    <b v="0"/>
    <m/>
  </r>
  <r>
    <s v="FB001453"/>
    <x v="1"/>
    <x v="5"/>
    <s v="Fall"/>
    <s v="XL"/>
    <x v="9"/>
    <n v="63.39"/>
    <n v="0"/>
    <n v="63.39"/>
    <x v="1"/>
    <n v="50"/>
    <n v="2.5"/>
    <b v="0"/>
    <m/>
  </r>
  <r>
    <s v="FB001454"/>
    <x v="3"/>
    <x v="4"/>
    <s v="Fall"/>
    <s v="S"/>
    <x v="8"/>
    <n v="191.94"/>
    <n v="1.3"/>
    <n v="189.44"/>
    <x v="1"/>
    <n v="39"/>
    <n v="1.2"/>
    <b v="0"/>
    <m/>
  </r>
  <r>
    <s v="FB001455"/>
    <x v="2"/>
    <x v="1"/>
    <s v="Spring"/>
    <m/>
    <x v="9"/>
    <n v="63.42"/>
    <n v="0"/>
    <n v="63.42"/>
    <x v="220"/>
    <n v="19"/>
    <n v="2.9"/>
    <b v="1"/>
    <s v="Color Mismatch"/>
  </r>
  <r>
    <s v="FB001456"/>
    <x v="1"/>
    <x v="5"/>
    <s v="Winter"/>
    <s v="XXL"/>
    <x v="7"/>
    <n v="35.26"/>
    <n v="0"/>
    <n v="35.26"/>
    <x v="1"/>
    <n v="47"/>
    <n v="2.2999999999999998"/>
    <b v="0"/>
    <m/>
  </r>
  <r>
    <s v="FB001457"/>
    <x v="2"/>
    <x v="6"/>
    <s v="Spring"/>
    <m/>
    <x v="6"/>
    <n v="44.5"/>
    <n v="0"/>
    <n v="44.5"/>
    <x v="80"/>
    <n v="36"/>
    <n v="3.6"/>
    <b v="0"/>
    <m/>
  </r>
  <r>
    <s v="FB001458"/>
    <x v="3"/>
    <x v="0"/>
    <s v="Spring"/>
    <s v="XS"/>
    <x v="3"/>
    <n v="186.78"/>
    <n v="43.4"/>
    <n v="105.72"/>
    <x v="45"/>
    <n v="42"/>
    <n v="2.5"/>
    <b v="1"/>
    <s v="Damaged"/>
  </r>
  <r>
    <s v="FB001459"/>
    <x v="1"/>
    <x v="4"/>
    <s v="Summer"/>
    <s v="L"/>
    <x v="2"/>
    <n v="116.71"/>
    <n v="55.4"/>
    <n v="52.05"/>
    <x v="1"/>
    <n v="15"/>
    <n v="2.9657142857142857"/>
    <b v="0"/>
    <m/>
  </r>
  <r>
    <s v="FB001460"/>
    <x v="2"/>
    <x v="4"/>
    <s v="Winter"/>
    <m/>
    <x v="2"/>
    <n v="24.5"/>
    <n v="0"/>
    <n v="24.5"/>
    <x v="1"/>
    <n v="7"/>
    <n v="2.7333333333333334"/>
    <b v="0"/>
    <m/>
  </r>
  <r>
    <s v="FB001461"/>
    <x v="2"/>
    <x v="6"/>
    <s v="Winter"/>
    <m/>
    <x v="8"/>
    <n v="23.2"/>
    <n v="0"/>
    <n v="23.2"/>
    <x v="1"/>
    <n v="17"/>
    <n v="2.1"/>
    <b v="0"/>
    <m/>
  </r>
  <r>
    <s v="FB001462"/>
    <x v="4"/>
    <x v="7"/>
    <s v="Winter"/>
    <s v="XL"/>
    <x v="6"/>
    <n v="73.8"/>
    <n v="0"/>
    <n v="73.8"/>
    <x v="1"/>
    <n v="42"/>
    <n v="3.1021739130434773"/>
    <b v="0"/>
    <m/>
  </r>
  <r>
    <s v="FB001463"/>
    <x v="2"/>
    <x v="0"/>
    <s v="Summer"/>
    <m/>
    <x v="2"/>
    <n v="51.33"/>
    <n v="0"/>
    <n v="51.33"/>
    <x v="1"/>
    <n v="25"/>
    <n v="1.2"/>
    <b v="0"/>
    <m/>
  </r>
  <r>
    <s v="FB001464"/>
    <x v="4"/>
    <x v="4"/>
    <s v="Winter"/>
    <s v="XXL"/>
    <x v="6"/>
    <n v="80.209999999999994"/>
    <n v="0"/>
    <n v="80.209999999999994"/>
    <x v="1"/>
    <n v="17"/>
    <n v="3.0659090909090896"/>
    <b v="0"/>
    <m/>
  </r>
  <r>
    <s v="FB001465"/>
    <x v="0"/>
    <x v="1"/>
    <s v="Fall"/>
    <s v="L"/>
    <x v="10"/>
    <n v="237.65"/>
    <n v="0"/>
    <n v="237.65"/>
    <x v="1"/>
    <n v="3"/>
    <n v="3.4"/>
    <b v="0"/>
    <m/>
  </r>
  <r>
    <s v="FB001466"/>
    <x v="4"/>
    <x v="2"/>
    <s v="Spring"/>
    <s v="S"/>
    <x v="10"/>
    <n v="96.35"/>
    <n v="0"/>
    <n v="96.35"/>
    <x v="221"/>
    <n v="34"/>
    <n v="3.7"/>
    <b v="0"/>
    <m/>
  </r>
  <r>
    <s v="FB001467"/>
    <x v="4"/>
    <x v="2"/>
    <s v="Winter"/>
    <s v="XL"/>
    <x v="3"/>
    <n v="91.92"/>
    <n v="0"/>
    <n v="91.92"/>
    <x v="1"/>
    <n v="29"/>
    <n v="3.0384615384615379"/>
    <b v="0"/>
    <m/>
  </r>
  <r>
    <s v="FB001468"/>
    <x v="3"/>
    <x v="2"/>
    <s v="Fall"/>
    <s v="XXL"/>
    <x v="8"/>
    <n v="194.05"/>
    <n v="0"/>
    <n v="194.05"/>
    <x v="1"/>
    <n v="7"/>
    <n v="1.3"/>
    <b v="0"/>
    <m/>
  </r>
  <r>
    <s v="FB001469"/>
    <x v="0"/>
    <x v="6"/>
    <s v="Summer"/>
    <s v="S"/>
    <x v="0"/>
    <n v="166.88"/>
    <n v="0"/>
    <n v="166.88"/>
    <x v="1"/>
    <n v="10"/>
    <n v="1.6"/>
    <b v="0"/>
    <m/>
  </r>
  <r>
    <s v="FB001470"/>
    <x v="4"/>
    <x v="4"/>
    <s v="Winter"/>
    <s v="S"/>
    <x v="0"/>
    <n v="47.01"/>
    <n v="0"/>
    <n v="47.01"/>
    <x v="1"/>
    <n v="17"/>
    <n v="1.6"/>
    <b v="0"/>
    <m/>
  </r>
  <r>
    <s v="FB001471"/>
    <x v="3"/>
    <x v="2"/>
    <s v="Winter"/>
    <s v="XXL"/>
    <x v="1"/>
    <n v="119.91"/>
    <n v="20.3"/>
    <n v="95.57"/>
    <x v="1"/>
    <n v="15"/>
    <n v="3.8"/>
    <b v="0"/>
    <m/>
  </r>
  <r>
    <s v="FB001472"/>
    <x v="2"/>
    <x v="4"/>
    <s v="Fall"/>
    <m/>
    <x v="0"/>
    <n v="73.73"/>
    <n v="54.2"/>
    <n v="33.770000000000003"/>
    <x v="1"/>
    <n v="37"/>
    <n v="4.0999999999999996"/>
    <b v="0"/>
    <m/>
  </r>
  <r>
    <s v="FB001473"/>
    <x v="4"/>
    <x v="0"/>
    <s v="Fall"/>
    <s v="L"/>
    <x v="2"/>
    <n v="108.65"/>
    <n v="0"/>
    <n v="108.65"/>
    <x v="1"/>
    <n v="26"/>
    <n v="2.4"/>
    <b v="0"/>
    <m/>
  </r>
  <r>
    <s v="FB001474"/>
    <x v="3"/>
    <x v="3"/>
    <s v="Summer"/>
    <s v="L"/>
    <x v="0"/>
    <n v="186.53"/>
    <n v="0"/>
    <n v="186.53"/>
    <x v="1"/>
    <n v="31"/>
    <n v="2.6"/>
    <b v="0"/>
    <m/>
  </r>
  <r>
    <s v="FB001475"/>
    <x v="2"/>
    <x v="0"/>
    <s v="Summer"/>
    <m/>
    <x v="0"/>
    <n v="60.34"/>
    <n v="0"/>
    <n v="60.34"/>
    <x v="1"/>
    <n v="13"/>
    <n v="2.9116666666666675"/>
    <b v="0"/>
    <m/>
  </r>
  <r>
    <s v="FB001476"/>
    <x v="2"/>
    <x v="3"/>
    <s v="Winter"/>
    <m/>
    <x v="8"/>
    <n v="61.16"/>
    <n v="0"/>
    <n v="61.16"/>
    <x v="1"/>
    <n v="28"/>
    <n v="2.2999999999999998"/>
    <b v="0"/>
    <m/>
  </r>
  <r>
    <s v="FB001477"/>
    <x v="3"/>
    <x v="7"/>
    <s v="Winter"/>
    <s v="XL"/>
    <x v="6"/>
    <n v="168.85"/>
    <n v="35.299999999999997"/>
    <n v="109.25"/>
    <x v="1"/>
    <n v="10"/>
    <n v="3.3"/>
    <b v="0"/>
    <m/>
  </r>
  <r>
    <s v="FB001478"/>
    <x v="1"/>
    <x v="5"/>
    <s v="Winter"/>
    <s v="L"/>
    <x v="8"/>
    <n v="60.08"/>
    <n v="0"/>
    <n v="60.08"/>
    <x v="1"/>
    <n v="26"/>
    <n v="2.9846153846153847"/>
    <b v="0"/>
    <m/>
  </r>
  <r>
    <s v="FB001479"/>
    <x v="2"/>
    <x v="6"/>
    <s v="Summer"/>
    <m/>
    <x v="10"/>
    <n v="39.39"/>
    <n v="29.8"/>
    <n v="27.65"/>
    <x v="1"/>
    <n v="13"/>
    <n v="4.7"/>
    <b v="0"/>
    <m/>
  </r>
  <r>
    <s v="FB001480"/>
    <x v="1"/>
    <x v="6"/>
    <s v="Fall"/>
    <s v="M"/>
    <x v="1"/>
    <n v="111.09"/>
    <n v="0"/>
    <n v="111.09"/>
    <x v="1"/>
    <n v="24"/>
    <n v="2.2000000000000002"/>
    <b v="0"/>
    <m/>
  </r>
  <r>
    <s v="FB001481"/>
    <x v="5"/>
    <x v="2"/>
    <s v="Summer"/>
    <s v="M"/>
    <x v="6"/>
    <n v="133.51"/>
    <n v="0"/>
    <n v="133.51"/>
    <x v="1"/>
    <n v="5"/>
    <n v="1.7"/>
    <b v="1"/>
    <s v="Quality Issue"/>
  </r>
  <r>
    <s v="FB001482"/>
    <x v="5"/>
    <x v="7"/>
    <s v="Summer"/>
    <s v="XS"/>
    <x v="1"/>
    <n v="158.9"/>
    <n v="43.5"/>
    <n v="89.78"/>
    <x v="1"/>
    <n v="46"/>
    <n v="2.9636363636363638"/>
    <b v="0"/>
    <m/>
  </r>
  <r>
    <s v="FB001483"/>
    <x v="1"/>
    <x v="6"/>
    <s v="Spring"/>
    <s v="XS"/>
    <x v="10"/>
    <n v="65.27"/>
    <n v="19"/>
    <n v="52.87"/>
    <x v="142"/>
    <n v="48"/>
    <n v="3"/>
    <b v="0"/>
    <m/>
  </r>
  <r>
    <s v="FB001484"/>
    <x v="2"/>
    <x v="0"/>
    <s v="Fall"/>
    <m/>
    <x v="6"/>
    <n v="72.37"/>
    <n v="0"/>
    <n v="72.37"/>
    <x v="1"/>
    <n v="24"/>
    <n v="2.9"/>
    <b v="0"/>
    <m/>
  </r>
  <r>
    <s v="FB001485"/>
    <x v="5"/>
    <x v="2"/>
    <s v="Fall"/>
    <s v="XL"/>
    <x v="3"/>
    <n v="133.88"/>
    <n v="21.5"/>
    <n v="105.1"/>
    <x v="1"/>
    <n v="42"/>
    <n v="3.1"/>
    <b v="0"/>
    <m/>
  </r>
  <r>
    <s v="FB001486"/>
    <x v="1"/>
    <x v="0"/>
    <s v="Spring"/>
    <s v="XXL"/>
    <x v="9"/>
    <n v="74.3"/>
    <n v="0"/>
    <n v="74.3"/>
    <x v="222"/>
    <n v="24"/>
    <n v="4.4000000000000004"/>
    <b v="0"/>
    <m/>
  </r>
  <r>
    <s v="FB001487"/>
    <x v="3"/>
    <x v="2"/>
    <s v="Summer"/>
    <s v="XL"/>
    <x v="7"/>
    <n v="192.74"/>
    <n v="47.5"/>
    <n v="101.19"/>
    <x v="1"/>
    <n v="40"/>
    <n v="2.8"/>
    <b v="0"/>
    <m/>
  </r>
  <r>
    <s v="FB001488"/>
    <x v="2"/>
    <x v="1"/>
    <s v="Summer"/>
    <m/>
    <x v="0"/>
    <n v="79.02"/>
    <n v="2.5"/>
    <n v="77.040000000000006"/>
    <x v="1"/>
    <n v="16"/>
    <n v="2.8"/>
    <b v="0"/>
    <m/>
  </r>
  <r>
    <s v="FB001489"/>
    <x v="3"/>
    <x v="0"/>
    <s v="Winter"/>
    <s v="S"/>
    <x v="3"/>
    <n v="158.29"/>
    <n v="0"/>
    <n v="158.29"/>
    <x v="1"/>
    <n v="5"/>
    <n v="1.6"/>
    <b v="0"/>
    <m/>
  </r>
  <r>
    <s v="FB001490"/>
    <x v="1"/>
    <x v="5"/>
    <s v="Winter"/>
    <s v="L"/>
    <x v="3"/>
    <n v="69.33"/>
    <n v="0"/>
    <n v="69.33"/>
    <x v="1"/>
    <n v="26"/>
    <n v="4.9000000000000004"/>
    <b v="0"/>
    <m/>
  </r>
  <r>
    <s v="FB001491"/>
    <x v="3"/>
    <x v="6"/>
    <s v="Winter"/>
    <s v="XS"/>
    <x v="10"/>
    <n v="86.89"/>
    <n v="19.5"/>
    <n v="69.95"/>
    <x v="1"/>
    <n v="49"/>
    <n v="1.3"/>
    <b v="0"/>
    <m/>
  </r>
  <r>
    <s v="FB001492"/>
    <x v="0"/>
    <x v="1"/>
    <s v="Fall"/>
    <s v="L"/>
    <x v="6"/>
    <n v="162.75"/>
    <n v="0"/>
    <n v="162.75"/>
    <x v="1"/>
    <n v="13"/>
    <n v="4.8"/>
    <b v="0"/>
    <m/>
  </r>
  <r>
    <s v="FB001493"/>
    <x v="3"/>
    <x v="4"/>
    <s v="Summer"/>
    <s v="M"/>
    <x v="5"/>
    <n v="70.28"/>
    <n v="0"/>
    <n v="70.28"/>
    <x v="1"/>
    <n v="27"/>
    <n v="4.7"/>
    <b v="0"/>
    <m/>
  </r>
  <r>
    <s v="FB001494"/>
    <x v="4"/>
    <x v="3"/>
    <s v="Spring"/>
    <s v="S"/>
    <x v="3"/>
    <n v="111.91"/>
    <n v="0"/>
    <n v="111.91"/>
    <x v="112"/>
    <n v="28"/>
    <n v="1.8"/>
    <b v="0"/>
    <m/>
  </r>
  <r>
    <s v="FB001495"/>
    <x v="0"/>
    <x v="5"/>
    <s v="Fall"/>
    <s v="S"/>
    <x v="9"/>
    <n v="143.76"/>
    <n v="0"/>
    <n v="143.76"/>
    <x v="1"/>
    <n v="7"/>
    <n v="2"/>
    <b v="0"/>
    <m/>
  </r>
  <r>
    <s v="FB001496"/>
    <x v="5"/>
    <x v="4"/>
    <s v="Summer"/>
    <s v="S"/>
    <x v="9"/>
    <n v="169.89"/>
    <n v="0"/>
    <n v="169.89"/>
    <x v="1"/>
    <n v="17"/>
    <n v="1.3"/>
    <b v="0"/>
    <m/>
  </r>
  <r>
    <s v="FB001497"/>
    <x v="3"/>
    <x v="0"/>
    <s v="Winter"/>
    <s v="XL"/>
    <x v="3"/>
    <n v="72.290000000000006"/>
    <n v="0"/>
    <n v="72.290000000000006"/>
    <x v="1"/>
    <n v="0"/>
    <n v="2.9153846153846157"/>
    <b v="0"/>
    <m/>
  </r>
  <r>
    <s v="FB001498"/>
    <x v="0"/>
    <x v="7"/>
    <s v="Winter"/>
    <s v="XS"/>
    <x v="9"/>
    <n v="136.19999999999999"/>
    <n v="10.199999999999999"/>
    <n v="122.31"/>
    <x v="1"/>
    <n v="10"/>
    <n v="3.6"/>
    <b v="0"/>
    <m/>
  </r>
  <r>
    <s v="FB001499"/>
    <x v="1"/>
    <x v="7"/>
    <s v="Summer"/>
    <s v="S"/>
    <x v="0"/>
    <n v="92.5"/>
    <n v="0"/>
    <n v="92.5"/>
    <x v="1"/>
    <n v="15"/>
    <n v="2.7"/>
    <b v="0"/>
    <m/>
  </r>
  <r>
    <s v="FB001500"/>
    <x v="3"/>
    <x v="2"/>
    <s v="Winter"/>
    <s v="L"/>
    <x v="9"/>
    <n v="89.5"/>
    <n v="0"/>
    <n v="89.5"/>
    <x v="1"/>
    <n v="5"/>
    <n v="4.5"/>
    <b v="0"/>
    <m/>
  </r>
  <r>
    <s v="FB001501"/>
    <x v="0"/>
    <x v="4"/>
    <s v="Spring"/>
    <s v="L"/>
    <x v="7"/>
    <n v="161.51"/>
    <n v="0"/>
    <n v="161.51"/>
    <x v="62"/>
    <n v="22"/>
    <n v="4.7"/>
    <b v="0"/>
    <m/>
  </r>
  <r>
    <s v="FB001502"/>
    <x v="2"/>
    <x v="0"/>
    <s v="Winter"/>
    <m/>
    <x v="10"/>
    <n v="38.119999999999997"/>
    <n v="0"/>
    <n v="38.119999999999997"/>
    <x v="1"/>
    <n v="18"/>
    <n v="4.4000000000000004"/>
    <b v="1"/>
    <s v="Damaged"/>
  </r>
  <r>
    <s v="FB001503"/>
    <x v="5"/>
    <x v="4"/>
    <s v="Summer"/>
    <s v="XS"/>
    <x v="9"/>
    <n v="100.08"/>
    <n v="0"/>
    <n v="100.08"/>
    <x v="1"/>
    <n v="23"/>
    <n v="4.8"/>
    <b v="0"/>
    <m/>
  </r>
  <r>
    <s v="FB001504"/>
    <x v="5"/>
    <x v="1"/>
    <s v="Fall"/>
    <s v="L"/>
    <x v="3"/>
    <n v="161.79"/>
    <n v="0"/>
    <n v="161.79"/>
    <x v="1"/>
    <n v="44"/>
    <n v="3.9"/>
    <b v="0"/>
    <m/>
  </r>
  <r>
    <s v="FB001505"/>
    <x v="4"/>
    <x v="5"/>
    <s v="Fall"/>
    <s v="XL"/>
    <x v="2"/>
    <n v="46.42"/>
    <n v="0"/>
    <n v="46.42"/>
    <x v="1"/>
    <n v="2"/>
    <n v="3.7"/>
    <b v="1"/>
    <s v="Changed Mind"/>
  </r>
  <r>
    <s v="FB001506"/>
    <x v="3"/>
    <x v="1"/>
    <s v="Spring"/>
    <s v="L"/>
    <x v="10"/>
    <n v="199.33"/>
    <n v="44.3"/>
    <n v="111.03"/>
    <x v="223"/>
    <n v="19"/>
    <n v="1.8"/>
    <b v="0"/>
    <m/>
  </r>
  <r>
    <s v="FB001507"/>
    <x v="4"/>
    <x v="7"/>
    <s v="Summer"/>
    <s v="XXL"/>
    <x v="2"/>
    <n v="25.77"/>
    <n v="0"/>
    <n v="25.77"/>
    <x v="1"/>
    <n v="5"/>
    <n v="3.1"/>
    <b v="0"/>
    <m/>
  </r>
  <r>
    <s v="FB001508"/>
    <x v="3"/>
    <x v="7"/>
    <s v="Winter"/>
    <s v="M"/>
    <x v="8"/>
    <n v="180.67"/>
    <n v="0"/>
    <n v="180.67"/>
    <x v="1"/>
    <n v="31"/>
    <n v="4.4000000000000004"/>
    <b v="0"/>
    <m/>
  </r>
  <r>
    <s v="FB001509"/>
    <x v="3"/>
    <x v="7"/>
    <s v="Spring"/>
    <s v="L"/>
    <x v="6"/>
    <n v="198.13"/>
    <n v="46.1"/>
    <n v="106.79"/>
    <x v="157"/>
    <n v="8"/>
    <n v="3.2"/>
    <b v="0"/>
    <m/>
  </r>
  <r>
    <s v="FB001510"/>
    <x v="5"/>
    <x v="1"/>
    <s v="Summer"/>
    <m/>
    <x v="8"/>
    <n v="161.53"/>
    <n v="5.3"/>
    <n v="152.97"/>
    <x v="1"/>
    <n v="33"/>
    <n v="3.7"/>
    <b v="0"/>
    <m/>
  </r>
  <r>
    <s v="FB001511"/>
    <x v="4"/>
    <x v="0"/>
    <s v="Spring"/>
    <s v="M"/>
    <x v="4"/>
    <n v="25.97"/>
    <n v="0"/>
    <n v="25.97"/>
    <x v="171"/>
    <n v="31"/>
    <n v="1.2"/>
    <b v="0"/>
    <m/>
  </r>
  <r>
    <s v="FB001512"/>
    <x v="1"/>
    <x v="7"/>
    <s v="Summer"/>
    <s v="L"/>
    <x v="7"/>
    <n v="85"/>
    <n v="39.9"/>
    <n v="51.09"/>
    <x v="1"/>
    <n v="44"/>
    <n v="3"/>
    <b v="0"/>
    <m/>
  </r>
  <r>
    <s v="FB001513"/>
    <x v="2"/>
    <x v="1"/>
    <s v="Summer"/>
    <m/>
    <x v="1"/>
    <n v="75.03"/>
    <n v="10.9"/>
    <n v="66.849999999999994"/>
    <x v="1"/>
    <n v="12"/>
    <n v="1.2"/>
    <b v="0"/>
    <m/>
  </r>
  <r>
    <s v="FB001514"/>
    <x v="2"/>
    <x v="5"/>
    <s v="Winter"/>
    <m/>
    <x v="7"/>
    <n v="33.880000000000003"/>
    <n v="0"/>
    <n v="33.880000000000003"/>
    <x v="1"/>
    <n v="9"/>
    <n v="3.2731707317073173"/>
    <b v="0"/>
    <m/>
  </r>
  <r>
    <s v="FB001515"/>
    <x v="3"/>
    <x v="2"/>
    <s v="Summer"/>
    <s v="XS"/>
    <x v="9"/>
    <n v="142"/>
    <n v="12.3"/>
    <n v="124.53"/>
    <x v="1"/>
    <n v="39"/>
    <n v="3.3"/>
    <b v="0"/>
    <m/>
  </r>
  <r>
    <s v="FB001516"/>
    <x v="5"/>
    <x v="4"/>
    <s v="Fall"/>
    <s v="XL"/>
    <x v="6"/>
    <n v="125.46"/>
    <n v="0"/>
    <n v="125.46"/>
    <x v="1"/>
    <n v="26"/>
    <n v="1.1000000000000001"/>
    <b v="0"/>
    <m/>
  </r>
  <r>
    <s v="FB001517"/>
    <x v="3"/>
    <x v="4"/>
    <s v="Winter"/>
    <s v="L"/>
    <x v="5"/>
    <n v="138.79"/>
    <n v="0"/>
    <n v="138.79"/>
    <x v="1"/>
    <n v="16"/>
    <n v="3.3021276595744684"/>
    <b v="1"/>
    <s v="Size Issue"/>
  </r>
  <r>
    <s v="FB001518"/>
    <x v="4"/>
    <x v="5"/>
    <s v="Spring"/>
    <s v="XL"/>
    <x v="1"/>
    <n v="81.81"/>
    <n v="37.9"/>
    <n v="50.8"/>
    <x v="203"/>
    <n v="44"/>
    <n v="3.0575757575757576"/>
    <b v="0"/>
    <m/>
  </r>
  <r>
    <s v="FB001519"/>
    <x v="2"/>
    <x v="1"/>
    <s v="Fall"/>
    <m/>
    <x v="10"/>
    <n v="78.260000000000005"/>
    <n v="47.3"/>
    <n v="41.24"/>
    <x v="1"/>
    <n v="20"/>
    <n v="4"/>
    <b v="0"/>
    <m/>
  </r>
  <r>
    <s v="FB001520"/>
    <x v="4"/>
    <x v="2"/>
    <s v="Spring"/>
    <s v="XL"/>
    <x v="8"/>
    <n v="119.33"/>
    <n v="16"/>
    <n v="100.24"/>
    <x v="65"/>
    <n v="35"/>
    <n v="3.0384615384615379"/>
    <b v="0"/>
    <m/>
  </r>
  <r>
    <s v="FB001521"/>
    <x v="2"/>
    <x v="5"/>
    <s v="Spring"/>
    <m/>
    <x v="2"/>
    <n v="52.97"/>
    <n v="0"/>
    <n v="52.97"/>
    <x v="214"/>
    <n v="36"/>
    <n v="4.5999999999999996"/>
    <b v="0"/>
    <m/>
  </r>
  <r>
    <s v="FB001522"/>
    <x v="2"/>
    <x v="3"/>
    <s v="Winter"/>
    <m/>
    <x v="5"/>
    <n v="69.48"/>
    <n v="0"/>
    <n v="69.48"/>
    <x v="1"/>
    <n v="17"/>
    <n v="3.4"/>
    <b v="0"/>
    <m/>
  </r>
  <r>
    <s v="FB001523"/>
    <x v="0"/>
    <x v="2"/>
    <s v="Summer"/>
    <s v="L"/>
    <x v="4"/>
    <n v="177.82"/>
    <n v="0"/>
    <n v="177.82"/>
    <x v="1"/>
    <n v="9"/>
    <n v="1.1000000000000001"/>
    <b v="0"/>
    <m/>
  </r>
  <r>
    <s v="FB001524"/>
    <x v="3"/>
    <x v="2"/>
    <s v="Winter"/>
    <s v="L"/>
    <x v="1"/>
    <n v="142.71"/>
    <n v="0"/>
    <n v="142.71"/>
    <x v="1"/>
    <n v="28"/>
    <n v="1"/>
    <b v="0"/>
    <m/>
  </r>
  <r>
    <s v="FB001525"/>
    <x v="4"/>
    <x v="0"/>
    <s v="Spring"/>
    <s v="XS"/>
    <x v="5"/>
    <n v="105.21"/>
    <n v="0"/>
    <n v="105.21"/>
    <x v="62"/>
    <n v="41"/>
    <n v="4.9000000000000004"/>
    <b v="0"/>
    <m/>
  </r>
  <r>
    <s v="FB001526"/>
    <x v="2"/>
    <x v="7"/>
    <s v="Fall"/>
    <m/>
    <x v="4"/>
    <n v="65.09"/>
    <n v="49.8"/>
    <n v="32.68"/>
    <x v="1"/>
    <n v="32"/>
    <n v="4.9000000000000004"/>
    <b v="0"/>
    <m/>
  </r>
  <r>
    <s v="FB001527"/>
    <x v="0"/>
    <x v="1"/>
    <s v="Winter"/>
    <s v="M"/>
    <x v="8"/>
    <n v="167.39"/>
    <n v="0"/>
    <n v="167.39"/>
    <x v="1"/>
    <n v="43"/>
    <n v="1.8"/>
    <b v="0"/>
    <m/>
  </r>
  <r>
    <s v="FB001528"/>
    <x v="2"/>
    <x v="1"/>
    <s v="Winter"/>
    <m/>
    <x v="0"/>
    <n v="49.89"/>
    <n v="0"/>
    <n v="49.89"/>
    <x v="1"/>
    <n v="32"/>
    <n v="2.4"/>
    <b v="0"/>
    <m/>
  </r>
  <r>
    <s v="FB001529"/>
    <x v="0"/>
    <x v="2"/>
    <s v="Fall"/>
    <s v="S"/>
    <x v="3"/>
    <n v="218.06"/>
    <n v="0"/>
    <n v="218.06"/>
    <x v="1"/>
    <n v="32"/>
    <n v="4"/>
    <b v="0"/>
    <m/>
  </r>
  <r>
    <s v="FB001530"/>
    <x v="4"/>
    <x v="6"/>
    <s v="Summer"/>
    <s v="XS"/>
    <x v="3"/>
    <n v="66.64"/>
    <n v="21.8"/>
    <n v="52.11"/>
    <x v="1"/>
    <n v="25"/>
    <n v="3.5"/>
    <b v="1"/>
    <s v="Changed Mind"/>
  </r>
  <r>
    <s v="FB001531"/>
    <x v="0"/>
    <x v="5"/>
    <s v="Fall"/>
    <s v="S"/>
    <x v="4"/>
    <n v="124.69"/>
    <n v="40.9"/>
    <n v="73.69"/>
    <x v="1"/>
    <n v="9"/>
    <n v="4.0999999999999996"/>
    <b v="0"/>
    <m/>
  </r>
  <r>
    <s v="FB001532"/>
    <x v="1"/>
    <x v="3"/>
    <s v="Summer"/>
    <s v="S"/>
    <x v="1"/>
    <n v="28.24"/>
    <n v="48.2"/>
    <n v="14.63"/>
    <x v="1"/>
    <n v="20"/>
    <n v="4.5"/>
    <b v="0"/>
    <m/>
  </r>
  <r>
    <s v="FB001533"/>
    <x v="2"/>
    <x v="0"/>
    <s v="Summer"/>
    <m/>
    <x v="9"/>
    <n v="76.39"/>
    <n v="53.9"/>
    <n v="35.22"/>
    <x v="1"/>
    <n v="15"/>
    <n v="1.5"/>
    <b v="0"/>
    <m/>
  </r>
  <r>
    <s v="FB001534"/>
    <x v="4"/>
    <x v="0"/>
    <s v="Winter"/>
    <s v="M"/>
    <x v="5"/>
    <n v="96.82"/>
    <n v="0"/>
    <n v="96.82"/>
    <x v="1"/>
    <n v="0"/>
    <n v="1.1000000000000001"/>
    <b v="0"/>
    <m/>
  </r>
  <r>
    <s v="FB001535"/>
    <x v="3"/>
    <x v="2"/>
    <s v="Fall"/>
    <s v="XS"/>
    <x v="8"/>
    <n v="159.25"/>
    <n v="28.2"/>
    <n v="114.34"/>
    <x v="1"/>
    <n v="1"/>
    <n v="3.1936170212765949"/>
    <b v="1"/>
    <s v="Wrong Item"/>
  </r>
  <r>
    <s v="FB001536"/>
    <x v="5"/>
    <x v="0"/>
    <s v="Summer"/>
    <s v="XXL"/>
    <x v="8"/>
    <n v="171.93"/>
    <n v="52.3"/>
    <n v="82.01"/>
    <x v="1"/>
    <n v="28"/>
    <n v="2.2000000000000002"/>
    <b v="0"/>
    <m/>
  </r>
  <r>
    <s v="FB001537"/>
    <x v="1"/>
    <x v="0"/>
    <s v="Summer"/>
    <s v="XS"/>
    <x v="10"/>
    <n v="85.25"/>
    <n v="0"/>
    <n v="85.25"/>
    <x v="1"/>
    <n v="11"/>
    <n v="2.9181818181818175"/>
    <b v="0"/>
    <m/>
  </r>
  <r>
    <s v="FB001538"/>
    <x v="1"/>
    <x v="2"/>
    <s v="Spring"/>
    <s v="XXL"/>
    <x v="1"/>
    <n v="70.48"/>
    <n v="0"/>
    <n v="70.48"/>
    <x v="113"/>
    <n v="22"/>
    <n v="1.2"/>
    <b v="0"/>
    <m/>
  </r>
  <r>
    <s v="FB001539"/>
    <x v="0"/>
    <x v="2"/>
    <s v="Spring"/>
    <s v="S"/>
    <x v="10"/>
    <n v="203.02"/>
    <n v="0"/>
    <n v="203.02"/>
    <x v="224"/>
    <n v="23"/>
    <n v="3.5"/>
    <b v="1"/>
    <s v="Quality Issue"/>
  </r>
  <r>
    <s v="FB001540"/>
    <x v="5"/>
    <x v="5"/>
    <s v="Fall"/>
    <s v="XXL"/>
    <x v="1"/>
    <n v="115.39"/>
    <n v="11.2"/>
    <n v="102.47"/>
    <x v="1"/>
    <n v="4"/>
    <n v="3.8"/>
    <b v="0"/>
    <m/>
  </r>
  <r>
    <s v="FB001541"/>
    <x v="2"/>
    <x v="3"/>
    <s v="Spring"/>
    <m/>
    <x v="1"/>
    <n v="27.91"/>
    <n v="49.8"/>
    <n v="14.01"/>
    <x v="225"/>
    <n v="12"/>
    <n v="2.6"/>
    <b v="0"/>
    <m/>
  </r>
  <r>
    <s v="FB001542"/>
    <x v="2"/>
    <x v="4"/>
    <s v="Winter"/>
    <m/>
    <x v="8"/>
    <n v="79.69"/>
    <n v="0"/>
    <n v="79.69"/>
    <x v="1"/>
    <n v="44"/>
    <n v="1.6"/>
    <b v="0"/>
    <m/>
  </r>
  <r>
    <s v="FB001543"/>
    <x v="4"/>
    <x v="7"/>
    <s v="Fall"/>
    <s v="S"/>
    <x v="10"/>
    <n v="47.22"/>
    <n v="0"/>
    <n v="47.22"/>
    <x v="1"/>
    <n v="19"/>
    <n v="1.9"/>
    <b v="0"/>
    <m/>
  </r>
  <r>
    <s v="FB001544"/>
    <x v="3"/>
    <x v="4"/>
    <s v="Fall"/>
    <m/>
    <x v="10"/>
    <n v="172.27"/>
    <n v="14.9"/>
    <n v="146.6"/>
    <x v="1"/>
    <n v="8"/>
    <n v="3.7"/>
    <b v="0"/>
    <m/>
  </r>
  <r>
    <s v="FB001545"/>
    <x v="2"/>
    <x v="0"/>
    <s v="Winter"/>
    <m/>
    <x v="2"/>
    <n v="27.9"/>
    <n v="0"/>
    <n v="27.9"/>
    <x v="1"/>
    <n v="27"/>
    <n v="3"/>
    <b v="1"/>
    <s v="Changed Mind"/>
  </r>
  <r>
    <s v="FB001546"/>
    <x v="5"/>
    <x v="0"/>
    <s v="Spring"/>
    <s v="S"/>
    <x v="7"/>
    <n v="139.26"/>
    <n v="0"/>
    <n v="139.26"/>
    <x v="226"/>
    <n v="32"/>
    <n v="3.4"/>
    <b v="0"/>
    <m/>
  </r>
  <r>
    <s v="FB001547"/>
    <x v="2"/>
    <x v="5"/>
    <s v="Summer"/>
    <m/>
    <x v="4"/>
    <n v="30.47"/>
    <n v="0"/>
    <n v="30.47"/>
    <x v="1"/>
    <n v="34"/>
    <n v="4.2"/>
    <b v="0"/>
    <m/>
  </r>
  <r>
    <s v="FB001548"/>
    <x v="0"/>
    <x v="6"/>
    <s v="Fall"/>
    <s v="M"/>
    <x v="9"/>
    <n v="141.53"/>
    <n v="39.799999999999997"/>
    <n v="85.2"/>
    <x v="1"/>
    <n v="47"/>
    <n v="3.5"/>
    <b v="0"/>
    <m/>
  </r>
  <r>
    <s v="FB001549"/>
    <x v="5"/>
    <x v="6"/>
    <s v="Spring"/>
    <s v="XL"/>
    <x v="4"/>
    <n v="47.45"/>
    <n v="24.4"/>
    <n v="35.869999999999997"/>
    <x v="227"/>
    <n v="42"/>
    <n v="2.8"/>
    <b v="0"/>
    <m/>
  </r>
  <r>
    <s v="FB001550"/>
    <x v="4"/>
    <x v="6"/>
    <s v="Winter"/>
    <s v="XS"/>
    <x v="8"/>
    <n v="51.39"/>
    <n v="6.3"/>
    <n v="48.15"/>
    <x v="1"/>
    <n v="46"/>
    <n v="3.1799999999999997"/>
    <b v="0"/>
    <m/>
  </r>
  <r>
    <s v="FB001551"/>
    <x v="1"/>
    <x v="6"/>
    <s v="Spring"/>
    <m/>
    <x v="3"/>
    <n v="74.13"/>
    <n v="0"/>
    <n v="74.13"/>
    <x v="228"/>
    <n v="23"/>
    <n v="2.9074999999999998"/>
    <b v="0"/>
    <m/>
  </r>
  <r>
    <s v="FB001552"/>
    <x v="5"/>
    <x v="0"/>
    <s v="Fall"/>
    <s v="XL"/>
    <x v="9"/>
    <n v="156.13999999999999"/>
    <n v="5"/>
    <n v="148.33000000000001"/>
    <x v="1"/>
    <n v="39"/>
    <n v="3.0424242424242425"/>
    <b v="0"/>
    <m/>
  </r>
  <r>
    <s v="FB001553"/>
    <x v="0"/>
    <x v="2"/>
    <s v="Summer"/>
    <s v="XS"/>
    <x v="6"/>
    <n v="105.3"/>
    <n v="0"/>
    <n v="105.3"/>
    <x v="1"/>
    <n v="1"/>
    <n v="3"/>
    <b v="0"/>
    <m/>
  </r>
  <r>
    <s v="FB001554"/>
    <x v="5"/>
    <x v="4"/>
    <s v="Winter"/>
    <s v="S"/>
    <x v="8"/>
    <n v="126.76"/>
    <n v="0"/>
    <n v="126.76"/>
    <x v="1"/>
    <n v="24"/>
    <n v="2.2000000000000002"/>
    <b v="0"/>
    <m/>
  </r>
  <r>
    <s v="FB001555"/>
    <x v="1"/>
    <x v="6"/>
    <s v="Winter"/>
    <s v="L"/>
    <x v="8"/>
    <n v="35.409999999999997"/>
    <n v="0"/>
    <n v="35.409999999999997"/>
    <x v="1"/>
    <n v="48"/>
    <n v="4.3"/>
    <b v="1"/>
    <s v="Damaged"/>
  </r>
  <r>
    <s v="FB001556"/>
    <x v="0"/>
    <x v="5"/>
    <s v="Winter"/>
    <s v="M"/>
    <x v="3"/>
    <n v="80.040000000000006"/>
    <n v="0"/>
    <n v="80.040000000000006"/>
    <x v="1"/>
    <n v="13"/>
    <n v="2.2999999999999998"/>
    <b v="0"/>
    <m/>
  </r>
  <r>
    <s v="FB001557"/>
    <x v="4"/>
    <x v="6"/>
    <s v="Fall"/>
    <m/>
    <x v="8"/>
    <n v="68.16"/>
    <n v="0"/>
    <n v="68.16"/>
    <x v="1"/>
    <n v="34"/>
    <n v="2.7"/>
    <b v="0"/>
    <m/>
  </r>
  <r>
    <s v="FB001558"/>
    <x v="5"/>
    <x v="5"/>
    <s v="Fall"/>
    <s v="XL"/>
    <x v="3"/>
    <n v="60.87"/>
    <n v="0"/>
    <n v="60.87"/>
    <x v="1"/>
    <n v="35"/>
    <n v="3.1874999999999991"/>
    <b v="0"/>
    <m/>
  </r>
  <r>
    <s v="FB001559"/>
    <x v="1"/>
    <x v="4"/>
    <s v="Spring"/>
    <s v="L"/>
    <x v="10"/>
    <n v="59.8"/>
    <n v="0"/>
    <n v="59.8"/>
    <x v="79"/>
    <n v="50"/>
    <n v="2.2000000000000002"/>
    <b v="1"/>
    <s v="Size Issue"/>
  </r>
  <r>
    <s v="FB001560"/>
    <x v="2"/>
    <x v="6"/>
    <s v="Fall"/>
    <m/>
    <x v="2"/>
    <n v="75.83"/>
    <n v="0"/>
    <n v="75.83"/>
    <x v="1"/>
    <n v="8"/>
    <n v="2"/>
    <b v="0"/>
    <m/>
  </r>
  <r>
    <s v="FB001561"/>
    <x v="1"/>
    <x v="4"/>
    <s v="Summer"/>
    <s v="L"/>
    <x v="7"/>
    <n v="55.97"/>
    <n v="0"/>
    <n v="55.97"/>
    <x v="1"/>
    <n v="30"/>
    <n v="2.9657142857142857"/>
    <b v="0"/>
    <m/>
  </r>
  <r>
    <s v="FB001562"/>
    <x v="3"/>
    <x v="6"/>
    <s v="Winter"/>
    <s v="XL"/>
    <x v="7"/>
    <n v="190.52"/>
    <n v="45.2"/>
    <n v="104.4"/>
    <x v="1"/>
    <n v="2"/>
    <n v="1.1000000000000001"/>
    <b v="0"/>
    <m/>
  </r>
  <r>
    <s v="FB001563"/>
    <x v="4"/>
    <x v="0"/>
    <s v="Summer"/>
    <s v="M"/>
    <x v="1"/>
    <n v="89.19"/>
    <n v="10.3"/>
    <n v="80"/>
    <x v="1"/>
    <n v="4"/>
    <n v="2.9210526315789478"/>
    <b v="0"/>
    <m/>
  </r>
  <r>
    <s v="FB001564"/>
    <x v="3"/>
    <x v="2"/>
    <s v="Summer"/>
    <m/>
    <x v="3"/>
    <n v="79.59"/>
    <n v="8.9"/>
    <n v="72.510000000000005"/>
    <x v="1"/>
    <n v="16"/>
    <n v="4.5999999999999996"/>
    <b v="1"/>
    <s v="Wrong Item"/>
  </r>
  <r>
    <s v="FB001565"/>
    <x v="4"/>
    <x v="3"/>
    <s v="Spring"/>
    <s v="XXL"/>
    <x v="4"/>
    <n v="84.8"/>
    <n v="0"/>
    <n v="84.8"/>
    <x v="178"/>
    <n v="46"/>
    <n v="4.5999999999999996"/>
    <b v="0"/>
    <m/>
  </r>
  <r>
    <s v="FB001566"/>
    <x v="4"/>
    <x v="7"/>
    <s v="Fall"/>
    <s v="M"/>
    <x v="2"/>
    <n v="69.209999999999994"/>
    <n v="0"/>
    <n v="69.209999999999994"/>
    <x v="1"/>
    <n v="41"/>
    <n v="3.1021739130434773"/>
    <b v="0"/>
    <m/>
  </r>
  <r>
    <s v="FB001567"/>
    <x v="0"/>
    <x v="2"/>
    <s v="Spring"/>
    <s v="XS"/>
    <x v="8"/>
    <n v="229.17"/>
    <n v="0"/>
    <n v="229.17"/>
    <x v="58"/>
    <n v="37"/>
    <n v="2"/>
    <b v="0"/>
    <m/>
  </r>
  <r>
    <s v="FB001568"/>
    <x v="5"/>
    <x v="2"/>
    <s v="Winter"/>
    <s v="L"/>
    <x v="3"/>
    <n v="103.9"/>
    <n v="0"/>
    <n v="103.9"/>
    <x v="1"/>
    <n v="40"/>
    <n v="4.4000000000000004"/>
    <b v="0"/>
    <m/>
  </r>
  <r>
    <s v="FB001569"/>
    <x v="0"/>
    <x v="0"/>
    <s v="Spring"/>
    <s v="XS"/>
    <x v="7"/>
    <n v="228.46"/>
    <n v="0"/>
    <n v="228.46"/>
    <x v="199"/>
    <n v="7"/>
    <n v="2.5"/>
    <b v="1"/>
    <s v="Quality Issue"/>
  </r>
  <r>
    <s v="FB001570"/>
    <x v="2"/>
    <x v="0"/>
    <s v="Summer"/>
    <m/>
    <x v="3"/>
    <n v="44.35"/>
    <n v="29.2"/>
    <n v="31.4"/>
    <x v="1"/>
    <n v="20"/>
    <n v="4.9000000000000004"/>
    <b v="0"/>
    <m/>
  </r>
  <r>
    <s v="FB001571"/>
    <x v="4"/>
    <x v="1"/>
    <s v="Spring"/>
    <m/>
    <x v="4"/>
    <n v="28.76"/>
    <n v="54.7"/>
    <n v="13.03"/>
    <x v="229"/>
    <n v="2"/>
    <n v="4.4000000000000004"/>
    <b v="1"/>
    <s v="Color Mismatch"/>
  </r>
  <r>
    <s v="FB001572"/>
    <x v="0"/>
    <x v="3"/>
    <s v="Spring"/>
    <s v="XXL"/>
    <x v="0"/>
    <n v="158.34"/>
    <n v="36.6"/>
    <n v="100.39"/>
    <x v="148"/>
    <n v="11"/>
    <n v="4.5"/>
    <b v="0"/>
    <m/>
  </r>
  <r>
    <s v="FB001573"/>
    <x v="2"/>
    <x v="0"/>
    <s v="Spring"/>
    <m/>
    <x v="10"/>
    <n v="39.049999999999997"/>
    <n v="12"/>
    <n v="34.36"/>
    <x v="230"/>
    <n v="0"/>
    <n v="3.1"/>
    <b v="0"/>
    <m/>
  </r>
  <r>
    <s v="FB001574"/>
    <x v="1"/>
    <x v="5"/>
    <s v="Spring"/>
    <s v="S"/>
    <x v="5"/>
    <n v="52.46"/>
    <n v="12.2"/>
    <n v="46.06"/>
    <x v="49"/>
    <n v="39"/>
    <n v="2.2999999999999998"/>
    <b v="0"/>
    <m/>
  </r>
  <r>
    <s v="FB001575"/>
    <x v="4"/>
    <x v="6"/>
    <s v="Spring"/>
    <s v="S"/>
    <x v="0"/>
    <n v="70.31"/>
    <n v="34.4"/>
    <n v="46.12"/>
    <x v="231"/>
    <n v="28"/>
    <n v="3.1"/>
    <b v="0"/>
    <m/>
  </r>
  <r>
    <s v="FB001576"/>
    <x v="0"/>
    <x v="7"/>
    <s v="Summer"/>
    <s v="S"/>
    <x v="7"/>
    <n v="123.27"/>
    <n v="0"/>
    <n v="123.27"/>
    <x v="1"/>
    <n v="13"/>
    <n v="2.8"/>
    <b v="0"/>
    <m/>
  </r>
  <r>
    <s v="FB001577"/>
    <x v="0"/>
    <x v="3"/>
    <s v="Summer"/>
    <s v="L"/>
    <x v="8"/>
    <n v="215.82"/>
    <n v="16.5"/>
    <n v="180.21"/>
    <x v="1"/>
    <n v="9"/>
    <n v="2.4"/>
    <b v="0"/>
    <m/>
  </r>
  <r>
    <s v="FB001578"/>
    <x v="0"/>
    <x v="6"/>
    <s v="Summer"/>
    <s v="XS"/>
    <x v="5"/>
    <n v="82.91"/>
    <n v="0.7"/>
    <n v="82.33"/>
    <x v="1"/>
    <n v="24"/>
    <n v="2.9034482758620692"/>
    <b v="1"/>
    <s v="Damaged"/>
  </r>
  <r>
    <s v="FB001579"/>
    <x v="1"/>
    <x v="6"/>
    <s v="Winter"/>
    <s v="XL"/>
    <x v="9"/>
    <n v="33.46"/>
    <n v="0"/>
    <n v="33.46"/>
    <x v="1"/>
    <n v="36"/>
    <n v="3.6"/>
    <b v="0"/>
    <m/>
  </r>
  <r>
    <s v="FB001580"/>
    <x v="4"/>
    <x v="2"/>
    <s v="Spring"/>
    <s v="L"/>
    <x v="4"/>
    <n v="37.21"/>
    <n v="53.9"/>
    <n v="17.149999999999999"/>
    <x v="71"/>
    <n v="48"/>
    <n v="3.8"/>
    <b v="0"/>
    <m/>
  </r>
  <r>
    <s v="FB001581"/>
    <x v="4"/>
    <x v="3"/>
    <s v="Winter"/>
    <m/>
    <x v="0"/>
    <n v="76.86"/>
    <n v="48.9"/>
    <n v="39.28"/>
    <x v="1"/>
    <n v="5"/>
    <n v="1.2"/>
    <b v="0"/>
    <m/>
  </r>
  <r>
    <s v="FB001582"/>
    <x v="0"/>
    <x v="4"/>
    <s v="Winter"/>
    <s v="S"/>
    <x v="7"/>
    <n v="208.57"/>
    <n v="0"/>
    <n v="208.57"/>
    <x v="1"/>
    <n v="24"/>
    <n v="3.6"/>
    <b v="0"/>
    <m/>
  </r>
  <r>
    <s v="FB001583"/>
    <x v="5"/>
    <x v="6"/>
    <s v="Spring"/>
    <s v="XL"/>
    <x v="0"/>
    <n v="131.69999999999999"/>
    <n v="15.8"/>
    <n v="110.89"/>
    <x v="205"/>
    <n v="49"/>
    <n v="1.4"/>
    <b v="1"/>
    <s v="Damaged"/>
  </r>
  <r>
    <s v="FB001584"/>
    <x v="4"/>
    <x v="3"/>
    <s v="Summer"/>
    <s v="XXL"/>
    <x v="5"/>
    <n v="117.21"/>
    <n v="0"/>
    <n v="117.21"/>
    <x v="1"/>
    <n v="14"/>
    <n v="3.2"/>
    <b v="0"/>
    <m/>
  </r>
  <r>
    <s v="FB001585"/>
    <x v="2"/>
    <x v="3"/>
    <s v="Summer"/>
    <m/>
    <x v="6"/>
    <n v="23.01"/>
    <n v="48.8"/>
    <n v="11.78"/>
    <x v="1"/>
    <n v="13"/>
    <n v="3.6"/>
    <b v="0"/>
    <m/>
  </r>
  <r>
    <s v="FB001586"/>
    <x v="2"/>
    <x v="7"/>
    <s v="Summer"/>
    <m/>
    <x v="0"/>
    <n v="47.6"/>
    <n v="0"/>
    <n v="47.6"/>
    <x v="1"/>
    <n v="24"/>
    <n v="4.4000000000000004"/>
    <b v="1"/>
    <s v="Wrong Item"/>
  </r>
  <r>
    <s v="FB001587"/>
    <x v="4"/>
    <x v="0"/>
    <s v="Fall"/>
    <s v="L"/>
    <x v="1"/>
    <n v="33.22"/>
    <n v="38.4"/>
    <n v="20.46"/>
    <x v="1"/>
    <n v="11"/>
    <n v="2.9"/>
    <b v="0"/>
    <m/>
  </r>
  <r>
    <s v="FB001588"/>
    <x v="2"/>
    <x v="1"/>
    <s v="Winter"/>
    <m/>
    <x v="8"/>
    <n v="65.97"/>
    <n v="6.8"/>
    <n v="61.48"/>
    <x v="1"/>
    <n v="41"/>
    <n v="4.3"/>
    <b v="0"/>
    <m/>
  </r>
  <r>
    <s v="FB001589"/>
    <x v="1"/>
    <x v="4"/>
    <s v="Spring"/>
    <s v="L"/>
    <x v="6"/>
    <n v="47.25"/>
    <n v="29"/>
    <n v="33.549999999999997"/>
    <x v="47"/>
    <n v="38"/>
    <n v="5"/>
    <b v="0"/>
    <m/>
  </r>
  <r>
    <s v="FB001590"/>
    <x v="1"/>
    <x v="7"/>
    <s v="Spring"/>
    <s v="XS"/>
    <x v="6"/>
    <n v="93.74"/>
    <n v="0"/>
    <n v="93.74"/>
    <x v="61"/>
    <n v="39"/>
    <n v="4"/>
    <b v="0"/>
    <m/>
  </r>
  <r>
    <s v="FB001591"/>
    <x v="4"/>
    <x v="7"/>
    <s v="Summer"/>
    <s v="XXL"/>
    <x v="3"/>
    <n v="31.57"/>
    <n v="0"/>
    <n v="31.57"/>
    <x v="1"/>
    <n v="2"/>
    <n v="3.1021739130434773"/>
    <b v="0"/>
    <m/>
  </r>
  <r>
    <s v="FB001592"/>
    <x v="4"/>
    <x v="2"/>
    <s v="Winter"/>
    <s v="XXL"/>
    <x v="10"/>
    <n v="64.209999999999994"/>
    <n v="0"/>
    <n v="64.209999999999994"/>
    <x v="1"/>
    <n v="3"/>
    <n v="2.8"/>
    <b v="0"/>
    <m/>
  </r>
  <r>
    <s v="FB001593"/>
    <x v="2"/>
    <x v="2"/>
    <s v="Winter"/>
    <m/>
    <x v="6"/>
    <n v="56.13"/>
    <n v="8.1"/>
    <n v="51.58"/>
    <x v="1"/>
    <n v="12"/>
    <n v="3.8"/>
    <b v="0"/>
    <m/>
  </r>
  <r>
    <s v="FB001594"/>
    <x v="1"/>
    <x v="1"/>
    <s v="Summer"/>
    <s v="XXL"/>
    <x v="7"/>
    <n v="70.89"/>
    <n v="0"/>
    <n v="70.89"/>
    <x v="1"/>
    <n v="14"/>
    <n v="4.7"/>
    <b v="1"/>
    <s v="Size Issue"/>
  </r>
  <r>
    <s v="FB001595"/>
    <x v="3"/>
    <x v="2"/>
    <s v="Winter"/>
    <s v="M"/>
    <x v="9"/>
    <n v="149.65"/>
    <n v="0"/>
    <n v="149.65"/>
    <x v="1"/>
    <n v="26"/>
    <n v="3.8"/>
    <b v="0"/>
    <m/>
  </r>
  <r>
    <s v="FB001596"/>
    <x v="3"/>
    <x v="0"/>
    <s v="Spring"/>
    <s v="S"/>
    <x v="3"/>
    <n v="83.17"/>
    <n v="0"/>
    <n v="83.17"/>
    <x v="232"/>
    <n v="48"/>
    <n v="3.2"/>
    <b v="0"/>
    <m/>
  </r>
  <r>
    <s v="FB001597"/>
    <x v="0"/>
    <x v="4"/>
    <s v="Fall"/>
    <s v="XL"/>
    <x v="5"/>
    <n v="121.56"/>
    <n v="0"/>
    <n v="121.56"/>
    <x v="1"/>
    <n v="18"/>
    <n v="3.3"/>
    <b v="0"/>
    <m/>
  </r>
  <r>
    <s v="FB001598"/>
    <x v="4"/>
    <x v="0"/>
    <s v="Winter"/>
    <s v="M"/>
    <x v="9"/>
    <n v="48.62"/>
    <n v="0"/>
    <n v="48.62"/>
    <x v="1"/>
    <n v="3"/>
    <n v="2.9210526315789478"/>
    <b v="1"/>
    <s v="Damaged"/>
  </r>
  <r>
    <s v="FB001599"/>
    <x v="5"/>
    <x v="5"/>
    <s v="Winter"/>
    <s v="M"/>
    <x v="5"/>
    <n v="79.040000000000006"/>
    <n v="0"/>
    <n v="79.040000000000006"/>
    <x v="1"/>
    <n v="4"/>
    <n v="4.0999999999999996"/>
    <b v="0"/>
    <m/>
  </r>
  <r>
    <s v="FB001600"/>
    <x v="0"/>
    <x v="3"/>
    <s v="Spring"/>
    <s v="XS"/>
    <x v="4"/>
    <n v="198.58"/>
    <n v="0"/>
    <n v="198.58"/>
    <x v="231"/>
    <n v="46"/>
    <n v="2.4137931034482762"/>
    <b v="0"/>
    <m/>
  </r>
  <r>
    <s v="FB001601"/>
    <x v="0"/>
    <x v="2"/>
    <s v="Summer"/>
    <s v="M"/>
    <x v="6"/>
    <n v="109.82"/>
    <n v="0"/>
    <n v="109.82"/>
    <x v="1"/>
    <n v="32"/>
    <n v="2.2999999999999998"/>
    <b v="0"/>
    <m/>
  </r>
  <r>
    <s v="FB001602"/>
    <x v="2"/>
    <x v="2"/>
    <s v="Summer"/>
    <m/>
    <x v="0"/>
    <n v="34.42"/>
    <n v="49.5"/>
    <n v="17.38"/>
    <x v="1"/>
    <n v="26"/>
    <n v="2.2000000000000002"/>
    <b v="0"/>
    <m/>
  </r>
  <r>
    <s v="FB001603"/>
    <x v="3"/>
    <x v="0"/>
    <s v="Winter"/>
    <m/>
    <x v="4"/>
    <n v="112.1"/>
    <n v="0"/>
    <n v="112.1"/>
    <x v="1"/>
    <n v="5"/>
    <n v="2"/>
    <b v="1"/>
    <s v="Color Mismatch"/>
  </r>
  <r>
    <s v="FB001604"/>
    <x v="4"/>
    <x v="6"/>
    <s v="Fall"/>
    <s v="XS"/>
    <x v="3"/>
    <n v="25.07"/>
    <n v="0"/>
    <n v="25.07"/>
    <x v="1"/>
    <n v="9"/>
    <n v="2.5"/>
    <b v="0"/>
    <m/>
  </r>
  <r>
    <s v="FB001605"/>
    <x v="5"/>
    <x v="1"/>
    <s v="Spring"/>
    <s v="XL"/>
    <x v="6"/>
    <n v="170.38"/>
    <n v="0"/>
    <n v="170.38"/>
    <x v="233"/>
    <n v="23"/>
    <n v="4.3"/>
    <b v="0"/>
    <m/>
  </r>
  <r>
    <s v="FB001606"/>
    <x v="5"/>
    <x v="3"/>
    <s v="Winter"/>
    <s v="XXL"/>
    <x v="6"/>
    <n v="77.319999999999993"/>
    <n v="0"/>
    <n v="77.319999999999993"/>
    <x v="1"/>
    <n v="30"/>
    <n v="2.2000000000000002"/>
    <b v="1"/>
    <s v="Color Mismatch"/>
  </r>
  <r>
    <s v="FB001607"/>
    <x v="3"/>
    <x v="3"/>
    <s v="Winter"/>
    <s v="XS"/>
    <x v="2"/>
    <n v="111.88"/>
    <n v="0"/>
    <n v="111.88"/>
    <x v="1"/>
    <n v="17"/>
    <n v="4.5999999999999996"/>
    <b v="0"/>
    <m/>
  </r>
  <r>
    <s v="FB001608"/>
    <x v="2"/>
    <x v="7"/>
    <s v="Fall"/>
    <m/>
    <x v="2"/>
    <n v="24.71"/>
    <n v="0"/>
    <n v="24.71"/>
    <x v="1"/>
    <n v="37"/>
    <n v="2.8636363636363633"/>
    <b v="0"/>
    <m/>
  </r>
  <r>
    <s v="FB001609"/>
    <x v="1"/>
    <x v="1"/>
    <s v="Spring"/>
    <s v="XL"/>
    <x v="0"/>
    <n v="61.42"/>
    <n v="0"/>
    <n v="61.42"/>
    <x v="234"/>
    <n v="41"/>
    <n v="3.5"/>
    <b v="0"/>
    <m/>
  </r>
  <r>
    <s v="FB001610"/>
    <x v="2"/>
    <x v="6"/>
    <s v="Fall"/>
    <m/>
    <x v="5"/>
    <n v="60.48"/>
    <n v="7.3"/>
    <n v="56.06"/>
    <x v="1"/>
    <n v="46"/>
    <n v="3.6"/>
    <b v="0"/>
    <m/>
  </r>
  <r>
    <s v="FB001611"/>
    <x v="2"/>
    <x v="3"/>
    <s v="Fall"/>
    <m/>
    <x v="9"/>
    <n v="34.94"/>
    <n v="5.2"/>
    <n v="33.119999999999997"/>
    <x v="1"/>
    <n v="18"/>
    <n v="2.5131578947368416"/>
    <b v="0"/>
    <m/>
  </r>
  <r>
    <s v="FB001612"/>
    <x v="4"/>
    <x v="2"/>
    <s v="Spring"/>
    <s v="XL"/>
    <x v="0"/>
    <n v="30.51"/>
    <n v="0"/>
    <n v="30.51"/>
    <x v="32"/>
    <n v="17"/>
    <n v="1.2"/>
    <b v="0"/>
    <m/>
  </r>
  <r>
    <s v="FB001613"/>
    <x v="5"/>
    <x v="2"/>
    <s v="Winter"/>
    <s v="XXL"/>
    <x v="8"/>
    <n v="65.540000000000006"/>
    <n v="40.299999999999997"/>
    <n v="39.130000000000003"/>
    <x v="1"/>
    <n v="27"/>
    <n v="1.2"/>
    <b v="0"/>
    <m/>
  </r>
  <r>
    <s v="FB001614"/>
    <x v="3"/>
    <x v="7"/>
    <s v="Summer"/>
    <s v="S"/>
    <x v="7"/>
    <n v="114.37"/>
    <n v="43.2"/>
    <n v="64.959999999999994"/>
    <x v="1"/>
    <n v="16"/>
    <n v="1.4"/>
    <b v="0"/>
    <m/>
  </r>
  <r>
    <s v="FB001615"/>
    <x v="5"/>
    <x v="3"/>
    <s v="Spring"/>
    <s v="S"/>
    <x v="3"/>
    <n v="145.80000000000001"/>
    <n v="0"/>
    <n v="145.80000000000001"/>
    <x v="70"/>
    <n v="13"/>
    <n v="4"/>
    <b v="0"/>
    <m/>
  </r>
  <r>
    <s v="FB001616"/>
    <x v="3"/>
    <x v="0"/>
    <s v="Summer"/>
    <s v="S"/>
    <x v="0"/>
    <n v="121.43"/>
    <n v="44.1"/>
    <n v="67.88"/>
    <x v="1"/>
    <n v="2"/>
    <n v="4.4000000000000004"/>
    <b v="0"/>
    <m/>
  </r>
  <r>
    <s v="FB001617"/>
    <x v="3"/>
    <x v="7"/>
    <s v="Summer"/>
    <s v="XXL"/>
    <x v="6"/>
    <n v="94.49"/>
    <n v="0"/>
    <n v="94.49"/>
    <x v="1"/>
    <n v="30"/>
    <n v="1.5"/>
    <b v="0"/>
    <m/>
  </r>
  <r>
    <s v="FB001618"/>
    <x v="0"/>
    <x v="7"/>
    <s v="Fall"/>
    <s v="M"/>
    <x v="9"/>
    <n v="218.64"/>
    <n v="0"/>
    <n v="218.64"/>
    <x v="1"/>
    <n v="5"/>
    <n v="2.9718749999999998"/>
    <b v="0"/>
    <m/>
  </r>
  <r>
    <s v="FB001619"/>
    <x v="0"/>
    <x v="1"/>
    <s v="Fall"/>
    <s v="S"/>
    <x v="2"/>
    <n v="80.41"/>
    <n v="11.9"/>
    <n v="70.84"/>
    <x v="1"/>
    <n v="35"/>
    <n v="1.5"/>
    <b v="0"/>
    <m/>
  </r>
  <r>
    <s v="FB001620"/>
    <x v="3"/>
    <x v="6"/>
    <s v="Winter"/>
    <s v="XL"/>
    <x v="7"/>
    <n v="183.3"/>
    <n v="0"/>
    <n v="183.3"/>
    <x v="1"/>
    <n v="7"/>
    <n v="2"/>
    <b v="0"/>
    <m/>
  </r>
  <r>
    <s v="FB001621"/>
    <x v="0"/>
    <x v="1"/>
    <s v="Fall"/>
    <s v="XS"/>
    <x v="3"/>
    <n v="241.81"/>
    <n v="0"/>
    <n v="241.81"/>
    <x v="1"/>
    <n v="38"/>
    <n v="3.5"/>
    <b v="0"/>
    <m/>
  </r>
  <r>
    <s v="FB001622"/>
    <x v="0"/>
    <x v="3"/>
    <s v="Spring"/>
    <s v="XS"/>
    <x v="3"/>
    <n v="216.46"/>
    <n v="28.8"/>
    <n v="154.12"/>
    <x v="205"/>
    <n v="43"/>
    <n v="1.3"/>
    <b v="0"/>
    <m/>
  </r>
  <r>
    <s v="FB001623"/>
    <x v="5"/>
    <x v="1"/>
    <s v="Spring"/>
    <s v="S"/>
    <x v="1"/>
    <n v="63.07"/>
    <n v="53.6"/>
    <n v="29.26"/>
    <x v="235"/>
    <n v="4"/>
    <n v="1.5"/>
    <b v="1"/>
    <s v="Color Mismatch"/>
  </r>
  <r>
    <s v="FB001624"/>
    <x v="2"/>
    <x v="2"/>
    <s v="Spring"/>
    <m/>
    <x v="6"/>
    <n v="44.7"/>
    <n v="0"/>
    <n v="44.7"/>
    <x v="163"/>
    <n v="29"/>
    <n v="3.2"/>
    <b v="0"/>
    <m/>
  </r>
  <r>
    <s v="FB001625"/>
    <x v="1"/>
    <x v="0"/>
    <s v="Fall"/>
    <s v="XXL"/>
    <x v="3"/>
    <n v="28.23"/>
    <n v="40.299999999999997"/>
    <n v="16.850000000000001"/>
    <x v="1"/>
    <n v="21"/>
    <n v="2.7"/>
    <b v="0"/>
    <m/>
  </r>
  <r>
    <s v="FB001626"/>
    <x v="3"/>
    <x v="5"/>
    <s v="Fall"/>
    <s v="XXL"/>
    <x v="6"/>
    <n v="131.94"/>
    <n v="27.3"/>
    <n v="95.92"/>
    <x v="1"/>
    <n v="6"/>
    <n v="2.8"/>
    <b v="1"/>
    <s v="Damaged"/>
  </r>
  <r>
    <s v="FB001627"/>
    <x v="0"/>
    <x v="7"/>
    <s v="Fall"/>
    <s v="M"/>
    <x v="5"/>
    <n v="166.85"/>
    <n v="30.9"/>
    <n v="115.29"/>
    <x v="1"/>
    <n v="14"/>
    <n v="4.2"/>
    <b v="1"/>
    <s v="Changed Mind"/>
  </r>
  <r>
    <s v="FB001628"/>
    <x v="1"/>
    <x v="2"/>
    <s v="Winter"/>
    <s v="S"/>
    <x v="8"/>
    <n v="39.58"/>
    <n v="30.9"/>
    <n v="27.35"/>
    <x v="1"/>
    <n v="17"/>
    <n v="2.5"/>
    <b v="0"/>
    <m/>
  </r>
  <r>
    <s v="FB001629"/>
    <x v="0"/>
    <x v="1"/>
    <s v="Summer"/>
    <s v="M"/>
    <x v="5"/>
    <n v="89.55"/>
    <n v="58"/>
    <n v="37.61"/>
    <x v="1"/>
    <n v="21"/>
    <n v="2.6"/>
    <b v="0"/>
    <m/>
  </r>
  <r>
    <s v="FB001630"/>
    <x v="0"/>
    <x v="3"/>
    <s v="Fall"/>
    <s v="M"/>
    <x v="9"/>
    <n v="138.55000000000001"/>
    <n v="0"/>
    <n v="138.55000000000001"/>
    <x v="1"/>
    <n v="25"/>
    <n v="2"/>
    <b v="0"/>
    <m/>
  </r>
  <r>
    <s v="FB001631"/>
    <x v="2"/>
    <x v="1"/>
    <s v="Fall"/>
    <m/>
    <x v="7"/>
    <n v="43.84"/>
    <n v="0"/>
    <n v="43.84"/>
    <x v="1"/>
    <n v="28"/>
    <n v="2.8"/>
    <b v="0"/>
    <m/>
  </r>
  <r>
    <s v="FB001632"/>
    <x v="1"/>
    <x v="7"/>
    <s v="Fall"/>
    <s v="XL"/>
    <x v="10"/>
    <n v="63.72"/>
    <n v="17.8"/>
    <n v="52.38"/>
    <x v="1"/>
    <n v="45"/>
    <n v="2.4"/>
    <b v="0"/>
    <m/>
  </r>
  <r>
    <s v="FB001633"/>
    <x v="2"/>
    <x v="0"/>
    <s v="Spring"/>
    <m/>
    <x v="0"/>
    <n v="74.61"/>
    <n v="0"/>
    <n v="74.61"/>
    <x v="236"/>
    <n v="38"/>
    <n v="2.8"/>
    <b v="0"/>
    <m/>
  </r>
  <r>
    <s v="FB001634"/>
    <x v="3"/>
    <x v="1"/>
    <s v="Spring"/>
    <s v="S"/>
    <x v="4"/>
    <n v="148.24"/>
    <n v="10.9"/>
    <n v="132.08000000000001"/>
    <x v="237"/>
    <n v="44"/>
    <n v="1.3"/>
    <b v="0"/>
    <m/>
  </r>
  <r>
    <s v="FB001635"/>
    <x v="1"/>
    <x v="6"/>
    <s v="Spring"/>
    <s v="XL"/>
    <x v="4"/>
    <n v="93.46"/>
    <n v="0"/>
    <n v="93.46"/>
    <x v="238"/>
    <n v="20"/>
    <n v="2.2000000000000002"/>
    <b v="0"/>
    <m/>
  </r>
  <r>
    <s v="FB001636"/>
    <x v="0"/>
    <x v="1"/>
    <s v="Summer"/>
    <s v="XXL"/>
    <x v="0"/>
    <n v="245.31"/>
    <n v="44.1"/>
    <n v="137.13"/>
    <x v="1"/>
    <n v="44"/>
    <n v="3.15"/>
    <b v="0"/>
    <m/>
  </r>
  <r>
    <s v="FB001637"/>
    <x v="1"/>
    <x v="2"/>
    <s v="Spring"/>
    <s v="XXL"/>
    <x v="0"/>
    <n v="43.38"/>
    <n v="45.9"/>
    <n v="23.47"/>
    <x v="51"/>
    <n v="47"/>
    <n v="3.7"/>
    <b v="1"/>
    <s v="Changed Mind"/>
  </r>
  <r>
    <s v="FB001638"/>
    <x v="2"/>
    <x v="5"/>
    <s v="Fall"/>
    <m/>
    <x v="2"/>
    <n v="40.04"/>
    <n v="45.5"/>
    <n v="21.82"/>
    <x v="1"/>
    <n v="50"/>
    <n v="2.2000000000000002"/>
    <b v="0"/>
    <m/>
  </r>
  <r>
    <s v="FB001639"/>
    <x v="0"/>
    <x v="4"/>
    <s v="Fall"/>
    <s v="M"/>
    <x v="7"/>
    <n v="209.68"/>
    <n v="3.6"/>
    <n v="202.13"/>
    <x v="1"/>
    <n v="18"/>
    <n v="4.0999999999999996"/>
    <b v="0"/>
    <m/>
  </r>
  <r>
    <s v="FB001640"/>
    <x v="2"/>
    <x v="3"/>
    <s v="Winter"/>
    <m/>
    <x v="10"/>
    <n v="38.08"/>
    <n v="0"/>
    <n v="38.08"/>
    <x v="1"/>
    <n v="0"/>
    <n v="1.6"/>
    <b v="0"/>
    <m/>
  </r>
  <r>
    <s v="FB001641"/>
    <x v="0"/>
    <x v="5"/>
    <s v="Spring"/>
    <s v="XXL"/>
    <x v="7"/>
    <n v="123.04"/>
    <n v="0"/>
    <n v="123.04"/>
    <x v="196"/>
    <n v="13"/>
    <n v="1.2"/>
    <b v="0"/>
    <m/>
  </r>
  <r>
    <s v="FB001642"/>
    <x v="2"/>
    <x v="1"/>
    <s v="Summer"/>
    <m/>
    <x v="1"/>
    <n v="39.94"/>
    <n v="0"/>
    <n v="39.94"/>
    <x v="1"/>
    <n v="32"/>
    <n v="3.1"/>
    <b v="0"/>
    <m/>
  </r>
  <r>
    <s v="FB001643"/>
    <x v="5"/>
    <x v="4"/>
    <s v="Summer"/>
    <s v="M"/>
    <x v="4"/>
    <n v="80.19"/>
    <n v="0"/>
    <n v="80.19"/>
    <x v="1"/>
    <n v="43"/>
    <n v="3.8"/>
    <b v="0"/>
    <m/>
  </r>
  <r>
    <s v="FB001644"/>
    <x v="1"/>
    <x v="1"/>
    <s v="Spring"/>
    <s v="XXL"/>
    <x v="9"/>
    <n v="35.03"/>
    <n v="10.1"/>
    <n v="31.49"/>
    <x v="204"/>
    <n v="5"/>
    <n v="3.8"/>
    <b v="0"/>
    <m/>
  </r>
  <r>
    <s v="FB001645"/>
    <x v="1"/>
    <x v="4"/>
    <s v="Summer"/>
    <s v="M"/>
    <x v="2"/>
    <n v="27.64"/>
    <n v="29"/>
    <n v="19.62"/>
    <x v="1"/>
    <n v="19"/>
    <n v="1"/>
    <b v="0"/>
    <m/>
  </r>
  <r>
    <s v="FB001646"/>
    <x v="0"/>
    <x v="3"/>
    <s v="Spring"/>
    <s v="M"/>
    <x v="8"/>
    <n v="187.63"/>
    <n v="0"/>
    <n v="187.63"/>
    <x v="5"/>
    <n v="25"/>
    <n v="1.8"/>
    <b v="0"/>
    <m/>
  </r>
  <r>
    <s v="FB001647"/>
    <x v="0"/>
    <x v="4"/>
    <s v="Winter"/>
    <s v="XXL"/>
    <x v="2"/>
    <n v="193.17"/>
    <n v="34.6"/>
    <n v="126.33"/>
    <x v="1"/>
    <n v="26"/>
    <n v="2.9228571428571426"/>
    <b v="0"/>
    <m/>
  </r>
  <r>
    <s v="FB001648"/>
    <x v="3"/>
    <x v="2"/>
    <s v="Spring"/>
    <s v="M"/>
    <x v="2"/>
    <n v="157.78"/>
    <n v="40.200000000000003"/>
    <n v="94.35"/>
    <x v="144"/>
    <n v="23"/>
    <n v="3.1"/>
    <b v="0"/>
    <m/>
  </r>
  <r>
    <s v="FB001649"/>
    <x v="3"/>
    <x v="0"/>
    <s v="Winter"/>
    <s v="L"/>
    <x v="2"/>
    <n v="119.14"/>
    <n v="7.8"/>
    <n v="109.85"/>
    <x v="1"/>
    <n v="20"/>
    <n v="3.1"/>
    <b v="0"/>
    <m/>
  </r>
  <r>
    <s v="FB001650"/>
    <x v="5"/>
    <x v="7"/>
    <s v="Winter"/>
    <s v="M"/>
    <x v="3"/>
    <n v="150.08000000000001"/>
    <n v="4.8"/>
    <n v="142.88"/>
    <x v="1"/>
    <n v="24"/>
    <n v="1.7"/>
    <b v="0"/>
    <m/>
  </r>
  <r>
    <s v="FB001651"/>
    <x v="5"/>
    <x v="1"/>
    <s v="Summer"/>
    <s v="L"/>
    <x v="5"/>
    <n v="153.18"/>
    <n v="0"/>
    <n v="153.18"/>
    <x v="1"/>
    <n v="26"/>
    <n v="1.1000000000000001"/>
    <b v="0"/>
    <m/>
  </r>
  <r>
    <s v="FB001652"/>
    <x v="1"/>
    <x v="2"/>
    <s v="Winter"/>
    <s v="S"/>
    <x v="1"/>
    <n v="118.69"/>
    <n v="47.7"/>
    <n v="62.07"/>
    <x v="1"/>
    <n v="11"/>
    <n v="2.8"/>
    <b v="0"/>
    <m/>
  </r>
  <r>
    <s v="FB001653"/>
    <x v="2"/>
    <x v="4"/>
    <s v="Spring"/>
    <m/>
    <x v="8"/>
    <n v="50.12"/>
    <n v="0"/>
    <n v="50.12"/>
    <x v="239"/>
    <n v="27"/>
    <n v="2.4"/>
    <b v="0"/>
    <m/>
  </r>
  <r>
    <s v="FB001654"/>
    <x v="5"/>
    <x v="6"/>
    <s v="Spring"/>
    <s v="XS"/>
    <x v="5"/>
    <n v="93.68"/>
    <n v="59.5"/>
    <n v="37.94"/>
    <x v="240"/>
    <n v="21"/>
    <n v="2.980952380952381"/>
    <b v="0"/>
    <m/>
  </r>
  <r>
    <s v="FB001655"/>
    <x v="1"/>
    <x v="1"/>
    <s v="Summer"/>
    <s v="S"/>
    <x v="0"/>
    <n v="50.49"/>
    <n v="0"/>
    <n v="50.49"/>
    <x v="1"/>
    <n v="30"/>
    <n v="4.0999999999999996"/>
    <b v="0"/>
    <m/>
  </r>
  <r>
    <s v="FB001656"/>
    <x v="3"/>
    <x v="3"/>
    <s v="Summer"/>
    <s v="XS"/>
    <x v="3"/>
    <n v="97.9"/>
    <n v="0"/>
    <n v="97.9"/>
    <x v="1"/>
    <n v="29"/>
    <n v="1.3"/>
    <b v="0"/>
    <m/>
  </r>
  <r>
    <s v="FB001657"/>
    <x v="1"/>
    <x v="1"/>
    <s v="Summer"/>
    <s v="S"/>
    <x v="4"/>
    <n v="69"/>
    <n v="0"/>
    <n v="69"/>
    <x v="1"/>
    <n v="32"/>
    <n v="4.5"/>
    <b v="0"/>
    <m/>
  </r>
  <r>
    <s v="FB001658"/>
    <x v="2"/>
    <x v="3"/>
    <s v="Fall"/>
    <m/>
    <x v="9"/>
    <n v="30.2"/>
    <n v="27.1"/>
    <n v="22.02"/>
    <x v="1"/>
    <n v="15"/>
    <n v="2.5131578947368416"/>
    <b v="0"/>
    <m/>
  </r>
  <r>
    <s v="FB001659"/>
    <x v="1"/>
    <x v="2"/>
    <s v="Winter"/>
    <s v="L"/>
    <x v="7"/>
    <n v="84.92"/>
    <n v="59.1"/>
    <n v="34.729999999999997"/>
    <x v="1"/>
    <n v="42"/>
    <n v="2.953125"/>
    <b v="0"/>
    <m/>
  </r>
  <r>
    <s v="FB001660"/>
    <x v="1"/>
    <x v="7"/>
    <s v="Fall"/>
    <s v="XS"/>
    <x v="3"/>
    <n v="116.48"/>
    <n v="0"/>
    <n v="116.48"/>
    <x v="1"/>
    <n v="3"/>
    <n v="1.5"/>
    <b v="0"/>
    <m/>
  </r>
  <r>
    <s v="FB001661"/>
    <x v="1"/>
    <x v="4"/>
    <s v="Summer"/>
    <s v="XL"/>
    <x v="8"/>
    <n v="40.68"/>
    <n v="0"/>
    <n v="40.68"/>
    <x v="1"/>
    <n v="41"/>
    <n v="1.1000000000000001"/>
    <b v="1"/>
    <s v="Changed Mind"/>
  </r>
  <r>
    <s v="FB001662"/>
    <x v="0"/>
    <x v="5"/>
    <s v="Summer"/>
    <s v="XL"/>
    <x v="2"/>
    <n v="118.92"/>
    <n v="0"/>
    <n v="118.92"/>
    <x v="1"/>
    <n v="36"/>
    <n v="1.8"/>
    <b v="1"/>
    <s v="Wrong Item"/>
  </r>
  <r>
    <s v="FB001663"/>
    <x v="4"/>
    <x v="5"/>
    <s v="Summer"/>
    <s v="XXL"/>
    <x v="2"/>
    <n v="26.86"/>
    <n v="0"/>
    <n v="26.86"/>
    <x v="1"/>
    <n v="18"/>
    <n v="3.2"/>
    <b v="0"/>
    <m/>
  </r>
  <r>
    <s v="FB001664"/>
    <x v="5"/>
    <x v="2"/>
    <s v="Fall"/>
    <s v="S"/>
    <x v="6"/>
    <n v="113.34"/>
    <n v="0"/>
    <n v="113.34"/>
    <x v="1"/>
    <n v="13"/>
    <n v="2.9000000000000008"/>
    <b v="0"/>
    <m/>
  </r>
  <r>
    <s v="FB001665"/>
    <x v="1"/>
    <x v="6"/>
    <s v="Summer"/>
    <s v="L"/>
    <x v="2"/>
    <n v="40.520000000000003"/>
    <n v="8.9"/>
    <n v="36.909999999999997"/>
    <x v="1"/>
    <n v="13"/>
    <n v="2.5"/>
    <b v="0"/>
    <m/>
  </r>
  <r>
    <s v="FB001666"/>
    <x v="4"/>
    <x v="7"/>
    <s v="Summer"/>
    <s v="L"/>
    <x v="1"/>
    <n v="98.41"/>
    <n v="0"/>
    <n v="98.41"/>
    <x v="1"/>
    <n v="7"/>
    <n v="4.5999999999999996"/>
    <b v="0"/>
    <m/>
  </r>
  <r>
    <s v="FB001667"/>
    <x v="4"/>
    <x v="7"/>
    <s v="Winter"/>
    <s v="XS"/>
    <x v="0"/>
    <n v="83.18"/>
    <n v="0"/>
    <n v="83.18"/>
    <x v="1"/>
    <n v="17"/>
    <n v="1.7"/>
    <b v="1"/>
    <s v="Size Issue"/>
  </r>
  <r>
    <s v="FB001668"/>
    <x v="3"/>
    <x v="4"/>
    <s v="Spring"/>
    <s v="XXL"/>
    <x v="9"/>
    <n v="179.31"/>
    <n v="24.1"/>
    <n v="136.1"/>
    <x v="241"/>
    <n v="0"/>
    <n v="3.1"/>
    <b v="0"/>
    <m/>
  </r>
  <r>
    <s v="FB001669"/>
    <x v="1"/>
    <x v="0"/>
    <s v="Spring"/>
    <s v="XXL"/>
    <x v="6"/>
    <n v="47.88"/>
    <n v="0"/>
    <n v="47.88"/>
    <x v="152"/>
    <n v="44"/>
    <n v="1.9"/>
    <b v="0"/>
    <m/>
  </r>
  <r>
    <s v="FB001670"/>
    <x v="0"/>
    <x v="3"/>
    <s v="Winter"/>
    <s v="XL"/>
    <x v="8"/>
    <n v="89.26"/>
    <n v="0"/>
    <n v="89.26"/>
    <x v="1"/>
    <n v="43"/>
    <n v="3.8"/>
    <b v="0"/>
    <m/>
  </r>
  <r>
    <s v="FB001671"/>
    <x v="5"/>
    <x v="6"/>
    <s v="Summer"/>
    <s v="XXL"/>
    <x v="2"/>
    <n v="114.2"/>
    <n v="0"/>
    <n v="114.2"/>
    <x v="1"/>
    <n v="15"/>
    <n v="2.980952380952381"/>
    <b v="0"/>
    <m/>
  </r>
  <r>
    <s v="FB001672"/>
    <x v="3"/>
    <x v="6"/>
    <s v="Summer"/>
    <s v="L"/>
    <x v="6"/>
    <n v="169.5"/>
    <n v="59.7"/>
    <n v="68.31"/>
    <x v="1"/>
    <n v="16"/>
    <n v="1.8"/>
    <b v="0"/>
    <m/>
  </r>
  <r>
    <s v="FB001673"/>
    <x v="1"/>
    <x v="4"/>
    <s v="Fall"/>
    <s v="XS"/>
    <x v="3"/>
    <n v="77.989999999999995"/>
    <n v="0"/>
    <n v="77.989999999999995"/>
    <x v="1"/>
    <n v="42"/>
    <n v="2.9657142857142857"/>
    <b v="0"/>
    <m/>
  </r>
  <r>
    <s v="FB001674"/>
    <x v="4"/>
    <x v="5"/>
    <s v="Fall"/>
    <m/>
    <x v="1"/>
    <n v="103.77"/>
    <n v="0"/>
    <n v="103.77"/>
    <x v="1"/>
    <n v="12"/>
    <n v="4.4000000000000004"/>
    <b v="0"/>
    <m/>
  </r>
  <r>
    <s v="FB001675"/>
    <x v="2"/>
    <x v="7"/>
    <s v="Fall"/>
    <m/>
    <x v="2"/>
    <n v="42.96"/>
    <n v="0"/>
    <n v="42.96"/>
    <x v="1"/>
    <n v="36"/>
    <n v="1.1000000000000001"/>
    <b v="0"/>
    <m/>
  </r>
  <r>
    <s v="FB001676"/>
    <x v="5"/>
    <x v="2"/>
    <s v="Fall"/>
    <m/>
    <x v="10"/>
    <n v="126.11"/>
    <n v="0"/>
    <n v="126.11"/>
    <x v="1"/>
    <n v="16"/>
    <n v="3.5"/>
    <b v="0"/>
    <m/>
  </r>
  <r>
    <s v="FB001677"/>
    <x v="2"/>
    <x v="2"/>
    <s v="Summer"/>
    <m/>
    <x v="7"/>
    <n v="43.83"/>
    <n v="0"/>
    <n v="43.83"/>
    <x v="1"/>
    <n v="31"/>
    <n v="2.5"/>
    <b v="0"/>
    <m/>
  </r>
  <r>
    <s v="FB001678"/>
    <x v="3"/>
    <x v="2"/>
    <s v="Fall"/>
    <s v="S"/>
    <x v="7"/>
    <n v="94.1"/>
    <n v="0"/>
    <n v="94.1"/>
    <x v="1"/>
    <n v="24"/>
    <n v="1.4"/>
    <b v="0"/>
    <m/>
  </r>
  <r>
    <s v="FB001679"/>
    <x v="3"/>
    <x v="0"/>
    <s v="Fall"/>
    <s v="M"/>
    <x v="0"/>
    <n v="151.27000000000001"/>
    <n v="0"/>
    <n v="151.27000000000001"/>
    <x v="1"/>
    <n v="39"/>
    <n v="4"/>
    <b v="1"/>
    <s v="Damaged"/>
  </r>
  <r>
    <s v="FB001680"/>
    <x v="2"/>
    <x v="6"/>
    <s v="Spring"/>
    <m/>
    <x v="8"/>
    <n v="61.47"/>
    <n v="0"/>
    <n v="61.47"/>
    <x v="242"/>
    <n v="44"/>
    <n v="3.2720930232558145"/>
    <b v="0"/>
    <m/>
  </r>
  <r>
    <s v="FB001681"/>
    <x v="3"/>
    <x v="3"/>
    <s v="Summer"/>
    <s v="M"/>
    <x v="8"/>
    <n v="185.96"/>
    <n v="0"/>
    <n v="185.96"/>
    <x v="1"/>
    <n v="35"/>
    <n v="1.3"/>
    <b v="0"/>
    <m/>
  </r>
  <r>
    <s v="FB001682"/>
    <x v="5"/>
    <x v="6"/>
    <s v="Fall"/>
    <s v="M"/>
    <x v="0"/>
    <n v="113.05"/>
    <n v="0"/>
    <n v="113.05"/>
    <x v="1"/>
    <n v="47"/>
    <n v="2"/>
    <b v="0"/>
    <m/>
  </r>
  <r>
    <s v="FB001683"/>
    <x v="1"/>
    <x v="2"/>
    <s v="Summer"/>
    <s v="L"/>
    <x v="10"/>
    <n v="110.9"/>
    <n v="34.700000000000003"/>
    <n v="72.42"/>
    <x v="1"/>
    <n v="2"/>
    <n v="2.5"/>
    <b v="0"/>
    <m/>
  </r>
  <r>
    <s v="FB001684"/>
    <x v="1"/>
    <x v="1"/>
    <s v="Summer"/>
    <s v="XXL"/>
    <x v="3"/>
    <n v="29.04"/>
    <n v="0"/>
    <n v="29.04"/>
    <x v="1"/>
    <n v="4"/>
    <n v="5"/>
    <b v="0"/>
    <m/>
  </r>
  <r>
    <s v="FB001685"/>
    <x v="3"/>
    <x v="7"/>
    <s v="Spring"/>
    <s v="XL"/>
    <x v="4"/>
    <n v="164.48"/>
    <n v="51.5"/>
    <n v="79.77"/>
    <x v="100"/>
    <n v="27"/>
    <n v="3.4"/>
    <b v="0"/>
    <m/>
  </r>
  <r>
    <s v="FB001686"/>
    <x v="4"/>
    <x v="2"/>
    <s v="Winter"/>
    <s v="L"/>
    <x v="3"/>
    <n v="52.51"/>
    <n v="49.4"/>
    <n v="26.57"/>
    <x v="1"/>
    <n v="37"/>
    <n v="3.5"/>
    <b v="1"/>
    <s v="Changed Mind"/>
  </r>
  <r>
    <s v="FB001687"/>
    <x v="5"/>
    <x v="5"/>
    <s v="Winter"/>
    <s v="XXL"/>
    <x v="4"/>
    <n v="175.74"/>
    <n v="42.9"/>
    <n v="100.35"/>
    <x v="1"/>
    <n v="48"/>
    <n v="3.1874999999999991"/>
    <b v="1"/>
    <s v="Changed Mind"/>
  </r>
  <r>
    <s v="FB001688"/>
    <x v="1"/>
    <x v="5"/>
    <s v="Spring"/>
    <s v="XS"/>
    <x v="7"/>
    <n v="57.06"/>
    <n v="27.5"/>
    <n v="41.37"/>
    <x v="69"/>
    <n v="43"/>
    <n v="1.8"/>
    <b v="0"/>
    <m/>
  </r>
  <r>
    <s v="FB001689"/>
    <x v="5"/>
    <x v="5"/>
    <s v="Winter"/>
    <s v="L"/>
    <x v="2"/>
    <n v="158.24"/>
    <n v="0"/>
    <n v="158.24"/>
    <x v="1"/>
    <n v="41"/>
    <n v="3.1"/>
    <b v="0"/>
    <m/>
  </r>
  <r>
    <s v="FB001690"/>
    <x v="0"/>
    <x v="3"/>
    <s v="Fall"/>
    <m/>
    <x v="1"/>
    <n v="153.46"/>
    <n v="0"/>
    <n v="153.46"/>
    <x v="1"/>
    <n v="27"/>
    <n v="1.7"/>
    <b v="0"/>
    <m/>
  </r>
  <r>
    <s v="FB001691"/>
    <x v="2"/>
    <x v="0"/>
    <s v="Spring"/>
    <m/>
    <x v="10"/>
    <n v="54.92"/>
    <n v="0"/>
    <n v="54.92"/>
    <x v="36"/>
    <n v="44"/>
    <n v="3.1"/>
    <b v="0"/>
    <m/>
  </r>
  <r>
    <s v="FB001692"/>
    <x v="2"/>
    <x v="1"/>
    <s v="Spring"/>
    <m/>
    <x v="9"/>
    <n v="32.200000000000003"/>
    <n v="19.2"/>
    <n v="26.02"/>
    <x v="123"/>
    <n v="8"/>
    <n v="4.3"/>
    <b v="0"/>
    <m/>
  </r>
  <r>
    <s v="FB001693"/>
    <x v="2"/>
    <x v="3"/>
    <s v="Fall"/>
    <m/>
    <x v="10"/>
    <n v="66.489999999999995"/>
    <n v="29.1"/>
    <n v="47.14"/>
    <x v="1"/>
    <n v="37"/>
    <n v="1.3"/>
    <b v="0"/>
    <m/>
  </r>
  <r>
    <s v="FB001694"/>
    <x v="2"/>
    <x v="3"/>
    <s v="Winter"/>
    <m/>
    <x v="5"/>
    <n v="32.950000000000003"/>
    <n v="50.2"/>
    <n v="16.41"/>
    <x v="1"/>
    <n v="46"/>
    <n v="2.5131578947368416"/>
    <b v="0"/>
    <m/>
  </r>
  <r>
    <s v="FB001695"/>
    <x v="2"/>
    <x v="4"/>
    <s v="Fall"/>
    <m/>
    <x v="4"/>
    <n v="54.31"/>
    <n v="19.2"/>
    <n v="43.88"/>
    <x v="1"/>
    <n v="19"/>
    <n v="1.8"/>
    <b v="0"/>
    <m/>
  </r>
  <r>
    <s v="FB001696"/>
    <x v="2"/>
    <x v="2"/>
    <s v="Summer"/>
    <m/>
    <x v="8"/>
    <n v="19.68"/>
    <n v="0"/>
    <n v="19.68"/>
    <x v="1"/>
    <n v="29"/>
    <n v="1.5"/>
    <b v="1"/>
    <s v="Size Issue"/>
  </r>
  <r>
    <s v="FB001697"/>
    <x v="1"/>
    <x v="0"/>
    <s v="Spring"/>
    <s v="XS"/>
    <x v="4"/>
    <n v="105.19"/>
    <n v="24.3"/>
    <n v="79.63"/>
    <x v="243"/>
    <n v="47"/>
    <n v="5"/>
    <b v="0"/>
    <m/>
  </r>
  <r>
    <s v="FB001698"/>
    <x v="2"/>
    <x v="2"/>
    <s v="Summer"/>
    <m/>
    <x v="6"/>
    <n v="20.3"/>
    <n v="19.600000000000001"/>
    <n v="16.32"/>
    <x v="1"/>
    <n v="47"/>
    <n v="2.9"/>
    <b v="1"/>
    <s v="Changed Mind"/>
  </r>
  <r>
    <s v="FB001699"/>
    <x v="4"/>
    <x v="3"/>
    <s v="Summer"/>
    <s v="S"/>
    <x v="10"/>
    <n v="105.37"/>
    <n v="19.600000000000001"/>
    <n v="84.72"/>
    <x v="1"/>
    <n v="39"/>
    <n v="4.3"/>
    <b v="0"/>
    <m/>
  </r>
  <r>
    <s v="FB001700"/>
    <x v="5"/>
    <x v="5"/>
    <s v="Winter"/>
    <s v="XS"/>
    <x v="6"/>
    <n v="156.24"/>
    <n v="0"/>
    <n v="156.24"/>
    <x v="1"/>
    <n v="15"/>
    <n v="5"/>
    <b v="0"/>
    <m/>
  </r>
  <r>
    <s v="FB001701"/>
    <x v="3"/>
    <x v="3"/>
    <s v="Winter"/>
    <s v="XS"/>
    <x v="10"/>
    <n v="162.19"/>
    <n v="5.7"/>
    <n v="152.94999999999999"/>
    <x v="1"/>
    <n v="39"/>
    <n v="1.4"/>
    <b v="0"/>
    <m/>
  </r>
  <r>
    <s v="FB001702"/>
    <x v="1"/>
    <x v="4"/>
    <s v="Spring"/>
    <s v="M"/>
    <x v="7"/>
    <n v="75.790000000000006"/>
    <n v="7.1"/>
    <n v="70.41"/>
    <x v="169"/>
    <n v="13"/>
    <n v="3.3"/>
    <b v="0"/>
    <m/>
  </r>
  <r>
    <s v="FB001703"/>
    <x v="2"/>
    <x v="7"/>
    <s v="Summer"/>
    <m/>
    <x v="1"/>
    <n v="32.04"/>
    <n v="0"/>
    <n v="32.04"/>
    <x v="1"/>
    <n v="41"/>
    <n v="1.8"/>
    <b v="0"/>
    <m/>
  </r>
  <r>
    <s v="FB001704"/>
    <x v="1"/>
    <x v="6"/>
    <s v="Fall"/>
    <s v="M"/>
    <x v="2"/>
    <n v="27.65"/>
    <n v="31.8"/>
    <n v="18.86"/>
    <x v="1"/>
    <n v="2"/>
    <n v="3.7"/>
    <b v="1"/>
    <s v="Size Issue"/>
  </r>
  <r>
    <s v="FB001705"/>
    <x v="4"/>
    <x v="2"/>
    <s v="Spring"/>
    <s v="M"/>
    <x v="9"/>
    <n v="31.54"/>
    <n v="0"/>
    <n v="31.54"/>
    <x v="244"/>
    <n v="45"/>
    <n v="1.3"/>
    <b v="0"/>
    <m/>
  </r>
  <r>
    <s v="FB001706"/>
    <x v="4"/>
    <x v="0"/>
    <s v="Summer"/>
    <s v="XXL"/>
    <x v="7"/>
    <n v="77.64"/>
    <n v="39.1"/>
    <n v="47.28"/>
    <x v="1"/>
    <n v="19"/>
    <n v="2.6"/>
    <b v="0"/>
    <m/>
  </r>
  <r>
    <s v="FB001707"/>
    <x v="5"/>
    <x v="4"/>
    <s v="Winter"/>
    <s v="XL"/>
    <x v="1"/>
    <n v="51.48"/>
    <n v="0"/>
    <n v="51.48"/>
    <x v="1"/>
    <n v="10"/>
    <n v="1"/>
    <b v="0"/>
    <m/>
  </r>
  <r>
    <s v="FB001708"/>
    <x v="0"/>
    <x v="0"/>
    <s v="Fall"/>
    <s v="M"/>
    <x v="1"/>
    <n v="108.58"/>
    <n v="0"/>
    <n v="108.58"/>
    <x v="1"/>
    <n v="44"/>
    <n v="2.4"/>
    <b v="0"/>
    <m/>
  </r>
  <r>
    <s v="FB001709"/>
    <x v="1"/>
    <x v="7"/>
    <s v="Winter"/>
    <s v="XXL"/>
    <x v="2"/>
    <n v="84.17"/>
    <n v="0"/>
    <n v="84.17"/>
    <x v="1"/>
    <n v="20"/>
    <n v="3.7"/>
    <b v="0"/>
    <m/>
  </r>
  <r>
    <s v="FB001710"/>
    <x v="4"/>
    <x v="3"/>
    <s v="Spring"/>
    <s v="L"/>
    <x v="1"/>
    <n v="76.45"/>
    <n v="0"/>
    <n v="76.45"/>
    <x v="82"/>
    <n v="16"/>
    <n v="1"/>
    <b v="1"/>
    <s v="Color Mismatch"/>
  </r>
  <r>
    <s v="FB001711"/>
    <x v="2"/>
    <x v="1"/>
    <s v="Spring"/>
    <m/>
    <x v="4"/>
    <n v="50.31"/>
    <n v="0"/>
    <n v="50.31"/>
    <x v="240"/>
    <n v="36"/>
    <n v="3.1288461538461547"/>
    <b v="0"/>
    <m/>
  </r>
  <r>
    <s v="FB001712"/>
    <x v="1"/>
    <x v="6"/>
    <s v="Spring"/>
    <s v="S"/>
    <x v="1"/>
    <n v="43.45"/>
    <n v="0"/>
    <n v="43.45"/>
    <x v="58"/>
    <n v="30"/>
    <n v="2.2999999999999998"/>
    <b v="0"/>
    <m/>
  </r>
  <r>
    <s v="FB001713"/>
    <x v="5"/>
    <x v="1"/>
    <s v="Fall"/>
    <s v="XL"/>
    <x v="4"/>
    <n v="149.22"/>
    <n v="53.9"/>
    <n v="68.790000000000006"/>
    <x v="1"/>
    <n v="41"/>
    <n v="2.2000000000000002"/>
    <b v="0"/>
    <m/>
  </r>
  <r>
    <s v="FB001714"/>
    <x v="4"/>
    <x v="6"/>
    <s v="Summer"/>
    <s v="XS"/>
    <x v="4"/>
    <n v="48.24"/>
    <n v="31.7"/>
    <n v="32.950000000000003"/>
    <x v="1"/>
    <n v="46"/>
    <n v="3.7"/>
    <b v="0"/>
    <m/>
  </r>
  <r>
    <s v="FB001715"/>
    <x v="4"/>
    <x v="4"/>
    <s v="Summer"/>
    <s v="S"/>
    <x v="10"/>
    <n v="66.27"/>
    <n v="21.7"/>
    <n v="51.89"/>
    <x v="1"/>
    <n v="28"/>
    <n v="2.5"/>
    <b v="1"/>
    <s v="Changed Mind"/>
  </r>
  <r>
    <s v="FB001716"/>
    <x v="3"/>
    <x v="4"/>
    <s v="Fall"/>
    <s v="XXL"/>
    <x v="8"/>
    <n v="82.65"/>
    <n v="0"/>
    <n v="82.65"/>
    <x v="1"/>
    <n v="30"/>
    <n v="4.0999999999999996"/>
    <b v="0"/>
    <m/>
  </r>
  <r>
    <s v="FB001717"/>
    <x v="4"/>
    <x v="5"/>
    <s v="Winter"/>
    <s v="XXL"/>
    <x v="2"/>
    <n v="42.36"/>
    <n v="0"/>
    <n v="42.36"/>
    <x v="1"/>
    <n v="37"/>
    <n v="1.4"/>
    <b v="0"/>
    <m/>
  </r>
  <r>
    <s v="FB001718"/>
    <x v="4"/>
    <x v="5"/>
    <s v="Summer"/>
    <s v="M"/>
    <x v="0"/>
    <n v="109.36"/>
    <n v="0"/>
    <n v="109.36"/>
    <x v="1"/>
    <n v="24"/>
    <n v="1.7"/>
    <b v="0"/>
    <m/>
  </r>
  <r>
    <s v="FB001719"/>
    <x v="2"/>
    <x v="5"/>
    <s v="Winter"/>
    <m/>
    <x v="7"/>
    <n v="59.98"/>
    <n v="0"/>
    <n v="59.98"/>
    <x v="1"/>
    <n v="28"/>
    <n v="2.2000000000000002"/>
    <b v="0"/>
    <m/>
  </r>
  <r>
    <s v="FB001720"/>
    <x v="5"/>
    <x v="6"/>
    <s v="Spring"/>
    <m/>
    <x v="9"/>
    <n v="111.81"/>
    <n v="0"/>
    <n v="111.81"/>
    <x v="59"/>
    <n v="45"/>
    <n v="1.1000000000000001"/>
    <b v="0"/>
    <m/>
  </r>
  <r>
    <s v="FB001721"/>
    <x v="4"/>
    <x v="2"/>
    <s v="Winter"/>
    <s v="XXL"/>
    <x v="0"/>
    <n v="70.78"/>
    <n v="0"/>
    <n v="70.78"/>
    <x v="1"/>
    <n v="39"/>
    <n v="3.4"/>
    <b v="1"/>
    <s v="Color Mismatch"/>
  </r>
  <r>
    <s v="FB001722"/>
    <x v="2"/>
    <x v="3"/>
    <s v="Winter"/>
    <m/>
    <x v="1"/>
    <n v="76.13"/>
    <n v="58.5"/>
    <n v="31.59"/>
    <x v="1"/>
    <n v="40"/>
    <n v="1.6"/>
    <b v="0"/>
    <m/>
  </r>
  <r>
    <s v="FB001723"/>
    <x v="4"/>
    <x v="2"/>
    <s v="Fall"/>
    <s v="XS"/>
    <x v="1"/>
    <n v="71.09"/>
    <n v="41.5"/>
    <n v="41.59"/>
    <x v="1"/>
    <n v="20"/>
    <n v="3.1"/>
    <b v="0"/>
    <m/>
  </r>
  <r>
    <s v="FB001724"/>
    <x v="4"/>
    <x v="3"/>
    <s v="Fall"/>
    <m/>
    <x v="4"/>
    <n v="53.64"/>
    <n v="55.9"/>
    <n v="23.66"/>
    <x v="1"/>
    <n v="10"/>
    <n v="2.5"/>
    <b v="0"/>
    <m/>
  </r>
  <r>
    <s v="FB001725"/>
    <x v="3"/>
    <x v="5"/>
    <s v="Fall"/>
    <m/>
    <x v="10"/>
    <n v="110.2"/>
    <n v="59.7"/>
    <n v="44.41"/>
    <x v="1"/>
    <n v="13"/>
    <n v="3.5"/>
    <b v="1"/>
    <s v="Color Mismatch"/>
  </r>
  <r>
    <s v="FB001726"/>
    <x v="3"/>
    <x v="1"/>
    <s v="Summer"/>
    <s v="XXL"/>
    <x v="6"/>
    <n v="80.63"/>
    <n v="17.399999999999999"/>
    <n v="66.599999999999994"/>
    <x v="1"/>
    <n v="6"/>
    <n v="2.8205128205128198"/>
    <b v="1"/>
    <s v="Damaged"/>
  </r>
  <r>
    <s v="FB001727"/>
    <x v="5"/>
    <x v="3"/>
    <s v="Spring"/>
    <s v="XL"/>
    <x v="6"/>
    <n v="101.09"/>
    <n v="24.8"/>
    <n v="76.02"/>
    <x v="198"/>
    <n v="7"/>
    <n v="4.5"/>
    <b v="1"/>
    <s v="Damaged"/>
  </r>
  <r>
    <s v="FB001728"/>
    <x v="2"/>
    <x v="0"/>
    <s v="Spring"/>
    <m/>
    <x v="8"/>
    <n v="75.48"/>
    <n v="0"/>
    <n v="75.48"/>
    <x v="245"/>
    <n v="16"/>
    <n v="1.4"/>
    <b v="0"/>
    <m/>
  </r>
  <r>
    <s v="FB001729"/>
    <x v="3"/>
    <x v="2"/>
    <s v="Summer"/>
    <s v="S"/>
    <x v="10"/>
    <n v="159.94999999999999"/>
    <n v="6.4"/>
    <n v="149.71"/>
    <x v="1"/>
    <n v="39"/>
    <n v="3"/>
    <b v="0"/>
    <m/>
  </r>
  <r>
    <s v="FB001730"/>
    <x v="5"/>
    <x v="6"/>
    <s v="Summer"/>
    <s v="L"/>
    <x v="2"/>
    <n v="61.9"/>
    <n v="0"/>
    <n v="61.9"/>
    <x v="1"/>
    <n v="29"/>
    <n v="4.4000000000000004"/>
    <b v="0"/>
    <m/>
  </r>
  <r>
    <s v="FB001731"/>
    <x v="1"/>
    <x v="2"/>
    <s v="Fall"/>
    <s v="XL"/>
    <x v="9"/>
    <n v="63.45"/>
    <n v="12.3"/>
    <n v="55.65"/>
    <x v="1"/>
    <n v="23"/>
    <n v="4.9000000000000004"/>
    <b v="0"/>
    <m/>
  </r>
  <r>
    <s v="FB001732"/>
    <x v="1"/>
    <x v="3"/>
    <s v="Summer"/>
    <s v="S"/>
    <x v="0"/>
    <n v="43.22"/>
    <n v="46.7"/>
    <n v="23.04"/>
    <x v="1"/>
    <n v="29"/>
    <n v="1.3"/>
    <b v="0"/>
    <m/>
  </r>
  <r>
    <s v="FB001733"/>
    <x v="3"/>
    <x v="2"/>
    <s v="Winter"/>
    <s v="S"/>
    <x v="8"/>
    <n v="64.650000000000006"/>
    <n v="26.8"/>
    <n v="47.32"/>
    <x v="1"/>
    <n v="28"/>
    <n v="4.7"/>
    <b v="0"/>
    <m/>
  </r>
  <r>
    <s v="FB001734"/>
    <x v="3"/>
    <x v="1"/>
    <s v="Spring"/>
    <s v="XXL"/>
    <x v="9"/>
    <n v="118.67"/>
    <n v="56"/>
    <n v="52.21"/>
    <x v="68"/>
    <n v="27"/>
    <n v="3.5"/>
    <b v="0"/>
    <m/>
  </r>
  <r>
    <s v="FB001735"/>
    <x v="5"/>
    <x v="2"/>
    <s v="Spring"/>
    <s v="XS"/>
    <x v="3"/>
    <n v="169.32"/>
    <n v="0"/>
    <n v="169.32"/>
    <x v="202"/>
    <n v="19"/>
    <n v="2.2000000000000002"/>
    <b v="0"/>
    <m/>
  </r>
  <r>
    <s v="FB001736"/>
    <x v="3"/>
    <x v="5"/>
    <s v="Spring"/>
    <s v="XS"/>
    <x v="4"/>
    <n v="115.77"/>
    <n v="0"/>
    <n v="115.77"/>
    <x v="246"/>
    <n v="43"/>
    <n v="3.0068965517241386"/>
    <b v="0"/>
    <m/>
  </r>
  <r>
    <s v="FB001737"/>
    <x v="3"/>
    <x v="3"/>
    <s v="Fall"/>
    <s v="XS"/>
    <x v="7"/>
    <n v="139.91"/>
    <n v="0"/>
    <n v="139.91"/>
    <x v="1"/>
    <n v="9"/>
    <n v="3.7"/>
    <b v="0"/>
    <m/>
  </r>
  <r>
    <s v="FB001738"/>
    <x v="4"/>
    <x v="2"/>
    <s v="Summer"/>
    <s v="XXL"/>
    <x v="9"/>
    <n v="101.73"/>
    <n v="0"/>
    <n v="101.73"/>
    <x v="1"/>
    <n v="14"/>
    <n v="4.7"/>
    <b v="0"/>
    <m/>
  </r>
  <r>
    <s v="FB001739"/>
    <x v="1"/>
    <x v="7"/>
    <s v="Summer"/>
    <m/>
    <x v="1"/>
    <n v="105.85"/>
    <n v="0"/>
    <n v="105.85"/>
    <x v="1"/>
    <n v="29"/>
    <n v="2.1"/>
    <b v="0"/>
    <m/>
  </r>
  <r>
    <s v="FB001740"/>
    <x v="1"/>
    <x v="6"/>
    <s v="Spring"/>
    <s v="XL"/>
    <x v="4"/>
    <n v="105.37"/>
    <n v="0"/>
    <n v="105.37"/>
    <x v="183"/>
    <n v="24"/>
    <n v="1.2"/>
    <b v="0"/>
    <m/>
  </r>
  <r>
    <s v="FB001741"/>
    <x v="1"/>
    <x v="4"/>
    <s v="Summer"/>
    <s v="S"/>
    <x v="10"/>
    <n v="44.42"/>
    <n v="0"/>
    <n v="44.42"/>
    <x v="1"/>
    <n v="49"/>
    <n v="2.9657142857142857"/>
    <b v="0"/>
    <m/>
  </r>
  <r>
    <s v="FB001742"/>
    <x v="3"/>
    <x v="1"/>
    <s v="Spring"/>
    <s v="XS"/>
    <x v="4"/>
    <n v="164.86"/>
    <n v="14.3"/>
    <n v="141.29"/>
    <x v="92"/>
    <n v="7"/>
    <n v="2.2999999999999998"/>
    <b v="0"/>
    <m/>
  </r>
  <r>
    <s v="FB001743"/>
    <x v="3"/>
    <x v="3"/>
    <s v="Fall"/>
    <s v="XXL"/>
    <x v="2"/>
    <n v="163.88"/>
    <n v="5.9"/>
    <n v="154.21"/>
    <x v="1"/>
    <n v="39"/>
    <n v="2.6"/>
    <b v="0"/>
    <m/>
  </r>
  <r>
    <s v="FB001744"/>
    <x v="4"/>
    <x v="0"/>
    <s v="Fall"/>
    <s v="XS"/>
    <x v="6"/>
    <n v="36.54"/>
    <n v="5.3"/>
    <n v="34.6"/>
    <x v="1"/>
    <n v="13"/>
    <n v="2.5"/>
    <b v="0"/>
    <m/>
  </r>
  <r>
    <s v="FB001745"/>
    <x v="5"/>
    <x v="2"/>
    <s v="Spring"/>
    <s v="M"/>
    <x v="0"/>
    <n v="99.97"/>
    <n v="0"/>
    <n v="99.97"/>
    <x v="11"/>
    <n v="38"/>
    <n v="1.4"/>
    <b v="0"/>
    <m/>
  </r>
  <r>
    <s v="FB001746"/>
    <x v="0"/>
    <x v="5"/>
    <s v="Summer"/>
    <s v="XL"/>
    <x v="0"/>
    <n v="194.78"/>
    <n v="0"/>
    <n v="194.78"/>
    <x v="1"/>
    <n v="31"/>
    <n v="3.0305555555555546"/>
    <b v="0"/>
    <m/>
  </r>
  <r>
    <s v="FB001747"/>
    <x v="0"/>
    <x v="1"/>
    <s v="Fall"/>
    <s v="XS"/>
    <x v="5"/>
    <n v="208.93"/>
    <n v="0"/>
    <n v="208.93"/>
    <x v="1"/>
    <n v="12"/>
    <n v="2.2999999999999998"/>
    <b v="0"/>
    <m/>
  </r>
  <r>
    <s v="FB001748"/>
    <x v="4"/>
    <x v="5"/>
    <s v="Spring"/>
    <s v="XS"/>
    <x v="0"/>
    <n v="68.459999999999994"/>
    <n v="50"/>
    <n v="34.229999999999997"/>
    <x v="17"/>
    <n v="24"/>
    <n v="1.9"/>
    <b v="0"/>
    <m/>
  </r>
  <r>
    <s v="FB001749"/>
    <x v="2"/>
    <x v="2"/>
    <s v="Winter"/>
    <m/>
    <x v="9"/>
    <n v="30.26"/>
    <n v="50"/>
    <n v="15.13"/>
    <x v="1"/>
    <n v="23"/>
    <n v="1.4"/>
    <b v="0"/>
    <m/>
  </r>
  <r>
    <s v="FB001750"/>
    <x v="0"/>
    <x v="3"/>
    <s v="Summer"/>
    <s v="XS"/>
    <x v="6"/>
    <n v="186.66"/>
    <n v="30.9"/>
    <n v="128.97999999999999"/>
    <x v="1"/>
    <n v="7"/>
    <n v="1"/>
    <b v="0"/>
    <m/>
  </r>
  <r>
    <s v="FB001751"/>
    <x v="1"/>
    <x v="0"/>
    <s v="Winter"/>
    <s v="S"/>
    <x v="2"/>
    <n v="78.05"/>
    <n v="48.1"/>
    <n v="40.51"/>
    <x v="1"/>
    <n v="36"/>
    <n v="2.9"/>
    <b v="1"/>
    <s v="Changed Mind"/>
  </r>
  <r>
    <s v="FB001752"/>
    <x v="1"/>
    <x v="1"/>
    <s v="Spring"/>
    <s v="M"/>
    <x v="9"/>
    <n v="104.75"/>
    <n v="0"/>
    <n v="104.75"/>
    <x v="129"/>
    <n v="11"/>
    <n v="3.34"/>
    <b v="0"/>
    <m/>
  </r>
  <r>
    <s v="FB001753"/>
    <x v="3"/>
    <x v="1"/>
    <s v="Summer"/>
    <s v="M"/>
    <x v="10"/>
    <n v="121.33"/>
    <n v="0"/>
    <n v="121.33"/>
    <x v="1"/>
    <n v="30"/>
    <n v="4.2"/>
    <b v="0"/>
    <m/>
  </r>
  <r>
    <s v="FB001754"/>
    <x v="5"/>
    <x v="3"/>
    <s v="Fall"/>
    <s v="XXL"/>
    <x v="6"/>
    <n v="78.09"/>
    <n v="0"/>
    <n v="78.09"/>
    <x v="1"/>
    <n v="6"/>
    <n v="2"/>
    <b v="0"/>
    <m/>
  </r>
  <r>
    <s v="FB001755"/>
    <x v="1"/>
    <x v="1"/>
    <s v="Fall"/>
    <s v="XXL"/>
    <x v="0"/>
    <n v="109.19"/>
    <n v="0"/>
    <n v="109.19"/>
    <x v="1"/>
    <n v="47"/>
    <n v="4.5"/>
    <b v="0"/>
    <m/>
  </r>
  <r>
    <s v="FB001756"/>
    <x v="3"/>
    <x v="5"/>
    <s v="Winter"/>
    <s v="L"/>
    <x v="2"/>
    <n v="126.74"/>
    <n v="0"/>
    <n v="126.74"/>
    <x v="1"/>
    <n v="2"/>
    <n v="2.9"/>
    <b v="0"/>
    <m/>
  </r>
  <r>
    <s v="FB001757"/>
    <x v="3"/>
    <x v="4"/>
    <s v="Spring"/>
    <s v="XL"/>
    <x v="2"/>
    <n v="95.85"/>
    <n v="0"/>
    <n v="95.85"/>
    <x v="87"/>
    <n v="45"/>
    <n v="5"/>
    <b v="0"/>
    <m/>
  </r>
  <r>
    <s v="FB001758"/>
    <x v="0"/>
    <x v="3"/>
    <s v="Summer"/>
    <s v="S"/>
    <x v="5"/>
    <n v="213.98"/>
    <n v="0"/>
    <n v="213.98"/>
    <x v="1"/>
    <n v="38"/>
    <n v="2.4137931034482762"/>
    <b v="0"/>
    <m/>
  </r>
  <r>
    <s v="FB001759"/>
    <x v="3"/>
    <x v="7"/>
    <s v="Spring"/>
    <s v="XXL"/>
    <x v="7"/>
    <n v="146.22999999999999"/>
    <n v="40"/>
    <n v="87.74"/>
    <x v="148"/>
    <n v="17"/>
    <n v="2.6"/>
    <b v="1"/>
    <s v="Quality Issue"/>
  </r>
  <r>
    <s v="FB001760"/>
    <x v="4"/>
    <x v="3"/>
    <s v="Winter"/>
    <s v="L"/>
    <x v="1"/>
    <n v="115.57"/>
    <n v="16.100000000000001"/>
    <n v="96.96"/>
    <x v="1"/>
    <n v="32"/>
    <n v="3.1"/>
    <b v="1"/>
    <s v="Size Issue"/>
  </r>
  <r>
    <s v="FB001761"/>
    <x v="2"/>
    <x v="2"/>
    <s v="Spring"/>
    <m/>
    <x v="5"/>
    <n v="66.62"/>
    <n v="0"/>
    <n v="66.62"/>
    <x v="247"/>
    <n v="37"/>
    <n v="2.8694444444444449"/>
    <b v="0"/>
    <m/>
  </r>
  <r>
    <s v="FB001762"/>
    <x v="5"/>
    <x v="2"/>
    <s v="Spring"/>
    <s v="XS"/>
    <x v="9"/>
    <n v="60.37"/>
    <n v="23.1"/>
    <n v="46.42"/>
    <x v="92"/>
    <n v="30"/>
    <n v="4.8"/>
    <b v="0"/>
    <m/>
  </r>
  <r>
    <s v="FB001763"/>
    <x v="3"/>
    <x v="4"/>
    <s v="Winter"/>
    <s v="M"/>
    <x v="5"/>
    <n v="83.2"/>
    <n v="57.1"/>
    <n v="35.69"/>
    <x v="1"/>
    <n v="10"/>
    <n v="3.3"/>
    <b v="0"/>
    <m/>
  </r>
  <r>
    <s v="FB001764"/>
    <x v="0"/>
    <x v="1"/>
    <s v="Summer"/>
    <s v="S"/>
    <x v="8"/>
    <n v="204.47"/>
    <n v="3.6"/>
    <n v="197.11"/>
    <x v="1"/>
    <n v="26"/>
    <n v="3.15"/>
    <b v="0"/>
    <m/>
  </r>
  <r>
    <s v="FB001765"/>
    <x v="2"/>
    <x v="3"/>
    <s v="Fall"/>
    <m/>
    <x v="9"/>
    <n v="52.73"/>
    <n v="0"/>
    <n v="52.73"/>
    <x v="1"/>
    <n v="42"/>
    <n v="2.5131578947368416"/>
    <b v="0"/>
    <m/>
  </r>
  <r>
    <s v="FB001766"/>
    <x v="4"/>
    <x v="7"/>
    <s v="Fall"/>
    <s v="XXL"/>
    <x v="7"/>
    <n v="61.1"/>
    <n v="0"/>
    <n v="61.1"/>
    <x v="1"/>
    <n v="30"/>
    <n v="4.5999999999999996"/>
    <b v="0"/>
    <m/>
  </r>
  <r>
    <s v="FB001767"/>
    <x v="0"/>
    <x v="0"/>
    <s v="Summer"/>
    <s v="S"/>
    <x v="4"/>
    <n v="227.92"/>
    <n v="0"/>
    <n v="227.92"/>
    <x v="1"/>
    <n v="34"/>
    <n v="2.7030303030303036"/>
    <b v="0"/>
    <m/>
  </r>
  <r>
    <s v="FB001768"/>
    <x v="5"/>
    <x v="4"/>
    <s v="Fall"/>
    <s v="L"/>
    <x v="5"/>
    <n v="111.55"/>
    <n v="0"/>
    <n v="111.55"/>
    <x v="1"/>
    <n v="14"/>
    <n v="3.1051282051282048"/>
    <b v="0"/>
    <m/>
  </r>
  <r>
    <s v="FB001769"/>
    <x v="4"/>
    <x v="7"/>
    <s v="Fall"/>
    <s v="XS"/>
    <x v="1"/>
    <n v="29.09"/>
    <n v="29.6"/>
    <n v="20.48"/>
    <x v="1"/>
    <n v="25"/>
    <n v="4.8"/>
    <b v="0"/>
    <m/>
  </r>
  <r>
    <s v="FB001770"/>
    <x v="5"/>
    <x v="4"/>
    <s v="Fall"/>
    <s v="M"/>
    <x v="1"/>
    <n v="179.71"/>
    <n v="0"/>
    <n v="179.71"/>
    <x v="1"/>
    <n v="9"/>
    <n v="3.9"/>
    <b v="0"/>
    <m/>
  </r>
  <r>
    <s v="FB001771"/>
    <x v="2"/>
    <x v="4"/>
    <s v="Summer"/>
    <m/>
    <x v="1"/>
    <n v="52.76"/>
    <n v="39.4"/>
    <n v="31.97"/>
    <x v="1"/>
    <n v="0"/>
    <n v="1.4"/>
    <b v="0"/>
    <m/>
  </r>
  <r>
    <s v="FB001772"/>
    <x v="2"/>
    <x v="1"/>
    <s v="Spring"/>
    <m/>
    <x v="6"/>
    <n v="67.900000000000006"/>
    <n v="0"/>
    <n v="67.900000000000006"/>
    <x v="248"/>
    <n v="1"/>
    <n v="1.3"/>
    <b v="0"/>
    <m/>
  </r>
  <r>
    <s v="FB001773"/>
    <x v="2"/>
    <x v="1"/>
    <s v="Fall"/>
    <m/>
    <x v="8"/>
    <n v="46.77"/>
    <n v="40.799999999999997"/>
    <n v="27.69"/>
    <x v="1"/>
    <n v="25"/>
    <n v="2.6"/>
    <b v="0"/>
    <m/>
  </r>
  <r>
    <s v="FB001774"/>
    <x v="1"/>
    <x v="1"/>
    <s v="Winter"/>
    <s v="XL"/>
    <x v="8"/>
    <n v="91.6"/>
    <n v="0"/>
    <n v="91.6"/>
    <x v="1"/>
    <n v="6"/>
    <n v="2.7"/>
    <b v="0"/>
    <m/>
  </r>
  <r>
    <s v="FB001775"/>
    <x v="0"/>
    <x v="1"/>
    <s v="Spring"/>
    <s v="XS"/>
    <x v="1"/>
    <n v="230.39"/>
    <n v="4.2"/>
    <n v="220.71"/>
    <x v="249"/>
    <n v="34"/>
    <n v="3.5"/>
    <b v="0"/>
    <m/>
  </r>
  <r>
    <s v="FB001776"/>
    <x v="0"/>
    <x v="5"/>
    <s v="Fall"/>
    <s v="M"/>
    <x v="5"/>
    <n v="118.37"/>
    <n v="0"/>
    <n v="118.37"/>
    <x v="1"/>
    <n v="45"/>
    <n v="3.0305555555555546"/>
    <b v="0"/>
    <m/>
  </r>
  <r>
    <s v="FB001777"/>
    <x v="3"/>
    <x v="6"/>
    <s v="Winter"/>
    <s v="M"/>
    <x v="0"/>
    <n v="81.260000000000005"/>
    <n v="32.700000000000003"/>
    <n v="54.69"/>
    <x v="1"/>
    <n v="2"/>
    <n v="3.3"/>
    <b v="0"/>
    <m/>
  </r>
  <r>
    <s v="FB001778"/>
    <x v="2"/>
    <x v="4"/>
    <s v="Fall"/>
    <m/>
    <x v="9"/>
    <n v="57.21"/>
    <n v="18"/>
    <n v="46.91"/>
    <x v="1"/>
    <n v="7"/>
    <n v="2.5"/>
    <b v="0"/>
    <m/>
  </r>
  <r>
    <s v="FB001779"/>
    <x v="5"/>
    <x v="7"/>
    <s v="Summer"/>
    <s v="XL"/>
    <x v="10"/>
    <n v="74.53"/>
    <n v="0"/>
    <n v="74.53"/>
    <x v="1"/>
    <n v="9"/>
    <n v="2.9636363636363638"/>
    <b v="0"/>
    <m/>
  </r>
  <r>
    <s v="FB001780"/>
    <x v="5"/>
    <x v="2"/>
    <s v="Summer"/>
    <s v="M"/>
    <x v="0"/>
    <n v="69.540000000000006"/>
    <n v="0"/>
    <n v="69.540000000000006"/>
    <x v="1"/>
    <n v="40"/>
    <n v="3.2"/>
    <b v="1"/>
    <s v="Size Issue"/>
  </r>
  <r>
    <s v="FB001781"/>
    <x v="5"/>
    <x v="5"/>
    <s v="Summer"/>
    <s v="XL"/>
    <x v="10"/>
    <n v="102.71"/>
    <n v="55.9"/>
    <n v="45.3"/>
    <x v="1"/>
    <n v="31"/>
    <n v="4.5999999999999996"/>
    <b v="0"/>
    <m/>
  </r>
  <r>
    <s v="FB001782"/>
    <x v="3"/>
    <x v="6"/>
    <s v="Summer"/>
    <s v="L"/>
    <x v="7"/>
    <n v="117.82"/>
    <n v="0"/>
    <n v="117.82"/>
    <x v="1"/>
    <n v="7"/>
    <n v="4.9000000000000004"/>
    <b v="0"/>
    <m/>
  </r>
  <r>
    <s v="FB001783"/>
    <x v="2"/>
    <x v="6"/>
    <s v="Spring"/>
    <m/>
    <x v="9"/>
    <n v="61.01"/>
    <n v="0"/>
    <n v="61.01"/>
    <x v="5"/>
    <n v="30"/>
    <n v="3.4"/>
    <b v="0"/>
    <m/>
  </r>
  <r>
    <s v="FB001784"/>
    <x v="0"/>
    <x v="7"/>
    <s v="Winter"/>
    <s v="XL"/>
    <x v="1"/>
    <n v="222.01"/>
    <n v="0"/>
    <n v="222.01"/>
    <x v="1"/>
    <n v="27"/>
    <n v="2.1"/>
    <b v="0"/>
    <m/>
  </r>
  <r>
    <s v="FB001785"/>
    <x v="0"/>
    <x v="4"/>
    <s v="Summer"/>
    <s v="L"/>
    <x v="10"/>
    <n v="123.55"/>
    <n v="0"/>
    <n v="123.55"/>
    <x v="1"/>
    <n v="28"/>
    <n v="1.2"/>
    <b v="0"/>
    <m/>
  </r>
  <r>
    <s v="FB001786"/>
    <x v="2"/>
    <x v="0"/>
    <s v="Fall"/>
    <m/>
    <x v="2"/>
    <n v="24.65"/>
    <n v="0"/>
    <n v="24.65"/>
    <x v="1"/>
    <n v="43"/>
    <n v="1.1000000000000001"/>
    <b v="0"/>
    <m/>
  </r>
  <r>
    <s v="FB001787"/>
    <x v="0"/>
    <x v="2"/>
    <s v="Fall"/>
    <s v="XXL"/>
    <x v="8"/>
    <n v="168.8"/>
    <n v="0"/>
    <n v="168.8"/>
    <x v="1"/>
    <n v="1"/>
    <n v="1"/>
    <b v="0"/>
    <m/>
  </r>
  <r>
    <s v="FB001788"/>
    <x v="1"/>
    <x v="6"/>
    <s v="Fall"/>
    <s v="S"/>
    <x v="6"/>
    <n v="39.159999999999997"/>
    <n v="40.1"/>
    <n v="23.46"/>
    <x v="1"/>
    <n v="4"/>
    <n v="2.8"/>
    <b v="0"/>
    <m/>
  </r>
  <r>
    <s v="FB001789"/>
    <x v="4"/>
    <x v="4"/>
    <s v="Fall"/>
    <m/>
    <x v="10"/>
    <n v="74.760000000000005"/>
    <n v="0"/>
    <n v="74.760000000000005"/>
    <x v="1"/>
    <n v="50"/>
    <n v="4.4000000000000004"/>
    <b v="1"/>
    <s v="Color Mismatch"/>
  </r>
  <r>
    <s v="FB001790"/>
    <x v="2"/>
    <x v="6"/>
    <s v="Winter"/>
    <m/>
    <x v="8"/>
    <n v="37"/>
    <n v="0"/>
    <n v="37"/>
    <x v="1"/>
    <n v="5"/>
    <n v="4.9000000000000004"/>
    <b v="0"/>
    <m/>
  </r>
  <r>
    <s v="FB001791"/>
    <x v="2"/>
    <x v="3"/>
    <s v="Winter"/>
    <m/>
    <x v="2"/>
    <n v="67.38"/>
    <n v="0"/>
    <n v="67.38"/>
    <x v="1"/>
    <n v="15"/>
    <n v="1.6"/>
    <b v="0"/>
    <m/>
  </r>
  <r>
    <s v="FB001792"/>
    <x v="4"/>
    <x v="4"/>
    <s v="Summer"/>
    <s v="XS"/>
    <x v="3"/>
    <n v="77.44"/>
    <n v="1.4"/>
    <n v="76.36"/>
    <x v="1"/>
    <n v="18"/>
    <n v="3.3"/>
    <b v="0"/>
    <m/>
  </r>
  <r>
    <s v="FB001793"/>
    <x v="0"/>
    <x v="4"/>
    <s v="Summer"/>
    <s v="XS"/>
    <x v="4"/>
    <n v="215.06"/>
    <n v="0"/>
    <n v="215.06"/>
    <x v="1"/>
    <n v="50"/>
    <n v="1.6"/>
    <b v="0"/>
    <m/>
  </r>
  <r>
    <s v="FB001794"/>
    <x v="0"/>
    <x v="2"/>
    <s v="Winter"/>
    <s v="XS"/>
    <x v="4"/>
    <n v="141.44"/>
    <n v="0"/>
    <n v="141.44"/>
    <x v="1"/>
    <n v="34"/>
    <n v="2.4"/>
    <b v="0"/>
    <m/>
  </r>
  <r>
    <s v="FB001795"/>
    <x v="5"/>
    <x v="5"/>
    <s v="Spring"/>
    <s v="XXL"/>
    <x v="3"/>
    <n v="151.83000000000001"/>
    <n v="0"/>
    <n v="151.83000000000001"/>
    <x v="27"/>
    <n v="24"/>
    <n v="4.3"/>
    <b v="1"/>
    <s v="Wrong Item"/>
  </r>
  <r>
    <s v="FB001796"/>
    <x v="0"/>
    <x v="6"/>
    <s v="Winter"/>
    <s v="XL"/>
    <x v="4"/>
    <n v="140.07"/>
    <n v="0"/>
    <n v="140.07"/>
    <x v="1"/>
    <n v="23"/>
    <n v="2.7"/>
    <b v="0"/>
    <m/>
  </r>
  <r>
    <s v="FB001797"/>
    <x v="5"/>
    <x v="3"/>
    <s v="Summer"/>
    <s v="XXL"/>
    <x v="1"/>
    <n v="94.26"/>
    <n v="28.9"/>
    <n v="67.02"/>
    <x v="1"/>
    <n v="44"/>
    <n v="3.6"/>
    <b v="0"/>
    <m/>
  </r>
  <r>
    <s v="FB001798"/>
    <x v="2"/>
    <x v="5"/>
    <s v="Winter"/>
    <m/>
    <x v="6"/>
    <n v="55.79"/>
    <n v="27.3"/>
    <n v="40.56"/>
    <x v="1"/>
    <n v="39"/>
    <n v="4.9000000000000004"/>
    <b v="0"/>
    <m/>
  </r>
  <r>
    <s v="FB001799"/>
    <x v="2"/>
    <x v="6"/>
    <s v="Winter"/>
    <m/>
    <x v="2"/>
    <n v="58.99"/>
    <n v="0"/>
    <n v="58.99"/>
    <x v="1"/>
    <n v="50"/>
    <n v="2.7"/>
    <b v="0"/>
    <m/>
  </r>
  <r>
    <s v="FB001800"/>
    <x v="4"/>
    <x v="7"/>
    <s v="Summer"/>
    <s v="XXL"/>
    <x v="9"/>
    <n v="61.96"/>
    <n v="0"/>
    <n v="61.96"/>
    <x v="1"/>
    <n v="13"/>
    <n v="3.9"/>
    <b v="0"/>
    <m/>
  </r>
  <r>
    <s v="FB001801"/>
    <x v="4"/>
    <x v="0"/>
    <s v="Fall"/>
    <s v="L"/>
    <x v="10"/>
    <n v="104.25"/>
    <n v="0"/>
    <n v="104.25"/>
    <x v="1"/>
    <n v="35"/>
    <n v="3.1"/>
    <b v="0"/>
    <m/>
  </r>
  <r>
    <s v="FB001802"/>
    <x v="0"/>
    <x v="4"/>
    <s v="Winter"/>
    <s v="L"/>
    <x v="4"/>
    <n v="102.68"/>
    <n v="0"/>
    <n v="102.68"/>
    <x v="1"/>
    <n v="18"/>
    <n v="1.9"/>
    <b v="0"/>
    <m/>
  </r>
  <r>
    <s v="FB001803"/>
    <x v="5"/>
    <x v="6"/>
    <s v="Winter"/>
    <s v="XXL"/>
    <x v="7"/>
    <n v="131.05000000000001"/>
    <n v="32.6"/>
    <n v="88.33"/>
    <x v="1"/>
    <n v="9"/>
    <n v="2.980952380952381"/>
    <b v="0"/>
    <m/>
  </r>
  <r>
    <s v="FB001804"/>
    <x v="0"/>
    <x v="2"/>
    <s v="Spring"/>
    <s v="XS"/>
    <x v="8"/>
    <n v="139.72999999999999"/>
    <n v="54.3"/>
    <n v="63.86"/>
    <x v="175"/>
    <n v="38"/>
    <n v="3.0177777777777774"/>
    <b v="1"/>
    <s v="Changed Mind"/>
  </r>
  <r>
    <s v="FB001805"/>
    <x v="2"/>
    <x v="7"/>
    <s v="Winter"/>
    <m/>
    <x v="8"/>
    <n v="17.59"/>
    <n v="0"/>
    <n v="17.59"/>
    <x v="1"/>
    <n v="14"/>
    <n v="2.8636363636363633"/>
    <b v="0"/>
    <m/>
  </r>
  <r>
    <s v="FB001806"/>
    <x v="3"/>
    <x v="0"/>
    <s v="Fall"/>
    <s v="L"/>
    <x v="0"/>
    <n v="115.09"/>
    <n v="0"/>
    <n v="115.09"/>
    <x v="1"/>
    <n v="10"/>
    <n v="2.5"/>
    <b v="0"/>
    <m/>
  </r>
  <r>
    <s v="FB001807"/>
    <x v="2"/>
    <x v="0"/>
    <s v="Summer"/>
    <m/>
    <x v="2"/>
    <n v="73.75"/>
    <n v="0"/>
    <n v="73.75"/>
    <x v="1"/>
    <n v="23"/>
    <n v="4.5"/>
    <b v="0"/>
    <m/>
  </r>
  <r>
    <s v="FB001808"/>
    <x v="2"/>
    <x v="5"/>
    <s v="Winter"/>
    <m/>
    <x v="8"/>
    <n v="66.77"/>
    <n v="0"/>
    <n v="66.77"/>
    <x v="1"/>
    <n v="28"/>
    <n v="5"/>
    <b v="1"/>
    <s v="Size Issue"/>
  </r>
  <r>
    <s v="FB001809"/>
    <x v="1"/>
    <x v="4"/>
    <s v="Fall"/>
    <s v="L"/>
    <x v="3"/>
    <n v="63.92"/>
    <n v="0"/>
    <n v="63.92"/>
    <x v="1"/>
    <n v="10"/>
    <n v="4.4000000000000004"/>
    <b v="0"/>
    <m/>
  </r>
  <r>
    <s v="FB001810"/>
    <x v="2"/>
    <x v="4"/>
    <s v="Fall"/>
    <m/>
    <x v="6"/>
    <n v="26.26"/>
    <n v="0"/>
    <n v="26.26"/>
    <x v="1"/>
    <n v="27"/>
    <n v="2.7333333333333334"/>
    <b v="0"/>
    <m/>
  </r>
  <r>
    <s v="FB001811"/>
    <x v="2"/>
    <x v="4"/>
    <s v="Spring"/>
    <m/>
    <x v="3"/>
    <n v="62.58"/>
    <n v="8.8000000000000007"/>
    <n v="57.07"/>
    <x v="170"/>
    <n v="1"/>
    <n v="1.7"/>
    <b v="0"/>
    <m/>
  </r>
  <r>
    <s v="FB001812"/>
    <x v="3"/>
    <x v="2"/>
    <s v="Summer"/>
    <s v="S"/>
    <x v="6"/>
    <n v="143.88"/>
    <n v="0"/>
    <n v="143.88"/>
    <x v="1"/>
    <n v="1"/>
    <n v="3.1"/>
    <b v="0"/>
    <m/>
  </r>
  <r>
    <s v="FB001813"/>
    <x v="0"/>
    <x v="0"/>
    <s v="Spring"/>
    <s v="XL"/>
    <x v="5"/>
    <n v="226.24"/>
    <n v="1.2"/>
    <n v="223.53"/>
    <x v="207"/>
    <n v="24"/>
    <n v="4.5"/>
    <b v="0"/>
    <m/>
  </r>
  <r>
    <s v="FB001814"/>
    <x v="3"/>
    <x v="6"/>
    <s v="Spring"/>
    <s v="XXL"/>
    <x v="2"/>
    <n v="164.75"/>
    <n v="0"/>
    <n v="164.75"/>
    <x v="250"/>
    <n v="8"/>
    <n v="3.7"/>
    <b v="0"/>
    <m/>
  </r>
  <r>
    <s v="FB001815"/>
    <x v="4"/>
    <x v="0"/>
    <s v="Summer"/>
    <s v="L"/>
    <x v="8"/>
    <n v="56.14"/>
    <n v="0"/>
    <n v="56.14"/>
    <x v="1"/>
    <n v="16"/>
    <n v="4.3"/>
    <b v="0"/>
    <m/>
  </r>
  <r>
    <s v="FB001816"/>
    <x v="2"/>
    <x v="4"/>
    <s v="Winter"/>
    <m/>
    <x v="0"/>
    <n v="39.96"/>
    <n v="0"/>
    <n v="39.96"/>
    <x v="1"/>
    <n v="49"/>
    <n v="2.7333333333333334"/>
    <b v="0"/>
    <m/>
  </r>
  <r>
    <s v="FB001817"/>
    <x v="4"/>
    <x v="5"/>
    <s v="Summer"/>
    <s v="L"/>
    <x v="8"/>
    <n v="26.5"/>
    <n v="57.9"/>
    <n v="11.16"/>
    <x v="1"/>
    <n v="8"/>
    <n v="1.7"/>
    <b v="0"/>
    <m/>
  </r>
  <r>
    <s v="FB001818"/>
    <x v="3"/>
    <x v="4"/>
    <s v="Spring"/>
    <s v="XXL"/>
    <x v="10"/>
    <n v="118.53"/>
    <n v="55"/>
    <n v="53.34"/>
    <x v="5"/>
    <n v="2"/>
    <n v="4.9000000000000004"/>
    <b v="0"/>
    <m/>
  </r>
  <r>
    <s v="FB001819"/>
    <x v="5"/>
    <x v="3"/>
    <s v="Summer"/>
    <s v="XL"/>
    <x v="9"/>
    <n v="58.08"/>
    <n v="0"/>
    <n v="58.08"/>
    <x v="1"/>
    <n v="42"/>
    <n v="1.6"/>
    <b v="0"/>
    <m/>
  </r>
  <r>
    <s v="FB001820"/>
    <x v="3"/>
    <x v="4"/>
    <s v="Summer"/>
    <s v="S"/>
    <x v="8"/>
    <n v="138.85"/>
    <n v="15"/>
    <n v="118.02"/>
    <x v="1"/>
    <n v="17"/>
    <n v="3.3021276595744684"/>
    <b v="0"/>
    <m/>
  </r>
  <r>
    <s v="FB001821"/>
    <x v="4"/>
    <x v="2"/>
    <s v="Summer"/>
    <s v="XS"/>
    <x v="4"/>
    <n v="73.33"/>
    <n v="0"/>
    <n v="73.33"/>
    <x v="1"/>
    <n v="3"/>
    <n v="3.1"/>
    <b v="1"/>
    <s v="Changed Mind"/>
  </r>
  <r>
    <s v="FB001822"/>
    <x v="0"/>
    <x v="7"/>
    <s v="Winter"/>
    <s v="S"/>
    <x v="6"/>
    <n v="167.73"/>
    <n v="0"/>
    <n v="167.73"/>
    <x v="1"/>
    <n v="4"/>
    <n v="4.9000000000000004"/>
    <b v="0"/>
    <m/>
  </r>
  <r>
    <s v="FB001823"/>
    <x v="1"/>
    <x v="4"/>
    <s v="Winter"/>
    <s v="XXL"/>
    <x v="2"/>
    <n v="79.47"/>
    <n v="0"/>
    <n v="79.47"/>
    <x v="1"/>
    <n v="31"/>
    <n v="3.7"/>
    <b v="0"/>
    <m/>
  </r>
  <r>
    <s v="FB001824"/>
    <x v="5"/>
    <x v="7"/>
    <s v="Summer"/>
    <s v="XL"/>
    <x v="3"/>
    <n v="69.12"/>
    <n v="49.4"/>
    <n v="34.97"/>
    <x v="1"/>
    <n v="45"/>
    <n v="2.2999999999999998"/>
    <b v="0"/>
    <m/>
  </r>
  <r>
    <s v="FB001825"/>
    <x v="4"/>
    <x v="3"/>
    <s v="Summer"/>
    <s v="S"/>
    <x v="9"/>
    <n v="56.18"/>
    <n v="6.7"/>
    <n v="52.42"/>
    <x v="1"/>
    <n v="35"/>
    <n v="2.6"/>
    <b v="1"/>
    <s v="Changed Mind"/>
  </r>
  <r>
    <s v="FB001826"/>
    <x v="1"/>
    <x v="6"/>
    <s v="Winter"/>
    <s v="XS"/>
    <x v="4"/>
    <n v="51.28"/>
    <n v="48.3"/>
    <n v="26.51"/>
    <x v="1"/>
    <n v="9"/>
    <n v="1.1000000000000001"/>
    <b v="1"/>
    <s v="Changed Mind"/>
  </r>
  <r>
    <s v="FB001827"/>
    <x v="0"/>
    <x v="6"/>
    <s v="Spring"/>
    <m/>
    <x v="6"/>
    <n v="111.73"/>
    <n v="16.8"/>
    <n v="92.96"/>
    <x v="251"/>
    <n v="41"/>
    <n v="1.2"/>
    <b v="0"/>
    <m/>
  </r>
  <r>
    <s v="FB001828"/>
    <x v="4"/>
    <x v="5"/>
    <s v="Fall"/>
    <s v="XXL"/>
    <x v="4"/>
    <n v="49.08"/>
    <n v="19.899999999999999"/>
    <n v="39.31"/>
    <x v="1"/>
    <n v="46"/>
    <n v="1"/>
    <b v="1"/>
    <s v="Changed Mind"/>
  </r>
  <r>
    <s v="FB001829"/>
    <x v="3"/>
    <x v="7"/>
    <s v="Winter"/>
    <s v="M"/>
    <x v="1"/>
    <n v="182.47"/>
    <n v="27.1"/>
    <n v="133.02000000000001"/>
    <x v="1"/>
    <n v="40"/>
    <n v="3.2576923076923077"/>
    <b v="0"/>
    <m/>
  </r>
  <r>
    <s v="FB001830"/>
    <x v="0"/>
    <x v="7"/>
    <s v="Summer"/>
    <s v="XS"/>
    <x v="9"/>
    <n v="241.22"/>
    <n v="5.9"/>
    <n v="226.99"/>
    <x v="1"/>
    <n v="13"/>
    <n v="1.2"/>
    <b v="0"/>
    <m/>
  </r>
  <r>
    <s v="FB001831"/>
    <x v="5"/>
    <x v="5"/>
    <s v="Spring"/>
    <s v="XXL"/>
    <x v="5"/>
    <n v="78.3"/>
    <n v="0"/>
    <n v="78.3"/>
    <x v="92"/>
    <n v="19"/>
    <n v="3"/>
    <b v="0"/>
    <m/>
  </r>
  <r>
    <s v="FB001832"/>
    <x v="3"/>
    <x v="2"/>
    <s v="Winter"/>
    <s v="M"/>
    <x v="9"/>
    <n v="73.930000000000007"/>
    <n v="0"/>
    <n v="73.930000000000007"/>
    <x v="1"/>
    <n v="0"/>
    <n v="3.1936170212765949"/>
    <b v="0"/>
    <m/>
  </r>
  <r>
    <s v="FB001833"/>
    <x v="4"/>
    <x v="4"/>
    <s v="Summer"/>
    <s v="XXL"/>
    <x v="6"/>
    <n v="97.5"/>
    <n v="0"/>
    <n v="97.5"/>
    <x v="1"/>
    <n v="43"/>
    <n v="1.6"/>
    <b v="0"/>
    <m/>
  </r>
  <r>
    <s v="FB001834"/>
    <x v="1"/>
    <x v="5"/>
    <s v="Summer"/>
    <s v="XS"/>
    <x v="6"/>
    <n v="38.9"/>
    <n v="0"/>
    <n v="38.9"/>
    <x v="1"/>
    <n v="1"/>
    <n v="5"/>
    <b v="0"/>
    <m/>
  </r>
  <r>
    <s v="FB001835"/>
    <x v="3"/>
    <x v="2"/>
    <s v="Summer"/>
    <s v="S"/>
    <x v="5"/>
    <n v="95.52"/>
    <n v="0"/>
    <n v="95.52"/>
    <x v="1"/>
    <n v="47"/>
    <n v="3.9"/>
    <b v="0"/>
    <m/>
  </r>
  <r>
    <s v="FB001836"/>
    <x v="0"/>
    <x v="0"/>
    <s v="Fall"/>
    <s v="M"/>
    <x v="0"/>
    <n v="158.63999999999999"/>
    <n v="50.2"/>
    <n v="79"/>
    <x v="1"/>
    <n v="7"/>
    <n v="3"/>
    <b v="1"/>
    <s v="Changed Mind"/>
  </r>
  <r>
    <s v="FB001837"/>
    <x v="1"/>
    <x v="3"/>
    <s v="Fall"/>
    <s v="XL"/>
    <x v="8"/>
    <n v="26.11"/>
    <n v="0"/>
    <n v="26.11"/>
    <x v="1"/>
    <n v="41"/>
    <n v="4.3"/>
    <b v="0"/>
    <m/>
  </r>
  <r>
    <s v="FB001838"/>
    <x v="3"/>
    <x v="7"/>
    <s v="Spring"/>
    <m/>
    <x v="3"/>
    <n v="107.09"/>
    <n v="43.1"/>
    <n v="60.93"/>
    <x v="173"/>
    <n v="16"/>
    <n v="4.7"/>
    <b v="1"/>
    <s v="Changed Mind"/>
  </r>
  <r>
    <s v="FB001839"/>
    <x v="2"/>
    <x v="6"/>
    <s v="Summer"/>
    <m/>
    <x v="2"/>
    <n v="71.42"/>
    <n v="38"/>
    <n v="44.28"/>
    <x v="1"/>
    <n v="49"/>
    <n v="2.8"/>
    <b v="0"/>
    <m/>
  </r>
  <r>
    <s v="FB001840"/>
    <x v="3"/>
    <x v="0"/>
    <s v="Summer"/>
    <s v="XL"/>
    <x v="0"/>
    <n v="124.56"/>
    <n v="0"/>
    <n v="124.56"/>
    <x v="1"/>
    <n v="18"/>
    <n v="3"/>
    <b v="0"/>
    <m/>
  </r>
  <r>
    <s v="FB001841"/>
    <x v="4"/>
    <x v="1"/>
    <s v="Summer"/>
    <s v="L"/>
    <x v="9"/>
    <n v="30.91"/>
    <n v="0"/>
    <n v="30.91"/>
    <x v="1"/>
    <n v="45"/>
    <n v="1.8"/>
    <b v="0"/>
    <m/>
  </r>
  <r>
    <s v="FB001842"/>
    <x v="1"/>
    <x v="0"/>
    <s v="Winter"/>
    <s v="XS"/>
    <x v="7"/>
    <n v="53.37"/>
    <n v="0"/>
    <n v="53.37"/>
    <x v="1"/>
    <n v="15"/>
    <n v="1.1000000000000001"/>
    <b v="0"/>
    <m/>
  </r>
  <r>
    <s v="FB001843"/>
    <x v="3"/>
    <x v="6"/>
    <s v="Summer"/>
    <s v="XL"/>
    <x v="6"/>
    <n v="159.16"/>
    <n v="0"/>
    <n v="159.16"/>
    <x v="1"/>
    <n v="40"/>
    <n v="2.9083333333333328"/>
    <b v="1"/>
    <s v="Changed Mind"/>
  </r>
  <r>
    <s v="FB001844"/>
    <x v="5"/>
    <x v="3"/>
    <s v="Fall"/>
    <s v="S"/>
    <x v="1"/>
    <n v="169.64"/>
    <n v="0"/>
    <n v="169.64"/>
    <x v="1"/>
    <n v="5"/>
    <n v="1.6"/>
    <b v="0"/>
    <m/>
  </r>
  <r>
    <s v="FB001845"/>
    <x v="2"/>
    <x v="6"/>
    <s v="Summer"/>
    <m/>
    <x v="5"/>
    <n v="59.94"/>
    <n v="0"/>
    <n v="59.94"/>
    <x v="1"/>
    <n v="7"/>
    <n v="4"/>
    <b v="0"/>
    <m/>
  </r>
  <r>
    <s v="FB001846"/>
    <x v="5"/>
    <x v="6"/>
    <s v="Fall"/>
    <s v="XL"/>
    <x v="9"/>
    <n v="92.59"/>
    <n v="0"/>
    <n v="92.59"/>
    <x v="1"/>
    <n v="29"/>
    <n v="3.5"/>
    <b v="1"/>
    <s v="Size Issue"/>
  </r>
  <r>
    <s v="FB001847"/>
    <x v="4"/>
    <x v="4"/>
    <s v="Spring"/>
    <s v="S"/>
    <x v="3"/>
    <n v="64.069999999999993"/>
    <n v="0"/>
    <n v="64.069999999999993"/>
    <x v="116"/>
    <n v="10"/>
    <n v="3.0659090909090896"/>
    <b v="0"/>
    <m/>
  </r>
  <r>
    <s v="FB001848"/>
    <x v="5"/>
    <x v="7"/>
    <s v="Fall"/>
    <s v="XS"/>
    <x v="5"/>
    <n v="127.87"/>
    <n v="54.6"/>
    <n v="58.05"/>
    <x v="1"/>
    <n v="14"/>
    <n v="4.4000000000000004"/>
    <b v="0"/>
    <m/>
  </r>
  <r>
    <s v="FB001849"/>
    <x v="4"/>
    <x v="2"/>
    <s v="Fall"/>
    <s v="M"/>
    <x v="5"/>
    <n v="32.46"/>
    <n v="12.9"/>
    <n v="28.27"/>
    <x v="1"/>
    <n v="9"/>
    <n v="3.0384615384615379"/>
    <b v="0"/>
    <m/>
  </r>
  <r>
    <s v="FB001850"/>
    <x v="4"/>
    <x v="4"/>
    <s v="Summer"/>
    <s v="XXL"/>
    <x v="1"/>
    <n v="40.31"/>
    <n v="43"/>
    <n v="22.98"/>
    <x v="1"/>
    <n v="30"/>
    <n v="3.5"/>
    <b v="1"/>
    <s v="Color Mismatch"/>
  </r>
  <r>
    <s v="FB001851"/>
    <x v="2"/>
    <x v="5"/>
    <s v="Winter"/>
    <m/>
    <x v="6"/>
    <n v="51.3"/>
    <n v="6.1"/>
    <n v="48.17"/>
    <x v="1"/>
    <n v="31"/>
    <n v="3.2731707317073173"/>
    <b v="0"/>
    <m/>
  </r>
  <r>
    <s v="FB001852"/>
    <x v="4"/>
    <x v="6"/>
    <s v="Winter"/>
    <s v="XS"/>
    <x v="1"/>
    <n v="28.62"/>
    <n v="0"/>
    <n v="28.62"/>
    <x v="1"/>
    <n v="41"/>
    <n v="4"/>
    <b v="0"/>
    <m/>
  </r>
  <r>
    <s v="FB001853"/>
    <x v="2"/>
    <x v="6"/>
    <s v="Fall"/>
    <m/>
    <x v="6"/>
    <n v="59.03"/>
    <n v="6.4"/>
    <n v="55.25"/>
    <x v="1"/>
    <n v="45"/>
    <n v="3.2720930232558145"/>
    <b v="0"/>
    <m/>
  </r>
  <r>
    <s v="FB001854"/>
    <x v="1"/>
    <x v="5"/>
    <s v="Summer"/>
    <s v="S"/>
    <x v="10"/>
    <n v="99.65"/>
    <n v="7.4"/>
    <n v="92.28"/>
    <x v="1"/>
    <n v="31"/>
    <n v="3.8"/>
    <b v="0"/>
    <m/>
  </r>
  <r>
    <s v="FB001855"/>
    <x v="5"/>
    <x v="7"/>
    <s v="Winter"/>
    <m/>
    <x v="5"/>
    <n v="128.55000000000001"/>
    <n v="0"/>
    <n v="128.55000000000001"/>
    <x v="1"/>
    <n v="1"/>
    <n v="3.7"/>
    <b v="0"/>
    <m/>
  </r>
  <r>
    <s v="FB001856"/>
    <x v="4"/>
    <x v="3"/>
    <s v="Spring"/>
    <s v="L"/>
    <x v="9"/>
    <n v="78.09"/>
    <n v="56.3"/>
    <n v="34.130000000000003"/>
    <x v="84"/>
    <n v="20"/>
    <n v="1.3"/>
    <b v="0"/>
    <m/>
  </r>
  <r>
    <s v="FB001857"/>
    <x v="4"/>
    <x v="3"/>
    <s v="Summer"/>
    <s v="XXL"/>
    <x v="8"/>
    <n v="108.89"/>
    <n v="0"/>
    <n v="108.89"/>
    <x v="1"/>
    <n v="50"/>
    <n v="2.9"/>
    <b v="0"/>
    <m/>
  </r>
  <r>
    <s v="FB001858"/>
    <x v="4"/>
    <x v="5"/>
    <s v="Spring"/>
    <m/>
    <x v="4"/>
    <n v="35.21"/>
    <n v="14.7"/>
    <n v="30.03"/>
    <x v="73"/>
    <n v="15"/>
    <n v="3.1"/>
    <b v="1"/>
    <s v="Quality Issue"/>
  </r>
  <r>
    <s v="FB001859"/>
    <x v="5"/>
    <x v="6"/>
    <s v="Summer"/>
    <s v="XXL"/>
    <x v="10"/>
    <n v="129.16"/>
    <n v="34"/>
    <n v="85.25"/>
    <x v="1"/>
    <n v="24"/>
    <n v="1.7"/>
    <b v="0"/>
    <m/>
  </r>
  <r>
    <s v="FB001860"/>
    <x v="5"/>
    <x v="5"/>
    <s v="Summer"/>
    <s v="S"/>
    <x v="4"/>
    <n v="142.43"/>
    <n v="0"/>
    <n v="142.43"/>
    <x v="1"/>
    <n v="15"/>
    <n v="4.0999999999999996"/>
    <b v="1"/>
    <s v="Size Issue"/>
  </r>
  <r>
    <s v="FB001861"/>
    <x v="2"/>
    <x v="7"/>
    <s v="Spring"/>
    <m/>
    <x v="8"/>
    <n v="45.19"/>
    <n v="0"/>
    <n v="45.19"/>
    <x v="117"/>
    <n v="38"/>
    <n v="1.6"/>
    <b v="1"/>
    <s v="Wrong Item"/>
  </r>
  <r>
    <s v="FB001862"/>
    <x v="4"/>
    <x v="4"/>
    <s v="Fall"/>
    <s v="S"/>
    <x v="9"/>
    <n v="47.66"/>
    <n v="0"/>
    <n v="47.66"/>
    <x v="1"/>
    <n v="0"/>
    <n v="4.8"/>
    <b v="1"/>
    <s v="Size Issue"/>
  </r>
  <r>
    <s v="FB001863"/>
    <x v="4"/>
    <x v="1"/>
    <s v="Summer"/>
    <s v="XS"/>
    <x v="7"/>
    <n v="115.05"/>
    <n v="40"/>
    <n v="69.03"/>
    <x v="1"/>
    <n v="48"/>
    <n v="3.1"/>
    <b v="0"/>
    <m/>
  </r>
  <r>
    <s v="FB001864"/>
    <x v="4"/>
    <x v="2"/>
    <s v="Summer"/>
    <s v="XL"/>
    <x v="10"/>
    <n v="87.84"/>
    <n v="0"/>
    <n v="87.84"/>
    <x v="1"/>
    <n v="29"/>
    <n v="1.3"/>
    <b v="0"/>
    <m/>
  </r>
  <r>
    <s v="FB001865"/>
    <x v="5"/>
    <x v="7"/>
    <s v="Fall"/>
    <s v="S"/>
    <x v="5"/>
    <n v="73.42"/>
    <n v="35"/>
    <n v="47.72"/>
    <x v="1"/>
    <n v="44"/>
    <n v="2.9636363636363638"/>
    <b v="0"/>
    <m/>
  </r>
  <r>
    <s v="FB001866"/>
    <x v="3"/>
    <x v="6"/>
    <s v="Fall"/>
    <s v="L"/>
    <x v="8"/>
    <n v="181.58"/>
    <n v="21.6"/>
    <n v="142.36000000000001"/>
    <x v="1"/>
    <n v="14"/>
    <n v="4.7"/>
    <b v="0"/>
    <m/>
  </r>
  <r>
    <s v="FB001867"/>
    <x v="1"/>
    <x v="4"/>
    <s v="Spring"/>
    <s v="L"/>
    <x v="2"/>
    <n v="71.680000000000007"/>
    <n v="0"/>
    <n v="71.680000000000007"/>
    <x v="133"/>
    <n v="0"/>
    <n v="1.5"/>
    <b v="0"/>
    <m/>
  </r>
  <r>
    <s v="FB001868"/>
    <x v="1"/>
    <x v="2"/>
    <s v="Winter"/>
    <s v="XXL"/>
    <x v="7"/>
    <n v="25.63"/>
    <n v="0"/>
    <n v="25.63"/>
    <x v="1"/>
    <n v="27"/>
    <n v="1.2"/>
    <b v="0"/>
    <m/>
  </r>
  <r>
    <s v="FB001869"/>
    <x v="1"/>
    <x v="7"/>
    <s v="Winter"/>
    <m/>
    <x v="10"/>
    <n v="31.34"/>
    <n v="48.5"/>
    <n v="16.14"/>
    <x v="1"/>
    <n v="36"/>
    <n v="1.6"/>
    <b v="1"/>
    <s v="Size Issue"/>
  </r>
  <r>
    <s v="FB001870"/>
    <x v="5"/>
    <x v="4"/>
    <s v="Fall"/>
    <s v="L"/>
    <x v="7"/>
    <n v="98.91"/>
    <n v="33.799999999999997"/>
    <n v="65.48"/>
    <x v="1"/>
    <n v="33"/>
    <n v="3.1051282051282048"/>
    <b v="1"/>
    <s v="Color Mismatch"/>
  </r>
  <r>
    <s v="FB001871"/>
    <x v="2"/>
    <x v="0"/>
    <s v="Winter"/>
    <m/>
    <x v="0"/>
    <n v="43.33"/>
    <n v="7.8"/>
    <n v="39.950000000000003"/>
    <x v="1"/>
    <n v="4"/>
    <n v="1.3"/>
    <b v="0"/>
    <m/>
  </r>
  <r>
    <s v="FB001872"/>
    <x v="3"/>
    <x v="6"/>
    <s v="Summer"/>
    <s v="M"/>
    <x v="2"/>
    <n v="70.709999999999994"/>
    <n v="0"/>
    <n v="70.709999999999994"/>
    <x v="1"/>
    <n v="8"/>
    <n v="2.2999999999999998"/>
    <b v="0"/>
    <m/>
  </r>
  <r>
    <s v="FB001873"/>
    <x v="0"/>
    <x v="4"/>
    <s v="Winter"/>
    <s v="S"/>
    <x v="9"/>
    <n v="215.99"/>
    <n v="38.1"/>
    <n v="133.69999999999999"/>
    <x v="1"/>
    <n v="14"/>
    <n v="3.9"/>
    <b v="0"/>
    <m/>
  </r>
  <r>
    <s v="FB001874"/>
    <x v="5"/>
    <x v="2"/>
    <s v="Winter"/>
    <s v="XL"/>
    <x v="6"/>
    <n v="145.57"/>
    <n v="5.0999999999999996"/>
    <n v="138.15"/>
    <x v="1"/>
    <n v="8"/>
    <n v="4.4000000000000004"/>
    <b v="0"/>
    <m/>
  </r>
  <r>
    <s v="FB001875"/>
    <x v="3"/>
    <x v="2"/>
    <s v="Fall"/>
    <s v="XS"/>
    <x v="8"/>
    <n v="195.03"/>
    <n v="0"/>
    <n v="195.03"/>
    <x v="1"/>
    <n v="44"/>
    <n v="4.4000000000000004"/>
    <b v="0"/>
    <m/>
  </r>
  <r>
    <s v="FB001876"/>
    <x v="4"/>
    <x v="5"/>
    <s v="Winter"/>
    <s v="XS"/>
    <x v="2"/>
    <n v="74.88"/>
    <n v="9.6999999999999993"/>
    <n v="67.62"/>
    <x v="1"/>
    <n v="23"/>
    <n v="2.6"/>
    <b v="0"/>
    <m/>
  </r>
  <r>
    <s v="FB001877"/>
    <x v="1"/>
    <x v="6"/>
    <s v="Spring"/>
    <s v="L"/>
    <x v="1"/>
    <n v="50.3"/>
    <n v="0"/>
    <n v="50.3"/>
    <x v="154"/>
    <n v="23"/>
    <n v="1.3"/>
    <b v="0"/>
    <m/>
  </r>
  <r>
    <s v="FB001878"/>
    <x v="0"/>
    <x v="5"/>
    <s v="Summer"/>
    <s v="XXL"/>
    <x v="0"/>
    <n v="130.65"/>
    <n v="0"/>
    <n v="130.65"/>
    <x v="1"/>
    <n v="20"/>
    <n v="2.6"/>
    <b v="0"/>
    <m/>
  </r>
  <r>
    <s v="FB001879"/>
    <x v="5"/>
    <x v="7"/>
    <s v="Spring"/>
    <s v="XXL"/>
    <x v="6"/>
    <n v="94.56"/>
    <n v="40.299999999999997"/>
    <n v="56.45"/>
    <x v="243"/>
    <n v="41"/>
    <n v="4.7"/>
    <b v="0"/>
    <m/>
  </r>
  <r>
    <s v="FB001880"/>
    <x v="0"/>
    <x v="1"/>
    <s v="Spring"/>
    <s v="S"/>
    <x v="10"/>
    <n v="138.97999999999999"/>
    <n v="10.199999999999999"/>
    <n v="124.8"/>
    <x v="112"/>
    <n v="36"/>
    <n v="1.4"/>
    <b v="0"/>
    <m/>
  </r>
  <r>
    <s v="FB001881"/>
    <x v="2"/>
    <x v="4"/>
    <s v="Winter"/>
    <m/>
    <x v="6"/>
    <n v="52.57"/>
    <n v="0"/>
    <n v="52.57"/>
    <x v="1"/>
    <n v="50"/>
    <n v="2.5"/>
    <b v="1"/>
    <s v="Damaged"/>
  </r>
  <r>
    <s v="FB001882"/>
    <x v="0"/>
    <x v="4"/>
    <s v="Spring"/>
    <m/>
    <x v="3"/>
    <n v="151.62"/>
    <n v="0"/>
    <n v="151.62"/>
    <x v="141"/>
    <n v="41"/>
    <n v="3.5"/>
    <b v="0"/>
    <m/>
  </r>
  <r>
    <s v="FB001883"/>
    <x v="2"/>
    <x v="1"/>
    <s v="Spring"/>
    <m/>
    <x v="5"/>
    <n v="26.7"/>
    <n v="0"/>
    <n v="26.7"/>
    <x v="245"/>
    <n v="48"/>
    <n v="3.1"/>
    <b v="0"/>
    <m/>
  </r>
  <r>
    <s v="FB001884"/>
    <x v="0"/>
    <x v="5"/>
    <s v="Summer"/>
    <s v="S"/>
    <x v="10"/>
    <n v="147.5"/>
    <n v="0"/>
    <n v="147.5"/>
    <x v="1"/>
    <n v="4"/>
    <n v="2.4"/>
    <b v="0"/>
    <m/>
  </r>
  <r>
    <s v="FB001885"/>
    <x v="1"/>
    <x v="3"/>
    <s v="Fall"/>
    <s v="S"/>
    <x v="8"/>
    <n v="66"/>
    <n v="2.7"/>
    <n v="64.22"/>
    <x v="1"/>
    <n v="42"/>
    <n v="4.4000000000000004"/>
    <b v="0"/>
    <m/>
  </r>
  <r>
    <s v="FB001886"/>
    <x v="0"/>
    <x v="0"/>
    <s v="Fall"/>
    <s v="XS"/>
    <x v="0"/>
    <n v="183.6"/>
    <n v="0"/>
    <n v="183.6"/>
    <x v="1"/>
    <n v="10"/>
    <n v="2.7030303030303036"/>
    <b v="0"/>
    <m/>
  </r>
  <r>
    <s v="FB001887"/>
    <x v="3"/>
    <x v="1"/>
    <s v="Summer"/>
    <s v="L"/>
    <x v="5"/>
    <n v="195.83"/>
    <n v="0"/>
    <n v="195.83"/>
    <x v="1"/>
    <n v="14"/>
    <n v="2.1"/>
    <b v="0"/>
    <m/>
  </r>
  <r>
    <s v="FB001888"/>
    <x v="4"/>
    <x v="5"/>
    <s v="Winter"/>
    <s v="S"/>
    <x v="7"/>
    <n v="75.53"/>
    <n v="58.1"/>
    <n v="31.65"/>
    <x v="1"/>
    <n v="33"/>
    <n v="4"/>
    <b v="0"/>
    <m/>
  </r>
  <r>
    <s v="FB001889"/>
    <x v="1"/>
    <x v="3"/>
    <s v="Spring"/>
    <s v="XL"/>
    <x v="7"/>
    <n v="30.78"/>
    <n v="0"/>
    <n v="30.78"/>
    <x v="80"/>
    <n v="28"/>
    <n v="3.9"/>
    <b v="0"/>
    <m/>
  </r>
  <r>
    <s v="FB001890"/>
    <x v="3"/>
    <x v="2"/>
    <s v="Winter"/>
    <s v="L"/>
    <x v="3"/>
    <n v="150.96"/>
    <n v="0"/>
    <n v="150.96"/>
    <x v="1"/>
    <n v="18"/>
    <n v="4.5999999999999996"/>
    <b v="0"/>
    <m/>
  </r>
  <r>
    <s v="FB001891"/>
    <x v="4"/>
    <x v="7"/>
    <s v="Summer"/>
    <s v="L"/>
    <x v="2"/>
    <n v="58.98"/>
    <n v="18.100000000000001"/>
    <n v="48.3"/>
    <x v="1"/>
    <n v="23"/>
    <n v="2.8"/>
    <b v="0"/>
    <m/>
  </r>
  <r>
    <s v="FB001892"/>
    <x v="0"/>
    <x v="7"/>
    <s v="Spring"/>
    <s v="L"/>
    <x v="9"/>
    <n v="224.91"/>
    <n v="18.899999999999999"/>
    <n v="182.4"/>
    <x v="194"/>
    <n v="50"/>
    <n v="2.9718749999999998"/>
    <b v="0"/>
    <m/>
  </r>
  <r>
    <s v="FB001893"/>
    <x v="0"/>
    <x v="2"/>
    <s v="Spring"/>
    <s v="XL"/>
    <x v="10"/>
    <n v="155.75"/>
    <n v="0"/>
    <n v="155.75"/>
    <x v="119"/>
    <n v="0"/>
    <n v="2.4"/>
    <b v="0"/>
    <m/>
  </r>
  <r>
    <s v="FB001894"/>
    <x v="3"/>
    <x v="4"/>
    <s v="Winter"/>
    <s v="XL"/>
    <x v="5"/>
    <n v="194.4"/>
    <n v="16.2"/>
    <n v="162.91"/>
    <x v="1"/>
    <n v="36"/>
    <n v="1.5"/>
    <b v="0"/>
    <m/>
  </r>
  <r>
    <s v="FB001895"/>
    <x v="3"/>
    <x v="2"/>
    <s v="Fall"/>
    <s v="L"/>
    <x v="0"/>
    <n v="169.77"/>
    <n v="0"/>
    <n v="169.77"/>
    <x v="1"/>
    <n v="39"/>
    <n v="4.4000000000000004"/>
    <b v="0"/>
    <m/>
  </r>
  <r>
    <s v="FB001896"/>
    <x v="2"/>
    <x v="1"/>
    <s v="Winter"/>
    <m/>
    <x v="5"/>
    <n v="41.52"/>
    <n v="27.3"/>
    <n v="30.19"/>
    <x v="1"/>
    <n v="48"/>
    <n v="3.4"/>
    <b v="0"/>
    <m/>
  </r>
  <r>
    <s v="FB001897"/>
    <x v="4"/>
    <x v="1"/>
    <s v="Winter"/>
    <s v="S"/>
    <x v="6"/>
    <n v="29.5"/>
    <n v="0"/>
    <n v="29.5"/>
    <x v="1"/>
    <n v="36"/>
    <n v="2.6"/>
    <b v="0"/>
    <m/>
  </r>
  <r>
    <s v="FB001898"/>
    <x v="0"/>
    <x v="2"/>
    <s v="Spring"/>
    <s v="S"/>
    <x v="4"/>
    <n v="224.47"/>
    <n v="2.7"/>
    <n v="218.41"/>
    <x v="148"/>
    <n v="15"/>
    <n v="3.5"/>
    <b v="0"/>
    <m/>
  </r>
  <r>
    <s v="FB001899"/>
    <x v="4"/>
    <x v="7"/>
    <s v="Summer"/>
    <s v="S"/>
    <x v="4"/>
    <n v="101.45"/>
    <n v="7.8"/>
    <n v="93.54"/>
    <x v="1"/>
    <n v="4"/>
    <n v="1.1000000000000001"/>
    <b v="0"/>
    <m/>
  </r>
  <r>
    <s v="FB001900"/>
    <x v="3"/>
    <x v="2"/>
    <s v="Spring"/>
    <s v="XXL"/>
    <x v="0"/>
    <n v="84.65"/>
    <n v="0"/>
    <n v="84.65"/>
    <x v="214"/>
    <n v="49"/>
    <n v="3.6"/>
    <b v="0"/>
    <m/>
  </r>
  <r>
    <s v="FB001901"/>
    <x v="0"/>
    <x v="5"/>
    <s v="Summer"/>
    <s v="S"/>
    <x v="7"/>
    <n v="155.85"/>
    <n v="0"/>
    <n v="155.85"/>
    <x v="1"/>
    <n v="38"/>
    <n v="3.0305555555555546"/>
    <b v="0"/>
    <m/>
  </r>
  <r>
    <s v="FB001902"/>
    <x v="1"/>
    <x v="0"/>
    <s v="Winter"/>
    <s v="XL"/>
    <x v="5"/>
    <n v="89.62"/>
    <n v="0"/>
    <n v="89.62"/>
    <x v="1"/>
    <n v="0"/>
    <n v="4.5999999999999996"/>
    <b v="1"/>
    <s v="Color Mismatch"/>
  </r>
  <r>
    <s v="FB001903"/>
    <x v="1"/>
    <x v="6"/>
    <s v="Summer"/>
    <s v="L"/>
    <x v="6"/>
    <n v="62.79"/>
    <n v="37.700000000000003"/>
    <n v="39.119999999999997"/>
    <x v="1"/>
    <n v="5"/>
    <n v="2.6"/>
    <b v="0"/>
    <m/>
  </r>
  <r>
    <s v="FB001904"/>
    <x v="4"/>
    <x v="6"/>
    <s v="Summer"/>
    <s v="XL"/>
    <x v="7"/>
    <n v="84.72"/>
    <n v="24.2"/>
    <n v="64.22"/>
    <x v="1"/>
    <n v="44"/>
    <n v="3.1799999999999997"/>
    <b v="1"/>
    <s v="Color Mismatch"/>
  </r>
  <r>
    <s v="FB001905"/>
    <x v="1"/>
    <x v="3"/>
    <s v="Fall"/>
    <s v="XL"/>
    <x v="1"/>
    <n v="50.9"/>
    <n v="0"/>
    <n v="50.9"/>
    <x v="1"/>
    <n v="1"/>
    <n v="1.8"/>
    <b v="0"/>
    <m/>
  </r>
  <r>
    <s v="FB001906"/>
    <x v="2"/>
    <x v="0"/>
    <s v="Winter"/>
    <m/>
    <x v="1"/>
    <n v="31.23"/>
    <n v="0"/>
    <n v="31.23"/>
    <x v="1"/>
    <n v="25"/>
    <n v="2.8"/>
    <b v="0"/>
    <m/>
  </r>
  <r>
    <s v="FB001907"/>
    <x v="1"/>
    <x v="0"/>
    <s v="Spring"/>
    <s v="XXL"/>
    <x v="0"/>
    <n v="105.1"/>
    <n v="0"/>
    <n v="105.1"/>
    <x v="50"/>
    <n v="39"/>
    <n v="4.4000000000000004"/>
    <b v="0"/>
    <m/>
  </r>
  <r>
    <s v="FB001908"/>
    <x v="5"/>
    <x v="7"/>
    <s v="Summer"/>
    <s v="XS"/>
    <x v="10"/>
    <n v="160.38"/>
    <n v="0"/>
    <n v="160.38"/>
    <x v="1"/>
    <n v="27"/>
    <n v="2.7"/>
    <b v="1"/>
    <s v="Wrong Item"/>
  </r>
  <r>
    <s v="FB001909"/>
    <x v="4"/>
    <x v="1"/>
    <s v="Spring"/>
    <s v="XS"/>
    <x v="1"/>
    <n v="96.68"/>
    <n v="26"/>
    <n v="71.540000000000006"/>
    <x v="91"/>
    <n v="16"/>
    <n v="3.0846153846153843"/>
    <b v="0"/>
    <m/>
  </r>
  <r>
    <s v="FB001910"/>
    <x v="2"/>
    <x v="7"/>
    <s v="Summer"/>
    <m/>
    <x v="7"/>
    <n v="16.64"/>
    <n v="0"/>
    <n v="16.64"/>
    <x v="1"/>
    <n v="8"/>
    <n v="4.8"/>
    <b v="0"/>
    <m/>
  </r>
  <r>
    <s v="FB001911"/>
    <x v="0"/>
    <x v="5"/>
    <s v="Fall"/>
    <s v="S"/>
    <x v="7"/>
    <n v="160.05000000000001"/>
    <n v="53.7"/>
    <n v="74.099999999999994"/>
    <x v="1"/>
    <n v="2"/>
    <n v="3.2"/>
    <b v="1"/>
    <s v="Quality Issue"/>
  </r>
  <r>
    <s v="FB001912"/>
    <x v="2"/>
    <x v="3"/>
    <s v="Fall"/>
    <m/>
    <x v="4"/>
    <n v="23.56"/>
    <n v="0"/>
    <n v="23.56"/>
    <x v="1"/>
    <n v="16"/>
    <n v="4.4000000000000004"/>
    <b v="0"/>
    <m/>
  </r>
  <r>
    <s v="FB001913"/>
    <x v="3"/>
    <x v="0"/>
    <s v="Fall"/>
    <s v="XS"/>
    <x v="2"/>
    <n v="68.37"/>
    <n v="24.2"/>
    <n v="51.82"/>
    <x v="1"/>
    <n v="8"/>
    <n v="3.7"/>
    <b v="0"/>
    <m/>
  </r>
  <r>
    <s v="FB001914"/>
    <x v="0"/>
    <x v="3"/>
    <s v="Fall"/>
    <s v="S"/>
    <x v="6"/>
    <n v="184.24"/>
    <n v="0"/>
    <n v="184.24"/>
    <x v="1"/>
    <n v="49"/>
    <n v="4"/>
    <b v="0"/>
    <m/>
  </r>
  <r>
    <s v="FB001915"/>
    <x v="3"/>
    <x v="2"/>
    <s v="Spring"/>
    <s v="XS"/>
    <x v="6"/>
    <n v="94.83"/>
    <n v="0"/>
    <n v="94.83"/>
    <x v="140"/>
    <n v="23"/>
    <n v="2.9"/>
    <b v="0"/>
    <m/>
  </r>
  <r>
    <s v="FB001916"/>
    <x v="1"/>
    <x v="5"/>
    <s v="Summer"/>
    <s v="M"/>
    <x v="1"/>
    <n v="115.58"/>
    <n v="0"/>
    <n v="115.58"/>
    <x v="1"/>
    <n v="37"/>
    <n v="2.2000000000000002"/>
    <b v="0"/>
    <m/>
  </r>
  <r>
    <s v="FB001917"/>
    <x v="0"/>
    <x v="0"/>
    <s v="Winter"/>
    <s v="XXL"/>
    <x v="6"/>
    <n v="116.29"/>
    <n v="58.7"/>
    <n v="48.03"/>
    <x v="1"/>
    <n v="34"/>
    <n v="3.3"/>
    <b v="0"/>
    <m/>
  </r>
  <r>
    <s v="FB001918"/>
    <x v="2"/>
    <x v="2"/>
    <s v="Summer"/>
    <m/>
    <x v="6"/>
    <n v="24.55"/>
    <n v="0"/>
    <n v="24.55"/>
    <x v="1"/>
    <n v="43"/>
    <n v="2.2999999999999998"/>
    <b v="0"/>
    <m/>
  </r>
  <r>
    <s v="FB001919"/>
    <x v="5"/>
    <x v="0"/>
    <s v="Spring"/>
    <m/>
    <x v="8"/>
    <n v="81.56"/>
    <n v="0"/>
    <n v="81.56"/>
    <x v="252"/>
    <n v="28"/>
    <n v="3"/>
    <b v="0"/>
    <m/>
  </r>
  <r>
    <s v="FB001920"/>
    <x v="0"/>
    <x v="2"/>
    <s v="Spring"/>
    <s v="M"/>
    <x v="3"/>
    <n v="234.63"/>
    <n v="0"/>
    <n v="234.63"/>
    <x v="199"/>
    <n v="30"/>
    <n v="4.3"/>
    <b v="0"/>
    <m/>
  </r>
  <r>
    <s v="FB001921"/>
    <x v="2"/>
    <x v="0"/>
    <s v="Fall"/>
    <m/>
    <x v="3"/>
    <n v="27.6"/>
    <n v="0"/>
    <n v="27.6"/>
    <x v="1"/>
    <n v="33"/>
    <n v="2.8"/>
    <b v="0"/>
    <m/>
  </r>
  <r>
    <s v="FB001922"/>
    <x v="1"/>
    <x v="5"/>
    <s v="Fall"/>
    <s v="XS"/>
    <x v="4"/>
    <n v="114.76"/>
    <n v="24.3"/>
    <n v="86.87"/>
    <x v="1"/>
    <n v="10"/>
    <n v="3.4"/>
    <b v="0"/>
    <m/>
  </r>
  <r>
    <s v="FB001923"/>
    <x v="3"/>
    <x v="0"/>
    <s v="Spring"/>
    <s v="S"/>
    <x v="6"/>
    <n v="133.52000000000001"/>
    <n v="0"/>
    <n v="133.52000000000001"/>
    <x v="53"/>
    <n v="32"/>
    <n v="2.9153846153846157"/>
    <b v="0"/>
    <m/>
  </r>
  <r>
    <s v="FB001924"/>
    <x v="1"/>
    <x v="2"/>
    <s v="Winter"/>
    <s v="XS"/>
    <x v="5"/>
    <n v="64.34"/>
    <n v="59.3"/>
    <n v="26.19"/>
    <x v="1"/>
    <n v="34"/>
    <n v="1.2"/>
    <b v="0"/>
    <m/>
  </r>
  <r>
    <s v="FB001925"/>
    <x v="4"/>
    <x v="7"/>
    <s v="Fall"/>
    <s v="L"/>
    <x v="9"/>
    <n v="117.81"/>
    <n v="0"/>
    <n v="117.81"/>
    <x v="1"/>
    <n v="22"/>
    <n v="4.9000000000000004"/>
    <b v="0"/>
    <m/>
  </r>
  <r>
    <s v="FB001926"/>
    <x v="2"/>
    <x v="5"/>
    <s v="Spring"/>
    <m/>
    <x v="5"/>
    <n v="29.19"/>
    <n v="0"/>
    <n v="29.19"/>
    <x v="253"/>
    <n v="20"/>
    <n v="1.9"/>
    <b v="0"/>
    <m/>
  </r>
  <r>
    <s v="FB001927"/>
    <x v="1"/>
    <x v="1"/>
    <s v="Fall"/>
    <s v="M"/>
    <x v="9"/>
    <n v="34.72"/>
    <n v="0"/>
    <n v="34.72"/>
    <x v="1"/>
    <n v="7"/>
    <n v="3.34"/>
    <b v="0"/>
    <m/>
  </r>
  <r>
    <s v="FB001928"/>
    <x v="5"/>
    <x v="6"/>
    <s v="Fall"/>
    <s v="XL"/>
    <x v="4"/>
    <n v="107.49"/>
    <n v="0"/>
    <n v="107.49"/>
    <x v="1"/>
    <n v="49"/>
    <n v="3.3"/>
    <b v="0"/>
    <m/>
  </r>
  <r>
    <s v="FB001929"/>
    <x v="4"/>
    <x v="1"/>
    <s v="Winter"/>
    <s v="XXL"/>
    <x v="5"/>
    <n v="38.700000000000003"/>
    <n v="0"/>
    <n v="38.700000000000003"/>
    <x v="1"/>
    <n v="11"/>
    <n v="4"/>
    <b v="0"/>
    <m/>
  </r>
  <r>
    <s v="FB001930"/>
    <x v="0"/>
    <x v="5"/>
    <s v="Spring"/>
    <s v="XS"/>
    <x v="10"/>
    <n v="152.63999999999999"/>
    <n v="0"/>
    <n v="152.63999999999999"/>
    <x v="196"/>
    <n v="19"/>
    <n v="4.0999999999999996"/>
    <b v="0"/>
    <m/>
  </r>
  <r>
    <s v="FB001931"/>
    <x v="0"/>
    <x v="3"/>
    <s v="Fall"/>
    <s v="XS"/>
    <x v="9"/>
    <n v="181.66"/>
    <n v="56.4"/>
    <n v="79.2"/>
    <x v="1"/>
    <n v="43"/>
    <n v="1.2"/>
    <b v="0"/>
    <m/>
  </r>
  <r>
    <s v="FB001932"/>
    <x v="1"/>
    <x v="1"/>
    <s v="Spring"/>
    <s v="XL"/>
    <x v="6"/>
    <n v="114.8"/>
    <n v="17.399999999999999"/>
    <n v="94.82"/>
    <x v="224"/>
    <n v="4"/>
    <n v="1.8"/>
    <b v="0"/>
    <m/>
  </r>
  <r>
    <s v="FB001933"/>
    <x v="3"/>
    <x v="1"/>
    <s v="Winter"/>
    <s v="XXL"/>
    <x v="6"/>
    <n v="102.95"/>
    <n v="0"/>
    <n v="102.95"/>
    <x v="1"/>
    <n v="38"/>
    <n v="3.8"/>
    <b v="0"/>
    <m/>
  </r>
  <r>
    <s v="FB001934"/>
    <x v="1"/>
    <x v="7"/>
    <s v="Winter"/>
    <s v="XXL"/>
    <x v="6"/>
    <n v="86.82"/>
    <n v="0"/>
    <n v="86.82"/>
    <x v="1"/>
    <n v="0"/>
    <n v="4.8"/>
    <b v="0"/>
    <m/>
  </r>
  <r>
    <s v="FB001935"/>
    <x v="0"/>
    <x v="4"/>
    <s v="Summer"/>
    <s v="L"/>
    <x v="0"/>
    <n v="83.68"/>
    <n v="28.1"/>
    <n v="60.17"/>
    <x v="1"/>
    <n v="46"/>
    <n v="2.9228571428571426"/>
    <b v="1"/>
    <s v="Quality Issue"/>
  </r>
  <r>
    <s v="FB001936"/>
    <x v="0"/>
    <x v="2"/>
    <s v="Fall"/>
    <s v="S"/>
    <x v="1"/>
    <n v="167.31"/>
    <n v="50.7"/>
    <n v="82.48"/>
    <x v="1"/>
    <n v="9"/>
    <n v="3.2"/>
    <b v="0"/>
    <m/>
  </r>
  <r>
    <s v="FB001937"/>
    <x v="4"/>
    <x v="4"/>
    <s v="Fall"/>
    <s v="XS"/>
    <x v="4"/>
    <n v="114.64"/>
    <n v="5.0999999999999996"/>
    <n v="108.79"/>
    <x v="1"/>
    <n v="21"/>
    <n v="2"/>
    <b v="0"/>
    <m/>
  </r>
  <r>
    <s v="FB001938"/>
    <x v="0"/>
    <x v="4"/>
    <s v="Spring"/>
    <s v="XXL"/>
    <x v="3"/>
    <n v="109.53"/>
    <n v="29.3"/>
    <n v="77.44"/>
    <x v="62"/>
    <n v="35"/>
    <n v="1.3"/>
    <b v="0"/>
    <m/>
  </r>
  <r>
    <s v="FB001939"/>
    <x v="2"/>
    <x v="5"/>
    <s v="Summer"/>
    <m/>
    <x v="7"/>
    <n v="51.02"/>
    <n v="57.9"/>
    <n v="21.48"/>
    <x v="1"/>
    <n v="36"/>
    <n v="3.2731707317073173"/>
    <b v="0"/>
    <m/>
  </r>
  <r>
    <s v="FB001940"/>
    <x v="3"/>
    <x v="4"/>
    <s v="Fall"/>
    <s v="M"/>
    <x v="6"/>
    <n v="77.45"/>
    <n v="52.8"/>
    <n v="36.56"/>
    <x v="1"/>
    <n v="6"/>
    <n v="2.7"/>
    <b v="0"/>
    <m/>
  </r>
  <r>
    <s v="FB001941"/>
    <x v="3"/>
    <x v="5"/>
    <s v="Fall"/>
    <s v="XS"/>
    <x v="3"/>
    <n v="142.87"/>
    <n v="45.4"/>
    <n v="78.010000000000005"/>
    <x v="1"/>
    <n v="20"/>
    <n v="1.7"/>
    <b v="0"/>
    <m/>
  </r>
  <r>
    <s v="FB001942"/>
    <x v="0"/>
    <x v="2"/>
    <s v="Winter"/>
    <s v="XS"/>
    <x v="3"/>
    <n v="138.87"/>
    <n v="0"/>
    <n v="138.87"/>
    <x v="1"/>
    <n v="37"/>
    <n v="3.2"/>
    <b v="0"/>
    <m/>
  </r>
  <r>
    <s v="FB001943"/>
    <x v="3"/>
    <x v="5"/>
    <s v="Spring"/>
    <s v="S"/>
    <x v="0"/>
    <n v="132.82"/>
    <n v="0"/>
    <n v="132.82"/>
    <x v="163"/>
    <n v="40"/>
    <n v="3.0068965517241386"/>
    <b v="1"/>
    <s v="Changed Mind"/>
  </r>
  <r>
    <s v="FB001944"/>
    <x v="3"/>
    <x v="4"/>
    <s v="Summer"/>
    <s v="L"/>
    <x v="8"/>
    <n v="110.54"/>
    <n v="0"/>
    <n v="110.54"/>
    <x v="1"/>
    <n v="24"/>
    <n v="3.3021276595744684"/>
    <b v="1"/>
    <s v="Size Issue"/>
  </r>
  <r>
    <s v="FB001945"/>
    <x v="4"/>
    <x v="0"/>
    <s v="Summer"/>
    <s v="XL"/>
    <x v="7"/>
    <n v="29.07"/>
    <n v="0"/>
    <n v="29.07"/>
    <x v="1"/>
    <n v="41"/>
    <n v="2.8"/>
    <b v="0"/>
    <m/>
  </r>
  <r>
    <s v="FB001946"/>
    <x v="0"/>
    <x v="6"/>
    <s v="Summer"/>
    <s v="S"/>
    <x v="8"/>
    <n v="141.91999999999999"/>
    <n v="0"/>
    <n v="141.91999999999999"/>
    <x v="1"/>
    <n v="37"/>
    <n v="1.7"/>
    <b v="0"/>
    <m/>
  </r>
  <r>
    <s v="FB001947"/>
    <x v="3"/>
    <x v="2"/>
    <s v="Summer"/>
    <s v="XL"/>
    <x v="0"/>
    <n v="67.84"/>
    <n v="0"/>
    <n v="67.84"/>
    <x v="1"/>
    <n v="24"/>
    <n v="1.2"/>
    <b v="0"/>
    <m/>
  </r>
  <r>
    <s v="FB001948"/>
    <x v="3"/>
    <x v="3"/>
    <s v="Winter"/>
    <s v="S"/>
    <x v="10"/>
    <n v="143.27000000000001"/>
    <n v="0"/>
    <n v="143.27000000000001"/>
    <x v="1"/>
    <n v="0"/>
    <n v="2.9804347826086954"/>
    <b v="0"/>
    <m/>
  </r>
  <r>
    <s v="FB001949"/>
    <x v="2"/>
    <x v="2"/>
    <s v="Winter"/>
    <m/>
    <x v="10"/>
    <n v="20.97"/>
    <n v="0"/>
    <n v="20.97"/>
    <x v="1"/>
    <n v="44"/>
    <n v="4.5999999999999996"/>
    <b v="0"/>
    <m/>
  </r>
  <r>
    <s v="FB001950"/>
    <x v="5"/>
    <x v="0"/>
    <s v="Summer"/>
    <s v="XL"/>
    <x v="9"/>
    <n v="105.5"/>
    <n v="59.8"/>
    <n v="42.41"/>
    <x v="1"/>
    <n v="34"/>
    <n v="3.0424242424242425"/>
    <b v="0"/>
    <m/>
  </r>
  <r>
    <s v="FB001951"/>
    <x v="3"/>
    <x v="2"/>
    <s v="Spring"/>
    <s v="XXL"/>
    <x v="6"/>
    <n v="184.7"/>
    <n v="0"/>
    <n v="184.7"/>
    <x v="194"/>
    <n v="39"/>
    <n v="2.1"/>
    <b v="1"/>
    <s v="Size Issue"/>
  </r>
  <r>
    <s v="FB001952"/>
    <x v="3"/>
    <x v="4"/>
    <s v="Spring"/>
    <s v="XS"/>
    <x v="5"/>
    <n v="81.47"/>
    <n v="32"/>
    <n v="55.4"/>
    <x v="134"/>
    <n v="2"/>
    <n v="1.1000000000000001"/>
    <b v="0"/>
    <m/>
  </r>
  <r>
    <s v="FB001953"/>
    <x v="0"/>
    <x v="2"/>
    <s v="Winter"/>
    <s v="L"/>
    <x v="5"/>
    <n v="107.67"/>
    <n v="20.3"/>
    <n v="85.81"/>
    <x v="1"/>
    <n v="16"/>
    <n v="4.3"/>
    <b v="0"/>
    <m/>
  </r>
  <r>
    <s v="FB001954"/>
    <x v="1"/>
    <x v="2"/>
    <s v="Summer"/>
    <s v="XL"/>
    <x v="9"/>
    <n v="88.64"/>
    <n v="0"/>
    <n v="88.64"/>
    <x v="1"/>
    <n v="33"/>
    <n v="2.953125"/>
    <b v="0"/>
    <m/>
  </r>
  <r>
    <s v="FB001955"/>
    <x v="2"/>
    <x v="0"/>
    <s v="Winter"/>
    <m/>
    <x v="0"/>
    <n v="17.5"/>
    <n v="14.4"/>
    <n v="14.98"/>
    <x v="1"/>
    <n v="16"/>
    <n v="3.1"/>
    <b v="0"/>
    <m/>
  </r>
  <r>
    <s v="FB001956"/>
    <x v="0"/>
    <x v="4"/>
    <s v="Winter"/>
    <s v="XL"/>
    <x v="4"/>
    <n v="205.37"/>
    <n v="0"/>
    <n v="205.37"/>
    <x v="1"/>
    <n v="25"/>
    <n v="2"/>
    <b v="1"/>
    <s v="Damaged"/>
  </r>
  <r>
    <s v="FB001957"/>
    <x v="5"/>
    <x v="3"/>
    <s v="Winter"/>
    <s v="XS"/>
    <x v="7"/>
    <n v="111.66"/>
    <n v="0"/>
    <n v="111.66"/>
    <x v="1"/>
    <n v="26"/>
    <n v="1.4"/>
    <b v="0"/>
    <m/>
  </r>
  <r>
    <s v="FB001958"/>
    <x v="3"/>
    <x v="3"/>
    <s v="Summer"/>
    <s v="S"/>
    <x v="1"/>
    <n v="184.87"/>
    <n v="56.4"/>
    <n v="80.599999999999994"/>
    <x v="1"/>
    <n v="10"/>
    <n v="3.7"/>
    <b v="0"/>
    <m/>
  </r>
  <r>
    <s v="FB001959"/>
    <x v="4"/>
    <x v="0"/>
    <s v="Spring"/>
    <s v="L"/>
    <x v="6"/>
    <n v="84.58"/>
    <n v="0"/>
    <n v="84.58"/>
    <x v="189"/>
    <n v="33"/>
    <n v="4.5"/>
    <b v="0"/>
    <m/>
  </r>
  <r>
    <s v="FB001960"/>
    <x v="4"/>
    <x v="7"/>
    <s v="Summer"/>
    <s v="XXL"/>
    <x v="3"/>
    <n v="66.739999999999995"/>
    <n v="0"/>
    <n v="66.739999999999995"/>
    <x v="1"/>
    <n v="26"/>
    <n v="4.5999999999999996"/>
    <b v="0"/>
    <m/>
  </r>
  <r>
    <s v="FB001961"/>
    <x v="3"/>
    <x v="4"/>
    <s v="Summer"/>
    <s v="M"/>
    <x v="6"/>
    <n v="104.19"/>
    <n v="0"/>
    <n v="104.19"/>
    <x v="1"/>
    <n v="4"/>
    <n v="4.7"/>
    <b v="0"/>
    <m/>
  </r>
  <r>
    <s v="FB001962"/>
    <x v="0"/>
    <x v="1"/>
    <s v="Summer"/>
    <s v="M"/>
    <x v="6"/>
    <n v="216.73"/>
    <n v="0"/>
    <n v="216.73"/>
    <x v="1"/>
    <n v="5"/>
    <n v="2.7"/>
    <b v="1"/>
    <s v="Wrong Item"/>
  </r>
  <r>
    <s v="FB001963"/>
    <x v="5"/>
    <x v="3"/>
    <s v="Summer"/>
    <s v="XXL"/>
    <x v="7"/>
    <n v="87.82"/>
    <n v="0"/>
    <n v="87.82"/>
    <x v="1"/>
    <n v="24"/>
    <n v="4.2"/>
    <b v="0"/>
    <m/>
  </r>
  <r>
    <s v="FB001964"/>
    <x v="3"/>
    <x v="0"/>
    <s v="Summer"/>
    <s v="L"/>
    <x v="6"/>
    <n v="81.59"/>
    <n v="0"/>
    <n v="81.59"/>
    <x v="1"/>
    <n v="5"/>
    <n v="2.5"/>
    <b v="0"/>
    <m/>
  </r>
  <r>
    <s v="FB001965"/>
    <x v="0"/>
    <x v="6"/>
    <s v="Summer"/>
    <m/>
    <x v="5"/>
    <n v="93.14"/>
    <n v="32.799999999999997"/>
    <n v="62.59"/>
    <x v="1"/>
    <n v="45"/>
    <n v="4.5"/>
    <b v="0"/>
    <m/>
  </r>
  <r>
    <s v="FB001966"/>
    <x v="4"/>
    <x v="6"/>
    <s v="Spring"/>
    <s v="XS"/>
    <x v="4"/>
    <n v="96.73"/>
    <n v="0"/>
    <n v="96.73"/>
    <x v="165"/>
    <n v="18"/>
    <n v="4.8"/>
    <b v="0"/>
    <m/>
  </r>
  <r>
    <s v="FB001967"/>
    <x v="2"/>
    <x v="7"/>
    <s v="Winter"/>
    <m/>
    <x v="5"/>
    <n v="19.34"/>
    <n v="0"/>
    <n v="19.34"/>
    <x v="1"/>
    <n v="19"/>
    <n v="2.8636363636363633"/>
    <b v="0"/>
    <m/>
  </r>
  <r>
    <s v="FB001968"/>
    <x v="3"/>
    <x v="0"/>
    <s v="Spring"/>
    <s v="S"/>
    <x v="0"/>
    <n v="113.88"/>
    <n v="31.1"/>
    <n v="78.459999999999994"/>
    <x v="82"/>
    <n v="22"/>
    <n v="3.1"/>
    <b v="0"/>
    <m/>
  </r>
  <r>
    <s v="FB001969"/>
    <x v="5"/>
    <x v="0"/>
    <s v="Spring"/>
    <s v="XL"/>
    <x v="8"/>
    <n v="90.32"/>
    <n v="0"/>
    <n v="90.32"/>
    <x v="254"/>
    <n v="41"/>
    <n v="2.8"/>
    <b v="0"/>
    <m/>
  </r>
  <r>
    <s v="FB001970"/>
    <x v="1"/>
    <x v="2"/>
    <s v="Summer"/>
    <s v="L"/>
    <x v="4"/>
    <n v="38.119999999999997"/>
    <n v="0"/>
    <n v="38.119999999999997"/>
    <x v="1"/>
    <n v="44"/>
    <n v="2.953125"/>
    <b v="0"/>
    <m/>
  </r>
  <r>
    <s v="FB001971"/>
    <x v="3"/>
    <x v="2"/>
    <s v="Summer"/>
    <s v="S"/>
    <x v="5"/>
    <n v="175.31"/>
    <n v="0"/>
    <n v="175.31"/>
    <x v="1"/>
    <n v="13"/>
    <n v="3.1936170212765949"/>
    <b v="0"/>
    <m/>
  </r>
  <r>
    <s v="FB001972"/>
    <x v="5"/>
    <x v="0"/>
    <s v="Spring"/>
    <s v="L"/>
    <x v="0"/>
    <n v="171.92"/>
    <n v="0"/>
    <n v="171.92"/>
    <x v="255"/>
    <n v="12"/>
    <n v="1.3"/>
    <b v="0"/>
    <m/>
  </r>
  <r>
    <s v="FB001973"/>
    <x v="2"/>
    <x v="6"/>
    <s v="Summer"/>
    <m/>
    <x v="5"/>
    <n v="35.6"/>
    <n v="0"/>
    <n v="35.6"/>
    <x v="1"/>
    <n v="24"/>
    <n v="3.1"/>
    <b v="0"/>
    <m/>
  </r>
  <r>
    <s v="FB001974"/>
    <x v="4"/>
    <x v="4"/>
    <s v="Summer"/>
    <s v="M"/>
    <x v="8"/>
    <n v="81.7"/>
    <n v="0"/>
    <n v="81.7"/>
    <x v="1"/>
    <n v="33"/>
    <n v="3.0659090909090896"/>
    <b v="1"/>
    <s v="Wrong Item"/>
  </r>
  <r>
    <s v="FB001975"/>
    <x v="4"/>
    <x v="2"/>
    <s v="Summer"/>
    <m/>
    <x v="9"/>
    <n v="29.7"/>
    <n v="0"/>
    <n v="29.7"/>
    <x v="1"/>
    <n v="16"/>
    <n v="2.7"/>
    <b v="0"/>
    <m/>
  </r>
  <r>
    <s v="FB001976"/>
    <x v="0"/>
    <x v="3"/>
    <s v="Winter"/>
    <s v="S"/>
    <x v="10"/>
    <n v="239.65"/>
    <n v="0"/>
    <n v="239.65"/>
    <x v="1"/>
    <n v="27"/>
    <n v="2.9"/>
    <b v="0"/>
    <m/>
  </r>
  <r>
    <s v="FB001977"/>
    <x v="1"/>
    <x v="4"/>
    <s v="Fall"/>
    <s v="M"/>
    <x v="0"/>
    <n v="90.41"/>
    <n v="0"/>
    <n v="90.41"/>
    <x v="1"/>
    <n v="11"/>
    <n v="2.9657142857142857"/>
    <b v="0"/>
    <m/>
  </r>
  <r>
    <s v="FB001978"/>
    <x v="5"/>
    <x v="5"/>
    <s v="Winter"/>
    <s v="XL"/>
    <x v="3"/>
    <n v="81.78"/>
    <n v="10"/>
    <n v="73.599999999999994"/>
    <x v="1"/>
    <n v="24"/>
    <n v="1.2"/>
    <b v="0"/>
    <m/>
  </r>
  <r>
    <s v="FB001979"/>
    <x v="0"/>
    <x v="7"/>
    <s v="Winter"/>
    <s v="L"/>
    <x v="2"/>
    <n v="142.55000000000001"/>
    <n v="0"/>
    <n v="142.55000000000001"/>
    <x v="1"/>
    <n v="21"/>
    <n v="4.5"/>
    <b v="0"/>
    <m/>
  </r>
  <r>
    <s v="FB001980"/>
    <x v="5"/>
    <x v="6"/>
    <s v="Fall"/>
    <s v="S"/>
    <x v="2"/>
    <n v="53.13"/>
    <n v="0"/>
    <n v="53.13"/>
    <x v="1"/>
    <n v="5"/>
    <n v="4.5999999999999996"/>
    <b v="0"/>
    <m/>
  </r>
  <r>
    <s v="FB001981"/>
    <x v="4"/>
    <x v="7"/>
    <s v="Summer"/>
    <s v="L"/>
    <x v="8"/>
    <n v="80.81"/>
    <n v="0"/>
    <n v="80.81"/>
    <x v="1"/>
    <n v="15"/>
    <n v="4.5999999999999996"/>
    <b v="0"/>
    <m/>
  </r>
  <r>
    <s v="FB001982"/>
    <x v="1"/>
    <x v="1"/>
    <s v="Fall"/>
    <s v="M"/>
    <x v="8"/>
    <n v="89.39"/>
    <n v="0"/>
    <n v="89.39"/>
    <x v="1"/>
    <n v="33"/>
    <n v="4.2"/>
    <b v="0"/>
    <m/>
  </r>
  <r>
    <s v="FB001983"/>
    <x v="4"/>
    <x v="3"/>
    <s v="Summer"/>
    <s v="S"/>
    <x v="5"/>
    <n v="37.9"/>
    <n v="37.9"/>
    <n v="23.54"/>
    <x v="1"/>
    <n v="34"/>
    <n v="1.3"/>
    <b v="0"/>
    <m/>
  </r>
  <r>
    <s v="FB001984"/>
    <x v="2"/>
    <x v="3"/>
    <s v="Spring"/>
    <m/>
    <x v="10"/>
    <n v="44.49"/>
    <n v="0"/>
    <n v="44.49"/>
    <x v="71"/>
    <n v="34"/>
    <n v="2.1"/>
    <b v="0"/>
    <m/>
  </r>
  <r>
    <s v="FB001985"/>
    <x v="1"/>
    <x v="3"/>
    <s v="Summer"/>
    <s v="L"/>
    <x v="7"/>
    <n v="111.7"/>
    <n v="0"/>
    <n v="111.7"/>
    <x v="1"/>
    <n v="2"/>
    <n v="2.9742857142857138"/>
    <b v="1"/>
    <s v="Size Issue"/>
  </r>
  <r>
    <s v="FB001986"/>
    <x v="1"/>
    <x v="4"/>
    <s v="Spring"/>
    <s v="L"/>
    <x v="8"/>
    <n v="109.76"/>
    <n v="0"/>
    <n v="109.76"/>
    <x v="195"/>
    <n v="23"/>
    <n v="2"/>
    <b v="1"/>
    <s v="Quality Issue"/>
  </r>
  <r>
    <s v="FB001987"/>
    <x v="2"/>
    <x v="1"/>
    <s v="Fall"/>
    <m/>
    <x v="8"/>
    <n v="33"/>
    <n v="0"/>
    <n v="33"/>
    <x v="1"/>
    <n v="50"/>
    <n v="4"/>
    <b v="0"/>
    <m/>
  </r>
  <r>
    <s v="FB001988"/>
    <x v="3"/>
    <x v="5"/>
    <s v="Winter"/>
    <s v="M"/>
    <x v="6"/>
    <n v="150.65"/>
    <n v="8.9"/>
    <n v="137.24"/>
    <x v="1"/>
    <n v="43"/>
    <n v="3.4"/>
    <b v="0"/>
    <m/>
  </r>
  <r>
    <s v="FB001989"/>
    <x v="4"/>
    <x v="0"/>
    <s v="Fall"/>
    <s v="S"/>
    <x v="6"/>
    <n v="66.34"/>
    <n v="19"/>
    <n v="53.74"/>
    <x v="1"/>
    <n v="42"/>
    <n v="1.9"/>
    <b v="0"/>
    <m/>
  </r>
  <r>
    <s v="FB001990"/>
    <x v="4"/>
    <x v="6"/>
    <s v="Spring"/>
    <s v="M"/>
    <x v="1"/>
    <n v="27.89"/>
    <n v="17.399999999999999"/>
    <n v="23.04"/>
    <x v="29"/>
    <n v="43"/>
    <n v="2.1"/>
    <b v="0"/>
    <m/>
  </r>
  <r>
    <s v="FB001991"/>
    <x v="2"/>
    <x v="1"/>
    <s v="Summer"/>
    <m/>
    <x v="4"/>
    <n v="60.18"/>
    <n v="0"/>
    <n v="60.18"/>
    <x v="1"/>
    <n v="36"/>
    <n v="1.4"/>
    <b v="0"/>
    <m/>
  </r>
  <r>
    <s v="FB001992"/>
    <x v="1"/>
    <x v="0"/>
    <s v="Fall"/>
    <s v="XL"/>
    <x v="0"/>
    <n v="54.26"/>
    <n v="18.399999999999999"/>
    <n v="44.28"/>
    <x v="1"/>
    <n v="29"/>
    <n v="2.6"/>
    <b v="0"/>
    <m/>
  </r>
  <r>
    <s v="FB001993"/>
    <x v="3"/>
    <x v="1"/>
    <s v="Spring"/>
    <s v="S"/>
    <x v="0"/>
    <n v="78.44"/>
    <n v="0"/>
    <n v="78.44"/>
    <x v="256"/>
    <n v="42"/>
    <n v="2.8205128205128198"/>
    <b v="1"/>
    <s v="Quality Issue"/>
  </r>
  <r>
    <s v="FB001994"/>
    <x v="0"/>
    <x v="4"/>
    <s v="Fall"/>
    <s v="XS"/>
    <x v="2"/>
    <n v="183.05"/>
    <n v="0"/>
    <n v="183.05"/>
    <x v="1"/>
    <n v="4"/>
    <n v="4.5999999999999996"/>
    <b v="0"/>
    <m/>
  </r>
  <r>
    <s v="FB001995"/>
    <x v="3"/>
    <x v="1"/>
    <s v="Spring"/>
    <s v="M"/>
    <x v="4"/>
    <n v="76.3"/>
    <n v="0"/>
    <n v="76.3"/>
    <x v="99"/>
    <n v="35"/>
    <n v="2.6"/>
    <b v="0"/>
    <m/>
  </r>
  <r>
    <s v="FB001996"/>
    <x v="1"/>
    <x v="0"/>
    <s v="Spring"/>
    <s v="XS"/>
    <x v="9"/>
    <n v="84.21"/>
    <n v="0"/>
    <n v="84.21"/>
    <x v="257"/>
    <n v="43"/>
    <n v="3.4"/>
    <b v="0"/>
    <m/>
  </r>
  <r>
    <s v="FB001997"/>
    <x v="2"/>
    <x v="5"/>
    <s v="Spring"/>
    <m/>
    <x v="4"/>
    <n v="77.34"/>
    <n v="0"/>
    <n v="77.34"/>
    <x v="258"/>
    <n v="27"/>
    <n v="3.2731707317073173"/>
    <b v="0"/>
    <m/>
  </r>
  <r>
    <s v="FB001998"/>
    <x v="5"/>
    <x v="0"/>
    <s v="Spring"/>
    <s v="S"/>
    <x v="8"/>
    <n v="122.82"/>
    <n v="45.4"/>
    <n v="67.06"/>
    <x v="259"/>
    <n v="9"/>
    <n v="3.1"/>
    <b v="0"/>
    <m/>
  </r>
  <r>
    <s v="FB001999"/>
    <x v="5"/>
    <x v="3"/>
    <s v="Winter"/>
    <s v="XXL"/>
    <x v="5"/>
    <n v="103.85"/>
    <n v="0"/>
    <n v="103.85"/>
    <x v="1"/>
    <n v="26"/>
    <n v="3.1"/>
    <b v="0"/>
    <m/>
  </r>
  <r>
    <s v="FB002000"/>
    <x v="4"/>
    <x v="4"/>
    <s v="Fall"/>
    <s v="XXL"/>
    <x v="0"/>
    <n v="117.73"/>
    <n v="41.3"/>
    <n v="69.11"/>
    <x v="1"/>
    <n v="8"/>
    <n v="3.0659090909090896"/>
    <b v="0"/>
    <m/>
  </r>
  <r>
    <s v="FB002001"/>
    <x v="5"/>
    <x v="7"/>
    <s v="Fall"/>
    <s v="XL"/>
    <x v="6"/>
    <n v="115.98"/>
    <n v="0"/>
    <n v="115.98"/>
    <x v="1"/>
    <n v="42"/>
    <n v="3.7"/>
    <b v="0"/>
    <m/>
  </r>
  <r>
    <s v="FB002002"/>
    <x v="5"/>
    <x v="0"/>
    <s v="Fall"/>
    <s v="L"/>
    <x v="8"/>
    <n v="175.43"/>
    <n v="0"/>
    <n v="175.43"/>
    <x v="1"/>
    <n v="3"/>
    <n v="1.8"/>
    <b v="1"/>
    <s v="Color Mismatch"/>
  </r>
  <r>
    <s v="FB002003"/>
    <x v="0"/>
    <x v="6"/>
    <s v="Spring"/>
    <s v="S"/>
    <x v="6"/>
    <n v="162.81"/>
    <n v="0"/>
    <n v="162.81"/>
    <x v="258"/>
    <n v="40"/>
    <n v="2.1"/>
    <b v="0"/>
    <m/>
  </r>
  <r>
    <s v="FB002004"/>
    <x v="5"/>
    <x v="1"/>
    <s v="Spring"/>
    <s v="L"/>
    <x v="9"/>
    <n v="146.68"/>
    <n v="0"/>
    <n v="146.68"/>
    <x v="104"/>
    <n v="8"/>
    <n v="3.1666666666666665"/>
    <b v="0"/>
    <m/>
  </r>
  <r>
    <s v="FB002005"/>
    <x v="5"/>
    <x v="4"/>
    <s v="Fall"/>
    <s v="L"/>
    <x v="1"/>
    <n v="82.9"/>
    <n v="42.2"/>
    <n v="47.92"/>
    <x v="1"/>
    <n v="4"/>
    <n v="2.1"/>
    <b v="0"/>
    <m/>
  </r>
  <r>
    <s v="FB002006"/>
    <x v="1"/>
    <x v="0"/>
    <s v="Fall"/>
    <s v="XS"/>
    <x v="3"/>
    <n v="92.9"/>
    <n v="0"/>
    <n v="92.9"/>
    <x v="1"/>
    <n v="30"/>
    <n v="2.9181818181818175"/>
    <b v="0"/>
    <m/>
  </r>
  <r>
    <s v="FB002007"/>
    <x v="5"/>
    <x v="2"/>
    <s v="Winter"/>
    <s v="XXL"/>
    <x v="5"/>
    <n v="133.88999999999999"/>
    <n v="5.7"/>
    <n v="126.26"/>
    <x v="1"/>
    <n v="17"/>
    <n v="3.4"/>
    <b v="1"/>
    <s v="Size Issue"/>
  </r>
  <r>
    <s v="FB002008"/>
    <x v="5"/>
    <x v="5"/>
    <s v="Winter"/>
    <s v="XXL"/>
    <x v="7"/>
    <n v="89.1"/>
    <n v="0"/>
    <n v="89.1"/>
    <x v="1"/>
    <n v="8"/>
    <n v="2.2000000000000002"/>
    <b v="0"/>
    <m/>
  </r>
  <r>
    <s v="FB002009"/>
    <x v="0"/>
    <x v="2"/>
    <s v="Winter"/>
    <s v="XL"/>
    <x v="7"/>
    <n v="175.62"/>
    <n v="3.2"/>
    <n v="170"/>
    <x v="1"/>
    <n v="46"/>
    <n v="3.0177777777777774"/>
    <b v="0"/>
    <m/>
  </r>
  <r>
    <s v="FB002010"/>
    <x v="5"/>
    <x v="4"/>
    <s v="Summer"/>
    <s v="L"/>
    <x v="2"/>
    <n v="154.02000000000001"/>
    <n v="0"/>
    <n v="154.02000000000001"/>
    <x v="1"/>
    <n v="21"/>
    <n v="3.3"/>
    <b v="0"/>
    <m/>
  </r>
  <r>
    <s v="FB002011"/>
    <x v="0"/>
    <x v="0"/>
    <s v="Fall"/>
    <s v="S"/>
    <x v="7"/>
    <n v="215.1"/>
    <n v="0"/>
    <n v="215.1"/>
    <x v="1"/>
    <n v="16"/>
    <n v="2.5"/>
    <b v="0"/>
    <m/>
  </r>
  <r>
    <s v="FB002012"/>
    <x v="1"/>
    <x v="5"/>
    <s v="Fall"/>
    <s v="M"/>
    <x v="10"/>
    <n v="40.28"/>
    <n v="0"/>
    <n v="40.28"/>
    <x v="1"/>
    <n v="35"/>
    <n v="3.8"/>
    <b v="0"/>
    <m/>
  </r>
  <r>
    <s v="FB002013"/>
    <x v="2"/>
    <x v="7"/>
    <s v="Fall"/>
    <m/>
    <x v="4"/>
    <n v="25.95"/>
    <n v="18.8"/>
    <n v="21.07"/>
    <x v="1"/>
    <n v="1"/>
    <n v="4"/>
    <b v="0"/>
    <m/>
  </r>
  <r>
    <s v="FB002014"/>
    <x v="2"/>
    <x v="1"/>
    <s v="Fall"/>
    <m/>
    <x v="8"/>
    <n v="21.26"/>
    <n v="50.7"/>
    <n v="10.48"/>
    <x v="1"/>
    <n v="39"/>
    <n v="4.3"/>
    <b v="0"/>
    <m/>
  </r>
  <r>
    <s v="FB002015"/>
    <x v="5"/>
    <x v="0"/>
    <s v="Spring"/>
    <s v="XS"/>
    <x v="5"/>
    <n v="146.07"/>
    <n v="0"/>
    <n v="146.07"/>
    <x v="260"/>
    <n v="33"/>
    <n v="3.7"/>
    <b v="0"/>
    <m/>
  </r>
  <r>
    <s v="FB002016"/>
    <x v="5"/>
    <x v="5"/>
    <s v="Spring"/>
    <s v="S"/>
    <x v="4"/>
    <n v="135.97"/>
    <n v="0"/>
    <n v="135.97"/>
    <x v="136"/>
    <n v="30"/>
    <n v="1.1000000000000001"/>
    <b v="0"/>
    <m/>
  </r>
  <r>
    <s v="FB002017"/>
    <x v="3"/>
    <x v="0"/>
    <s v="Spring"/>
    <s v="L"/>
    <x v="6"/>
    <n v="84.88"/>
    <n v="7.4"/>
    <n v="78.599999999999994"/>
    <x v="254"/>
    <n v="42"/>
    <n v="3.4"/>
    <b v="0"/>
    <m/>
  </r>
  <r>
    <s v="FB002018"/>
    <x v="3"/>
    <x v="4"/>
    <s v="Winter"/>
    <s v="XS"/>
    <x v="7"/>
    <n v="159.25"/>
    <n v="5.5"/>
    <n v="150.49"/>
    <x v="1"/>
    <n v="8"/>
    <n v="3.3021276595744684"/>
    <b v="0"/>
    <m/>
  </r>
  <r>
    <s v="FB002019"/>
    <x v="4"/>
    <x v="5"/>
    <s v="Winter"/>
    <s v="M"/>
    <x v="10"/>
    <n v="84.29"/>
    <n v="0"/>
    <n v="84.29"/>
    <x v="1"/>
    <n v="4"/>
    <n v="2.8"/>
    <b v="0"/>
    <m/>
  </r>
  <r>
    <s v="FB002020"/>
    <x v="2"/>
    <x v="7"/>
    <s v="Winter"/>
    <m/>
    <x v="0"/>
    <n v="38.86"/>
    <n v="0"/>
    <n v="38.86"/>
    <x v="1"/>
    <n v="44"/>
    <n v="2.8636363636363633"/>
    <b v="0"/>
    <m/>
  </r>
  <r>
    <s v="FB002021"/>
    <x v="1"/>
    <x v="2"/>
    <s v="Summer"/>
    <s v="M"/>
    <x v="5"/>
    <n v="38.72"/>
    <n v="0"/>
    <n v="38.72"/>
    <x v="1"/>
    <n v="35"/>
    <n v="4"/>
    <b v="0"/>
    <m/>
  </r>
  <r>
    <s v="FB002022"/>
    <x v="5"/>
    <x v="0"/>
    <s v="Winter"/>
    <s v="XS"/>
    <x v="2"/>
    <n v="177.1"/>
    <n v="0"/>
    <n v="177.1"/>
    <x v="1"/>
    <n v="49"/>
    <n v="1.6"/>
    <b v="0"/>
    <m/>
  </r>
  <r>
    <s v="FB002023"/>
    <x v="4"/>
    <x v="7"/>
    <s v="Spring"/>
    <s v="XS"/>
    <x v="4"/>
    <n v="31.49"/>
    <n v="0"/>
    <n v="31.49"/>
    <x v="261"/>
    <n v="28"/>
    <n v="3.1021739130434773"/>
    <b v="0"/>
    <m/>
  </r>
  <r>
    <s v="FB002024"/>
    <x v="1"/>
    <x v="1"/>
    <s v="Summer"/>
    <m/>
    <x v="1"/>
    <n v="118.14"/>
    <n v="0"/>
    <n v="118.14"/>
    <x v="1"/>
    <n v="33"/>
    <n v="2.4"/>
    <b v="0"/>
    <m/>
  </r>
  <r>
    <s v="FB002025"/>
    <x v="1"/>
    <x v="6"/>
    <s v="Spring"/>
    <s v="S"/>
    <x v="6"/>
    <n v="26.51"/>
    <n v="24"/>
    <n v="20.149999999999999"/>
    <x v="262"/>
    <n v="1"/>
    <n v="4.7"/>
    <b v="0"/>
    <m/>
  </r>
  <r>
    <s v="FB002026"/>
    <x v="1"/>
    <x v="7"/>
    <s v="Fall"/>
    <s v="L"/>
    <x v="5"/>
    <n v="29.61"/>
    <n v="0"/>
    <n v="29.61"/>
    <x v="1"/>
    <n v="9"/>
    <n v="1"/>
    <b v="0"/>
    <m/>
  </r>
  <r>
    <s v="FB002027"/>
    <x v="0"/>
    <x v="5"/>
    <s v="Summer"/>
    <s v="S"/>
    <x v="4"/>
    <n v="244.13"/>
    <n v="0"/>
    <n v="244.13"/>
    <x v="1"/>
    <n v="2"/>
    <n v="3.5"/>
    <b v="1"/>
    <s v="Size Issue"/>
  </r>
  <r>
    <s v="FB002028"/>
    <x v="2"/>
    <x v="6"/>
    <s v="Spring"/>
    <m/>
    <x v="3"/>
    <n v="16.54"/>
    <n v="0"/>
    <n v="16.54"/>
    <x v="68"/>
    <n v="30"/>
    <n v="3.2720930232558145"/>
    <b v="0"/>
    <m/>
  </r>
  <r>
    <s v="FB002029"/>
    <x v="1"/>
    <x v="0"/>
    <s v="Fall"/>
    <s v="S"/>
    <x v="3"/>
    <n v="100.98"/>
    <n v="0"/>
    <n v="100.98"/>
    <x v="1"/>
    <n v="41"/>
    <n v="2.9181818181818175"/>
    <b v="0"/>
    <m/>
  </r>
  <r>
    <s v="FB002030"/>
    <x v="0"/>
    <x v="1"/>
    <s v="Winter"/>
    <m/>
    <x v="4"/>
    <n v="175.42"/>
    <n v="0"/>
    <n v="175.42"/>
    <x v="1"/>
    <n v="5"/>
    <n v="3.6"/>
    <b v="0"/>
    <m/>
  </r>
  <r>
    <s v="FB002031"/>
    <x v="5"/>
    <x v="5"/>
    <s v="Spring"/>
    <s v="XXL"/>
    <x v="1"/>
    <n v="133.15"/>
    <n v="20.3"/>
    <n v="106.12"/>
    <x v="263"/>
    <n v="9"/>
    <n v="3.2"/>
    <b v="0"/>
    <m/>
  </r>
  <r>
    <s v="FB002032"/>
    <x v="5"/>
    <x v="1"/>
    <s v="Fall"/>
    <m/>
    <x v="1"/>
    <n v="94.21"/>
    <n v="44.7"/>
    <n v="52.1"/>
    <x v="1"/>
    <n v="48"/>
    <n v="4.3"/>
    <b v="0"/>
    <m/>
  </r>
  <r>
    <s v="FB002033"/>
    <x v="1"/>
    <x v="7"/>
    <s v="Winter"/>
    <s v="M"/>
    <x v="1"/>
    <n v="115.44"/>
    <n v="0"/>
    <n v="115.44"/>
    <x v="1"/>
    <n v="21"/>
    <n v="1.2"/>
    <b v="0"/>
    <m/>
  </r>
  <r>
    <s v="FB002034"/>
    <x v="0"/>
    <x v="0"/>
    <s v="Spring"/>
    <s v="S"/>
    <x v="3"/>
    <n v="194.39"/>
    <n v="26.5"/>
    <n v="142.88"/>
    <x v="183"/>
    <n v="12"/>
    <n v="1.2"/>
    <b v="0"/>
    <m/>
  </r>
  <r>
    <s v="FB002035"/>
    <x v="3"/>
    <x v="2"/>
    <s v="Spring"/>
    <s v="L"/>
    <x v="3"/>
    <n v="132.38999999999999"/>
    <n v="27.6"/>
    <n v="95.85"/>
    <x v="264"/>
    <n v="16"/>
    <n v="3.1936170212765949"/>
    <b v="0"/>
    <m/>
  </r>
  <r>
    <s v="FB002036"/>
    <x v="2"/>
    <x v="1"/>
    <s v="Spring"/>
    <m/>
    <x v="0"/>
    <n v="52.54"/>
    <n v="14.6"/>
    <n v="44.87"/>
    <x v="48"/>
    <n v="7"/>
    <n v="1.4"/>
    <b v="0"/>
    <m/>
  </r>
  <r>
    <s v="FB002037"/>
    <x v="5"/>
    <x v="1"/>
    <s v="Spring"/>
    <s v="XL"/>
    <x v="2"/>
    <n v="165.01"/>
    <n v="41.2"/>
    <n v="97.03"/>
    <x v="261"/>
    <n v="22"/>
    <n v="3.1666666666666665"/>
    <b v="0"/>
    <m/>
  </r>
  <r>
    <s v="FB002038"/>
    <x v="2"/>
    <x v="5"/>
    <s v="Spring"/>
    <m/>
    <x v="9"/>
    <n v="42.94"/>
    <n v="34.299999999999997"/>
    <n v="28.21"/>
    <x v="265"/>
    <n v="41"/>
    <n v="3.2731707317073173"/>
    <b v="0"/>
    <m/>
  </r>
  <r>
    <s v="FB002039"/>
    <x v="1"/>
    <x v="1"/>
    <s v="Fall"/>
    <s v="XL"/>
    <x v="7"/>
    <n v="72.78"/>
    <n v="0"/>
    <n v="72.78"/>
    <x v="1"/>
    <n v="49"/>
    <n v="3.1"/>
    <b v="0"/>
    <m/>
  </r>
  <r>
    <s v="FB002040"/>
    <x v="3"/>
    <x v="1"/>
    <s v="Fall"/>
    <s v="S"/>
    <x v="0"/>
    <n v="189.32"/>
    <n v="0"/>
    <n v="189.32"/>
    <x v="1"/>
    <n v="35"/>
    <n v="2.5"/>
    <b v="0"/>
    <m/>
  </r>
  <r>
    <s v="FB002041"/>
    <x v="5"/>
    <x v="5"/>
    <s v="Summer"/>
    <s v="XL"/>
    <x v="3"/>
    <n v="157"/>
    <n v="55.7"/>
    <n v="69.55"/>
    <x v="1"/>
    <n v="6"/>
    <n v="2.1"/>
    <b v="0"/>
    <m/>
  </r>
  <r>
    <s v="FB002042"/>
    <x v="1"/>
    <x v="6"/>
    <s v="Spring"/>
    <s v="S"/>
    <x v="9"/>
    <n v="28.73"/>
    <n v="26.4"/>
    <n v="21.15"/>
    <x v="63"/>
    <n v="47"/>
    <n v="2.2999999999999998"/>
    <b v="1"/>
    <s v="Size Issue"/>
  </r>
  <r>
    <s v="FB002043"/>
    <x v="0"/>
    <x v="7"/>
    <s v="Winter"/>
    <s v="L"/>
    <x v="4"/>
    <n v="144.63999999999999"/>
    <n v="0"/>
    <n v="144.63999999999999"/>
    <x v="1"/>
    <n v="0"/>
    <n v="4.5"/>
    <b v="0"/>
    <m/>
  </r>
  <r>
    <s v="FB002044"/>
    <x v="3"/>
    <x v="2"/>
    <s v="Fall"/>
    <s v="L"/>
    <x v="5"/>
    <n v="180.99"/>
    <n v="0"/>
    <n v="180.99"/>
    <x v="1"/>
    <n v="0"/>
    <n v="4.5"/>
    <b v="0"/>
    <m/>
  </r>
  <r>
    <s v="FB002045"/>
    <x v="1"/>
    <x v="5"/>
    <s v="Fall"/>
    <s v="M"/>
    <x v="6"/>
    <n v="74.959999999999994"/>
    <n v="56.1"/>
    <n v="32.909999999999997"/>
    <x v="1"/>
    <n v="16"/>
    <n v="2.9846153846153847"/>
    <b v="1"/>
    <s v="Wrong Item"/>
  </r>
  <r>
    <s v="FB002046"/>
    <x v="5"/>
    <x v="5"/>
    <s v="Fall"/>
    <s v="XXL"/>
    <x v="8"/>
    <n v="63.46"/>
    <n v="0"/>
    <n v="63.46"/>
    <x v="1"/>
    <n v="36"/>
    <n v="1.2"/>
    <b v="0"/>
    <m/>
  </r>
  <r>
    <s v="FB002047"/>
    <x v="3"/>
    <x v="3"/>
    <s v="Spring"/>
    <s v="S"/>
    <x v="2"/>
    <n v="105.95"/>
    <n v="31.6"/>
    <n v="72.47"/>
    <x v="18"/>
    <n v="38"/>
    <n v="3.5"/>
    <b v="0"/>
    <m/>
  </r>
  <r>
    <s v="FB002048"/>
    <x v="5"/>
    <x v="3"/>
    <s v="Summer"/>
    <s v="S"/>
    <x v="8"/>
    <n v="86.55"/>
    <n v="24.5"/>
    <n v="65.349999999999994"/>
    <x v="1"/>
    <n v="40"/>
    <n v="3.5"/>
    <b v="0"/>
    <m/>
  </r>
  <r>
    <s v="FB002049"/>
    <x v="4"/>
    <x v="6"/>
    <s v="Fall"/>
    <s v="M"/>
    <x v="8"/>
    <n v="90.97"/>
    <n v="10.8"/>
    <n v="81.150000000000006"/>
    <x v="1"/>
    <n v="33"/>
    <n v="2.2000000000000002"/>
    <b v="1"/>
    <s v="Damaged"/>
  </r>
  <r>
    <s v="FB002050"/>
    <x v="5"/>
    <x v="3"/>
    <s v="Winter"/>
    <s v="L"/>
    <x v="7"/>
    <n v="122.41"/>
    <n v="48.2"/>
    <n v="63.41"/>
    <x v="1"/>
    <n v="49"/>
    <n v="4.5"/>
    <b v="0"/>
    <m/>
  </r>
  <r>
    <s v="FB002051"/>
    <x v="3"/>
    <x v="2"/>
    <s v="Winter"/>
    <s v="XXL"/>
    <x v="4"/>
    <n v="198.22"/>
    <n v="0"/>
    <n v="198.22"/>
    <x v="1"/>
    <n v="12"/>
    <n v="3.1936170212765949"/>
    <b v="0"/>
    <m/>
  </r>
  <r>
    <s v="FB002052"/>
    <x v="3"/>
    <x v="0"/>
    <s v="Winter"/>
    <s v="M"/>
    <x v="7"/>
    <n v="129.56"/>
    <n v="20.8"/>
    <n v="102.61"/>
    <x v="1"/>
    <n v="3"/>
    <n v="2.9"/>
    <b v="0"/>
    <m/>
  </r>
  <r>
    <s v="FB002053"/>
    <x v="2"/>
    <x v="0"/>
    <s v="Summer"/>
    <m/>
    <x v="1"/>
    <n v="49.31"/>
    <n v="0"/>
    <n v="49.31"/>
    <x v="1"/>
    <n v="49"/>
    <n v="3.4"/>
    <b v="0"/>
    <m/>
  </r>
  <r>
    <s v="FB002054"/>
    <x v="0"/>
    <x v="1"/>
    <s v="Summer"/>
    <s v="S"/>
    <x v="1"/>
    <n v="206.94"/>
    <n v="0"/>
    <n v="206.94"/>
    <x v="1"/>
    <n v="43"/>
    <n v="3.3"/>
    <b v="0"/>
    <m/>
  </r>
  <r>
    <s v="FB002055"/>
    <x v="2"/>
    <x v="2"/>
    <s v="Summer"/>
    <m/>
    <x v="2"/>
    <n v="36.93"/>
    <n v="0"/>
    <n v="36.93"/>
    <x v="1"/>
    <n v="18"/>
    <n v="2.8694444444444449"/>
    <b v="0"/>
    <m/>
  </r>
  <r>
    <s v="FB002056"/>
    <x v="2"/>
    <x v="1"/>
    <s v="Summer"/>
    <m/>
    <x v="6"/>
    <n v="21.85"/>
    <n v="12"/>
    <n v="19.23"/>
    <x v="1"/>
    <n v="18"/>
    <n v="4.8"/>
    <b v="0"/>
    <m/>
  </r>
  <r>
    <s v="FB002057"/>
    <x v="3"/>
    <x v="2"/>
    <s v="Winter"/>
    <s v="S"/>
    <x v="10"/>
    <n v="174.65"/>
    <n v="43.8"/>
    <n v="98.15"/>
    <x v="1"/>
    <n v="28"/>
    <n v="3.3"/>
    <b v="0"/>
    <m/>
  </r>
  <r>
    <s v="FB002058"/>
    <x v="2"/>
    <x v="3"/>
    <s v="Spring"/>
    <m/>
    <x v="1"/>
    <n v="19.96"/>
    <n v="0"/>
    <n v="19.96"/>
    <x v="266"/>
    <n v="16"/>
    <n v="1.4"/>
    <b v="0"/>
    <m/>
  </r>
  <r>
    <s v="FB002059"/>
    <x v="1"/>
    <x v="4"/>
    <s v="Fall"/>
    <s v="M"/>
    <x v="6"/>
    <n v="90.46"/>
    <n v="54.1"/>
    <n v="41.52"/>
    <x v="1"/>
    <n v="15"/>
    <n v="2.5"/>
    <b v="0"/>
    <m/>
  </r>
  <r>
    <s v="FB002060"/>
    <x v="3"/>
    <x v="4"/>
    <s v="Fall"/>
    <s v="L"/>
    <x v="5"/>
    <n v="189.24"/>
    <n v="0"/>
    <n v="189.24"/>
    <x v="1"/>
    <n v="25"/>
    <n v="3.6"/>
    <b v="1"/>
    <s v="Color Mismatch"/>
  </r>
  <r>
    <s v="FB002061"/>
    <x v="0"/>
    <x v="2"/>
    <s v="Summer"/>
    <s v="XXL"/>
    <x v="2"/>
    <n v="231.24"/>
    <n v="44.6"/>
    <n v="128.11000000000001"/>
    <x v="1"/>
    <n v="15"/>
    <n v="3.7"/>
    <b v="0"/>
    <m/>
  </r>
  <r>
    <s v="FB002062"/>
    <x v="2"/>
    <x v="3"/>
    <s v="Fall"/>
    <m/>
    <x v="7"/>
    <n v="66.48"/>
    <n v="0"/>
    <n v="66.48"/>
    <x v="1"/>
    <n v="38"/>
    <n v="1.4"/>
    <b v="0"/>
    <m/>
  </r>
  <r>
    <s v="FB002063"/>
    <x v="2"/>
    <x v="4"/>
    <s v="Fall"/>
    <m/>
    <x v="7"/>
    <n v="37.270000000000003"/>
    <n v="0"/>
    <n v="37.270000000000003"/>
    <x v="1"/>
    <n v="15"/>
    <n v="3.8"/>
    <b v="0"/>
    <m/>
  </r>
  <r>
    <s v="FB002064"/>
    <x v="3"/>
    <x v="1"/>
    <s v="Spring"/>
    <s v="L"/>
    <x v="10"/>
    <n v="178.05"/>
    <n v="0"/>
    <n v="178.05"/>
    <x v="267"/>
    <n v="24"/>
    <n v="2.8205128205128198"/>
    <b v="0"/>
    <m/>
  </r>
  <r>
    <s v="FB002065"/>
    <x v="1"/>
    <x v="7"/>
    <s v="Spring"/>
    <s v="XS"/>
    <x v="1"/>
    <n v="73.760000000000005"/>
    <n v="0"/>
    <n v="73.760000000000005"/>
    <x v="218"/>
    <n v="25"/>
    <n v="1.3"/>
    <b v="0"/>
    <m/>
  </r>
  <r>
    <s v="FB002066"/>
    <x v="4"/>
    <x v="0"/>
    <s v="Winter"/>
    <s v="XL"/>
    <x v="1"/>
    <n v="36.229999999999997"/>
    <n v="0"/>
    <n v="36.229999999999997"/>
    <x v="1"/>
    <n v="49"/>
    <n v="2.9210526315789478"/>
    <b v="0"/>
    <m/>
  </r>
  <r>
    <s v="FB002067"/>
    <x v="4"/>
    <x v="4"/>
    <s v="Spring"/>
    <s v="S"/>
    <x v="9"/>
    <n v="48.89"/>
    <n v="0"/>
    <n v="48.89"/>
    <x v="208"/>
    <n v="9"/>
    <n v="3.1"/>
    <b v="0"/>
    <m/>
  </r>
  <r>
    <s v="FB002068"/>
    <x v="1"/>
    <x v="4"/>
    <s v="Winter"/>
    <s v="XL"/>
    <x v="1"/>
    <n v="94.15"/>
    <n v="31"/>
    <n v="64.959999999999994"/>
    <x v="1"/>
    <n v="25"/>
    <n v="2.9657142857142857"/>
    <b v="0"/>
    <m/>
  </r>
  <r>
    <s v="FB002069"/>
    <x v="2"/>
    <x v="7"/>
    <s v="Summer"/>
    <m/>
    <x v="10"/>
    <n v="27.7"/>
    <n v="0"/>
    <n v="27.7"/>
    <x v="1"/>
    <n v="27"/>
    <n v="4.8"/>
    <b v="0"/>
    <m/>
  </r>
  <r>
    <s v="FB002070"/>
    <x v="3"/>
    <x v="4"/>
    <s v="Spring"/>
    <s v="XXL"/>
    <x v="4"/>
    <n v="122.55"/>
    <n v="11.2"/>
    <n v="108.82"/>
    <x v="164"/>
    <n v="23"/>
    <n v="3.3021276595744684"/>
    <b v="0"/>
    <m/>
  </r>
  <r>
    <s v="FB002071"/>
    <x v="5"/>
    <x v="3"/>
    <s v="Spring"/>
    <s v="XL"/>
    <x v="1"/>
    <n v="173.77"/>
    <n v="17"/>
    <n v="144.22999999999999"/>
    <x v="223"/>
    <n v="5"/>
    <n v="1.9"/>
    <b v="0"/>
    <m/>
  </r>
  <r>
    <s v="FB002072"/>
    <x v="2"/>
    <x v="1"/>
    <s v="Summer"/>
    <m/>
    <x v="1"/>
    <n v="77.45"/>
    <n v="0"/>
    <n v="77.45"/>
    <x v="1"/>
    <n v="0"/>
    <n v="3.1"/>
    <b v="0"/>
    <m/>
  </r>
  <r>
    <s v="FB002073"/>
    <x v="4"/>
    <x v="1"/>
    <s v="Winter"/>
    <s v="M"/>
    <x v="2"/>
    <n v="34.159999999999997"/>
    <n v="0"/>
    <n v="34.159999999999997"/>
    <x v="1"/>
    <n v="37"/>
    <n v="1.3"/>
    <b v="0"/>
    <m/>
  </r>
  <r>
    <s v="FB002074"/>
    <x v="2"/>
    <x v="7"/>
    <s v="Summer"/>
    <m/>
    <x v="3"/>
    <n v="71.3"/>
    <n v="0"/>
    <n v="71.3"/>
    <x v="1"/>
    <n v="21"/>
    <n v="1.6"/>
    <b v="0"/>
    <m/>
  </r>
  <r>
    <s v="FB002075"/>
    <x v="1"/>
    <x v="4"/>
    <s v="Summer"/>
    <s v="M"/>
    <x v="10"/>
    <n v="63.67"/>
    <n v="0"/>
    <n v="63.67"/>
    <x v="1"/>
    <n v="18"/>
    <n v="1.6"/>
    <b v="0"/>
    <m/>
  </r>
  <r>
    <s v="FB002076"/>
    <x v="0"/>
    <x v="7"/>
    <s v="Fall"/>
    <s v="S"/>
    <x v="4"/>
    <n v="249.98"/>
    <n v="0"/>
    <n v="249.98"/>
    <x v="1"/>
    <n v="46"/>
    <n v="3.6"/>
    <b v="0"/>
    <m/>
  </r>
  <r>
    <s v="FB002077"/>
    <x v="0"/>
    <x v="5"/>
    <s v="Spring"/>
    <s v="XL"/>
    <x v="6"/>
    <n v="103.92"/>
    <n v="0"/>
    <n v="103.92"/>
    <x v="9"/>
    <n v="5"/>
    <n v="3.0305555555555546"/>
    <b v="0"/>
    <m/>
  </r>
  <r>
    <s v="FB002078"/>
    <x v="3"/>
    <x v="1"/>
    <s v="Summer"/>
    <s v="XL"/>
    <x v="2"/>
    <n v="116.76"/>
    <n v="0"/>
    <n v="116.76"/>
    <x v="1"/>
    <n v="13"/>
    <n v="2.8205128205128198"/>
    <b v="0"/>
    <m/>
  </r>
  <r>
    <s v="FB002079"/>
    <x v="3"/>
    <x v="6"/>
    <s v="Winter"/>
    <s v="XXL"/>
    <x v="3"/>
    <n v="102.61"/>
    <n v="0"/>
    <n v="102.61"/>
    <x v="1"/>
    <n v="47"/>
    <n v="3.5"/>
    <b v="0"/>
    <m/>
  </r>
  <r>
    <s v="FB002080"/>
    <x v="2"/>
    <x v="5"/>
    <s v="Spring"/>
    <m/>
    <x v="1"/>
    <n v="43.48"/>
    <n v="0"/>
    <n v="43.48"/>
    <x v="268"/>
    <n v="11"/>
    <n v="4.7"/>
    <b v="0"/>
    <m/>
  </r>
  <r>
    <s v="FB002081"/>
    <x v="2"/>
    <x v="7"/>
    <s v="Winter"/>
    <m/>
    <x v="1"/>
    <n v="39.9"/>
    <n v="0"/>
    <n v="39.9"/>
    <x v="1"/>
    <n v="6"/>
    <n v="2.4"/>
    <b v="1"/>
    <s v="Damaged"/>
  </r>
  <r>
    <s v="FB002082"/>
    <x v="4"/>
    <x v="0"/>
    <s v="Spring"/>
    <s v="S"/>
    <x v="1"/>
    <n v="86"/>
    <n v="36.700000000000003"/>
    <n v="54.44"/>
    <x v="84"/>
    <n v="18"/>
    <n v="2.4"/>
    <b v="1"/>
    <s v="Size Issue"/>
  </r>
  <r>
    <s v="FB002083"/>
    <x v="3"/>
    <x v="6"/>
    <s v="Summer"/>
    <s v="XXL"/>
    <x v="5"/>
    <n v="154.47999999999999"/>
    <n v="58.5"/>
    <n v="64.11"/>
    <x v="1"/>
    <n v="19"/>
    <n v="3.2"/>
    <b v="0"/>
    <m/>
  </r>
  <r>
    <s v="FB002084"/>
    <x v="5"/>
    <x v="6"/>
    <s v="Summer"/>
    <s v="S"/>
    <x v="0"/>
    <n v="141.97"/>
    <n v="35.299999999999997"/>
    <n v="91.85"/>
    <x v="1"/>
    <n v="12"/>
    <n v="2.6"/>
    <b v="0"/>
    <m/>
  </r>
  <r>
    <s v="FB002085"/>
    <x v="0"/>
    <x v="6"/>
    <s v="Spring"/>
    <s v="XS"/>
    <x v="0"/>
    <n v="119.36"/>
    <n v="0"/>
    <n v="119.36"/>
    <x v="127"/>
    <n v="30"/>
    <n v="2.7"/>
    <b v="1"/>
    <s v="Size Issue"/>
  </r>
  <r>
    <s v="FB002086"/>
    <x v="2"/>
    <x v="7"/>
    <s v="Summer"/>
    <m/>
    <x v="8"/>
    <n v="15.71"/>
    <n v="47.6"/>
    <n v="8.23"/>
    <x v="1"/>
    <n v="42"/>
    <n v="2"/>
    <b v="0"/>
    <m/>
  </r>
  <r>
    <s v="FB002087"/>
    <x v="3"/>
    <x v="3"/>
    <s v="Winter"/>
    <s v="M"/>
    <x v="2"/>
    <n v="89.12"/>
    <n v="0"/>
    <n v="89.12"/>
    <x v="1"/>
    <n v="27"/>
    <n v="2.9804347826086954"/>
    <b v="1"/>
    <s v="Damaged"/>
  </r>
  <r>
    <s v="FB002088"/>
    <x v="4"/>
    <x v="4"/>
    <s v="Fall"/>
    <s v="S"/>
    <x v="5"/>
    <n v="30.43"/>
    <n v="0"/>
    <n v="30.43"/>
    <x v="1"/>
    <n v="32"/>
    <n v="3.1"/>
    <b v="0"/>
    <m/>
  </r>
  <r>
    <s v="FB002089"/>
    <x v="5"/>
    <x v="7"/>
    <s v="Winter"/>
    <s v="XS"/>
    <x v="1"/>
    <n v="115.4"/>
    <n v="0"/>
    <n v="115.4"/>
    <x v="1"/>
    <n v="7"/>
    <n v="4.5"/>
    <b v="0"/>
    <m/>
  </r>
  <r>
    <s v="FB002090"/>
    <x v="0"/>
    <x v="6"/>
    <s v="Winter"/>
    <s v="S"/>
    <x v="0"/>
    <n v="155.19999999999999"/>
    <n v="0"/>
    <n v="155.19999999999999"/>
    <x v="1"/>
    <n v="5"/>
    <n v="4.8"/>
    <b v="0"/>
    <m/>
  </r>
  <r>
    <s v="FB002091"/>
    <x v="4"/>
    <x v="7"/>
    <s v="Fall"/>
    <s v="L"/>
    <x v="4"/>
    <n v="104.83"/>
    <n v="0"/>
    <n v="104.83"/>
    <x v="1"/>
    <n v="26"/>
    <n v="4"/>
    <b v="0"/>
    <m/>
  </r>
  <r>
    <s v="FB002092"/>
    <x v="2"/>
    <x v="6"/>
    <s v="Summer"/>
    <m/>
    <x v="4"/>
    <n v="41.62"/>
    <n v="0"/>
    <n v="41.62"/>
    <x v="1"/>
    <n v="33"/>
    <n v="3.2720930232558145"/>
    <b v="0"/>
    <m/>
  </r>
  <r>
    <s v="FB002093"/>
    <x v="4"/>
    <x v="5"/>
    <s v="Spring"/>
    <s v="M"/>
    <x v="7"/>
    <n v="94.92"/>
    <n v="0"/>
    <n v="94.92"/>
    <x v="269"/>
    <n v="20"/>
    <n v="2.2999999999999998"/>
    <b v="0"/>
    <m/>
  </r>
  <r>
    <s v="FB002094"/>
    <x v="4"/>
    <x v="3"/>
    <s v="Fall"/>
    <s v="XXL"/>
    <x v="0"/>
    <n v="107.92"/>
    <n v="22.2"/>
    <n v="83.96"/>
    <x v="1"/>
    <n v="35"/>
    <n v="3.7"/>
    <b v="0"/>
    <m/>
  </r>
  <r>
    <s v="FB002095"/>
    <x v="2"/>
    <x v="7"/>
    <s v="Summer"/>
    <m/>
    <x v="6"/>
    <n v="45.52"/>
    <n v="0"/>
    <n v="45.52"/>
    <x v="1"/>
    <n v="41"/>
    <n v="1.6"/>
    <b v="0"/>
    <m/>
  </r>
  <r>
    <s v="FB002096"/>
    <x v="4"/>
    <x v="6"/>
    <s v="Winter"/>
    <s v="M"/>
    <x v="6"/>
    <n v="112.1"/>
    <n v="30.7"/>
    <n v="77.69"/>
    <x v="1"/>
    <n v="10"/>
    <n v="1"/>
    <b v="0"/>
    <m/>
  </r>
  <r>
    <s v="FB002097"/>
    <x v="3"/>
    <x v="1"/>
    <s v="Spring"/>
    <s v="L"/>
    <x v="9"/>
    <n v="103.9"/>
    <n v="0"/>
    <n v="103.9"/>
    <x v="110"/>
    <n v="27"/>
    <n v="2.1"/>
    <b v="0"/>
    <m/>
  </r>
  <r>
    <s v="FB002098"/>
    <x v="0"/>
    <x v="2"/>
    <s v="Winter"/>
    <s v="L"/>
    <x v="1"/>
    <n v="168.02"/>
    <n v="0"/>
    <n v="168.02"/>
    <x v="1"/>
    <n v="30"/>
    <n v="1.6"/>
    <b v="1"/>
    <s v="Size Issue"/>
  </r>
  <r>
    <s v="FB002099"/>
    <x v="3"/>
    <x v="3"/>
    <s v="Fall"/>
    <s v="M"/>
    <x v="10"/>
    <n v="80.41"/>
    <n v="0"/>
    <n v="80.41"/>
    <x v="1"/>
    <n v="46"/>
    <n v="2.8"/>
    <b v="0"/>
    <m/>
  </r>
  <r>
    <s v="FB002100"/>
    <x v="4"/>
    <x v="7"/>
    <s v="Spring"/>
    <s v="XL"/>
    <x v="6"/>
    <n v="102.76"/>
    <n v="0"/>
    <n v="102.76"/>
    <x v="35"/>
    <n v="35"/>
    <n v="2.2000000000000002"/>
    <b v="0"/>
    <m/>
  </r>
  <r>
    <s v="FB002101"/>
    <x v="1"/>
    <x v="7"/>
    <s v="Fall"/>
    <s v="XXL"/>
    <x v="2"/>
    <n v="81.2"/>
    <n v="0"/>
    <n v="81.2"/>
    <x v="1"/>
    <n v="27"/>
    <n v="1.7"/>
    <b v="0"/>
    <m/>
  </r>
  <r>
    <s v="FB002102"/>
    <x v="2"/>
    <x v="1"/>
    <s v="Fall"/>
    <m/>
    <x v="4"/>
    <n v="68.95"/>
    <n v="0"/>
    <n v="68.95"/>
    <x v="1"/>
    <n v="47"/>
    <n v="3.6"/>
    <b v="0"/>
    <m/>
  </r>
  <r>
    <s v="FB002103"/>
    <x v="4"/>
    <x v="0"/>
    <s v="Summer"/>
    <s v="XS"/>
    <x v="9"/>
    <n v="43.04"/>
    <n v="0"/>
    <n v="43.04"/>
    <x v="1"/>
    <n v="26"/>
    <n v="4.8"/>
    <b v="1"/>
    <s v="Wrong Item"/>
  </r>
  <r>
    <s v="FB002104"/>
    <x v="1"/>
    <x v="0"/>
    <s v="Spring"/>
    <s v="XS"/>
    <x v="7"/>
    <n v="81.819999999999993"/>
    <n v="0"/>
    <n v="81.819999999999993"/>
    <x v="81"/>
    <n v="1"/>
    <n v="3.5"/>
    <b v="0"/>
    <m/>
  </r>
  <r>
    <s v="FB002105"/>
    <x v="2"/>
    <x v="3"/>
    <s v="Summer"/>
    <m/>
    <x v="5"/>
    <n v="53.7"/>
    <n v="0"/>
    <n v="53.7"/>
    <x v="1"/>
    <n v="16"/>
    <n v="1.4"/>
    <b v="1"/>
    <s v="Damaged"/>
  </r>
  <r>
    <s v="FB002106"/>
    <x v="1"/>
    <x v="3"/>
    <s v="Summer"/>
    <s v="L"/>
    <x v="0"/>
    <n v="100.11"/>
    <n v="0"/>
    <n v="100.11"/>
    <x v="1"/>
    <n v="41"/>
    <n v="4.7"/>
    <b v="0"/>
    <m/>
  </r>
  <r>
    <s v="FB002107"/>
    <x v="2"/>
    <x v="5"/>
    <s v="Winter"/>
    <m/>
    <x v="4"/>
    <n v="24.08"/>
    <n v="38.5"/>
    <n v="14.81"/>
    <x v="1"/>
    <n v="43"/>
    <n v="4.0999999999999996"/>
    <b v="0"/>
    <m/>
  </r>
  <r>
    <s v="FB002108"/>
    <x v="2"/>
    <x v="5"/>
    <s v="Spring"/>
    <m/>
    <x v="0"/>
    <n v="74.77"/>
    <n v="0"/>
    <n v="74.77"/>
    <x v="116"/>
    <n v="26"/>
    <n v="2.9"/>
    <b v="0"/>
    <m/>
  </r>
  <r>
    <s v="FB002109"/>
    <x v="5"/>
    <x v="4"/>
    <s v="Spring"/>
    <s v="XL"/>
    <x v="8"/>
    <n v="105.98"/>
    <n v="0"/>
    <n v="105.98"/>
    <x v="164"/>
    <n v="32"/>
    <n v="2.5"/>
    <b v="1"/>
    <s v="Size Issue"/>
  </r>
  <r>
    <s v="FB002110"/>
    <x v="3"/>
    <x v="0"/>
    <s v="Summer"/>
    <s v="L"/>
    <x v="3"/>
    <n v="81.650000000000006"/>
    <n v="7.7"/>
    <n v="75.36"/>
    <x v="1"/>
    <n v="23"/>
    <n v="2.6"/>
    <b v="0"/>
    <m/>
  </r>
  <r>
    <s v="FB002111"/>
    <x v="3"/>
    <x v="7"/>
    <s v="Fall"/>
    <s v="S"/>
    <x v="2"/>
    <n v="92.66"/>
    <n v="8.3000000000000007"/>
    <n v="84.97"/>
    <x v="1"/>
    <n v="5"/>
    <n v="3.3"/>
    <b v="0"/>
    <m/>
  </r>
  <r>
    <s v="FB002112"/>
    <x v="2"/>
    <x v="3"/>
    <s v="Summer"/>
    <m/>
    <x v="10"/>
    <n v="41.04"/>
    <n v="0"/>
    <n v="41.04"/>
    <x v="1"/>
    <n v="43"/>
    <n v="2.5131578947368416"/>
    <b v="0"/>
    <m/>
  </r>
  <r>
    <s v="FB002113"/>
    <x v="0"/>
    <x v="7"/>
    <s v="Fall"/>
    <s v="M"/>
    <x v="1"/>
    <n v="169.98"/>
    <n v="5.8"/>
    <n v="160.12"/>
    <x v="1"/>
    <n v="12"/>
    <n v="2.1"/>
    <b v="0"/>
    <m/>
  </r>
  <r>
    <s v="FB002114"/>
    <x v="2"/>
    <x v="3"/>
    <s v="Winter"/>
    <m/>
    <x v="0"/>
    <n v="66.12"/>
    <n v="51"/>
    <n v="32.4"/>
    <x v="1"/>
    <n v="17"/>
    <n v="2.2000000000000002"/>
    <b v="0"/>
    <m/>
  </r>
  <r>
    <s v="FB002115"/>
    <x v="5"/>
    <x v="2"/>
    <s v="Spring"/>
    <s v="S"/>
    <x v="9"/>
    <n v="139.87"/>
    <n v="14.5"/>
    <n v="119.59"/>
    <x v="21"/>
    <n v="13"/>
    <n v="1.3"/>
    <b v="0"/>
    <m/>
  </r>
  <r>
    <s v="FB002116"/>
    <x v="2"/>
    <x v="0"/>
    <s v="Winter"/>
    <m/>
    <x v="1"/>
    <n v="70.23"/>
    <n v="49.9"/>
    <n v="35.19"/>
    <x v="1"/>
    <n v="0"/>
    <n v="4.5999999999999996"/>
    <b v="1"/>
    <s v="Damaged"/>
  </r>
  <r>
    <s v="FB002117"/>
    <x v="3"/>
    <x v="0"/>
    <s v="Winter"/>
    <s v="XL"/>
    <x v="5"/>
    <n v="129.9"/>
    <n v="39.9"/>
    <n v="78.069999999999993"/>
    <x v="1"/>
    <n v="28"/>
    <n v="1.3"/>
    <b v="0"/>
    <m/>
  </r>
  <r>
    <s v="FB002118"/>
    <x v="4"/>
    <x v="0"/>
    <s v="Spring"/>
    <s v="L"/>
    <x v="7"/>
    <n v="75.78"/>
    <n v="0"/>
    <n v="75.78"/>
    <x v="270"/>
    <n v="12"/>
    <n v="3.6"/>
    <b v="0"/>
    <m/>
  </r>
  <r>
    <s v="FB002119"/>
    <x v="4"/>
    <x v="4"/>
    <s v="Winter"/>
    <s v="M"/>
    <x v="7"/>
    <n v="93.41"/>
    <n v="0"/>
    <n v="93.41"/>
    <x v="1"/>
    <n v="4"/>
    <n v="3.2"/>
    <b v="1"/>
    <s v="Size Issue"/>
  </r>
  <r>
    <s v="FB002120"/>
    <x v="1"/>
    <x v="2"/>
    <s v="Spring"/>
    <s v="L"/>
    <x v="0"/>
    <n v="66.900000000000006"/>
    <n v="0"/>
    <n v="66.900000000000006"/>
    <x v="271"/>
    <n v="1"/>
    <n v="2.8"/>
    <b v="0"/>
    <m/>
  </r>
  <r>
    <s v="FB002121"/>
    <x v="1"/>
    <x v="3"/>
    <s v="Fall"/>
    <s v="L"/>
    <x v="6"/>
    <n v="110.45"/>
    <n v="6.6"/>
    <n v="103.16"/>
    <x v="1"/>
    <n v="6"/>
    <n v="2.9742857142857138"/>
    <b v="0"/>
    <m/>
  </r>
  <r>
    <s v="FB002122"/>
    <x v="4"/>
    <x v="0"/>
    <s v="Fall"/>
    <s v="L"/>
    <x v="4"/>
    <n v="52.73"/>
    <n v="0"/>
    <n v="52.73"/>
    <x v="1"/>
    <n v="10"/>
    <n v="4.5"/>
    <b v="0"/>
    <m/>
  </r>
  <r>
    <s v="FB002123"/>
    <x v="0"/>
    <x v="5"/>
    <s v="Fall"/>
    <s v="L"/>
    <x v="5"/>
    <n v="89.13"/>
    <n v="0"/>
    <n v="89.13"/>
    <x v="1"/>
    <n v="17"/>
    <n v="4.0999999999999996"/>
    <b v="0"/>
    <m/>
  </r>
  <r>
    <s v="FB002124"/>
    <x v="0"/>
    <x v="2"/>
    <s v="Summer"/>
    <s v="L"/>
    <x v="6"/>
    <n v="171.78"/>
    <n v="44.1"/>
    <n v="96.03"/>
    <x v="1"/>
    <n v="25"/>
    <n v="3.0177777777777774"/>
    <b v="1"/>
    <s v="Color Mismatch"/>
  </r>
  <r>
    <s v="FB002125"/>
    <x v="3"/>
    <x v="6"/>
    <s v="Winter"/>
    <s v="M"/>
    <x v="1"/>
    <n v="129"/>
    <n v="0"/>
    <n v="129"/>
    <x v="1"/>
    <n v="13"/>
    <n v="3.8"/>
    <b v="1"/>
    <s v="Changed Mind"/>
  </r>
  <r>
    <s v="FB002126"/>
    <x v="3"/>
    <x v="0"/>
    <s v="Summer"/>
    <s v="XS"/>
    <x v="10"/>
    <n v="160.59"/>
    <n v="0"/>
    <n v="160.59"/>
    <x v="1"/>
    <n v="8"/>
    <n v="2.9"/>
    <b v="0"/>
    <m/>
  </r>
  <r>
    <s v="FB002127"/>
    <x v="1"/>
    <x v="2"/>
    <s v="Summer"/>
    <s v="L"/>
    <x v="0"/>
    <n v="56.38"/>
    <n v="0"/>
    <n v="56.38"/>
    <x v="1"/>
    <n v="9"/>
    <n v="2.953125"/>
    <b v="0"/>
    <m/>
  </r>
  <r>
    <s v="FB002128"/>
    <x v="0"/>
    <x v="6"/>
    <s v="Winter"/>
    <s v="L"/>
    <x v="6"/>
    <n v="109.2"/>
    <n v="26.6"/>
    <n v="80.150000000000006"/>
    <x v="1"/>
    <n v="21"/>
    <n v="3.9"/>
    <b v="1"/>
    <s v="Quality Issue"/>
  </r>
  <r>
    <s v="FB002129"/>
    <x v="2"/>
    <x v="1"/>
    <s v="Spring"/>
    <m/>
    <x v="1"/>
    <n v="21.43"/>
    <n v="0"/>
    <n v="21.43"/>
    <x v="135"/>
    <n v="38"/>
    <n v="1.9"/>
    <b v="0"/>
    <m/>
  </r>
  <r>
    <s v="FB002130"/>
    <x v="3"/>
    <x v="4"/>
    <s v="Winter"/>
    <s v="M"/>
    <x v="9"/>
    <n v="87.11"/>
    <n v="0"/>
    <n v="87.11"/>
    <x v="1"/>
    <n v="36"/>
    <n v="2.2999999999999998"/>
    <b v="0"/>
    <m/>
  </r>
  <r>
    <s v="FB002131"/>
    <x v="2"/>
    <x v="7"/>
    <s v="Fall"/>
    <m/>
    <x v="8"/>
    <n v="36.29"/>
    <n v="0"/>
    <n v="36.29"/>
    <x v="1"/>
    <n v="47"/>
    <n v="2.8"/>
    <b v="0"/>
    <m/>
  </r>
  <r>
    <s v="FB002132"/>
    <x v="5"/>
    <x v="4"/>
    <s v="Spring"/>
    <s v="M"/>
    <x v="6"/>
    <n v="105.59"/>
    <n v="0"/>
    <n v="105.59"/>
    <x v="71"/>
    <n v="37"/>
    <n v="4.7"/>
    <b v="0"/>
    <m/>
  </r>
  <r>
    <s v="FB002133"/>
    <x v="5"/>
    <x v="0"/>
    <s v="Fall"/>
    <s v="S"/>
    <x v="2"/>
    <n v="93.5"/>
    <n v="0"/>
    <n v="93.5"/>
    <x v="1"/>
    <n v="4"/>
    <n v="3.7"/>
    <b v="0"/>
    <m/>
  </r>
  <r>
    <s v="FB002134"/>
    <x v="2"/>
    <x v="5"/>
    <s v="Winter"/>
    <m/>
    <x v="2"/>
    <n v="41.72"/>
    <n v="9.5"/>
    <n v="37.76"/>
    <x v="1"/>
    <n v="9"/>
    <n v="3.9"/>
    <b v="0"/>
    <m/>
  </r>
  <r>
    <s v="FB002135"/>
    <x v="2"/>
    <x v="3"/>
    <s v="Summer"/>
    <m/>
    <x v="0"/>
    <n v="74.540000000000006"/>
    <n v="58.1"/>
    <n v="31.23"/>
    <x v="1"/>
    <n v="35"/>
    <n v="4.8"/>
    <b v="0"/>
    <m/>
  </r>
  <r>
    <s v="FB002136"/>
    <x v="5"/>
    <x v="1"/>
    <s v="Spring"/>
    <m/>
    <x v="5"/>
    <n v="85.49"/>
    <n v="0"/>
    <n v="85.49"/>
    <x v="153"/>
    <n v="0"/>
    <n v="3.7"/>
    <b v="0"/>
    <m/>
  </r>
  <r>
    <s v="FB002137"/>
    <x v="5"/>
    <x v="0"/>
    <s v="Summer"/>
    <s v="M"/>
    <x v="6"/>
    <n v="131.05000000000001"/>
    <n v="0"/>
    <n v="131.05000000000001"/>
    <x v="1"/>
    <n v="23"/>
    <n v="4.9000000000000004"/>
    <b v="0"/>
    <m/>
  </r>
  <r>
    <s v="FB002138"/>
    <x v="4"/>
    <x v="7"/>
    <s v="Summer"/>
    <s v="XL"/>
    <x v="1"/>
    <n v="63.5"/>
    <n v="0"/>
    <n v="63.5"/>
    <x v="1"/>
    <n v="17"/>
    <n v="2.6"/>
    <b v="0"/>
    <m/>
  </r>
  <r>
    <s v="FB002139"/>
    <x v="1"/>
    <x v="1"/>
    <s v="Fall"/>
    <s v="M"/>
    <x v="7"/>
    <n v="75.540000000000006"/>
    <n v="0"/>
    <n v="75.540000000000006"/>
    <x v="1"/>
    <n v="7"/>
    <n v="3.3"/>
    <b v="0"/>
    <m/>
  </r>
  <r>
    <s v="FB002140"/>
    <x v="1"/>
    <x v="3"/>
    <s v="Fall"/>
    <s v="XXL"/>
    <x v="7"/>
    <n v="110.77"/>
    <n v="0"/>
    <n v="110.77"/>
    <x v="1"/>
    <n v="48"/>
    <n v="2.6"/>
    <b v="0"/>
    <m/>
  </r>
  <r>
    <s v="FB002141"/>
    <x v="3"/>
    <x v="3"/>
    <s v="Summer"/>
    <s v="M"/>
    <x v="3"/>
    <n v="190.71"/>
    <n v="6.3"/>
    <n v="178.7"/>
    <x v="1"/>
    <n v="1"/>
    <n v="2"/>
    <b v="0"/>
    <m/>
  </r>
  <r>
    <s v="FB002142"/>
    <x v="1"/>
    <x v="3"/>
    <s v="Fall"/>
    <s v="L"/>
    <x v="3"/>
    <n v="100.56"/>
    <n v="17.3"/>
    <n v="83.16"/>
    <x v="1"/>
    <n v="21"/>
    <n v="3.6"/>
    <b v="0"/>
    <m/>
  </r>
  <r>
    <s v="FB002143"/>
    <x v="0"/>
    <x v="7"/>
    <s v="Summer"/>
    <s v="XXL"/>
    <x v="1"/>
    <n v="221.59"/>
    <n v="8.6"/>
    <n v="202.53"/>
    <x v="1"/>
    <n v="5"/>
    <n v="2.9718749999999998"/>
    <b v="0"/>
    <m/>
  </r>
  <r>
    <s v="FB002144"/>
    <x v="4"/>
    <x v="6"/>
    <s v="Summer"/>
    <s v="L"/>
    <x v="7"/>
    <n v="55.21"/>
    <n v="0"/>
    <n v="55.21"/>
    <x v="1"/>
    <n v="21"/>
    <n v="1.8"/>
    <b v="1"/>
    <s v="Wrong Item"/>
  </r>
  <r>
    <s v="FB002145"/>
    <x v="2"/>
    <x v="1"/>
    <s v="Fall"/>
    <m/>
    <x v="2"/>
    <n v="17.87"/>
    <n v="0"/>
    <n v="17.87"/>
    <x v="1"/>
    <n v="47"/>
    <n v="3.1288461538461547"/>
    <b v="0"/>
    <m/>
  </r>
  <r>
    <s v="FB002146"/>
    <x v="4"/>
    <x v="1"/>
    <s v="Summer"/>
    <s v="XS"/>
    <x v="1"/>
    <n v="56.57"/>
    <n v="0"/>
    <n v="56.57"/>
    <x v="1"/>
    <n v="43"/>
    <n v="4.4000000000000004"/>
    <b v="1"/>
    <s v="Size Issue"/>
  </r>
  <r>
    <s v="FB002147"/>
    <x v="2"/>
    <x v="6"/>
    <s v="Spring"/>
    <m/>
    <x v="9"/>
    <n v="47.74"/>
    <n v="0"/>
    <n v="47.74"/>
    <x v="69"/>
    <n v="17"/>
    <n v="2.9"/>
    <b v="0"/>
    <m/>
  </r>
  <r>
    <s v="FB002148"/>
    <x v="5"/>
    <x v="2"/>
    <s v="Fall"/>
    <s v="M"/>
    <x v="8"/>
    <n v="152.88"/>
    <n v="8.9"/>
    <n v="139.27000000000001"/>
    <x v="1"/>
    <n v="19"/>
    <n v="2.2000000000000002"/>
    <b v="0"/>
    <m/>
  </r>
  <r>
    <s v="FB002149"/>
    <x v="0"/>
    <x v="2"/>
    <s v="Winter"/>
    <s v="M"/>
    <x v="7"/>
    <n v="199.61"/>
    <n v="37.700000000000003"/>
    <n v="124.36"/>
    <x v="1"/>
    <n v="6"/>
    <n v="3.0177777777777774"/>
    <b v="0"/>
    <m/>
  </r>
  <r>
    <s v="FB002150"/>
    <x v="2"/>
    <x v="6"/>
    <s v="Summer"/>
    <m/>
    <x v="4"/>
    <n v="57.25"/>
    <n v="0"/>
    <n v="57.25"/>
    <x v="1"/>
    <n v="22"/>
    <n v="5"/>
    <b v="0"/>
    <m/>
  </r>
  <r>
    <s v="FB002151"/>
    <x v="5"/>
    <x v="4"/>
    <s v="Fall"/>
    <s v="XL"/>
    <x v="5"/>
    <n v="134.41"/>
    <n v="55.3"/>
    <n v="60.08"/>
    <x v="1"/>
    <n v="12"/>
    <n v="3.2"/>
    <b v="0"/>
    <m/>
  </r>
  <r>
    <s v="FB002152"/>
    <x v="4"/>
    <x v="5"/>
    <s v="Fall"/>
    <s v="S"/>
    <x v="10"/>
    <n v="111.43"/>
    <n v="43.5"/>
    <n v="62.96"/>
    <x v="1"/>
    <n v="22"/>
    <n v="4.8"/>
    <b v="0"/>
    <m/>
  </r>
  <r>
    <s v="FB002153"/>
    <x v="2"/>
    <x v="1"/>
    <s v="Spring"/>
    <m/>
    <x v="10"/>
    <n v="15.36"/>
    <n v="36.799999999999997"/>
    <n v="9.7100000000000009"/>
    <x v="56"/>
    <n v="46"/>
    <n v="2.2999999999999998"/>
    <b v="0"/>
    <m/>
  </r>
  <r>
    <s v="FB002154"/>
    <x v="1"/>
    <x v="6"/>
    <s v="Fall"/>
    <s v="XL"/>
    <x v="2"/>
    <n v="100.03"/>
    <n v="51.8"/>
    <n v="48.21"/>
    <x v="1"/>
    <n v="43"/>
    <n v="5"/>
    <b v="0"/>
    <m/>
  </r>
  <r>
    <s v="FB002155"/>
    <x v="3"/>
    <x v="1"/>
    <s v="Summer"/>
    <s v="S"/>
    <x v="2"/>
    <n v="173.75"/>
    <n v="19.2"/>
    <n v="140.38999999999999"/>
    <x v="1"/>
    <n v="38"/>
    <n v="2.8205128205128198"/>
    <b v="0"/>
    <m/>
  </r>
  <r>
    <s v="FB002156"/>
    <x v="4"/>
    <x v="6"/>
    <s v="Winter"/>
    <s v="XL"/>
    <x v="6"/>
    <n v="37.979999999999997"/>
    <n v="15.2"/>
    <n v="32.21"/>
    <x v="1"/>
    <n v="25"/>
    <n v="3.6"/>
    <b v="0"/>
    <m/>
  </r>
  <r>
    <s v="FB002157"/>
    <x v="5"/>
    <x v="7"/>
    <s v="Summer"/>
    <s v="M"/>
    <x v="2"/>
    <n v="154.11000000000001"/>
    <n v="0"/>
    <n v="154.11000000000001"/>
    <x v="1"/>
    <n v="50"/>
    <n v="3.1"/>
    <b v="0"/>
    <m/>
  </r>
  <r>
    <s v="FB002158"/>
    <x v="2"/>
    <x v="5"/>
    <s v="Spring"/>
    <m/>
    <x v="9"/>
    <n v="69.8"/>
    <n v="46.9"/>
    <n v="37.06"/>
    <x v="193"/>
    <n v="26"/>
    <n v="3.8"/>
    <b v="0"/>
    <m/>
  </r>
  <r>
    <s v="FB002159"/>
    <x v="5"/>
    <x v="6"/>
    <s v="Winter"/>
    <s v="XXL"/>
    <x v="4"/>
    <n v="171.16"/>
    <n v="0"/>
    <n v="171.16"/>
    <x v="1"/>
    <n v="26"/>
    <n v="4.3"/>
    <b v="0"/>
    <m/>
  </r>
  <r>
    <s v="FB002160"/>
    <x v="0"/>
    <x v="0"/>
    <s v="Summer"/>
    <s v="XXL"/>
    <x v="3"/>
    <n v="118.57"/>
    <n v="0"/>
    <n v="118.57"/>
    <x v="1"/>
    <n v="6"/>
    <n v="1.4"/>
    <b v="1"/>
    <s v="Quality Issue"/>
  </r>
  <r>
    <s v="FB002161"/>
    <x v="5"/>
    <x v="3"/>
    <s v="Winter"/>
    <s v="XXL"/>
    <x v="1"/>
    <n v="118.46"/>
    <n v="0"/>
    <n v="118.46"/>
    <x v="1"/>
    <n v="40"/>
    <n v="2.2999999999999998"/>
    <b v="0"/>
    <m/>
  </r>
  <r>
    <s v="FB002162"/>
    <x v="3"/>
    <x v="0"/>
    <s v="Summer"/>
    <s v="L"/>
    <x v="6"/>
    <n v="122.7"/>
    <n v="0"/>
    <n v="122.7"/>
    <x v="1"/>
    <n v="9"/>
    <n v="2.9153846153846157"/>
    <b v="0"/>
    <m/>
  </r>
  <r>
    <s v="FB002163"/>
    <x v="2"/>
    <x v="6"/>
    <s v="Spring"/>
    <m/>
    <x v="2"/>
    <n v="68.2"/>
    <n v="0"/>
    <n v="68.2"/>
    <x v="196"/>
    <n v="2"/>
    <n v="3.8"/>
    <b v="0"/>
    <m/>
  </r>
  <r>
    <s v="FB002164"/>
    <x v="3"/>
    <x v="4"/>
    <s v="Spring"/>
    <s v="XL"/>
    <x v="3"/>
    <n v="178.56"/>
    <n v="0"/>
    <n v="178.56"/>
    <x v="272"/>
    <n v="46"/>
    <n v="2.6"/>
    <b v="0"/>
    <m/>
  </r>
  <r>
    <s v="FB002165"/>
    <x v="2"/>
    <x v="1"/>
    <s v="Summer"/>
    <m/>
    <x v="6"/>
    <n v="30.46"/>
    <n v="31.4"/>
    <n v="20.9"/>
    <x v="1"/>
    <n v="40"/>
    <n v="2.4"/>
    <b v="0"/>
    <m/>
  </r>
  <r>
    <s v="FB002166"/>
    <x v="2"/>
    <x v="2"/>
    <s v="Summer"/>
    <m/>
    <x v="2"/>
    <n v="76.08"/>
    <n v="0"/>
    <n v="76.08"/>
    <x v="1"/>
    <n v="6"/>
    <n v="4.9000000000000004"/>
    <b v="0"/>
    <m/>
  </r>
  <r>
    <s v="FB002167"/>
    <x v="3"/>
    <x v="2"/>
    <s v="Winter"/>
    <s v="M"/>
    <x v="10"/>
    <n v="116.15"/>
    <n v="16.5"/>
    <n v="96.99"/>
    <x v="1"/>
    <n v="11"/>
    <n v="3"/>
    <b v="0"/>
    <m/>
  </r>
  <r>
    <s v="FB002168"/>
    <x v="3"/>
    <x v="4"/>
    <s v="Winter"/>
    <s v="XS"/>
    <x v="3"/>
    <n v="98.22"/>
    <n v="0"/>
    <n v="98.22"/>
    <x v="1"/>
    <n v="27"/>
    <n v="3.3"/>
    <b v="0"/>
    <m/>
  </r>
  <r>
    <s v="FB002169"/>
    <x v="3"/>
    <x v="5"/>
    <s v="Winter"/>
    <m/>
    <x v="7"/>
    <n v="66.58"/>
    <n v="0"/>
    <n v="66.58"/>
    <x v="1"/>
    <n v="45"/>
    <n v="3.4"/>
    <b v="0"/>
    <m/>
  </r>
  <r>
    <s v="FB002170"/>
    <x v="2"/>
    <x v="1"/>
    <s v="Spring"/>
    <m/>
    <x v="7"/>
    <n v="69.22"/>
    <n v="0"/>
    <n v="69.22"/>
    <x v="233"/>
    <n v="42"/>
    <n v="3.8"/>
    <b v="0"/>
    <m/>
  </r>
  <r>
    <s v="FB002171"/>
    <x v="1"/>
    <x v="1"/>
    <s v="Winter"/>
    <s v="XL"/>
    <x v="2"/>
    <n v="85.01"/>
    <n v="0"/>
    <n v="85.01"/>
    <x v="1"/>
    <n v="39"/>
    <n v="4.3"/>
    <b v="0"/>
    <m/>
  </r>
  <r>
    <s v="FB002172"/>
    <x v="1"/>
    <x v="3"/>
    <s v="Summer"/>
    <s v="XL"/>
    <x v="2"/>
    <n v="31.41"/>
    <n v="0"/>
    <n v="31.41"/>
    <x v="1"/>
    <n v="10"/>
    <n v="2.1"/>
    <b v="0"/>
    <m/>
  </r>
  <r>
    <s v="FB002173"/>
    <x v="5"/>
    <x v="2"/>
    <s v="Winter"/>
    <s v="L"/>
    <x v="10"/>
    <n v="50.58"/>
    <n v="0"/>
    <n v="50.58"/>
    <x v="1"/>
    <n v="1"/>
    <n v="3.1"/>
    <b v="1"/>
    <s v="Changed Mind"/>
  </r>
  <r>
    <s v="FB002174"/>
    <x v="2"/>
    <x v="2"/>
    <s v="Winter"/>
    <m/>
    <x v="7"/>
    <n v="79.37"/>
    <n v="54.8"/>
    <n v="35.880000000000003"/>
    <x v="1"/>
    <n v="40"/>
    <n v="2.6"/>
    <b v="0"/>
    <m/>
  </r>
  <r>
    <s v="FB002175"/>
    <x v="4"/>
    <x v="5"/>
    <s v="Summer"/>
    <s v="XL"/>
    <x v="1"/>
    <n v="105.52"/>
    <n v="0"/>
    <n v="105.52"/>
    <x v="1"/>
    <n v="20"/>
    <n v="4.9000000000000004"/>
    <b v="1"/>
    <s v="Size Issue"/>
  </r>
  <r>
    <s v="FB002176"/>
    <x v="3"/>
    <x v="5"/>
    <s v="Summer"/>
    <s v="XXL"/>
    <x v="3"/>
    <n v="154.02000000000001"/>
    <n v="0"/>
    <n v="154.02000000000001"/>
    <x v="1"/>
    <n v="23"/>
    <n v="1.3"/>
    <b v="0"/>
    <m/>
  </r>
</pivotCacheRecords>
</file>

<file path=xl/pivotCache/pivotCacheRecords2.xml><?xml version="1.0" encoding="utf-8"?>
<pivotCacheRecords xmlns="http://schemas.openxmlformats.org/spreadsheetml/2006/main" xmlns:r="http://schemas.openxmlformats.org/officeDocument/2006/relationships" count="2176">
  <r>
    <s v="FB000001"/>
    <x v="0"/>
    <x v="0"/>
    <x v="0"/>
    <s v="XL"/>
    <x v="0"/>
    <n v="196.01"/>
    <n v="0"/>
    <n v="196.01"/>
    <d v="2025-07-05T00:00:00"/>
    <n v="37"/>
    <x v="0"/>
    <x v="0"/>
    <x v="0"/>
    <n v="60"/>
    <n v="0"/>
    <s v=""/>
  </r>
  <r>
    <s v="FB000002"/>
    <x v="1"/>
    <x v="1"/>
    <x v="1"/>
    <s v="L"/>
    <x v="1"/>
    <n v="119.64"/>
    <n v="0"/>
    <n v="119.64"/>
    <d v="2025-08-06T00:00:00"/>
    <n v="2"/>
    <x v="1"/>
    <x v="0"/>
    <x v="0"/>
    <n v="28"/>
    <n v="0"/>
    <s v=""/>
  </r>
  <r>
    <s v="FB000003"/>
    <x v="2"/>
    <x v="1"/>
    <x v="1"/>
    <m/>
    <x v="2"/>
    <n v="33.799999999999997"/>
    <n v="0"/>
    <n v="33.799999999999997"/>
    <d v="2025-08-06T00:00:00"/>
    <n v="22"/>
    <x v="2"/>
    <x v="0"/>
    <x v="0"/>
    <n v="28"/>
    <n v="0"/>
    <s v=""/>
  </r>
  <r>
    <s v="FB000004"/>
    <x v="3"/>
    <x v="1"/>
    <x v="0"/>
    <s v="XL"/>
    <x v="2"/>
    <n v="75.36"/>
    <n v="0"/>
    <n v="75.36"/>
    <d v="2025-07-07T00:00:00"/>
    <n v="48"/>
    <x v="3"/>
    <x v="0"/>
    <x v="0"/>
    <n v="58"/>
    <n v="0"/>
    <s v=""/>
  </r>
  <r>
    <s v="FB000005"/>
    <x v="1"/>
    <x v="2"/>
    <x v="1"/>
    <s v="XL"/>
    <x v="2"/>
    <n v="105.02"/>
    <n v="0"/>
    <n v="105.02"/>
    <d v="2025-08-06T00:00:00"/>
    <n v="10"/>
    <x v="4"/>
    <x v="0"/>
    <x v="0"/>
    <n v="28"/>
    <n v="0"/>
    <s v=""/>
  </r>
  <r>
    <s v="FB000006"/>
    <x v="2"/>
    <x v="0"/>
    <x v="2"/>
    <m/>
    <x v="3"/>
    <n v="35.03"/>
    <n v="35.4"/>
    <n v="22.63"/>
    <d v="2025-08-06T00:00:00"/>
    <n v="38"/>
    <x v="5"/>
    <x v="1"/>
    <x v="1"/>
    <n v="28"/>
    <n v="1345.2"/>
    <n v="1"/>
  </r>
  <r>
    <s v="FB000007"/>
    <x v="4"/>
    <x v="0"/>
    <x v="0"/>
    <s v="S"/>
    <x v="4"/>
    <n v="53.83"/>
    <n v="54.5"/>
    <n v="24.49"/>
    <d v="2024-10-29T00:00:00"/>
    <n v="38"/>
    <x v="3"/>
    <x v="0"/>
    <x v="0"/>
    <n v="309"/>
    <n v="2071"/>
    <s v=""/>
  </r>
  <r>
    <s v="FB000008"/>
    <x v="5"/>
    <x v="3"/>
    <x v="1"/>
    <s v="XL"/>
    <x v="5"/>
    <n v="91.55"/>
    <n v="22.1"/>
    <n v="71.319999999999993"/>
    <d v="2025-08-06T00:00:00"/>
    <n v="47"/>
    <x v="6"/>
    <x v="0"/>
    <x v="0"/>
    <n v="28"/>
    <n v="1038.7"/>
    <s v=""/>
  </r>
  <r>
    <s v="FB000009"/>
    <x v="0"/>
    <x v="1"/>
    <x v="0"/>
    <s v="XL"/>
    <x v="6"/>
    <n v="227.73"/>
    <n v="12.8"/>
    <n v="198.58"/>
    <d v="2025-03-24T00:00:00"/>
    <n v="14"/>
    <x v="7"/>
    <x v="0"/>
    <x v="0"/>
    <n v="163"/>
    <n v="179.20000000000002"/>
    <s v=""/>
  </r>
  <r>
    <s v="FB000010"/>
    <x v="0"/>
    <x v="4"/>
    <x v="2"/>
    <s v="XXL"/>
    <x v="1"/>
    <n v="248.41"/>
    <n v="10.9"/>
    <n v="221.33"/>
    <d v="2025-08-06T00:00:00"/>
    <n v="37"/>
    <x v="8"/>
    <x v="0"/>
    <x v="0"/>
    <n v="28"/>
    <n v="403.3"/>
    <s v=""/>
  </r>
  <r>
    <s v="FB000011"/>
    <x v="1"/>
    <x v="3"/>
    <x v="0"/>
    <s v="L"/>
    <x v="2"/>
    <n v="116.84"/>
    <n v="0"/>
    <n v="116.84"/>
    <d v="2025-04-25T00:00:00"/>
    <n v="3"/>
    <x v="9"/>
    <x v="0"/>
    <x v="0"/>
    <n v="131"/>
    <n v="0"/>
    <s v=""/>
  </r>
  <r>
    <s v="FB000012"/>
    <x v="3"/>
    <x v="1"/>
    <x v="1"/>
    <s v="S"/>
    <x v="5"/>
    <n v="146.97999999999999"/>
    <n v="0"/>
    <n v="146.97999999999999"/>
    <d v="2025-08-06T00:00:00"/>
    <n v="2"/>
    <x v="10"/>
    <x v="0"/>
    <x v="0"/>
    <n v="28"/>
    <n v="0"/>
    <s v=""/>
  </r>
  <r>
    <s v="FB000013"/>
    <x v="4"/>
    <x v="5"/>
    <x v="0"/>
    <s v="S"/>
    <x v="3"/>
    <n v="37.51"/>
    <n v="0"/>
    <n v="37.51"/>
    <d v="2025-01-04T00:00:00"/>
    <n v="43"/>
    <x v="11"/>
    <x v="0"/>
    <x v="0"/>
    <n v="242"/>
    <n v="0"/>
    <s v=""/>
  </r>
  <r>
    <s v="FB000014"/>
    <x v="5"/>
    <x v="1"/>
    <x v="2"/>
    <s v="XS"/>
    <x v="7"/>
    <n v="48.15"/>
    <n v="0"/>
    <n v="48.15"/>
    <d v="2025-08-06T00:00:00"/>
    <n v="39"/>
    <x v="6"/>
    <x v="0"/>
    <x v="0"/>
    <n v="28"/>
    <n v="0"/>
    <s v=""/>
  </r>
  <r>
    <s v="FB000015"/>
    <x v="1"/>
    <x v="3"/>
    <x v="1"/>
    <s v="M"/>
    <x v="7"/>
    <n v="79.66"/>
    <n v="0"/>
    <n v="79.66"/>
    <d v="2025-08-06T00:00:00"/>
    <n v="7"/>
    <x v="12"/>
    <x v="0"/>
    <x v="0"/>
    <n v="28"/>
    <n v="0"/>
    <s v=""/>
  </r>
  <r>
    <s v="FB000016"/>
    <x v="2"/>
    <x v="3"/>
    <x v="1"/>
    <m/>
    <x v="6"/>
    <n v="67.569999999999993"/>
    <n v="0"/>
    <n v="67.569999999999993"/>
    <d v="2025-08-06T00:00:00"/>
    <n v="17"/>
    <x v="13"/>
    <x v="0"/>
    <x v="0"/>
    <n v="28"/>
    <n v="0"/>
    <s v=""/>
  </r>
  <r>
    <s v="FB000017"/>
    <x v="3"/>
    <x v="6"/>
    <x v="3"/>
    <s v="S"/>
    <x v="7"/>
    <n v="123.53"/>
    <n v="0"/>
    <n v="123.53"/>
    <d v="2025-08-06T00:00:00"/>
    <n v="14"/>
    <x v="14"/>
    <x v="0"/>
    <x v="0"/>
    <n v="28"/>
    <n v="0"/>
    <s v=""/>
  </r>
  <r>
    <s v="FB000018"/>
    <x v="1"/>
    <x v="5"/>
    <x v="1"/>
    <s v="L"/>
    <x v="8"/>
    <n v="102.35"/>
    <n v="0"/>
    <n v="102.35"/>
    <d v="2025-08-06T00:00:00"/>
    <n v="14"/>
    <x v="15"/>
    <x v="0"/>
    <x v="0"/>
    <n v="28"/>
    <n v="0"/>
    <s v=""/>
  </r>
  <r>
    <s v="FB000019"/>
    <x v="0"/>
    <x v="3"/>
    <x v="3"/>
    <s v="M"/>
    <x v="9"/>
    <n v="137.94999999999999"/>
    <n v="58.5"/>
    <n v="57.25"/>
    <d v="2025-08-06T00:00:00"/>
    <n v="16"/>
    <x v="16"/>
    <x v="0"/>
    <x v="0"/>
    <n v="28"/>
    <n v="936"/>
    <s v=""/>
  </r>
  <r>
    <s v="FB000020"/>
    <x v="0"/>
    <x v="2"/>
    <x v="3"/>
    <s v="XXL"/>
    <x v="4"/>
    <n v="142.59"/>
    <n v="0"/>
    <n v="142.59"/>
    <d v="2025-08-06T00:00:00"/>
    <n v="1"/>
    <x v="17"/>
    <x v="0"/>
    <x v="0"/>
    <n v="28"/>
    <n v="0"/>
    <s v=""/>
  </r>
  <r>
    <s v="FB000021"/>
    <x v="4"/>
    <x v="3"/>
    <x v="2"/>
    <s v="L"/>
    <x v="7"/>
    <n v="33.33"/>
    <n v="21.8"/>
    <n v="26.06"/>
    <d v="2025-08-06T00:00:00"/>
    <n v="42"/>
    <x v="18"/>
    <x v="0"/>
    <x v="0"/>
    <n v="28"/>
    <n v="915.6"/>
    <s v=""/>
  </r>
  <r>
    <s v="FB000022"/>
    <x v="2"/>
    <x v="0"/>
    <x v="0"/>
    <m/>
    <x v="10"/>
    <n v="62.3"/>
    <n v="0"/>
    <n v="62.3"/>
    <d v="2024-09-24T00:00:00"/>
    <n v="10"/>
    <x v="1"/>
    <x v="0"/>
    <x v="0"/>
    <n v="344"/>
    <n v="0"/>
    <s v=""/>
  </r>
  <r>
    <s v="FB000023"/>
    <x v="2"/>
    <x v="0"/>
    <x v="1"/>
    <m/>
    <x v="1"/>
    <n v="38.479999999999997"/>
    <n v="0"/>
    <n v="38.479999999999997"/>
    <d v="2025-08-06T00:00:00"/>
    <n v="46"/>
    <x v="19"/>
    <x v="0"/>
    <x v="0"/>
    <n v="28"/>
    <n v="0"/>
    <s v=""/>
  </r>
  <r>
    <s v="FB000024"/>
    <x v="5"/>
    <x v="2"/>
    <x v="3"/>
    <s v="XL"/>
    <x v="6"/>
    <n v="91.36"/>
    <n v="0"/>
    <n v="91.36"/>
    <d v="2025-08-06T00:00:00"/>
    <n v="37"/>
    <x v="19"/>
    <x v="1"/>
    <x v="2"/>
    <n v="28"/>
    <n v="0"/>
    <n v="1"/>
  </r>
  <r>
    <s v="FB000025"/>
    <x v="1"/>
    <x v="7"/>
    <x v="2"/>
    <s v="XS"/>
    <x v="5"/>
    <n v="80.47"/>
    <n v="29.1"/>
    <n v="57.05"/>
    <d v="2025-08-06T00:00:00"/>
    <n v="38"/>
    <x v="20"/>
    <x v="0"/>
    <x v="0"/>
    <n v="28"/>
    <n v="1105.8"/>
    <s v=""/>
  </r>
  <r>
    <s v="FB000026"/>
    <x v="4"/>
    <x v="1"/>
    <x v="0"/>
    <s v="M"/>
    <x v="0"/>
    <n v="40.89"/>
    <n v="34"/>
    <n v="26.99"/>
    <d v="2025-06-11T00:00:00"/>
    <n v="16"/>
    <x v="17"/>
    <x v="0"/>
    <x v="0"/>
    <n v="84"/>
    <n v="544"/>
    <s v=""/>
  </r>
  <r>
    <s v="FB000027"/>
    <x v="4"/>
    <x v="2"/>
    <x v="3"/>
    <s v="L"/>
    <x v="0"/>
    <n v="47.04"/>
    <n v="36"/>
    <n v="30.11"/>
    <d v="2025-08-06T00:00:00"/>
    <n v="25"/>
    <x v="21"/>
    <x v="1"/>
    <x v="3"/>
    <n v="28"/>
    <n v="900"/>
    <n v="1"/>
  </r>
  <r>
    <s v="FB000028"/>
    <x v="4"/>
    <x v="6"/>
    <x v="3"/>
    <s v="M"/>
    <x v="5"/>
    <n v="53.37"/>
    <n v="0"/>
    <n v="53.37"/>
    <d v="2025-08-06T00:00:00"/>
    <n v="28"/>
    <x v="22"/>
    <x v="0"/>
    <x v="0"/>
    <n v="28"/>
    <n v="0"/>
    <s v=""/>
  </r>
  <r>
    <s v="FB000029"/>
    <x v="5"/>
    <x v="5"/>
    <x v="3"/>
    <s v="L"/>
    <x v="3"/>
    <n v="114.35"/>
    <n v="0"/>
    <n v="114.35"/>
    <d v="2025-08-06T00:00:00"/>
    <n v="6"/>
    <x v="19"/>
    <x v="0"/>
    <x v="0"/>
    <n v="28"/>
    <n v="0"/>
    <s v=""/>
  </r>
  <r>
    <s v="FB000030"/>
    <x v="3"/>
    <x v="6"/>
    <x v="0"/>
    <s v="XL"/>
    <x v="0"/>
    <n v="77.63"/>
    <n v="0"/>
    <n v="77.63"/>
    <d v="2024-10-24T00:00:00"/>
    <n v="1"/>
    <x v="23"/>
    <x v="0"/>
    <x v="0"/>
    <n v="314"/>
    <n v="0"/>
    <s v=""/>
  </r>
  <r>
    <s v="FB000031"/>
    <x v="3"/>
    <x v="1"/>
    <x v="3"/>
    <s v="S"/>
    <x v="0"/>
    <n v="71.290000000000006"/>
    <n v="0"/>
    <n v="71.290000000000006"/>
    <d v="2025-08-06T00:00:00"/>
    <n v="37"/>
    <x v="16"/>
    <x v="1"/>
    <x v="4"/>
    <n v="28"/>
    <n v="0"/>
    <n v="1"/>
  </r>
  <r>
    <s v="FB000032"/>
    <x v="1"/>
    <x v="6"/>
    <x v="0"/>
    <s v="L"/>
    <x v="9"/>
    <n v="37.43"/>
    <n v="24.4"/>
    <n v="28.3"/>
    <d v="2025-04-16T00:00:00"/>
    <n v="5"/>
    <x v="24"/>
    <x v="0"/>
    <x v="0"/>
    <n v="140"/>
    <n v="122"/>
    <s v=""/>
  </r>
  <r>
    <s v="FB000033"/>
    <x v="3"/>
    <x v="0"/>
    <x v="0"/>
    <s v="XL"/>
    <x v="9"/>
    <n v="143.78"/>
    <n v="0"/>
    <n v="143.78"/>
    <d v="2024-10-16T00:00:00"/>
    <n v="43"/>
    <x v="21"/>
    <x v="0"/>
    <x v="0"/>
    <n v="322"/>
    <n v="0"/>
    <s v=""/>
  </r>
  <r>
    <s v="FB000034"/>
    <x v="1"/>
    <x v="2"/>
    <x v="3"/>
    <s v="XL"/>
    <x v="4"/>
    <n v="88.23"/>
    <n v="0"/>
    <n v="88.23"/>
    <d v="2025-08-06T00:00:00"/>
    <n v="44"/>
    <x v="6"/>
    <x v="0"/>
    <x v="0"/>
    <n v="28"/>
    <n v="0"/>
    <s v=""/>
  </r>
  <r>
    <s v="FB000035"/>
    <x v="2"/>
    <x v="7"/>
    <x v="2"/>
    <m/>
    <x v="8"/>
    <n v="58.57"/>
    <n v="0"/>
    <n v="58.57"/>
    <d v="2025-08-06T00:00:00"/>
    <n v="38"/>
    <x v="25"/>
    <x v="0"/>
    <x v="0"/>
    <n v="28"/>
    <n v="0"/>
    <s v=""/>
  </r>
  <r>
    <s v="FB000036"/>
    <x v="1"/>
    <x v="1"/>
    <x v="1"/>
    <s v="XXL"/>
    <x v="3"/>
    <n v="119.7"/>
    <n v="5.7"/>
    <n v="112.88"/>
    <d v="2025-08-06T00:00:00"/>
    <n v="37"/>
    <x v="26"/>
    <x v="0"/>
    <x v="0"/>
    <n v="28"/>
    <n v="210.9"/>
    <s v=""/>
  </r>
  <r>
    <s v="FB000037"/>
    <x v="4"/>
    <x v="2"/>
    <x v="2"/>
    <s v="XXL"/>
    <x v="6"/>
    <n v="97.06"/>
    <n v="47.8"/>
    <n v="50.67"/>
    <d v="2025-08-06T00:00:00"/>
    <n v="31"/>
    <x v="16"/>
    <x v="0"/>
    <x v="0"/>
    <n v="28"/>
    <n v="1481.8"/>
    <s v=""/>
  </r>
  <r>
    <s v="FB000038"/>
    <x v="5"/>
    <x v="2"/>
    <x v="3"/>
    <s v="L"/>
    <x v="3"/>
    <n v="110.09"/>
    <n v="0"/>
    <n v="110.09"/>
    <d v="2025-08-06T00:00:00"/>
    <n v="32"/>
    <x v="10"/>
    <x v="0"/>
    <x v="0"/>
    <n v="28"/>
    <n v="0"/>
    <s v=""/>
  </r>
  <r>
    <s v="FB000039"/>
    <x v="3"/>
    <x v="0"/>
    <x v="1"/>
    <s v="XS"/>
    <x v="6"/>
    <n v="198.42"/>
    <n v="14.2"/>
    <n v="170.24"/>
    <d v="2025-08-06T00:00:00"/>
    <n v="10"/>
    <x v="27"/>
    <x v="0"/>
    <x v="0"/>
    <n v="28"/>
    <n v="142"/>
    <s v=""/>
  </r>
  <r>
    <s v="FB000040"/>
    <x v="4"/>
    <x v="2"/>
    <x v="1"/>
    <m/>
    <x v="9"/>
    <n v="101.72"/>
    <n v="0"/>
    <n v="101.72"/>
    <d v="2025-08-06T00:00:00"/>
    <n v="40"/>
    <x v="28"/>
    <x v="0"/>
    <x v="0"/>
    <n v="28"/>
    <n v="0"/>
    <s v=""/>
  </r>
  <r>
    <s v="FB000041"/>
    <x v="1"/>
    <x v="1"/>
    <x v="3"/>
    <s v="S"/>
    <x v="3"/>
    <n v="117.86"/>
    <n v="0"/>
    <n v="117.86"/>
    <d v="2025-08-06T00:00:00"/>
    <n v="6"/>
    <x v="29"/>
    <x v="0"/>
    <x v="0"/>
    <n v="28"/>
    <n v="0"/>
    <s v=""/>
  </r>
  <r>
    <s v="FB000042"/>
    <x v="1"/>
    <x v="5"/>
    <x v="3"/>
    <s v="M"/>
    <x v="6"/>
    <n v="78.86"/>
    <n v="0"/>
    <n v="78.86"/>
    <d v="2025-08-06T00:00:00"/>
    <n v="22"/>
    <x v="2"/>
    <x v="0"/>
    <x v="0"/>
    <n v="28"/>
    <n v="0"/>
    <s v=""/>
  </r>
  <r>
    <s v="FB000043"/>
    <x v="0"/>
    <x v="0"/>
    <x v="1"/>
    <s v="XS"/>
    <x v="8"/>
    <n v="216.16"/>
    <n v="51.4"/>
    <n v="105.05"/>
    <d v="2025-08-06T00:00:00"/>
    <n v="36"/>
    <x v="30"/>
    <x v="0"/>
    <x v="0"/>
    <n v="28"/>
    <n v="1850.3999999999999"/>
    <s v=""/>
  </r>
  <r>
    <s v="FB000044"/>
    <x v="3"/>
    <x v="0"/>
    <x v="0"/>
    <s v="XL"/>
    <x v="1"/>
    <n v="129.85"/>
    <n v="0"/>
    <n v="129.85"/>
    <d v="2025-04-25T00:00:00"/>
    <n v="36"/>
    <x v="31"/>
    <x v="0"/>
    <x v="0"/>
    <n v="131"/>
    <n v="0"/>
    <s v=""/>
  </r>
  <r>
    <s v="FB000045"/>
    <x v="1"/>
    <x v="2"/>
    <x v="1"/>
    <s v="XXL"/>
    <x v="6"/>
    <n v="111.3"/>
    <n v="0"/>
    <n v="111.3"/>
    <d v="2025-08-06T00:00:00"/>
    <n v="11"/>
    <x v="12"/>
    <x v="0"/>
    <x v="0"/>
    <n v="28"/>
    <n v="0"/>
    <s v=""/>
  </r>
  <r>
    <s v="FB000046"/>
    <x v="5"/>
    <x v="1"/>
    <x v="3"/>
    <s v="XL"/>
    <x v="10"/>
    <n v="73.650000000000006"/>
    <n v="0"/>
    <n v="73.650000000000006"/>
    <d v="2025-08-06T00:00:00"/>
    <n v="33"/>
    <x v="20"/>
    <x v="0"/>
    <x v="0"/>
    <n v="28"/>
    <n v="0"/>
    <s v=""/>
  </r>
  <r>
    <s v="FB000047"/>
    <x v="3"/>
    <x v="3"/>
    <x v="3"/>
    <s v="L"/>
    <x v="1"/>
    <n v="147.13"/>
    <n v="30.3"/>
    <n v="102.55"/>
    <d v="2025-08-06T00:00:00"/>
    <n v="13"/>
    <x v="9"/>
    <x v="0"/>
    <x v="0"/>
    <n v="28"/>
    <n v="393.90000000000003"/>
    <s v=""/>
  </r>
  <r>
    <s v="FB000048"/>
    <x v="2"/>
    <x v="5"/>
    <x v="1"/>
    <m/>
    <x v="6"/>
    <n v="44.6"/>
    <n v="53.9"/>
    <n v="20.56"/>
    <d v="2025-08-06T00:00:00"/>
    <n v="42"/>
    <x v="13"/>
    <x v="0"/>
    <x v="0"/>
    <n v="28"/>
    <n v="2263.7999999999997"/>
    <s v=""/>
  </r>
  <r>
    <s v="FB000049"/>
    <x v="4"/>
    <x v="7"/>
    <x v="3"/>
    <s v="XL"/>
    <x v="3"/>
    <n v="101.8"/>
    <n v="0"/>
    <n v="101.8"/>
    <d v="2025-08-06T00:00:00"/>
    <n v="7"/>
    <x v="32"/>
    <x v="0"/>
    <x v="0"/>
    <n v="28"/>
    <n v="0"/>
    <s v=""/>
  </r>
  <r>
    <s v="FB000050"/>
    <x v="2"/>
    <x v="2"/>
    <x v="3"/>
    <m/>
    <x v="10"/>
    <n v="16.52"/>
    <n v="55.9"/>
    <n v="7.29"/>
    <d v="2025-08-06T00:00:00"/>
    <n v="43"/>
    <x v="33"/>
    <x v="0"/>
    <x v="0"/>
    <n v="28"/>
    <n v="2403.6999999999998"/>
    <s v=""/>
  </r>
  <r>
    <s v="FB000051"/>
    <x v="4"/>
    <x v="4"/>
    <x v="2"/>
    <s v="M"/>
    <x v="7"/>
    <n v="50.91"/>
    <n v="0"/>
    <n v="50.91"/>
    <d v="2025-08-06T00:00:00"/>
    <n v="3"/>
    <x v="34"/>
    <x v="0"/>
    <x v="0"/>
    <n v="28"/>
    <n v="0"/>
    <s v=""/>
  </r>
  <r>
    <s v="FB000052"/>
    <x v="0"/>
    <x v="7"/>
    <x v="0"/>
    <s v="S"/>
    <x v="3"/>
    <n v="222.26"/>
    <n v="0"/>
    <n v="222.26"/>
    <d v="2025-05-03T00:00:00"/>
    <n v="50"/>
    <x v="35"/>
    <x v="0"/>
    <x v="0"/>
    <n v="123"/>
    <n v="0"/>
    <s v=""/>
  </r>
  <r>
    <s v="FB000053"/>
    <x v="3"/>
    <x v="6"/>
    <x v="3"/>
    <s v="S"/>
    <x v="8"/>
    <n v="104.14"/>
    <n v="57.1"/>
    <n v="44.68"/>
    <d v="2025-08-06T00:00:00"/>
    <n v="14"/>
    <x v="34"/>
    <x v="0"/>
    <x v="0"/>
    <n v="28"/>
    <n v="799.4"/>
    <s v=""/>
  </r>
  <r>
    <s v="FB000054"/>
    <x v="0"/>
    <x v="0"/>
    <x v="0"/>
    <s v="S"/>
    <x v="3"/>
    <n v="166.76"/>
    <n v="0"/>
    <n v="166.76"/>
    <d v="2025-06-12T00:00:00"/>
    <n v="21"/>
    <x v="36"/>
    <x v="0"/>
    <x v="0"/>
    <n v="83"/>
    <n v="0"/>
    <s v=""/>
  </r>
  <r>
    <s v="FB000055"/>
    <x v="2"/>
    <x v="2"/>
    <x v="2"/>
    <m/>
    <x v="2"/>
    <n v="44.13"/>
    <n v="50.9"/>
    <n v="21.67"/>
    <d v="2025-08-06T00:00:00"/>
    <n v="21"/>
    <x v="0"/>
    <x v="0"/>
    <x v="0"/>
    <n v="28"/>
    <n v="1068.8999999999999"/>
    <s v=""/>
  </r>
  <r>
    <s v="FB000056"/>
    <x v="0"/>
    <x v="6"/>
    <x v="3"/>
    <s v="S"/>
    <x v="6"/>
    <n v="121.29"/>
    <n v="15.2"/>
    <n v="102.85"/>
    <d v="2025-08-06T00:00:00"/>
    <n v="42"/>
    <x v="37"/>
    <x v="0"/>
    <x v="0"/>
    <n v="28"/>
    <n v="638.4"/>
    <s v=""/>
  </r>
  <r>
    <s v="FB000057"/>
    <x v="1"/>
    <x v="4"/>
    <x v="0"/>
    <s v="S"/>
    <x v="7"/>
    <n v="73.709999999999994"/>
    <n v="0"/>
    <n v="73.709999999999994"/>
    <d v="2025-07-10T00:00:00"/>
    <n v="35"/>
    <x v="38"/>
    <x v="1"/>
    <x v="4"/>
    <n v="55"/>
    <n v="0"/>
    <n v="1"/>
  </r>
  <r>
    <s v="FB000058"/>
    <x v="4"/>
    <x v="0"/>
    <x v="0"/>
    <s v="XL"/>
    <x v="10"/>
    <n v="84.07"/>
    <n v="26.3"/>
    <n v="61.96"/>
    <d v="2024-10-25T00:00:00"/>
    <n v="19"/>
    <x v="39"/>
    <x v="1"/>
    <x v="2"/>
    <n v="313"/>
    <n v="499.7"/>
    <n v="1"/>
  </r>
  <r>
    <s v="FB000059"/>
    <x v="1"/>
    <x v="3"/>
    <x v="3"/>
    <s v="XS"/>
    <x v="2"/>
    <n v="28.59"/>
    <n v="0"/>
    <n v="28.59"/>
    <d v="2025-08-06T00:00:00"/>
    <n v="39"/>
    <x v="40"/>
    <x v="0"/>
    <x v="0"/>
    <n v="28"/>
    <n v="0"/>
    <s v=""/>
  </r>
  <r>
    <s v="FB000060"/>
    <x v="3"/>
    <x v="3"/>
    <x v="1"/>
    <s v="XXL"/>
    <x v="5"/>
    <n v="166.49"/>
    <n v="2.6"/>
    <n v="162.16"/>
    <d v="2025-08-06T00:00:00"/>
    <n v="27"/>
    <x v="41"/>
    <x v="0"/>
    <x v="0"/>
    <n v="28"/>
    <n v="70.2"/>
    <s v=""/>
  </r>
  <r>
    <s v="FB000061"/>
    <x v="3"/>
    <x v="5"/>
    <x v="3"/>
    <s v="M"/>
    <x v="3"/>
    <n v="145.94999999999999"/>
    <n v="6.6"/>
    <n v="136.32"/>
    <d v="2025-08-06T00:00:00"/>
    <n v="15"/>
    <x v="30"/>
    <x v="0"/>
    <x v="0"/>
    <n v="28"/>
    <n v="99"/>
    <s v=""/>
  </r>
  <r>
    <s v="FB000062"/>
    <x v="0"/>
    <x v="6"/>
    <x v="2"/>
    <s v="M"/>
    <x v="9"/>
    <n v="218.42"/>
    <n v="0"/>
    <n v="218.42"/>
    <d v="2025-08-06T00:00:00"/>
    <n v="33"/>
    <x v="9"/>
    <x v="1"/>
    <x v="5"/>
    <n v="28"/>
    <n v="0"/>
    <n v="1"/>
  </r>
  <r>
    <s v="FB000063"/>
    <x v="2"/>
    <x v="7"/>
    <x v="1"/>
    <m/>
    <x v="3"/>
    <n v="46.17"/>
    <n v="1.1000000000000001"/>
    <n v="45.66"/>
    <d v="2025-08-06T00:00:00"/>
    <n v="30"/>
    <x v="42"/>
    <x v="0"/>
    <x v="0"/>
    <n v="28"/>
    <n v="33"/>
    <s v=""/>
  </r>
  <r>
    <s v="FB000064"/>
    <x v="3"/>
    <x v="4"/>
    <x v="3"/>
    <m/>
    <x v="6"/>
    <n v="106.18"/>
    <n v="18"/>
    <n v="87.07"/>
    <d v="2025-08-06T00:00:00"/>
    <n v="11"/>
    <x v="35"/>
    <x v="0"/>
    <x v="0"/>
    <n v="28"/>
    <n v="198"/>
    <s v=""/>
  </r>
  <r>
    <s v="FB000065"/>
    <x v="1"/>
    <x v="0"/>
    <x v="1"/>
    <s v="XS"/>
    <x v="4"/>
    <n v="93.33"/>
    <n v="2.4"/>
    <n v="91.09"/>
    <d v="2025-08-06T00:00:00"/>
    <n v="20"/>
    <x v="36"/>
    <x v="0"/>
    <x v="0"/>
    <n v="28"/>
    <n v="48"/>
    <s v=""/>
  </r>
  <r>
    <s v="FB000066"/>
    <x v="4"/>
    <x v="3"/>
    <x v="0"/>
    <s v="XS"/>
    <x v="3"/>
    <n v="86.54"/>
    <n v="21.7"/>
    <n v="67.760000000000005"/>
    <d v="2025-06-01T00:00:00"/>
    <n v="21"/>
    <x v="20"/>
    <x v="1"/>
    <x v="5"/>
    <n v="94"/>
    <n v="455.7"/>
    <n v="1"/>
  </r>
  <r>
    <s v="FB000067"/>
    <x v="2"/>
    <x v="5"/>
    <x v="3"/>
    <m/>
    <x v="6"/>
    <n v="55.57"/>
    <n v="0"/>
    <n v="55.57"/>
    <d v="2025-08-06T00:00:00"/>
    <n v="44"/>
    <x v="22"/>
    <x v="0"/>
    <x v="0"/>
    <n v="28"/>
    <n v="0"/>
    <s v=""/>
  </r>
  <r>
    <s v="FB000068"/>
    <x v="1"/>
    <x v="7"/>
    <x v="0"/>
    <s v="XL"/>
    <x v="2"/>
    <n v="76.5"/>
    <n v="0"/>
    <n v="76.5"/>
    <d v="2025-01-26T00:00:00"/>
    <n v="17"/>
    <x v="14"/>
    <x v="0"/>
    <x v="0"/>
    <n v="220"/>
    <n v="0"/>
    <s v=""/>
  </r>
  <r>
    <s v="FB000069"/>
    <x v="5"/>
    <x v="7"/>
    <x v="0"/>
    <s v="XS"/>
    <x v="6"/>
    <n v="137.19"/>
    <n v="9.5"/>
    <n v="124.16"/>
    <d v="2025-04-01T00:00:00"/>
    <n v="17"/>
    <x v="43"/>
    <x v="0"/>
    <x v="0"/>
    <n v="155"/>
    <n v="161.5"/>
    <s v=""/>
  </r>
  <r>
    <s v="FB000070"/>
    <x v="1"/>
    <x v="0"/>
    <x v="3"/>
    <s v="XL"/>
    <x v="9"/>
    <n v="48.92"/>
    <n v="19.8"/>
    <n v="39.229999999999997"/>
    <d v="2025-08-06T00:00:00"/>
    <n v="17"/>
    <x v="3"/>
    <x v="0"/>
    <x v="0"/>
    <n v="28"/>
    <n v="336.6"/>
    <s v=""/>
  </r>
  <r>
    <s v="FB000071"/>
    <x v="3"/>
    <x v="5"/>
    <x v="1"/>
    <s v="XL"/>
    <x v="3"/>
    <n v="69.819999999999993"/>
    <n v="0"/>
    <n v="69.819999999999993"/>
    <d v="2025-08-06T00:00:00"/>
    <n v="46"/>
    <x v="44"/>
    <x v="1"/>
    <x v="6"/>
    <n v="28"/>
    <n v="0"/>
    <n v="1"/>
  </r>
  <r>
    <s v="FB000072"/>
    <x v="0"/>
    <x v="3"/>
    <x v="3"/>
    <s v="XXL"/>
    <x v="0"/>
    <n v="199.39"/>
    <n v="7.4"/>
    <n v="184.64"/>
    <d v="2025-08-06T00:00:00"/>
    <n v="49"/>
    <x v="45"/>
    <x v="0"/>
    <x v="0"/>
    <n v="28"/>
    <n v="362.6"/>
    <s v=""/>
  </r>
  <r>
    <s v="FB000073"/>
    <x v="0"/>
    <x v="2"/>
    <x v="3"/>
    <s v="M"/>
    <x v="3"/>
    <n v="222.09"/>
    <n v="55.2"/>
    <n v="99.5"/>
    <d v="2025-08-06T00:00:00"/>
    <n v="21"/>
    <x v="35"/>
    <x v="0"/>
    <x v="0"/>
    <n v="28"/>
    <n v="1159.2"/>
    <s v=""/>
  </r>
  <r>
    <s v="FB000074"/>
    <x v="1"/>
    <x v="3"/>
    <x v="2"/>
    <s v="XS"/>
    <x v="0"/>
    <n v="112.86"/>
    <n v="0"/>
    <n v="112.86"/>
    <d v="2025-08-06T00:00:00"/>
    <n v="8"/>
    <x v="5"/>
    <x v="0"/>
    <x v="0"/>
    <n v="28"/>
    <n v="0"/>
    <s v=""/>
  </r>
  <r>
    <s v="FB000075"/>
    <x v="5"/>
    <x v="3"/>
    <x v="0"/>
    <s v="XS"/>
    <x v="6"/>
    <n v="100.96"/>
    <n v="0"/>
    <n v="100.96"/>
    <d v="2025-05-10T00:00:00"/>
    <n v="32"/>
    <x v="31"/>
    <x v="0"/>
    <x v="0"/>
    <n v="116"/>
    <n v="0"/>
    <s v=""/>
  </r>
  <r>
    <s v="FB000076"/>
    <x v="0"/>
    <x v="6"/>
    <x v="0"/>
    <s v="XL"/>
    <x v="6"/>
    <n v="243.56"/>
    <n v="48"/>
    <n v="126.65"/>
    <d v="2024-10-14T00:00:00"/>
    <n v="22"/>
    <x v="9"/>
    <x v="1"/>
    <x v="5"/>
    <n v="324"/>
    <n v="1056"/>
    <n v="1"/>
  </r>
  <r>
    <s v="FB000077"/>
    <x v="5"/>
    <x v="3"/>
    <x v="0"/>
    <s v="XXL"/>
    <x v="0"/>
    <n v="153.32"/>
    <n v="0"/>
    <n v="153.32"/>
    <d v="2024-09-13T00:00:00"/>
    <n v="43"/>
    <x v="5"/>
    <x v="0"/>
    <x v="0"/>
    <n v="355"/>
    <n v="0"/>
    <s v=""/>
  </r>
  <r>
    <s v="FB000078"/>
    <x v="2"/>
    <x v="1"/>
    <x v="2"/>
    <m/>
    <x v="9"/>
    <n v="42.95"/>
    <n v="22.5"/>
    <n v="33.29"/>
    <d v="2025-08-06T00:00:00"/>
    <n v="7"/>
    <x v="42"/>
    <x v="1"/>
    <x v="2"/>
    <n v="28"/>
    <n v="157.5"/>
    <n v="1"/>
  </r>
  <r>
    <s v="FB000079"/>
    <x v="1"/>
    <x v="4"/>
    <x v="3"/>
    <s v="S"/>
    <x v="6"/>
    <n v="30.79"/>
    <n v="0"/>
    <n v="30.79"/>
    <d v="2025-08-06T00:00:00"/>
    <n v="36"/>
    <x v="10"/>
    <x v="0"/>
    <x v="0"/>
    <n v="28"/>
    <n v="0"/>
    <s v=""/>
  </r>
  <r>
    <s v="FB000080"/>
    <x v="2"/>
    <x v="1"/>
    <x v="2"/>
    <m/>
    <x v="10"/>
    <n v="59.85"/>
    <n v="0"/>
    <n v="59.85"/>
    <d v="2025-08-06T00:00:00"/>
    <n v="38"/>
    <x v="30"/>
    <x v="0"/>
    <x v="0"/>
    <n v="28"/>
    <n v="0"/>
    <s v=""/>
  </r>
  <r>
    <s v="FB000081"/>
    <x v="1"/>
    <x v="2"/>
    <x v="0"/>
    <s v="S"/>
    <x v="8"/>
    <n v="78.16"/>
    <n v="19.100000000000001"/>
    <n v="63.23"/>
    <d v="2025-07-25T00:00:00"/>
    <n v="23"/>
    <x v="4"/>
    <x v="0"/>
    <x v="0"/>
    <n v="40"/>
    <n v="439.3"/>
    <s v=""/>
  </r>
  <r>
    <s v="FB000082"/>
    <x v="1"/>
    <x v="5"/>
    <x v="2"/>
    <s v="M"/>
    <x v="3"/>
    <n v="113.17"/>
    <n v="19.100000000000001"/>
    <n v="91.55"/>
    <d v="2025-08-06T00:00:00"/>
    <n v="15"/>
    <x v="26"/>
    <x v="0"/>
    <x v="0"/>
    <n v="28"/>
    <n v="286.5"/>
    <s v=""/>
  </r>
  <r>
    <s v="FB000083"/>
    <x v="5"/>
    <x v="5"/>
    <x v="1"/>
    <s v="S"/>
    <x v="5"/>
    <n v="174.13"/>
    <n v="0"/>
    <n v="174.13"/>
    <d v="2025-08-06T00:00:00"/>
    <n v="34"/>
    <x v="17"/>
    <x v="0"/>
    <x v="0"/>
    <n v="28"/>
    <n v="0"/>
    <s v=""/>
  </r>
  <r>
    <s v="FB000084"/>
    <x v="3"/>
    <x v="0"/>
    <x v="3"/>
    <s v="XS"/>
    <x v="9"/>
    <n v="191.96"/>
    <n v="0"/>
    <n v="191.96"/>
    <d v="2025-08-06T00:00:00"/>
    <n v="50"/>
    <x v="27"/>
    <x v="0"/>
    <x v="0"/>
    <n v="28"/>
    <n v="0"/>
    <s v=""/>
  </r>
  <r>
    <s v="FB000085"/>
    <x v="0"/>
    <x v="5"/>
    <x v="0"/>
    <s v="XL"/>
    <x v="7"/>
    <n v="222.55"/>
    <n v="22.6"/>
    <n v="172.25"/>
    <d v="2025-02-10T00:00:00"/>
    <n v="50"/>
    <x v="46"/>
    <x v="0"/>
    <x v="0"/>
    <n v="205"/>
    <n v="1130"/>
    <s v=""/>
  </r>
  <r>
    <s v="FB000086"/>
    <x v="4"/>
    <x v="7"/>
    <x v="1"/>
    <s v="XS"/>
    <x v="2"/>
    <n v="37.85"/>
    <n v="11.9"/>
    <n v="33.35"/>
    <d v="2025-08-06T00:00:00"/>
    <n v="45"/>
    <x v="10"/>
    <x v="1"/>
    <x v="5"/>
    <n v="28"/>
    <n v="535.5"/>
    <n v="1"/>
  </r>
  <r>
    <s v="FB000087"/>
    <x v="0"/>
    <x v="1"/>
    <x v="3"/>
    <s v="M"/>
    <x v="4"/>
    <n v="241.09"/>
    <n v="0"/>
    <n v="241.09"/>
    <d v="2025-08-06T00:00:00"/>
    <n v="26"/>
    <x v="7"/>
    <x v="0"/>
    <x v="0"/>
    <n v="28"/>
    <n v="0"/>
    <s v=""/>
  </r>
  <r>
    <s v="FB000088"/>
    <x v="5"/>
    <x v="2"/>
    <x v="0"/>
    <s v="S"/>
    <x v="8"/>
    <n v="136.97"/>
    <n v="0"/>
    <n v="136.97"/>
    <d v="2024-10-25T00:00:00"/>
    <n v="17"/>
    <x v="9"/>
    <x v="1"/>
    <x v="4"/>
    <n v="313"/>
    <n v="0"/>
    <n v="1"/>
  </r>
  <r>
    <s v="FB000089"/>
    <x v="3"/>
    <x v="4"/>
    <x v="0"/>
    <s v="M"/>
    <x v="5"/>
    <n v="113.79"/>
    <n v="55.3"/>
    <n v="50.86"/>
    <d v="2024-12-29T00:00:00"/>
    <n v="47"/>
    <x v="16"/>
    <x v="0"/>
    <x v="0"/>
    <n v="248"/>
    <n v="2599.1"/>
    <s v=""/>
  </r>
  <r>
    <s v="FB000090"/>
    <x v="4"/>
    <x v="4"/>
    <x v="3"/>
    <s v="XXL"/>
    <x v="3"/>
    <n v="93.23"/>
    <n v="40"/>
    <n v="55.94"/>
    <d v="2025-08-06T00:00:00"/>
    <n v="46"/>
    <x v="42"/>
    <x v="0"/>
    <x v="0"/>
    <n v="28"/>
    <n v="1840"/>
    <s v=""/>
  </r>
  <r>
    <s v="FB000091"/>
    <x v="3"/>
    <x v="1"/>
    <x v="0"/>
    <s v="S"/>
    <x v="8"/>
    <n v="106.24"/>
    <n v="6.4"/>
    <n v="99.44"/>
    <d v="2024-09-09T00:00:00"/>
    <n v="50"/>
    <x v="25"/>
    <x v="0"/>
    <x v="0"/>
    <n v="359"/>
    <n v="320"/>
    <s v=""/>
  </r>
  <r>
    <s v="FB000092"/>
    <x v="2"/>
    <x v="0"/>
    <x v="1"/>
    <m/>
    <x v="10"/>
    <n v="30.95"/>
    <n v="0"/>
    <n v="30.95"/>
    <d v="2025-08-06T00:00:00"/>
    <n v="27"/>
    <x v="47"/>
    <x v="1"/>
    <x v="5"/>
    <n v="28"/>
    <n v="0"/>
    <n v="1"/>
  </r>
  <r>
    <s v="FB000093"/>
    <x v="3"/>
    <x v="0"/>
    <x v="3"/>
    <s v="S"/>
    <x v="2"/>
    <n v="76.92"/>
    <n v="49.5"/>
    <n v="38.840000000000003"/>
    <d v="2025-08-06T00:00:00"/>
    <n v="7"/>
    <x v="21"/>
    <x v="0"/>
    <x v="0"/>
    <n v="28"/>
    <n v="346.5"/>
    <s v=""/>
  </r>
  <r>
    <s v="FB000094"/>
    <x v="4"/>
    <x v="4"/>
    <x v="2"/>
    <s v="XS"/>
    <x v="7"/>
    <n v="80.64"/>
    <n v="0"/>
    <n v="80.64"/>
    <d v="2025-08-06T00:00:00"/>
    <n v="26"/>
    <x v="48"/>
    <x v="0"/>
    <x v="0"/>
    <n v="28"/>
    <n v="0"/>
    <s v=""/>
  </r>
  <r>
    <s v="FB000095"/>
    <x v="4"/>
    <x v="0"/>
    <x v="2"/>
    <s v="XS"/>
    <x v="7"/>
    <n v="32.46"/>
    <n v="52.4"/>
    <n v="15.45"/>
    <d v="2025-08-06T00:00:00"/>
    <n v="14"/>
    <x v="38"/>
    <x v="0"/>
    <x v="0"/>
    <n v="28"/>
    <n v="733.6"/>
    <s v=""/>
  </r>
  <r>
    <s v="FB000096"/>
    <x v="2"/>
    <x v="6"/>
    <x v="3"/>
    <m/>
    <x v="2"/>
    <n v="54.79"/>
    <n v="0"/>
    <n v="54.79"/>
    <d v="2025-08-06T00:00:00"/>
    <n v="12"/>
    <x v="35"/>
    <x v="0"/>
    <x v="0"/>
    <n v="28"/>
    <n v="0"/>
    <s v=""/>
  </r>
  <r>
    <s v="FB000097"/>
    <x v="4"/>
    <x v="4"/>
    <x v="1"/>
    <s v="M"/>
    <x v="1"/>
    <n v="71.14"/>
    <n v="56.4"/>
    <n v="31.02"/>
    <d v="2025-08-06T00:00:00"/>
    <n v="12"/>
    <x v="10"/>
    <x v="0"/>
    <x v="0"/>
    <n v="28"/>
    <n v="676.8"/>
    <s v=""/>
  </r>
  <r>
    <s v="FB000098"/>
    <x v="4"/>
    <x v="5"/>
    <x v="3"/>
    <s v="XXL"/>
    <x v="8"/>
    <n v="57.85"/>
    <n v="0"/>
    <n v="57.85"/>
    <d v="2025-08-06T00:00:00"/>
    <n v="36"/>
    <x v="15"/>
    <x v="0"/>
    <x v="0"/>
    <n v="28"/>
    <n v="0"/>
    <s v=""/>
  </r>
  <r>
    <s v="FB000099"/>
    <x v="4"/>
    <x v="0"/>
    <x v="3"/>
    <s v="XS"/>
    <x v="6"/>
    <n v="33.369999999999997"/>
    <n v="3"/>
    <n v="32.369999999999997"/>
    <d v="2025-08-06T00:00:00"/>
    <n v="40"/>
    <x v="49"/>
    <x v="0"/>
    <x v="0"/>
    <n v="28"/>
    <n v="120"/>
    <s v=""/>
  </r>
  <r>
    <s v="FB000100"/>
    <x v="1"/>
    <x v="6"/>
    <x v="3"/>
    <s v="L"/>
    <x v="2"/>
    <n v="91.83"/>
    <n v="0"/>
    <n v="91.83"/>
    <d v="2025-08-06T00:00:00"/>
    <n v="39"/>
    <x v="26"/>
    <x v="0"/>
    <x v="0"/>
    <n v="28"/>
    <n v="0"/>
    <s v=""/>
  </r>
  <r>
    <s v="FB000101"/>
    <x v="4"/>
    <x v="0"/>
    <x v="2"/>
    <s v="L"/>
    <x v="3"/>
    <n v="60.12"/>
    <n v="19.5"/>
    <n v="48.4"/>
    <d v="2025-08-06T00:00:00"/>
    <n v="42"/>
    <x v="50"/>
    <x v="0"/>
    <x v="0"/>
    <n v="28"/>
    <n v="819"/>
    <s v=""/>
  </r>
  <r>
    <s v="FB000102"/>
    <x v="5"/>
    <x v="2"/>
    <x v="1"/>
    <s v="S"/>
    <x v="3"/>
    <n v="163.5"/>
    <n v="0"/>
    <n v="163.5"/>
    <d v="2025-08-06T00:00:00"/>
    <n v="34"/>
    <x v="26"/>
    <x v="0"/>
    <x v="0"/>
    <n v="28"/>
    <n v="0"/>
    <s v=""/>
  </r>
  <r>
    <s v="FB000103"/>
    <x v="5"/>
    <x v="1"/>
    <x v="0"/>
    <s v="S"/>
    <x v="7"/>
    <n v="126.37"/>
    <n v="0"/>
    <n v="126.37"/>
    <d v="2024-11-08T00:00:00"/>
    <n v="25"/>
    <x v="34"/>
    <x v="0"/>
    <x v="0"/>
    <n v="299"/>
    <n v="0"/>
    <s v=""/>
  </r>
  <r>
    <s v="FB000104"/>
    <x v="4"/>
    <x v="1"/>
    <x v="1"/>
    <s v="L"/>
    <x v="8"/>
    <n v="50.01"/>
    <n v="58.2"/>
    <n v="20.9"/>
    <d v="2025-08-06T00:00:00"/>
    <n v="32"/>
    <x v="51"/>
    <x v="0"/>
    <x v="0"/>
    <n v="28"/>
    <n v="1862.4"/>
    <s v=""/>
  </r>
  <r>
    <s v="FB000105"/>
    <x v="3"/>
    <x v="4"/>
    <x v="1"/>
    <s v="S"/>
    <x v="0"/>
    <n v="84.31"/>
    <n v="0"/>
    <n v="84.31"/>
    <d v="2025-08-06T00:00:00"/>
    <n v="10"/>
    <x v="38"/>
    <x v="0"/>
    <x v="0"/>
    <n v="28"/>
    <n v="0"/>
    <s v=""/>
  </r>
  <r>
    <s v="FB000106"/>
    <x v="4"/>
    <x v="2"/>
    <x v="0"/>
    <s v="XL"/>
    <x v="7"/>
    <n v="100.98"/>
    <n v="0"/>
    <n v="100.98"/>
    <d v="2025-06-17T00:00:00"/>
    <n v="21"/>
    <x v="32"/>
    <x v="0"/>
    <x v="0"/>
    <n v="78"/>
    <n v="0"/>
    <s v=""/>
  </r>
  <r>
    <s v="FB000107"/>
    <x v="4"/>
    <x v="2"/>
    <x v="3"/>
    <s v="M"/>
    <x v="7"/>
    <n v="38.020000000000003"/>
    <n v="0"/>
    <n v="38.020000000000003"/>
    <d v="2025-08-06T00:00:00"/>
    <n v="44"/>
    <x v="52"/>
    <x v="0"/>
    <x v="0"/>
    <n v="28"/>
    <n v="0"/>
    <s v=""/>
  </r>
  <r>
    <s v="FB000108"/>
    <x v="4"/>
    <x v="4"/>
    <x v="2"/>
    <s v="XL"/>
    <x v="5"/>
    <n v="63.85"/>
    <n v="0"/>
    <n v="63.85"/>
    <d v="2025-08-06T00:00:00"/>
    <n v="41"/>
    <x v="48"/>
    <x v="0"/>
    <x v="0"/>
    <n v="28"/>
    <n v="0"/>
    <s v=""/>
  </r>
  <r>
    <s v="FB000109"/>
    <x v="3"/>
    <x v="4"/>
    <x v="2"/>
    <s v="XS"/>
    <x v="8"/>
    <n v="183.15"/>
    <n v="0"/>
    <n v="183.15"/>
    <d v="2025-08-06T00:00:00"/>
    <n v="23"/>
    <x v="16"/>
    <x v="0"/>
    <x v="0"/>
    <n v="28"/>
    <n v="0"/>
    <s v=""/>
  </r>
  <r>
    <s v="FB000110"/>
    <x v="5"/>
    <x v="0"/>
    <x v="1"/>
    <s v="S"/>
    <x v="4"/>
    <n v="91"/>
    <n v="59.5"/>
    <n v="36.86"/>
    <d v="2025-08-06T00:00:00"/>
    <n v="5"/>
    <x v="38"/>
    <x v="0"/>
    <x v="0"/>
    <n v="28"/>
    <n v="297.5"/>
    <s v=""/>
  </r>
  <r>
    <s v="FB000111"/>
    <x v="0"/>
    <x v="1"/>
    <x v="0"/>
    <s v="L"/>
    <x v="2"/>
    <n v="92.83"/>
    <n v="0"/>
    <n v="92.83"/>
    <d v="2025-07-20T00:00:00"/>
    <n v="9"/>
    <x v="19"/>
    <x v="0"/>
    <x v="0"/>
    <n v="45"/>
    <n v="0"/>
    <s v=""/>
  </r>
  <r>
    <s v="FB000112"/>
    <x v="2"/>
    <x v="2"/>
    <x v="1"/>
    <m/>
    <x v="10"/>
    <n v="34.450000000000003"/>
    <n v="0"/>
    <n v="34.450000000000003"/>
    <d v="2025-08-06T00:00:00"/>
    <n v="4"/>
    <x v="35"/>
    <x v="0"/>
    <x v="0"/>
    <n v="28"/>
    <n v="0"/>
    <s v=""/>
  </r>
  <r>
    <s v="FB000113"/>
    <x v="5"/>
    <x v="4"/>
    <x v="2"/>
    <s v="S"/>
    <x v="9"/>
    <n v="128.15"/>
    <n v="50"/>
    <n v="64.08"/>
    <d v="2025-08-06T00:00:00"/>
    <n v="28"/>
    <x v="53"/>
    <x v="0"/>
    <x v="0"/>
    <n v="28"/>
    <n v="1400"/>
    <s v=""/>
  </r>
  <r>
    <s v="FB000114"/>
    <x v="1"/>
    <x v="3"/>
    <x v="3"/>
    <s v="XXL"/>
    <x v="0"/>
    <n v="99.62"/>
    <n v="33.799999999999997"/>
    <n v="65.95"/>
    <d v="2025-08-06T00:00:00"/>
    <n v="27"/>
    <x v="54"/>
    <x v="0"/>
    <x v="0"/>
    <n v="28"/>
    <n v="912.59999999999991"/>
    <s v=""/>
  </r>
  <r>
    <s v="FB000115"/>
    <x v="4"/>
    <x v="7"/>
    <x v="1"/>
    <s v="S"/>
    <x v="1"/>
    <n v="87.39"/>
    <n v="25.5"/>
    <n v="65.11"/>
    <d v="2025-08-06T00:00:00"/>
    <n v="8"/>
    <x v="39"/>
    <x v="0"/>
    <x v="0"/>
    <n v="28"/>
    <n v="204"/>
    <s v=""/>
  </r>
  <r>
    <s v="FB000116"/>
    <x v="1"/>
    <x v="0"/>
    <x v="0"/>
    <s v="XXL"/>
    <x v="10"/>
    <n v="49.67"/>
    <n v="0"/>
    <n v="49.67"/>
    <d v="2024-09-06T00:00:00"/>
    <n v="37"/>
    <x v="39"/>
    <x v="0"/>
    <x v="0"/>
    <n v="362"/>
    <n v="0"/>
    <s v=""/>
  </r>
  <r>
    <s v="FB000117"/>
    <x v="2"/>
    <x v="1"/>
    <x v="2"/>
    <m/>
    <x v="10"/>
    <n v="72.040000000000006"/>
    <n v="0"/>
    <n v="72.040000000000006"/>
    <d v="2025-08-06T00:00:00"/>
    <n v="48"/>
    <x v="55"/>
    <x v="1"/>
    <x v="6"/>
    <n v="28"/>
    <n v="0"/>
    <n v="1"/>
  </r>
  <r>
    <s v="FB000118"/>
    <x v="5"/>
    <x v="0"/>
    <x v="0"/>
    <s v="M"/>
    <x v="8"/>
    <n v="133.82"/>
    <n v="0"/>
    <n v="133.82"/>
    <d v="2024-11-25T00:00:00"/>
    <n v="12"/>
    <x v="12"/>
    <x v="0"/>
    <x v="0"/>
    <n v="282"/>
    <n v="0"/>
    <s v=""/>
  </r>
  <r>
    <s v="FB000119"/>
    <x v="4"/>
    <x v="1"/>
    <x v="1"/>
    <s v="S"/>
    <x v="2"/>
    <n v="62.93"/>
    <n v="0"/>
    <n v="62.93"/>
    <d v="2025-08-06T00:00:00"/>
    <n v="49"/>
    <x v="56"/>
    <x v="0"/>
    <x v="0"/>
    <n v="28"/>
    <n v="0"/>
    <s v=""/>
  </r>
  <r>
    <s v="FB000120"/>
    <x v="0"/>
    <x v="0"/>
    <x v="0"/>
    <s v="L"/>
    <x v="0"/>
    <n v="248.58"/>
    <n v="0"/>
    <n v="248.58"/>
    <d v="2025-07-04T00:00:00"/>
    <n v="27"/>
    <x v="25"/>
    <x v="0"/>
    <x v="0"/>
    <n v="61"/>
    <n v="0"/>
    <s v=""/>
  </r>
  <r>
    <s v="FB000121"/>
    <x v="3"/>
    <x v="1"/>
    <x v="2"/>
    <s v="XXL"/>
    <x v="8"/>
    <n v="61.08"/>
    <n v="0"/>
    <n v="61.08"/>
    <d v="2025-08-06T00:00:00"/>
    <n v="27"/>
    <x v="57"/>
    <x v="1"/>
    <x v="5"/>
    <n v="28"/>
    <n v="0"/>
    <n v="1"/>
  </r>
  <r>
    <s v="FB000122"/>
    <x v="4"/>
    <x v="6"/>
    <x v="1"/>
    <s v="S"/>
    <x v="0"/>
    <n v="109.12"/>
    <n v="0"/>
    <n v="109.12"/>
    <d v="2025-08-06T00:00:00"/>
    <n v="34"/>
    <x v="58"/>
    <x v="0"/>
    <x v="0"/>
    <n v="28"/>
    <n v="0"/>
    <s v=""/>
  </r>
  <r>
    <s v="FB000123"/>
    <x v="0"/>
    <x v="0"/>
    <x v="1"/>
    <s v="XXL"/>
    <x v="9"/>
    <n v="82.91"/>
    <n v="45.9"/>
    <n v="44.85"/>
    <d v="2025-08-06T00:00:00"/>
    <n v="24"/>
    <x v="59"/>
    <x v="1"/>
    <x v="4"/>
    <n v="28"/>
    <n v="1101.5999999999999"/>
    <n v="1"/>
  </r>
  <r>
    <s v="FB000124"/>
    <x v="3"/>
    <x v="4"/>
    <x v="3"/>
    <s v="XS"/>
    <x v="9"/>
    <n v="113.53"/>
    <n v="10.9"/>
    <n v="101.16"/>
    <d v="2025-08-06T00:00:00"/>
    <n v="40"/>
    <x v="32"/>
    <x v="0"/>
    <x v="0"/>
    <n v="28"/>
    <n v="436"/>
    <s v=""/>
  </r>
  <r>
    <s v="FB000125"/>
    <x v="2"/>
    <x v="1"/>
    <x v="1"/>
    <m/>
    <x v="10"/>
    <n v="38.89"/>
    <n v="51.5"/>
    <n v="18.86"/>
    <d v="2025-08-06T00:00:00"/>
    <n v="28"/>
    <x v="2"/>
    <x v="0"/>
    <x v="0"/>
    <n v="28"/>
    <n v="1442"/>
    <s v=""/>
  </r>
  <r>
    <s v="FB000126"/>
    <x v="5"/>
    <x v="6"/>
    <x v="0"/>
    <s v="XXL"/>
    <x v="2"/>
    <n v="53.01"/>
    <n v="45.9"/>
    <n v="28.68"/>
    <d v="2025-01-14T00:00:00"/>
    <n v="37"/>
    <x v="17"/>
    <x v="0"/>
    <x v="0"/>
    <n v="232"/>
    <n v="1698.3"/>
    <s v=""/>
  </r>
  <r>
    <s v="FB000127"/>
    <x v="3"/>
    <x v="5"/>
    <x v="0"/>
    <s v="XXL"/>
    <x v="5"/>
    <n v="81.64"/>
    <n v="0"/>
    <n v="81.64"/>
    <d v="2024-12-06T00:00:00"/>
    <n v="50"/>
    <x v="21"/>
    <x v="0"/>
    <x v="0"/>
    <n v="271"/>
    <n v="0"/>
    <s v=""/>
  </r>
  <r>
    <s v="FB000128"/>
    <x v="3"/>
    <x v="5"/>
    <x v="0"/>
    <s v="XXL"/>
    <x v="3"/>
    <n v="125.24"/>
    <n v="21.5"/>
    <n v="98.31"/>
    <d v="2024-09-06T00:00:00"/>
    <n v="7"/>
    <x v="5"/>
    <x v="0"/>
    <x v="0"/>
    <n v="362"/>
    <n v="150.5"/>
    <s v=""/>
  </r>
  <r>
    <s v="FB000129"/>
    <x v="0"/>
    <x v="5"/>
    <x v="0"/>
    <s v="XS"/>
    <x v="1"/>
    <n v="98.61"/>
    <n v="0"/>
    <n v="98.61"/>
    <d v="2025-03-05T00:00:00"/>
    <n v="1"/>
    <x v="3"/>
    <x v="0"/>
    <x v="0"/>
    <n v="182"/>
    <n v="0"/>
    <s v=""/>
  </r>
  <r>
    <s v="FB000130"/>
    <x v="3"/>
    <x v="6"/>
    <x v="2"/>
    <s v="XS"/>
    <x v="5"/>
    <n v="77.540000000000006"/>
    <n v="0"/>
    <n v="77.540000000000006"/>
    <d v="2025-08-06T00:00:00"/>
    <n v="36"/>
    <x v="10"/>
    <x v="0"/>
    <x v="0"/>
    <n v="28"/>
    <n v="0"/>
    <s v=""/>
  </r>
  <r>
    <s v="FB000131"/>
    <x v="5"/>
    <x v="2"/>
    <x v="0"/>
    <s v="XL"/>
    <x v="9"/>
    <n v="79.13"/>
    <n v="0"/>
    <n v="79.13"/>
    <d v="2024-11-16T00:00:00"/>
    <n v="11"/>
    <x v="20"/>
    <x v="0"/>
    <x v="0"/>
    <n v="291"/>
    <n v="0"/>
    <s v=""/>
  </r>
  <r>
    <s v="FB000132"/>
    <x v="4"/>
    <x v="3"/>
    <x v="0"/>
    <s v="S"/>
    <x v="6"/>
    <n v="96.11"/>
    <n v="0"/>
    <n v="96.11"/>
    <d v="2025-04-12T00:00:00"/>
    <n v="13"/>
    <x v="36"/>
    <x v="0"/>
    <x v="0"/>
    <n v="144"/>
    <n v="0"/>
    <s v=""/>
  </r>
  <r>
    <s v="FB000133"/>
    <x v="1"/>
    <x v="3"/>
    <x v="0"/>
    <s v="XL"/>
    <x v="3"/>
    <n v="116.61"/>
    <n v="0"/>
    <n v="116.61"/>
    <d v="2024-11-04T00:00:00"/>
    <n v="31"/>
    <x v="60"/>
    <x v="0"/>
    <x v="0"/>
    <n v="303"/>
    <n v="0"/>
    <s v=""/>
  </r>
  <r>
    <s v="FB000134"/>
    <x v="2"/>
    <x v="5"/>
    <x v="1"/>
    <m/>
    <x v="5"/>
    <n v="57.8"/>
    <n v="27"/>
    <n v="42.19"/>
    <d v="2025-08-06T00:00:00"/>
    <n v="9"/>
    <x v="34"/>
    <x v="0"/>
    <x v="0"/>
    <n v="28"/>
    <n v="243"/>
    <s v=""/>
  </r>
  <r>
    <s v="FB000135"/>
    <x v="1"/>
    <x v="4"/>
    <x v="0"/>
    <s v="S"/>
    <x v="3"/>
    <n v="110.78"/>
    <n v="0"/>
    <n v="110.78"/>
    <d v="2025-01-13T00:00:00"/>
    <n v="9"/>
    <x v="40"/>
    <x v="0"/>
    <x v="0"/>
    <n v="233"/>
    <n v="0"/>
    <s v=""/>
  </r>
  <r>
    <s v="FB000136"/>
    <x v="1"/>
    <x v="6"/>
    <x v="0"/>
    <s v="L"/>
    <x v="2"/>
    <n v="112.63"/>
    <n v="0"/>
    <n v="112.63"/>
    <d v="2024-10-14T00:00:00"/>
    <n v="50"/>
    <x v="20"/>
    <x v="1"/>
    <x v="4"/>
    <n v="324"/>
    <n v="0"/>
    <n v="1"/>
  </r>
  <r>
    <s v="FB000137"/>
    <x v="1"/>
    <x v="4"/>
    <x v="3"/>
    <s v="XS"/>
    <x v="9"/>
    <n v="89.36"/>
    <n v="0"/>
    <n v="89.36"/>
    <d v="2025-08-06T00:00:00"/>
    <n v="24"/>
    <x v="2"/>
    <x v="1"/>
    <x v="3"/>
    <n v="28"/>
    <n v="0"/>
    <n v="1"/>
  </r>
  <r>
    <s v="FB000138"/>
    <x v="0"/>
    <x v="7"/>
    <x v="2"/>
    <s v="M"/>
    <x v="1"/>
    <n v="127.99"/>
    <n v="0"/>
    <n v="127.99"/>
    <d v="2025-08-06T00:00:00"/>
    <n v="16"/>
    <x v="61"/>
    <x v="0"/>
    <x v="0"/>
    <n v="28"/>
    <n v="0"/>
    <s v=""/>
  </r>
  <r>
    <s v="FB000139"/>
    <x v="4"/>
    <x v="0"/>
    <x v="1"/>
    <s v="XXL"/>
    <x v="7"/>
    <n v="54.88"/>
    <n v="58.8"/>
    <n v="22.61"/>
    <d v="2025-08-06T00:00:00"/>
    <n v="50"/>
    <x v="15"/>
    <x v="0"/>
    <x v="0"/>
    <n v="28"/>
    <n v="2940"/>
    <s v=""/>
  </r>
  <r>
    <s v="FB000140"/>
    <x v="3"/>
    <x v="1"/>
    <x v="0"/>
    <s v="L"/>
    <x v="3"/>
    <n v="154.13"/>
    <n v="0"/>
    <n v="154.13"/>
    <d v="2024-10-01T00:00:00"/>
    <n v="31"/>
    <x v="16"/>
    <x v="1"/>
    <x v="2"/>
    <n v="337"/>
    <n v="0"/>
    <n v="1"/>
  </r>
  <r>
    <s v="FB000141"/>
    <x v="5"/>
    <x v="5"/>
    <x v="0"/>
    <s v="XS"/>
    <x v="4"/>
    <n v="131.5"/>
    <n v="0"/>
    <n v="131.5"/>
    <d v="2024-11-03T00:00:00"/>
    <n v="5"/>
    <x v="62"/>
    <x v="0"/>
    <x v="0"/>
    <n v="304"/>
    <n v="0"/>
    <s v=""/>
  </r>
  <r>
    <s v="FB000142"/>
    <x v="0"/>
    <x v="6"/>
    <x v="3"/>
    <s v="M"/>
    <x v="5"/>
    <n v="133.26"/>
    <n v="0"/>
    <n v="133.26"/>
    <d v="2025-08-06T00:00:00"/>
    <n v="29"/>
    <x v="49"/>
    <x v="0"/>
    <x v="0"/>
    <n v="28"/>
    <n v="0"/>
    <s v=""/>
  </r>
  <r>
    <s v="FB000143"/>
    <x v="3"/>
    <x v="7"/>
    <x v="1"/>
    <s v="XL"/>
    <x v="0"/>
    <n v="173.91"/>
    <n v="0"/>
    <n v="173.91"/>
    <d v="2025-08-06T00:00:00"/>
    <n v="21"/>
    <x v="63"/>
    <x v="0"/>
    <x v="0"/>
    <n v="28"/>
    <n v="0"/>
    <s v=""/>
  </r>
  <r>
    <s v="FB000144"/>
    <x v="1"/>
    <x v="4"/>
    <x v="0"/>
    <s v="L"/>
    <x v="7"/>
    <n v="102.99"/>
    <n v="0"/>
    <n v="102.99"/>
    <d v="2025-07-16T00:00:00"/>
    <n v="41"/>
    <x v="38"/>
    <x v="0"/>
    <x v="0"/>
    <n v="49"/>
    <n v="0"/>
    <s v=""/>
  </r>
  <r>
    <s v="FB000145"/>
    <x v="0"/>
    <x v="0"/>
    <x v="0"/>
    <s v="L"/>
    <x v="7"/>
    <n v="87.78"/>
    <n v="45.3"/>
    <n v="48.02"/>
    <d v="2025-02-17T00:00:00"/>
    <n v="34"/>
    <x v="34"/>
    <x v="0"/>
    <x v="0"/>
    <n v="198"/>
    <n v="1540.1999999999998"/>
    <s v=""/>
  </r>
  <r>
    <s v="FB000146"/>
    <x v="1"/>
    <x v="1"/>
    <x v="1"/>
    <m/>
    <x v="7"/>
    <n v="91.8"/>
    <n v="15.8"/>
    <n v="77.3"/>
    <d v="2025-08-06T00:00:00"/>
    <n v="30"/>
    <x v="36"/>
    <x v="0"/>
    <x v="0"/>
    <n v="28"/>
    <n v="474"/>
    <s v=""/>
  </r>
  <r>
    <s v="FB000147"/>
    <x v="1"/>
    <x v="0"/>
    <x v="1"/>
    <s v="L"/>
    <x v="3"/>
    <n v="107.32"/>
    <n v="25.4"/>
    <n v="80.06"/>
    <d v="2025-08-06T00:00:00"/>
    <n v="50"/>
    <x v="9"/>
    <x v="0"/>
    <x v="0"/>
    <n v="28"/>
    <n v="1270"/>
    <s v=""/>
  </r>
  <r>
    <s v="FB000148"/>
    <x v="4"/>
    <x v="2"/>
    <x v="0"/>
    <s v="XXL"/>
    <x v="10"/>
    <n v="67.69"/>
    <n v="57.3"/>
    <n v="28.9"/>
    <d v="2025-07-24T00:00:00"/>
    <n v="50"/>
    <x v="14"/>
    <x v="0"/>
    <x v="0"/>
    <n v="41"/>
    <n v="2865"/>
    <s v=""/>
  </r>
  <r>
    <s v="FB000149"/>
    <x v="1"/>
    <x v="5"/>
    <x v="3"/>
    <s v="M"/>
    <x v="7"/>
    <n v="68.11"/>
    <n v="46"/>
    <n v="36.78"/>
    <d v="2025-08-06T00:00:00"/>
    <n v="3"/>
    <x v="1"/>
    <x v="0"/>
    <x v="0"/>
    <n v="28"/>
    <n v="138"/>
    <s v=""/>
  </r>
  <r>
    <s v="FB000150"/>
    <x v="3"/>
    <x v="2"/>
    <x v="0"/>
    <s v="L"/>
    <x v="5"/>
    <n v="94.29"/>
    <n v="0"/>
    <n v="94.29"/>
    <d v="2024-09-15T00:00:00"/>
    <n v="18"/>
    <x v="12"/>
    <x v="0"/>
    <x v="0"/>
    <n v="353"/>
    <n v="0"/>
    <s v=""/>
  </r>
  <r>
    <s v="FB000151"/>
    <x v="1"/>
    <x v="5"/>
    <x v="1"/>
    <s v="XL"/>
    <x v="4"/>
    <n v="94.97"/>
    <n v="0"/>
    <n v="94.97"/>
    <d v="2025-08-06T00:00:00"/>
    <n v="46"/>
    <x v="2"/>
    <x v="0"/>
    <x v="0"/>
    <n v="28"/>
    <n v="0"/>
    <s v=""/>
  </r>
  <r>
    <s v="FB000152"/>
    <x v="3"/>
    <x v="2"/>
    <x v="1"/>
    <s v="M"/>
    <x v="8"/>
    <n v="65.87"/>
    <n v="11.4"/>
    <n v="58.36"/>
    <d v="2025-08-06T00:00:00"/>
    <n v="15"/>
    <x v="38"/>
    <x v="0"/>
    <x v="0"/>
    <n v="28"/>
    <n v="171"/>
    <s v=""/>
  </r>
  <r>
    <s v="FB000153"/>
    <x v="5"/>
    <x v="0"/>
    <x v="1"/>
    <s v="XXL"/>
    <x v="5"/>
    <n v="155.06"/>
    <n v="29.4"/>
    <n v="109.47"/>
    <d v="2025-08-06T00:00:00"/>
    <n v="5"/>
    <x v="20"/>
    <x v="0"/>
    <x v="0"/>
    <n v="28"/>
    <n v="147"/>
    <s v=""/>
  </r>
  <r>
    <s v="FB000154"/>
    <x v="0"/>
    <x v="0"/>
    <x v="1"/>
    <s v="L"/>
    <x v="10"/>
    <n v="172.59"/>
    <n v="0"/>
    <n v="172.59"/>
    <d v="2025-08-06T00:00:00"/>
    <n v="1"/>
    <x v="54"/>
    <x v="0"/>
    <x v="0"/>
    <n v="28"/>
    <n v="0"/>
    <s v=""/>
  </r>
  <r>
    <s v="FB000155"/>
    <x v="5"/>
    <x v="4"/>
    <x v="3"/>
    <s v="M"/>
    <x v="5"/>
    <n v="68.72"/>
    <n v="0"/>
    <n v="68.72"/>
    <d v="2025-08-06T00:00:00"/>
    <n v="28"/>
    <x v="12"/>
    <x v="1"/>
    <x v="4"/>
    <n v="28"/>
    <n v="0"/>
    <n v="1"/>
  </r>
  <r>
    <s v="FB000156"/>
    <x v="1"/>
    <x v="2"/>
    <x v="0"/>
    <s v="XL"/>
    <x v="5"/>
    <n v="28.78"/>
    <n v="0"/>
    <n v="28.78"/>
    <d v="2024-10-03T00:00:00"/>
    <n v="21"/>
    <x v="4"/>
    <x v="0"/>
    <x v="0"/>
    <n v="335"/>
    <n v="0"/>
    <s v=""/>
  </r>
  <r>
    <s v="FB000157"/>
    <x v="0"/>
    <x v="4"/>
    <x v="1"/>
    <s v="XXL"/>
    <x v="2"/>
    <n v="110.32"/>
    <n v="28.3"/>
    <n v="79.099999999999994"/>
    <d v="2025-08-06T00:00:00"/>
    <n v="49"/>
    <x v="31"/>
    <x v="0"/>
    <x v="0"/>
    <n v="28"/>
    <n v="1386.7"/>
    <s v=""/>
  </r>
  <r>
    <s v="FB000158"/>
    <x v="3"/>
    <x v="3"/>
    <x v="3"/>
    <s v="XXL"/>
    <x v="2"/>
    <n v="194.24"/>
    <n v="0"/>
    <n v="194.24"/>
    <d v="2025-08-06T00:00:00"/>
    <n v="17"/>
    <x v="19"/>
    <x v="1"/>
    <x v="5"/>
    <n v="28"/>
    <n v="0"/>
    <n v="1"/>
  </r>
  <r>
    <s v="FB000159"/>
    <x v="3"/>
    <x v="6"/>
    <x v="2"/>
    <s v="XS"/>
    <x v="7"/>
    <n v="175.91"/>
    <n v="0"/>
    <n v="175.91"/>
    <d v="2025-08-06T00:00:00"/>
    <n v="4"/>
    <x v="32"/>
    <x v="0"/>
    <x v="0"/>
    <n v="28"/>
    <n v="0"/>
    <s v=""/>
  </r>
  <r>
    <s v="FB000160"/>
    <x v="4"/>
    <x v="3"/>
    <x v="1"/>
    <s v="XXL"/>
    <x v="4"/>
    <n v="79.34"/>
    <n v="0"/>
    <n v="79.34"/>
    <d v="2025-08-06T00:00:00"/>
    <n v="30"/>
    <x v="9"/>
    <x v="0"/>
    <x v="0"/>
    <n v="28"/>
    <n v="0"/>
    <s v=""/>
  </r>
  <r>
    <s v="FB000161"/>
    <x v="4"/>
    <x v="4"/>
    <x v="3"/>
    <s v="M"/>
    <x v="6"/>
    <n v="111.88"/>
    <n v="0"/>
    <n v="111.88"/>
    <d v="2025-08-06T00:00:00"/>
    <n v="41"/>
    <x v="35"/>
    <x v="0"/>
    <x v="0"/>
    <n v="28"/>
    <n v="0"/>
    <s v=""/>
  </r>
  <r>
    <s v="FB000162"/>
    <x v="2"/>
    <x v="6"/>
    <x v="0"/>
    <m/>
    <x v="8"/>
    <n v="42.84"/>
    <n v="40.6"/>
    <n v="25.45"/>
    <d v="2024-09-12T00:00:00"/>
    <n v="18"/>
    <x v="3"/>
    <x v="0"/>
    <x v="0"/>
    <n v="356"/>
    <n v="730.80000000000007"/>
    <s v=""/>
  </r>
  <r>
    <s v="FB000163"/>
    <x v="4"/>
    <x v="6"/>
    <x v="0"/>
    <s v="XXL"/>
    <x v="8"/>
    <n v="26.28"/>
    <n v="1.1000000000000001"/>
    <n v="25.99"/>
    <d v="2025-06-20T00:00:00"/>
    <n v="35"/>
    <x v="64"/>
    <x v="0"/>
    <x v="0"/>
    <n v="75"/>
    <n v="38.5"/>
    <s v=""/>
  </r>
  <r>
    <s v="FB000164"/>
    <x v="2"/>
    <x v="4"/>
    <x v="0"/>
    <m/>
    <x v="6"/>
    <n v="23.11"/>
    <n v="0"/>
    <n v="23.11"/>
    <d v="2024-09-17T00:00:00"/>
    <n v="2"/>
    <x v="40"/>
    <x v="0"/>
    <x v="0"/>
    <n v="351"/>
    <n v="0"/>
    <s v=""/>
  </r>
  <r>
    <s v="FB000165"/>
    <x v="3"/>
    <x v="0"/>
    <x v="1"/>
    <s v="M"/>
    <x v="3"/>
    <n v="168.36"/>
    <n v="0"/>
    <n v="168.36"/>
    <d v="2025-08-06T00:00:00"/>
    <n v="47"/>
    <x v="27"/>
    <x v="1"/>
    <x v="3"/>
    <n v="28"/>
    <n v="0"/>
    <n v="1"/>
  </r>
  <r>
    <s v="FB000166"/>
    <x v="3"/>
    <x v="6"/>
    <x v="2"/>
    <s v="XL"/>
    <x v="6"/>
    <n v="99.26"/>
    <n v="0"/>
    <n v="99.26"/>
    <d v="2025-08-06T00:00:00"/>
    <n v="33"/>
    <x v="23"/>
    <x v="1"/>
    <x v="4"/>
    <n v="28"/>
    <n v="0"/>
    <n v="1"/>
  </r>
  <r>
    <s v="FB000167"/>
    <x v="2"/>
    <x v="3"/>
    <x v="0"/>
    <m/>
    <x v="2"/>
    <n v="53.66"/>
    <n v="0"/>
    <n v="53.66"/>
    <d v="2024-12-19T00:00:00"/>
    <n v="40"/>
    <x v="32"/>
    <x v="0"/>
    <x v="0"/>
    <n v="258"/>
    <n v="0"/>
    <s v=""/>
  </r>
  <r>
    <s v="FB000168"/>
    <x v="2"/>
    <x v="5"/>
    <x v="3"/>
    <m/>
    <x v="4"/>
    <n v="69.709999999999994"/>
    <n v="18"/>
    <n v="57.16"/>
    <d v="2025-08-06T00:00:00"/>
    <n v="34"/>
    <x v="36"/>
    <x v="1"/>
    <x v="1"/>
    <n v="28"/>
    <n v="612"/>
    <n v="1"/>
  </r>
  <r>
    <s v="FB000169"/>
    <x v="5"/>
    <x v="7"/>
    <x v="2"/>
    <s v="XXL"/>
    <x v="4"/>
    <n v="60.3"/>
    <n v="21.4"/>
    <n v="47.4"/>
    <d v="2025-08-06T00:00:00"/>
    <n v="4"/>
    <x v="20"/>
    <x v="0"/>
    <x v="0"/>
    <n v="28"/>
    <n v="85.6"/>
    <s v=""/>
  </r>
  <r>
    <s v="FB000170"/>
    <x v="3"/>
    <x v="2"/>
    <x v="1"/>
    <s v="XXL"/>
    <x v="0"/>
    <n v="113.58"/>
    <n v="0"/>
    <n v="113.58"/>
    <d v="2025-08-06T00:00:00"/>
    <n v="33"/>
    <x v="26"/>
    <x v="1"/>
    <x v="6"/>
    <n v="28"/>
    <n v="0"/>
    <n v="1"/>
  </r>
  <r>
    <s v="FB000171"/>
    <x v="4"/>
    <x v="5"/>
    <x v="2"/>
    <s v="XS"/>
    <x v="10"/>
    <n v="54.86"/>
    <n v="1.7"/>
    <n v="53.93"/>
    <d v="2025-08-06T00:00:00"/>
    <n v="40"/>
    <x v="1"/>
    <x v="0"/>
    <x v="0"/>
    <n v="28"/>
    <n v="68"/>
    <s v=""/>
  </r>
  <r>
    <s v="FB000172"/>
    <x v="1"/>
    <x v="0"/>
    <x v="1"/>
    <s v="XS"/>
    <x v="0"/>
    <n v="92.25"/>
    <n v="0"/>
    <n v="92.25"/>
    <d v="2025-08-06T00:00:00"/>
    <n v="13"/>
    <x v="32"/>
    <x v="1"/>
    <x v="3"/>
    <n v="28"/>
    <n v="0"/>
    <n v="1"/>
  </r>
  <r>
    <s v="FB000173"/>
    <x v="2"/>
    <x v="5"/>
    <x v="1"/>
    <m/>
    <x v="3"/>
    <n v="54.07"/>
    <n v="0"/>
    <n v="54.07"/>
    <d v="2025-08-06T00:00:00"/>
    <n v="47"/>
    <x v="14"/>
    <x v="0"/>
    <x v="0"/>
    <n v="28"/>
    <n v="0"/>
    <s v=""/>
  </r>
  <r>
    <s v="FB000174"/>
    <x v="3"/>
    <x v="2"/>
    <x v="1"/>
    <s v="XL"/>
    <x v="0"/>
    <n v="104.4"/>
    <n v="0"/>
    <n v="104.4"/>
    <d v="2025-08-06T00:00:00"/>
    <n v="41"/>
    <x v="10"/>
    <x v="0"/>
    <x v="0"/>
    <n v="28"/>
    <n v="0"/>
    <s v=""/>
  </r>
  <r>
    <s v="FB000175"/>
    <x v="5"/>
    <x v="5"/>
    <x v="0"/>
    <s v="M"/>
    <x v="4"/>
    <n v="45.97"/>
    <n v="0"/>
    <n v="45.97"/>
    <d v="2024-08-28T00:00:00"/>
    <n v="37"/>
    <x v="53"/>
    <x v="1"/>
    <x v="4"/>
    <n v="371"/>
    <n v="0"/>
    <n v="1"/>
  </r>
  <r>
    <s v="FB000176"/>
    <x v="1"/>
    <x v="5"/>
    <x v="3"/>
    <s v="XXL"/>
    <x v="2"/>
    <n v="28.79"/>
    <n v="0"/>
    <n v="28.79"/>
    <d v="2025-08-06T00:00:00"/>
    <n v="4"/>
    <x v="9"/>
    <x v="0"/>
    <x v="0"/>
    <n v="28"/>
    <n v="0"/>
    <s v=""/>
  </r>
  <r>
    <s v="FB000177"/>
    <x v="0"/>
    <x v="1"/>
    <x v="1"/>
    <s v="M"/>
    <x v="4"/>
    <n v="204.21"/>
    <n v="0"/>
    <n v="204.21"/>
    <d v="2025-08-06T00:00:00"/>
    <n v="5"/>
    <x v="31"/>
    <x v="0"/>
    <x v="0"/>
    <n v="28"/>
    <n v="0"/>
    <s v=""/>
  </r>
  <r>
    <s v="FB000178"/>
    <x v="3"/>
    <x v="3"/>
    <x v="2"/>
    <s v="XXL"/>
    <x v="1"/>
    <n v="190.75"/>
    <n v="20"/>
    <n v="152.6"/>
    <d v="2025-08-06T00:00:00"/>
    <n v="47"/>
    <x v="41"/>
    <x v="0"/>
    <x v="0"/>
    <n v="28"/>
    <n v="940"/>
    <s v=""/>
  </r>
  <r>
    <s v="FB000179"/>
    <x v="1"/>
    <x v="7"/>
    <x v="1"/>
    <s v="XS"/>
    <x v="10"/>
    <n v="33.01"/>
    <n v="39.200000000000003"/>
    <n v="20.07"/>
    <d v="2025-08-06T00:00:00"/>
    <n v="16"/>
    <x v="17"/>
    <x v="0"/>
    <x v="0"/>
    <n v="28"/>
    <n v="627.20000000000005"/>
    <s v=""/>
  </r>
  <r>
    <s v="FB000180"/>
    <x v="2"/>
    <x v="2"/>
    <x v="0"/>
    <m/>
    <x v="5"/>
    <n v="47.61"/>
    <n v="39.799999999999997"/>
    <n v="28.66"/>
    <d v="2024-12-03T00:00:00"/>
    <n v="18"/>
    <x v="49"/>
    <x v="0"/>
    <x v="0"/>
    <n v="274"/>
    <n v="716.4"/>
    <s v=""/>
  </r>
  <r>
    <s v="FB000181"/>
    <x v="0"/>
    <x v="4"/>
    <x v="0"/>
    <s v="XS"/>
    <x v="0"/>
    <n v="137.16"/>
    <n v="0"/>
    <n v="137.16"/>
    <d v="2024-09-26T00:00:00"/>
    <n v="34"/>
    <x v="53"/>
    <x v="0"/>
    <x v="0"/>
    <n v="342"/>
    <n v="0"/>
    <s v=""/>
  </r>
  <r>
    <s v="FB000182"/>
    <x v="1"/>
    <x v="6"/>
    <x v="2"/>
    <s v="M"/>
    <x v="8"/>
    <n v="108.49"/>
    <n v="0"/>
    <n v="108.49"/>
    <d v="2025-08-06T00:00:00"/>
    <n v="7"/>
    <x v="31"/>
    <x v="0"/>
    <x v="0"/>
    <n v="28"/>
    <n v="0"/>
    <s v=""/>
  </r>
  <r>
    <s v="FB000183"/>
    <x v="1"/>
    <x v="2"/>
    <x v="1"/>
    <s v="XL"/>
    <x v="6"/>
    <n v="106.49"/>
    <n v="0"/>
    <n v="106.49"/>
    <d v="2025-08-06T00:00:00"/>
    <n v="23"/>
    <x v="30"/>
    <x v="0"/>
    <x v="0"/>
    <n v="28"/>
    <n v="0"/>
    <s v=""/>
  </r>
  <r>
    <s v="FB000184"/>
    <x v="1"/>
    <x v="3"/>
    <x v="1"/>
    <s v="XXL"/>
    <x v="1"/>
    <n v="114.86"/>
    <n v="0"/>
    <n v="114.86"/>
    <d v="2025-08-06T00:00:00"/>
    <n v="48"/>
    <x v="21"/>
    <x v="0"/>
    <x v="0"/>
    <n v="28"/>
    <n v="0"/>
    <s v=""/>
  </r>
  <r>
    <s v="FB000185"/>
    <x v="5"/>
    <x v="0"/>
    <x v="2"/>
    <s v="L"/>
    <x v="5"/>
    <n v="121.68"/>
    <n v="0"/>
    <n v="121.68"/>
    <d v="2025-08-06T00:00:00"/>
    <n v="9"/>
    <x v="25"/>
    <x v="0"/>
    <x v="0"/>
    <n v="28"/>
    <n v="0"/>
    <s v=""/>
  </r>
  <r>
    <s v="FB000186"/>
    <x v="4"/>
    <x v="0"/>
    <x v="3"/>
    <s v="XXL"/>
    <x v="2"/>
    <n v="74.08"/>
    <n v="3.9"/>
    <n v="71.19"/>
    <d v="2025-08-06T00:00:00"/>
    <n v="37"/>
    <x v="12"/>
    <x v="0"/>
    <x v="0"/>
    <n v="28"/>
    <n v="144.29999999999998"/>
    <s v=""/>
  </r>
  <r>
    <s v="FB000187"/>
    <x v="1"/>
    <x v="6"/>
    <x v="2"/>
    <s v="M"/>
    <x v="5"/>
    <n v="92.37"/>
    <n v="35.9"/>
    <n v="59.21"/>
    <d v="2025-08-06T00:00:00"/>
    <n v="20"/>
    <x v="24"/>
    <x v="0"/>
    <x v="0"/>
    <n v="28"/>
    <n v="718"/>
    <s v=""/>
  </r>
  <r>
    <s v="FB000188"/>
    <x v="1"/>
    <x v="1"/>
    <x v="3"/>
    <s v="XXL"/>
    <x v="7"/>
    <n v="34.06"/>
    <n v="0"/>
    <n v="34.06"/>
    <d v="2025-08-06T00:00:00"/>
    <n v="39"/>
    <x v="35"/>
    <x v="0"/>
    <x v="0"/>
    <n v="28"/>
    <n v="0"/>
    <s v=""/>
  </r>
  <r>
    <s v="FB000189"/>
    <x v="5"/>
    <x v="0"/>
    <x v="3"/>
    <s v="L"/>
    <x v="1"/>
    <n v="173.42"/>
    <n v="0"/>
    <n v="173.42"/>
    <d v="2025-08-06T00:00:00"/>
    <n v="47"/>
    <x v="36"/>
    <x v="0"/>
    <x v="0"/>
    <n v="28"/>
    <n v="0"/>
    <s v=""/>
  </r>
  <r>
    <s v="FB000190"/>
    <x v="4"/>
    <x v="1"/>
    <x v="0"/>
    <s v="XXL"/>
    <x v="10"/>
    <n v="66.510000000000005"/>
    <n v="0"/>
    <n v="66.510000000000005"/>
    <d v="2024-10-04T00:00:00"/>
    <n v="32"/>
    <x v="54"/>
    <x v="0"/>
    <x v="0"/>
    <n v="334"/>
    <n v="0"/>
    <s v=""/>
  </r>
  <r>
    <s v="FB000191"/>
    <x v="4"/>
    <x v="1"/>
    <x v="2"/>
    <s v="XXL"/>
    <x v="5"/>
    <n v="72.44"/>
    <n v="7.1"/>
    <n v="67.3"/>
    <d v="2025-08-06T00:00:00"/>
    <n v="10"/>
    <x v="34"/>
    <x v="0"/>
    <x v="0"/>
    <n v="28"/>
    <n v="71"/>
    <s v=""/>
  </r>
  <r>
    <s v="FB000192"/>
    <x v="1"/>
    <x v="5"/>
    <x v="2"/>
    <s v="S"/>
    <x v="2"/>
    <n v="81.2"/>
    <n v="0"/>
    <n v="81.2"/>
    <d v="2025-08-06T00:00:00"/>
    <n v="3"/>
    <x v="25"/>
    <x v="0"/>
    <x v="0"/>
    <n v="28"/>
    <n v="0"/>
    <s v=""/>
  </r>
  <r>
    <s v="FB000193"/>
    <x v="0"/>
    <x v="6"/>
    <x v="3"/>
    <s v="XXL"/>
    <x v="0"/>
    <n v="104.5"/>
    <n v="12.3"/>
    <n v="91.65"/>
    <d v="2025-08-06T00:00:00"/>
    <n v="42"/>
    <x v="37"/>
    <x v="0"/>
    <x v="0"/>
    <n v="28"/>
    <n v="516.6"/>
    <s v=""/>
  </r>
  <r>
    <s v="FB000194"/>
    <x v="5"/>
    <x v="6"/>
    <x v="1"/>
    <s v="XL"/>
    <x v="1"/>
    <n v="57.53"/>
    <n v="13"/>
    <n v="50.05"/>
    <d v="2025-08-06T00:00:00"/>
    <n v="12"/>
    <x v="16"/>
    <x v="0"/>
    <x v="0"/>
    <n v="28"/>
    <n v="156"/>
    <s v=""/>
  </r>
  <r>
    <s v="FB000195"/>
    <x v="3"/>
    <x v="2"/>
    <x v="3"/>
    <s v="XXL"/>
    <x v="4"/>
    <n v="142.58000000000001"/>
    <n v="0"/>
    <n v="142.58000000000001"/>
    <d v="2025-08-06T00:00:00"/>
    <n v="25"/>
    <x v="51"/>
    <x v="1"/>
    <x v="4"/>
    <n v="28"/>
    <n v="0"/>
    <n v="1"/>
  </r>
  <r>
    <s v="FB000196"/>
    <x v="5"/>
    <x v="0"/>
    <x v="2"/>
    <s v="XXL"/>
    <x v="6"/>
    <n v="162.22999999999999"/>
    <n v="29.4"/>
    <n v="114.53"/>
    <d v="2025-08-06T00:00:00"/>
    <n v="41"/>
    <x v="30"/>
    <x v="1"/>
    <x v="4"/>
    <n v="28"/>
    <n v="1205.3999999999999"/>
    <n v="1"/>
  </r>
  <r>
    <s v="FB000197"/>
    <x v="4"/>
    <x v="5"/>
    <x v="0"/>
    <s v="XXL"/>
    <x v="0"/>
    <n v="32.1"/>
    <n v="51.7"/>
    <n v="15.5"/>
    <d v="2024-11-23T00:00:00"/>
    <n v="27"/>
    <x v="11"/>
    <x v="0"/>
    <x v="0"/>
    <n v="284"/>
    <n v="1395.9"/>
    <s v=""/>
  </r>
  <r>
    <s v="FB000198"/>
    <x v="3"/>
    <x v="1"/>
    <x v="2"/>
    <s v="L"/>
    <x v="2"/>
    <n v="162.41"/>
    <n v="42.7"/>
    <n v="93.06"/>
    <d v="2025-08-06T00:00:00"/>
    <n v="22"/>
    <x v="51"/>
    <x v="0"/>
    <x v="0"/>
    <n v="28"/>
    <n v="939.40000000000009"/>
    <s v=""/>
  </r>
  <r>
    <s v="FB000199"/>
    <x v="1"/>
    <x v="2"/>
    <x v="2"/>
    <s v="M"/>
    <x v="4"/>
    <n v="77.459999999999994"/>
    <n v="57.5"/>
    <n v="32.92"/>
    <d v="2025-08-06T00:00:00"/>
    <n v="23"/>
    <x v="30"/>
    <x v="0"/>
    <x v="0"/>
    <n v="28"/>
    <n v="1322.5"/>
    <s v=""/>
  </r>
  <r>
    <s v="FB000200"/>
    <x v="1"/>
    <x v="4"/>
    <x v="2"/>
    <s v="XXL"/>
    <x v="5"/>
    <n v="103.42"/>
    <n v="56.1"/>
    <n v="45.4"/>
    <d v="2025-08-06T00:00:00"/>
    <n v="4"/>
    <x v="52"/>
    <x v="0"/>
    <x v="0"/>
    <n v="28"/>
    <n v="224.4"/>
    <s v=""/>
  </r>
  <r>
    <s v="FB000201"/>
    <x v="4"/>
    <x v="0"/>
    <x v="0"/>
    <s v="XS"/>
    <x v="6"/>
    <n v="42.91"/>
    <n v="33.299999999999997"/>
    <n v="28.62"/>
    <d v="2024-11-23T00:00:00"/>
    <n v="18"/>
    <x v="65"/>
    <x v="0"/>
    <x v="0"/>
    <n v="284"/>
    <n v="599.4"/>
    <s v=""/>
  </r>
  <r>
    <s v="FB000202"/>
    <x v="3"/>
    <x v="0"/>
    <x v="3"/>
    <s v="XL"/>
    <x v="6"/>
    <n v="144.91999999999999"/>
    <n v="17"/>
    <n v="120.28"/>
    <d v="2025-08-06T00:00:00"/>
    <n v="32"/>
    <x v="66"/>
    <x v="0"/>
    <x v="0"/>
    <n v="28"/>
    <n v="544"/>
    <s v=""/>
  </r>
  <r>
    <s v="FB000203"/>
    <x v="3"/>
    <x v="2"/>
    <x v="3"/>
    <s v="XS"/>
    <x v="2"/>
    <n v="93.07"/>
    <n v="23.9"/>
    <n v="70.83"/>
    <d v="2025-08-06T00:00:00"/>
    <n v="10"/>
    <x v="15"/>
    <x v="1"/>
    <x v="5"/>
    <n v="28"/>
    <n v="239"/>
    <n v="1"/>
  </r>
  <r>
    <s v="FB000204"/>
    <x v="0"/>
    <x v="4"/>
    <x v="3"/>
    <s v="S"/>
    <x v="0"/>
    <n v="119.96"/>
    <n v="0"/>
    <n v="119.96"/>
    <d v="2025-08-06T00:00:00"/>
    <n v="20"/>
    <x v="21"/>
    <x v="0"/>
    <x v="0"/>
    <n v="28"/>
    <n v="0"/>
    <s v=""/>
  </r>
  <r>
    <s v="FB000205"/>
    <x v="2"/>
    <x v="7"/>
    <x v="3"/>
    <m/>
    <x v="4"/>
    <n v="42.04"/>
    <n v="50.9"/>
    <n v="20.64"/>
    <d v="2025-08-06T00:00:00"/>
    <n v="43"/>
    <x v="39"/>
    <x v="1"/>
    <x v="6"/>
    <n v="28"/>
    <n v="2188.6999999999998"/>
    <n v="1"/>
  </r>
  <r>
    <s v="FB000206"/>
    <x v="2"/>
    <x v="2"/>
    <x v="1"/>
    <m/>
    <x v="0"/>
    <n v="54.45"/>
    <n v="0"/>
    <n v="54.45"/>
    <d v="2025-08-06T00:00:00"/>
    <n v="12"/>
    <x v="67"/>
    <x v="0"/>
    <x v="0"/>
    <n v="28"/>
    <n v="0"/>
    <s v=""/>
  </r>
  <r>
    <s v="FB000207"/>
    <x v="1"/>
    <x v="3"/>
    <x v="0"/>
    <s v="M"/>
    <x v="6"/>
    <n v="66.95"/>
    <n v="36.4"/>
    <n v="42.58"/>
    <d v="2024-09-28T00:00:00"/>
    <n v="44"/>
    <x v="42"/>
    <x v="1"/>
    <x v="4"/>
    <n v="340"/>
    <n v="1601.6"/>
    <n v="1"/>
  </r>
  <r>
    <s v="FB000208"/>
    <x v="1"/>
    <x v="5"/>
    <x v="0"/>
    <s v="XL"/>
    <x v="7"/>
    <n v="116.96"/>
    <n v="8.8000000000000007"/>
    <n v="106.67"/>
    <d v="2025-04-29T00:00:00"/>
    <n v="33"/>
    <x v="6"/>
    <x v="0"/>
    <x v="0"/>
    <n v="127"/>
    <n v="290.40000000000003"/>
    <s v=""/>
  </r>
  <r>
    <s v="FB000209"/>
    <x v="1"/>
    <x v="7"/>
    <x v="2"/>
    <s v="XXL"/>
    <x v="1"/>
    <n v="111.14"/>
    <n v="0"/>
    <n v="111.14"/>
    <d v="2025-08-06T00:00:00"/>
    <n v="49"/>
    <x v="6"/>
    <x v="0"/>
    <x v="0"/>
    <n v="28"/>
    <n v="0"/>
    <s v=""/>
  </r>
  <r>
    <s v="FB000210"/>
    <x v="1"/>
    <x v="2"/>
    <x v="2"/>
    <s v="XS"/>
    <x v="5"/>
    <n v="59.6"/>
    <n v="0"/>
    <n v="59.6"/>
    <d v="2025-08-06T00:00:00"/>
    <n v="40"/>
    <x v="54"/>
    <x v="0"/>
    <x v="0"/>
    <n v="28"/>
    <n v="0"/>
    <s v=""/>
  </r>
  <r>
    <s v="FB000211"/>
    <x v="1"/>
    <x v="5"/>
    <x v="0"/>
    <s v="S"/>
    <x v="4"/>
    <n v="25.49"/>
    <n v="16.7"/>
    <n v="21.23"/>
    <d v="2025-05-23T00:00:00"/>
    <n v="32"/>
    <x v="68"/>
    <x v="0"/>
    <x v="0"/>
    <n v="103"/>
    <n v="534.4"/>
    <s v=""/>
  </r>
  <r>
    <s v="FB000212"/>
    <x v="1"/>
    <x v="0"/>
    <x v="0"/>
    <s v="M"/>
    <x v="2"/>
    <n v="82.94"/>
    <n v="0"/>
    <n v="82.94"/>
    <d v="2025-07-17T00:00:00"/>
    <n v="46"/>
    <x v="25"/>
    <x v="0"/>
    <x v="0"/>
    <n v="48"/>
    <n v="0"/>
    <s v=""/>
  </r>
  <r>
    <s v="FB000213"/>
    <x v="1"/>
    <x v="1"/>
    <x v="0"/>
    <s v="L"/>
    <x v="5"/>
    <n v="99.71"/>
    <n v="0"/>
    <n v="99.71"/>
    <d v="2024-08-21T00:00:00"/>
    <n v="23"/>
    <x v="40"/>
    <x v="0"/>
    <x v="0"/>
    <n v="378"/>
    <n v="0"/>
    <s v=""/>
  </r>
  <r>
    <s v="FB000214"/>
    <x v="2"/>
    <x v="2"/>
    <x v="2"/>
    <m/>
    <x v="2"/>
    <n v="69.739999999999995"/>
    <n v="0"/>
    <n v="69.739999999999995"/>
    <d v="2025-08-06T00:00:00"/>
    <n v="11"/>
    <x v="31"/>
    <x v="1"/>
    <x v="5"/>
    <n v="28"/>
    <n v="0"/>
    <n v="1"/>
  </r>
  <r>
    <s v="FB000215"/>
    <x v="4"/>
    <x v="4"/>
    <x v="3"/>
    <s v="XXL"/>
    <x v="6"/>
    <n v="57.19"/>
    <n v="0"/>
    <n v="57.19"/>
    <d v="2025-08-06T00:00:00"/>
    <n v="12"/>
    <x v="1"/>
    <x v="0"/>
    <x v="0"/>
    <n v="28"/>
    <n v="0"/>
    <s v=""/>
  </r>
  <r>
    <s v="FB000216"/>
    <x v="1"/>
    <x v="4"/>
    <x v="3"/>
    <s v="XXL"/>
    <x v="0"/>
    <n v="58.65"/>
    <n v="0"/>
    <n v="58.65"/>
    <d v="2025-08-06T00:00:00"/>
    <n v="4"/>
    <x v="21"/>
    <x v="0"/>
    <x v="0"/>
    <n v="28"/>
    <n v="0"/>
    <s v=""/>
  </r>
  <r>
    <s v="FB000217"/>
    <x v="0"/>
    <x v="1"/>
    <x v="2"/>
    <s v="XL"/>
    <x v="1"/>
    <n v="110.22"/>
    <n v="0"/>
    <n v="110.22"/>
    <d v="2025-08-06T00:00:00"/>
    <n v="4"/>
    <x v="6"/>
    <x v="0"/>
    <x v="0"/>
    <n v="28"/>
    <n v="0"/>
    <s v=""/>
  </r>
  <r>
    <s v="FB000218"/>
    <x v="1"/>
    <x v="0"/>
    <x v="3"/>
    <s v="XXL"/>
    <x v="1"/>
    <n v="69.36"/>
    <n v="0"/>
    <n v="69.36"/>
    <d v="2025-08-06T00:00:00"/>
    <n v="25"/>
    <x v="69"/>
    <x v="0"/>
    <x v="0"/>
    <n v="28"/>
    <n v="0"/>
    <s v=""/>
  </r>
  <r>
    <s v="FB000219"/>
    <x v="4"/>
    <x v="0"/>
    <x v="1"/>
    <s v="S"/>
    <x v="2"/>
    <n v="87.03"/>
    <n v="0"/>
    <n v="87.03"/>
    <d v="2025-08-06T00:00:00"/>
    <n v="39"/>
    <x v="2"/>
    <x v="0"/>
    <x v="0"/>
    <n v="28"/>
    <n v="0"/>
    <s v=""/>
  </r>
  <r>
    <s v="FB000220"/>
    <x v="5"/>
    <x v="0"/>
    <x v="1"/>
    <s v="XXL"/>
    <x v="10"/>
    <n v="160.6"/>
    <n v="18.399999999999999"/>
    <n v="131.05000000000001"/>
    <d v="2025-08-06T00:00:00"/>
    <n v="41"/>
    <x v="0"/>
    <x v="0"/>
    <x v="0"/>
    <n v="28"/>
    <n v="754.4"/>
    <s v=""/>
  </r>
  <r>
    <s v="FB000221"/>
    <x v="0"/>
    <x v="4"/>
    <x v="0"/>
    <s v="XS"/>
    <x v="9"/>
    <n v="167.02"/>
    <n v="0"/>
    <n v="167.02"/>
    <d v="2025-01-30T00:00:00"/>
    <n v="26"/>
    <x v="3"/>
    <x v="1"/>
    <x v="2"/>
    <n v="216"/>
    <n v="0"/>
    <n v="1"/>
  </r>
  <r>
    <s v="FB000222"/>
    <x v="1"/>
    <x v="0"/>
    <x v="3"/>
    <s v="XXL"/>
    <x v="4"/>
    <n v="26.09"/>
    <n v="0"/>
    <n v="26.09"/>
    <d v="2025-08-06T00:00:00"/>
    <n v="32"/>
    <x v="14"/>
    <x v="1"/>
    <x v="3"/>
    <n v="28"/>
    <n v="0"/>
    <n v="1"/>
  </r>
  <r>
    <s v="FB000223"/>
    <x v="0"/>
    <x v="4"/>
    <x v="3"/>
    <s v="XL"/>
    <x v="10"/>
    <n v="246.65"/>
    <n v="0"/>
    <n v="246.65"/>
    <d v="2025-08-06T00:00:00"/>
    <n v="17"/>
    <x v="5"/>
    <x v="1"/>
    <x v="3"/>
    <n v="28"/>
    <n v="0"/>
    <n v="1"/>
  </r>
  <r>
    <s v="FB000224"/>
    <x v="0"/>
    <x v="7"/>
    <x v="3"/>
    <s v="S"/>
    <x v="0"/>
    <n v="206.91"/>
    <n v="0"/>
    <n v="206.91"/>
    <d v="2025-08-06T00:00:00"/>
    <n v="34"/>
    <x v="39"/>
    <x v="0"/>
    <x v="0"/>
    <n v="28"/>
    <n v="0"/>
    <s v=""/>
  </r>
  <r>
    <s v="FB000225"/>
    <x v="5"/>
    <x v="6"/>
    <x v="1"/>
    <s v="XL"/>
    <x v="2"/>
    <n v="85.08"/>
    <n v="0"/>
    <n v="85.08"/>
    <d v="2025-08-06T00:00:00"/>
    <n v="29"/>
    <x v="70"/>
    <x v="0"/>
    <x v="0"/>
    <n v="28"/>
    <n v="0"/>
    <s v=""/>
  </r>
  <r>
    <s v="FB000226"/>
    <x v="0"/>
    <x v="7"/>
    <x v="0"/>
    <s v="XXL"/>
    <x v="3"/>
    <n v="240.32"/>
    <n v="54.8"/>
    <n v="108.62"/>
    <d v="2024-12-27T00:00:00"/>
    <n v="3"/>
    <x v="35"/>
    <x v="0"/>
    <x v="0"/>
    <n v="250"/>
    <n v="164.39999999999998"/>
    <s v=""/>
  </r>
  <r>
    <s v="FB000227"/>
    <x v="5"/>
    <x v="1"/>
    <x v="2"/>
    <s v="XXL"/>
    <x v="0"/>
    <n v="130.12"/>
    <n v="1.4"/>
    <n v="128.30000000000001"/>
    <d v="2025-08-06T00:00:00"/>
    <n v="0"/>
    <x v="64"/>
    <x v="0"/>
    <x v="0"/>
    <n v="28"/>
    <n v="0"/>
    <s v=""/>
  </r>
  <r>
    <s v="FB000228"/>
    <x v="4"/>
    <x v="4"/>
    <x v="0"/>
    <s v="XS"/>
    <x v="2"/>
    <n v="42.29"/>
    <n v="15.8"/>
    <n v="35.61"/>
    <d v="2024-11-02T00:00:00"/>
    <n v="11"/>
    <x v="6"/>
    <x v="0"/>
    <x v="0"/>
    <n v="305"/>
    <n v="173.8"/>
    <s v=""/>
  </r>
  <r>
    <s v="FB000229"/>
    <x v="0"/>
    <x v="4"/>
    <x v="0"/>
    <s v="S"/>
    <x v="7"/>
    <n v="191.54"/>
    <n v="0"/>
    <n v="191.54"/>
    <d v="2024-10-10T00:00:00"/>
    <n v="18"/>
    <x v="19"/>
    <x v="0"/>
    <x v="0"/>
    <n v="328"/>
    <n v="0"/>
    <s v=""/>
  </r>
  <r>
    <s v="FB000230"/>
    <x v="2"/>
    <x v="5"/>
    <x v="0"/>
    <m/>
    <x v="7"/>
    <n v="42.23"/>
    <n v="0"/>
    <n v="42.23"/>
    <d v="2025-07-14T00:00:00"/>
    <n v="15"/>
    <x v="71"/>
    <x v="0"/>
    <x v="0"/>
    <n v="51"/>
    <n v="0"/>
    <s v=""/>
  </r>
  <r>
    <s v="FB000231"/>
    <x v="3"/>
    <x v="4"/>
    <x v="3"/>
    <s v="S"/>
    <x v="4"/>
    <n v="109.76"/>
    <n v="0"/>
    <n v="109.76"/>
    <d v="2025-08-06T00:00:00"/>
    <n v="16"/>
    <x v="2"/>
    <x v="0"/>
    <x v="0"/>
    <n v="28"/>
    <n v="0"/>
    <s v=""/>
  </r>
  <r>
    <s v="FB000232"/>
    <x v="2"/>
    <x v="3"/>
    <x v="3"/>
    <m/>
    <x v="0"/>
    <n v="76.8"/>
    <n v="43.3"/>
    <n v="43.55"/>
    <d v="2025-08-06T00:00:00"/>
    <n v="24"/>
    <x v="72"/>
    <x v="0"/>
    <x v="0"/>
    <n v="28"/>
    <n v="1039.1999999999998"/>
    <s v=""/>
  </r>
  <r>
    <s v="FB000233"/>
    <x v="5"/>
    <x v="7"/>
    <x v="1"/>
    <m/>
    <x v="2"/>
    <n v="56.34"/>
    <n v="22.4"/>
    <n v="43.72"/>
    <d v="2025-08-06T00:00:00"/>
    <n v="37"/>
    <x v="1"/>
    <x v="1"/>
    <x v="6"/>
    <n v="28"/>
    <n v="828.8"/>
    <n v="1"/>
  </r>
  <r>
    <s v="FB000234"/>
    <x v="1"/>
    <x v="6"/>
    <x v="2"/>
    <m/>
    <x v="7"/>
    <n v="88.41"/>
    <n v="0"/>
    <n v="88.41"/>
    <d v="2025-08-06T00:00:00"/>
    <n v="24"/>
    <x v="9"/>
    <x v="0"/>
    <x v="0"/>
    <n v="28"/>
    <n v="0"/>
    <s v=""/>
  </r>
  <r>
    <s v="FB000235"/>
    <x v="1"/>
    <x v="6"/>
    <x v="0"/>
    <s v="S"/>
    <x v="2"/>
    <n v="25.96"/>
    <n v="0"/>
    <n v="25.96"/>
    <d v="2024-10-04T00:00:00"/>
    <n v="2"/>
    <x v="40"/>
    <x v="0"/>
    <x v="0"/>
    <n v="334"/>
    <n v="0"/>
    <s v=""/>
  </r>
  <r>
    <s v="FB000236"/>
    <x v="4"/>
    <x v="0"/>
    <x v="0"/>
    <s v="XXL"/>
    <x v="0"/>
    <n v="60.25"/>
    <n v="0"/>
    <n v="60.25"/>
    <d v="2024-08-16T00:00:00"/>
    <n v="25"/>
    <x v="16"/>
    <x v="0"/>
    <x v="0"/>
    <n v="383"/>
    <n v="0"/>
    <s v=""/>
  </r>
  <r>
    <s v="FB000237"/>
    <x v="2"/>
    <x v="4"/>
    <x v="2"/>
    <m/>
    <x v="0"/>
    <n v="52.33"/>
    <n v="19.100000000000001"/>
    <n v="42.33"/>
    <d v="2025-08-06T00:00:00"/>
    <n v="4"/>
    <x v="73"/>
    <x v="0"/>
    <x v="0"/>
    <n v="28"/>
    <n v="76.400000000000006"/>
    <s v=""/>
  </r>
  <r>
    <s v="FB000238"/>
    <x v="2"/>
    <x v="3"/>
    <x v="2"/>
    <m/>
    <x v="3"/>
    <n v="67.61"/>
    <n v="0"/>
    <n v="67.61"/>
    <d v="2025-08-06T00:00:00"/>
    <n v="14"/>
    <x v="34"/>
    <x v="0"/>
    <x v="0"/>
    <n v="28"/>
    <n v="0"/>
    <s v=""/>
  </r>
  <r>
    <s v="FB000239"/>
    <x v="3"/>
    <x v="7"/>
    <x v="0"/>
    <s v="L"/>
    <x v="10"/>
    <n v="136"/>
    <n v="0"/>
    <n v="136"/>
    <d v="2025-08-01T00:00:00"/>
    <n v="46"/>
    <x v="35"/>
    <x v="0"/>
    <x v="0"/>
    <n v="33"/>
    <n v="0"/>
    <s v=""/>
  </r>
  <r>
    <s v="FB000240"/>
    <x v="3"/>
    <x v="0"/>
    <x v="2"/>
    <m/>
    <x v="10"/>
    <n v="74.48"/>
    <n v="0"/>
    <n v="74.48"/>
    <d v="2025-08-06T00:00:00"/>
    <n v="24"/>
    <x v="17"/>
    <x v="0"/>
    <x v="0"/>
    <n v="28"/>
    <n v="0"/>
    <s v=""/>
  </r>
  <r>
    <s v="FB000241"/>
    <x v="5"/>
    <x v="7"/>
    <x v="2"/>
    <s v="XS"/>
    <x v="1"/>
    <n v="101.39"/>
    <n v="0"/>
    <n v="101.39"/>
    <d v="2025-08-06T00:00:00"/>
    <n v="33"/>
    <x v="13"/>
    <x v="1"/>
    <x v="2"/>
    <n v="28"/>
    <n v="0"/>
    <n v="1"/>
  </r>
  <r>
    <s v="FB000242"/>
    <x v="5"/>
    <x v="7"/>
    <x v="2"/>
    <s v="XXL"/>
    <x v="6"/>
    <n v="169.68"/>
    <n v="41.7"/>
    <n v="98.92"/>
    <d v="2025-08-06T00:00:00"/>
    <n v="43"/>
    <x v="14"/>
    <x v="0"/>
    <x v="0"/>
    <n v="28"/>
    <n v="1793.1000000000001"/>
    <s v=""/>
  </r>
  <r>
    <s v="FB000243"/>
    <x v="2"/>
    <x v="7"/>
    <x v="1"/>
    <m/>
    <x v="9"/>
    <n v="52.45"/>
    <n v="0"/>
    <n v="52.45"/>
    <d v="2025-08-06T00:00:00"/>
    <n v="34"/>
    <x v="54"/>
    <x v="0"/>
    <x v="0"/>
    <n v="28"/>
    <n v="0"/>
    <s v=""/>
  </r>
  <r>
    <s v="FB000244"/>
    <x v="3"/>
    <x v="1"/>
    <x v="3"/>
    <s v="XXL"/>
    <x v="1"/>
    <n v="153.85"/>
    <n v="47.6"/>
    <n v="80.62"/>
    <d v="2025-08-06T00:00:00"/>
    <n v="12"/>
    <x v="47"/>
    <x v="0"/>
    <x v="0"/>
    <n v="28"/>
    <n v="571.20000000000005"/>
    <s v=""/>
  </r>
  <r>
    <s v="FB000245"/>
    <x v="4"/>
    <x v="3"/>
    <x v="2"/>
    <s v="M"/>
    <x v="10"/>
    <n v="32.700000000000003"/>
    <n v="50.5"/>
    <n v="16.190000000000001"/>
    <d v="2025-08-06T00:00:00"/>
    <n v="46"/>
    <x v="49"/>
    <x v="0"/>
    <x v="0"/>
    <n v="28"/>
    <n v="2323"/>
    <s v=""/>
  </r>
  <r>
    <s v="FB000246"/>
    <x v="0"/>
    <x v="1"/>
    <x v="2"/>
    <s v="L"/>
    <x v="8"/>
    <n v="104.27"/>
    <n v="54.6"/>
    <n v="47.34"/>
    <d v="2025-08-06T00:00:00"/>
    <n v="42"/>
    <x v="36"/>
    <x v="0"/>
    <x v="0"/>
    <n v="28"/>
    <n v="2293.2000000000003"/>
    <s v=""/>
  </r>
  <r>
    <s v="FB000247"/>
    <x v="5"/>
    <x v="7"/>
    <x v="3"/>
    <s v="M"/>
    <x v="4"/>
    <n v="80.040000000000006"/>
    <n v="50.9"/>
    <n v="39.299999999999997"/>
    <d v="2025-08-06T00:00:00"/>
    <n v="45"/>
    <x v="43"/>
    <x v="0"/>
    <x v="0"/>
    <n v="28"/>
    <n v="2290.5"/>
    <s v=""/>
  </r>
  <r>
    <s v="FB000248"/>
    <x v="4"/>
    <x v="2"/>
    <x v="0"/>
    <s v="M"/>
    <x v="2"/>
    <n v="72.069999999999993"/>
    <n v="0"/>
    <n v="72.069999999999993"/>
    <d v="2025-05-08T00:00:00"/>
    <n v="20"/>
    <x v="28"/>
    <x v="1"/>
    <x v="1"/>
    <n v="118"/>
    <n v="0"/>
    <n v="1"/>
  </r>
  <r>
    <s v="FB000249"/>
    <x v="0"/>
    <x v="0"/>
    <x v="2"/>
    <s v="M"/>
    <x v="6"/>
    <n v="220.99"/>
    <n v="0"/>
    <n v="220.99"/>
    <d v="2025-08-06T00:00:00"/>
    <n v="42"/>
    <x v="20"/>
    <x v="0"/>
    <x v="0"/>
    <n v="28"/>
    <n v="0"/>
    <s v=""/>
  </r>
  <r>
    <s v="FB000250"/>
    <x v="0"/>
    <x v="1"/>
    <x v="2"/>
    <s v="XS"/>
    <x v="2"/>
    <n v="117.36"/>
    <n v="14.6"/>
    <n v="100.23"/>
    <d v="2025-08-06T00:00:00"/>
    <n v="33"/>
    <x v="7"/>
    <x v="1"/>
    <x v="2"/>
    <n v="28"/>
    <n v="481.8"/>
    <n v="1"/>
  </r>
  <r>
    <s v="FB000251"/>
    <x v="0"/>
    <x v="2"/>
    <x v="0"/>
    <s v="L"/>
    <x v="8"/>
    <n v="198.76"/>
    <n v="48.8"/>
    <n v="101.77"/>
    <d v="2025-04-26T00:00:00"/>
    <n v="36"/>
    <x v="0"/>
    <x v="0"/>
    <x v="0"/>
    <n v="130"/>
    <n v="1756.8"/>
    <s v=""/>
  </r>
  <r>
    <s v="FB000252"/>
    <x v="0"/>
    <x v="4"/>
    <x v="2"/>
    <s v="L"/>
    <x v="2"/>
    <n v="121.03"/>
    <n v="0"/>
    <n v="121.03"/>
    <d v="2025-08-06T00:00:00"/>
    <n v="14"/>
    <x v="6"/>
    <x v="1"/>
    <x v="5"/>
    <n v="28"/>
    <n v="0"/>
    <n v="1"/>
  </r>
  <r>
    <s v="FB000253"/>
    <x v="1"/>
    <x v="4"/>
    <x v="2"/>
    <s v="L"/>
    <x v="3"/>
    <n v="88.62"/>
    <n v="0"/>
    <n v="88.62"/>
    <d v="2025-08-06T00:00:00"/>
    <n v="48"/>
    <x v="13"/>
    <x v="0"/>
    <x v="0"/>
    <n v="28"/>
    <n v="0"/>
    <s v=""/>
  </r>
  <r>
    <s v="FB000254"/>
    <x v="3"/>
    <x v="4"/>
    <x v="3"/>
    <s v="XL"/>
    <x v="6"/>
    <n v="88.94"/>
    <n v="0"/>
    <n v="88.94"/>
    <d v="2025-08-06T00:00:00"/>
    <n v="29"/>
    <x v="38"/>
    <x v="0"/>
    <x v="0"/>
    <n v="28"/>
    <n v="0"/>
    <s v=""/>
  </r>
  <r>
    <s v="FB000255"/>
    <x v="4"/>
    <x v="0"/>
    <x v="1"/>
    <s v="S"/>
    <x v="2"/>
    <n v="115.7"/>
    <n v="17.8"/>
    <n v="95.11"/>
    <d v="2025-08-06T00:00:00"/>
    <n v="32"/>
    <x v="12"/>
    <x v="0"/>
    <x v="0"/>
    <n v="28"/>
    <n v="569.6"/>
    <s v=""/>
  </r>
  <r>
    <s v="FB000256"/>
    <x v="4"/>
    <x v="7"/>
    <x v="2"/>
    <s v="XXL"/>
    <x v="2"/>
    <n v="75.66"/>
    <n v="0"/>
    <n v="75.66"/>
    <d v="2025-08-06T00:00:00"/>
    <n v="20"/>
    <x v="0"/>
    <x v="0"/>
    <x v="0"/>
    <n v="28"/>
    <n v="0"/>
    <s v=""/>
  </r>
  <r>
    <s v="FB000257"/>
    <x v="2"/>
    <x v="5"/>
    <x v="1"/>
    <m/>
    <x v="6"/>
    <n v="42.11"/>
    <n v="0"/>
    <n v="42.11"/>
    <d v="2025-08-06T00:00:00"/>
    <n v="26"/>
    <x v="30"/>
    <x v="0"/>
    <x v="0"/>
    <n v="28"/>
    <n v="0"/>
    <s v=""/>
  </r>
  <r>
    <s v="FB000258"/>
    <x v="0"/>
    <x v="4"/>
    <x v="0"/>
    <s v="XXL"/>
    <x v="7"/>
    <n v="247.9"/>
    <n v="4.3"/>
    <n v="237.24"/>
    <d v="2024-12-25T00:00:00"/>
    <n v="25"/>
    <x v="14"/>
    <x v="0"/>
    <x v="0"/>
    <n v="252"/>
    <n v="107.5"/>
    <s v=""/>
  </r>
  <r>
    <s v="FB000259"/>
    <x v="3"/>
    <x v="2"/>
    <x v="0"/>
    <s v="XL"/>
    <x v="7"/>
    <n v="143.44999999999999"/>
    <n v="0"/>
    <n v="143.44999999999999"/>
    <d v="2024-09-27T00:00:00"/>
    <n v="39"/>
    <x v="74"/>
    <x v="1"/>
    <x v="4"/>
    <n v="341"/>
    <n v="0"/>
    <n v="1"/>
  </r>
  <r>
    <s v="FB000260"/>
    <x v="2"/>
    <x v="2"/>
    <x v="1"/>
    <m/>
    <x v="7"/>
    <n v="24.96"/>
    <n v="44.7"/>
    <n v="13.8"/>
    <d v="2025-08-06T00:00:00"/>
    <n v="44"/>
    <x v="33"/>
    <x v="0"/>
    <x v="0"/>
    <n v="28"/>
    <n v="1966.8000000000002"/>
    <s v=""/>
  </r>
  <r>
    <s v="FB000261"/>
    <x v="0"/>
    <x v="7"/>
    <x v="3"/>
    <s v="XL"/>
    <x v="8"/>
    <n v="109.74"/>
    <n v="0"/>
    <n v="109.74"/>
    <d v="2025-08-06T00:00:00"/>
    <n v="45"/>
    <x v="42"/>
    <x v="0"/>
    <x v="0"/>
    <n v="28"/>
    <n v="0"/>
    <s v=""/>
  </r>
  <r>
    <s v="FB000262"/>
    <x v="5"/>
    <x v="4"/>
    <x v="3"/>
    <s v="XL"/>
    <x v="5"/>
    <n v="161.13999999999999"/>
    <n v="0"/>
    <n v="161.13999999999999"/>
    <d v="2025-08-06T00:00:00"/>
    <n v="44"/>
    <x v="6"/>
    <x v="0"/>
    <x v="0"/>
    <n v="28"/>
    <n v="0"/>
    <s v=""/>
  </r>
  <r>
    <s v="FB000263"/>
    <x v="0"/>
    <x v="2"/>
    <x v="0"/>
    <s v="XXL"/>
    <x v="10"/>
    <n v="220.14"/>
    <n v="9.1999999999999993"/>
    <n v="199.89"/>
    <d v="2025-06-27T00:00:00"/>
    <n v="23"/>
    <x v="51"/>
    <x v="0"/>
    <x v="0"/>
    <n v="68"/>
    <n v="211.6"/>
    <s v=""/>
  </r>
  <r>
    <s v="FB000264"/>
    <x v="5"/>
    <x v="7"/>
    <x v="3"/>
    <s v="S"/>
    <x v="1"/>
    <n v="57.33"/>
    <n v="0"/>
    <n v="57.33"/>
    <d v="2025-08-06T00:00:00"/>
    <n v="23"/>
    <x v="66"/>
    <x v="0"/>
    <x v="0"/>
    <n v="28"/>
    <n v="0"/>
    <s v=""/>
  </r>
  <r>
    <s v="FB000265"/>
    <x v="4"/>
    <x v="0"/>
    <x v="2"/>
    <s v="XXL"/>
    <x v="5"/>
    <n v="108.24"/>
    <n v="0"/>
    <n v="108.24"/>
    <d v="2025-08-06T00:00:00"/>
    <n v="8"/>
    <x v="39"/>
    <x v="0"/>
    <x v="0"/>
    <n v="28"/>
    <n v="0"/>
    <s v=""/>
  </r>
  <r>
    <s v="FB000266"/>
    <x v="2"/>
    <x v="2"/>
    <x v="3"/>
    <m/>
    <x v="4"/>
    <n v="67.930000000000007"/>
    <n v="0"/>
    <n v="67.930000000000007"/>
    <d v="2025-08-06T00:00:00"/>
    <n v="22"/>
    <x v="14"/>
    <x v="0"/>
    <x v="0"/>
    <n v="28"/>
    <n v="0"/>
    <s v=""/>
  </r>
  <r>
    <s v="FB000267"/>
    <x v="5"/>
    <x v="0"/>
    <x v="1"/>
    <s v="XS"/>
    <x v="5"/>
    <n v="168.96"/>
    <n v="0"/>
    <n v="168.96"/>
    <d v="2025-08-06T00:00:00"/>
    <n v="9"/>
    <x v="75"/>
    <x v="0"/>
    <x v="0"/>
    <n v="28"/>
    <n v="0"/>
    <s v=""/>
  </r>
  <r>
    <s v="FB000268"/>
    <x v="1"/>
    <x v="5"/>
    <x v="2"/>
    <s v="S"/>
    <x v="3"/>
    <n v="90.63"/>
    <n v="0"/>
    <n v="90.63"/>
    <d v="2025-08-06T00:00:00"/>
    <n v="33"/>
    <x v="36"/>
    <x v="0"/>
    <x v="0"/>
    <n v="28"/>
    <n v="0"/>
    <s v=""/>
  </r>
  <r>
    <s v="FB000269"/>
    <x v="2"/>
    <x v="3"/>
    <x v="0"/>
    <m/>
    <x v="6"/>
    <n v="72.3"/>
    <n v="0.4"/>
    <n v="72.010000000000005"/>
    <d v="2024-12-29T00:00:00"/>
    <n v="38"/>
    <x v="0"/>
    <x v="1"/>
    <x v="1"/>
    <n v="248"/>
    <n v="15.200000000000001"/>
    <n v="1"/>
  </r>
  <r>
    <s v="FB000270"/>
    <x v="4"/>
    <x v="4"/>
    <x v="1"/>
    <s v="S"/>
    <x v="7"/>
    <n v="27.98"/>
    <n v="0"/>
    <n v="27.98"/>
    <d v="2025-08-06T00:00:00"/>
    <n v="0"/>
    <x v="0"/>
    <x v="0"/>
    <x v="0"/>
    <n v="28"/>
    <n v="0"/>
    <s v=""/>
  </r>
  <r>
    <s v="FB000271"/>
    <x v="5"/>
    <x v="7"/>
    <x v="3"/>
    <m/>
    <x v="8"/>
    <n v="92.73"/>
    <n v="0"/>
    <n v="92.73"/>
    <d v="2025-08-06T00:00:00"/>
    <n v="15"/>
    <x v="40"/>
    <x v="0"/>
    <x v="0"/>
    <n v="28"/>
    <n v="0"/>
    <s v=""/>
  </r>
  <r>
    <s v="FB000272"/>
    <x v="4"/>
    <x v="3"/>
    <x v="3"/>
    <s v="XXL"/>
    <x v="3"/>
    <n v="64.28"/>
    <n v="0"/>
    <n v="64.28"/>
    <d v="2025-08-06T00:00:00"/>
    <n v="46"/>
    <x v="0"/>
    <x v="0"/>
    <x v="0"/>
    <n v="28"/>
    <n v="0"/>
    <s v=""/>
  </r>
  <r>
    <s v="FB000273"/>
    <x v="5"/>
    <x v="5"/>
    <x v="2"/>
    <s v="M"/>
    <x v="2"/>
    <n v="133.12"/>
    <n v="0"/>
    <n v="133.12"/>
    <d v="2025-08-06T00:00:00"/>
    <n v="35"/>
    <x v="42"/>
    <x v="0"/>
    <x v="0"/>
    <n v="28"/>
    <n v="0"/>
    <s v=""/>
  </r>
  <r>
    <s v="FB000274"/>
    <x v="1"/>
    <x v="6"/>
    <x v="1"/>
    <s v="XXL"/>
    <x v="10"/>
    <n v="70.36"/>
    <n v="0"/>
    <n v="70.36"/>
    <d v="2025-08-06T00:00:00"/>
    <n v="0"/>
    <x v="24"/>
    <x v="0"/>
    <x v="0"/>
    <n v="28"/>
    <n v="0"/>
    <s v=""/>
  </r>
  <r>
    <s v="FB000275"/>
    <x v="0"/>
    <x v="1"/>
    <x v="3"/>
    <s v="XL"/>
    <x v="1"/>
    <n v="199.01"/>
    <n v="0"/>
    <n v="199.01"/>
    <d v="2025-08-06T00:00:00"/>
    <n v="8"/>
    <x v="9"/>
    <x v="0"/>
    <x v="0"/>
    <n v="28"/>
    <n v="0"/>
    <s v=""/>
  </r>
  <r>
    <s v="FB000276"/>
    <x v="4"/>
    <x v="4"/>
    <x v="3"/>
    <s v="L"/>
    <x v="8"/>
    <n v="62.41"/>
    <n v="37.1"/>
    <n v="39.26"/>
    <d v="2025-08-06T00:00:00"/>
    <n v="6"/>
    <x v="16"/>
    <x v="0"/>
    <x v="0"/>
    <n v="28"/>
    <n v="222.60000000000002"/>
    <s v=""/>
  </r>
  <r>
    <s v="FB000277"/>
    <x v="3"/>
    <x v="1"/>
    <x v="3"/>
    <s v="XS"/>
    <x v="2"/>
    <n v="71.44"/>
    <n v="0"/>
    <n v="71.44"/>
    <d v="2025-08-06T00:00:00"/>
    <n v="45"/>
    <x v="30"/>
    <x v="0"/>
    <x v="0"/>
    <n v="28"/>
    <n v="0"/>
    <s v=""/>
  </r>
  <r>
    <s v="FB000278"/>
    <x v="5"/>
    <x v="0"/>
    <x v="1"/>
    <m/>
    <x v="5"/>
    <n v="89.69"/>
    <n v="0"/>
    <n v="89.69"/>
    <d v="2025-08-06T00:00:00"/>
    <n v="50"/>
    <x v="2"/>
    <x v="0"/>
    <x v="0"/>
    <n v="28"/>
    <n v="0"/>
    <s v=""/>
  </r>
  <r>
    <s v="FB000279"/>
    <x v="0"/>
    <x v="3"/>
    <x v="0"/>
    <s v="XXL"/>
    <x v="4"/>
    <n v="161.65"/>
    <n v="10.199999999999999"/>
    <n v="145.16"/>
    <d v="2025-03-30T00:00:00"/>
    <n v="42"/>
    <x v="45"/>
    <x v="0"/>
    <x v="0"/>
    <n v="157"/>
    <n v="428.4"/>
    <s v=""/>
  </r>
  <r>
    <s v="FB000280"/>
    <x v="2"/>
    <x v="1"/>
    <x v="1"/>
    <m/>
    <x v="3"/>
    <n v="46.59"/>
    <n v="0"/>
    <n v="46.59"/>
    <d v="2025-08-06T00:00:00"/>
    <n v="29"/>
    <x v="51"/>
    <x v="0"/>
    <x v="0"/>
    <n v="28"/>
    <n v="0"/>
    <s v=""/>
  </r>
  <r>
    <s v="FB000281"/>
    <x v="2"/>
    <x v="0"/>
    <x v="2"/>
    <m/>
    <x v="1"/>
    <n v="74.2"/>
    <n v="0"/>
    <n v="74.2"/>
    <d v="2025-08-06T00:00:00"/>
    <n v="22"/>
    <x v="12"/>
    <x v="0"/>
    <x v="0"/>
    <n v="28"/>
    <n v="0"/>
    <s v=""/>
  </r>
  <r>
    <s v="FB000282"/>
    <x v="4"/>
    <x v="1"/>
    <x v="2"/>
    <s v="S"/>
    <x v="10"/>
    <n v="99.67"/>
    <n v="0"/>
    <n v="99.67"/>
    <d v="2025-08-06T00:00:00"/>
    <n v="13"/>
    <x v="64"/>
    <x v="0"/>
    <x v="0"/>
    <n v="28"/>
    <n v="0"/>
    <s v=""/>
  </r>
  <r>
    <s v="FB000283"/>
    <x v="3"/>
    <x v="7"/>
    <x v="2"/>
    <s v="XS"/>
    <x v="9"/>
    <n v="112.74"/>
    <n v="23"/>
    <n v="86.81"/>
    <d v="2025-08-06T00:00:00"/>
    <n v="37"/>
    <x v="50"/>
    <x v="0"/>
    <x v="0"/>
    <n v="28"/>
    <n v="851"/>
    <s v=""/>
  </r>
  <r>
    <s v="FB000284"/>
    <x v="1"/>
    <x v="2"/>
    <x v="3"/>
    <s v="S"/>
    <x v="2"/>
    <n v="95.82"/>
    <n v="39.4"/>
    <n v="58.07"/>
    <d v="2025-08-06T00:00:00"/>
    <n v="6"/>
    <x v="4"/>
    <x v="1"/>
    <x v="3"/>
    <n v="28"/>
    <n v="236.39999999999998"/>
    <n v="1"/>
  </r>
  <r>
    <s v="FB000285"/>
    <x v="3"/>
    <x v="5"/>
    <x v="1"/>
    <s v="M"/>
    <x v="6"/>
    <n v="157.41999999999999"/>
    <n v="0"/>
    <n v="157.41999999999999"/>
    <d v="2025-08-06T00:00:00"/>
    <n v="38"/>
    <x v="13"/>
    <x v="0"/>
    <x v="0"/>
    <n v="28"/>
    <n v="0"/>
    <s v=""/>
  </r>
  <r>
    <s v="FB000286"/>
    <x v="2"/>
    <x v="0"/>
    <x v="2"/>
    <m/>
    <x v="0"/>
    <n v="60.17"/>
    <n v="14.1"/>
    <n v="51.69"/>
    <d v="2025-08-06T00:00:00"/>
    <n v="38"/>
    <x v="64"/>
    <x v="0"/>
    <x v="0"/>
    <n v="28"/>
    <n v="535.79999999999995"/>
    <s v=""/>
  </r>
  <r>
    <s v="FB000287"/>
    <x v="0"/>
    <x v="3"/>
    <x v="1"/>
    <s v="XL"/>
    <x v="1"/>
    <n v="169.03"/>
    <n v="0"/>
    <n v="169.03"/>
    <d v="2025-08-06T00:00:00"/>
    <n v="16"/>
    <x v="12"/>
    <x v="0"/>
    <x v="0"/>
    <n v="28"/>
    <n v="0"/>
    <s v=""/>
  </r>
  <r>
    <s v="FB000288"/>
    <x v="5"/>
    <x v="1"/>
    <x v="2"/>
    <s v="S"/>
    <x v="1"/>
    <n v="175.86"/>
    <n v="0"/>
    <n v="175.86"/>
    <d v="2025-08-06T00:00:00"/>
    <n v="0"/>
    <x v="14"/>
    <x v="0"/>
    <x v="0"/>
    <n v="28"/>
    <n v="0"/>
    <s v=""/>
  </r>
  <r>
    <s v="FB000289"/>
    <x v="3"/>
    <x v="3"/>
    <x v="3"/>
    <m/>
    <x v="10"/>
    <n v="169.75"/>
    <n v="0"/>
    <n v="169.75"/>
    <d v="2025-08-06T00:00:00"/>
    <n v="5"/>
    <x v="67"/>
    <x v="0"/>
    <x v="0"/>
    <n v="28"/>
    <n v="0"/>
    <s v=""/>
  </r>
  <r>
    <s v="FB000290"/>
    <x v="2"/>
    <x v="4"/>
    <x v="3"/>
    <m/>
    <x v="0"/>
    <n v="51.77"/>
    <n v="24.3"/>
    <n v="39.19"/>
    <d v="2025-08-06T00:00:00"/>
    <n v="50"/>
    <x v="17"/>
    <x v="0"/>
    <x v="0"/>
    <n v="28"/>
    <n v="1215"/>
    <s v=""/>
  </r>
  <r>
    <s v="FB000291"/>
    <x v="1"/>
    <x v="3"/>
    <x v="2"/>
    <s v="M"/>
    <x v="2"/>
    <n v="83.09"/>
    <n v="0"/>
    <n v="83.09"/>
    <d v="2025-08-06T00:00:00"/>
    <n v="22"/>
    <x v="39"/>
    <x v="0"/>
    <x v="0"/>
    <n v="28"/>
    <n v="0"/>
    <s v=""/>
  </r>
  <r>
    <s v="FB000292"/>
    <x v="0"/>
    <x v="5"/>
    <x v="1"/>
    <s v="XS"/>
    <x v="9"/>
    <n v="176.1"/>
    <n v="0"/>
    <n v="176.1"/>
    <d v="2025-08-06T00:00:00"/>
    <n v="12"/>
    <x v="14"/>
    <x v="0"/>
    <x v="0"/>
    <n v="28"/>
    <n v="0"/>
    <s v=""/>
  </r>
  <r>
    <s v="FB000293"/>
    <x v="4"/>
    <x v="3"/>
    <x v="2"/>
    <s v="M"/>
    <x v="5"/>
    <n v="69.11"/>
    <n v="0"/>
    <n v="69.11"/>
    <d v="2025-08-06T00:00:00"/>
    <n v="18"/>
    <x v="38"/>
    <x v="0"/>
    <x v="0"/>
    <n v="28"/>
    <n v="0"/>
    <s v=""/>
  </r>
  <r>
    <s v="FB000294"/>
    <x v="3"/>
    <x v="0"/>
    <x v="0"/>
    <s v="S"/>
    <x v="9"/>
    <n v="117.85"/>
    <n v="0"/>
    <n v="117.85"/>
    <d v="2024-12-23T00:00:00"/>
    <n v="34"/>
    <x v="31"/>
    <x v="0"/>
    <x v="0"/>
    <n v="254"/>
    <n v="0"/>
    <s v=""/>
  </r>
  <r>
    <s v="FB000295"/>
    <x v="3"/>
    <x v="2"/>
    <x v="2"/>
    <s v="M"/>
    <x v="9"/>
    <n v="96.17"/>
    <n v="36"/>
    <n v="61.55"/>
    <d v="2025-08-06T00:00:00"/>
    <n v="45"/>
    <x v="15"/>
    <x v="0"/>
    <x v="0"/>
    <n v="28"/>
    <n v="1620"/>
    <s v=""/>
  </r>
  <r>
    <s v="FB000296"/>
    <x v="3"/>
    <x v="0"/>
    <x v="0"/>
    <s v="XXL"/>
    <x v="0"/>
    <n v="80.14"/>
    <n v="0"/>
    <n v="80.14"/>
    <d v="2025-03-31T00:00:00"/>
    <n v="10"/>
    <x v="64"/>
    <x v="0"/>
    <x v="0"/>
    <n v="156"/>
    <n v="0"/>
    <s v=""/>
  </r>
  <r>
    <s v="FB000297"/>
    <x v="2"/>
    <x v="6"/>
    <x v="3"/>
    <m/>
    <x v="1"/>
    <n v="55.08"/>
    <n v="13"/>
    <n v="47.92"/>
    <d v="2025-08-06T00:00:00"/>
    <n v="17"/>
    <x v="38"/>
    <x v="0"/>
    <x v="0"/>
    <n v="28"/>
    <n v="221"/>
    <s v=""/>
  </r>
  <r>
    <s v="FB000298"/>
    <x v="5"/>
    <x v="3"/>
    <x v="2"/>
    <s v="S"/>
    <x v="1"/>
    <n v="165.84"/>
    <n v="50.4"/>
    <n v="82.26"/>
    <d v="2025-08-06T00:00:00"/>
    <n v="17"/>
    <x v="53"/>
    <x v="1"/>
    <x v="3"/>
    <n v="28"/>
    <n v="856.8"/>
    <n v="1"/>
  </r>
  <r>
    <s v="FB000299"/>
    <x v="5"/>
    <x v="6"/>
    <x v="3"/>
    <s v="XXL"/>
    <x v="0"/>
    <n v="82.7"/>
    <n v="0"/>
    <n v="82.7"/>
    <d v="2025-08-06T00:00:00"/>
    <n v="20"/>
    <x v="30"/>
    <x v="0"/>
    <x v="0"/>
    <n v="28"/>
    <n v="0"/>
    <s v=""/>
  </r>
  <r>
    <s v="FB000300"/>
    <x v="0"/>
    <x v="2"/>
    <x v="0"/>
    <s v="S"/>
    <x v="9"/>
    <n v="222.86"/>
    <n v="6.6"/>
    <n v="208.15"/>
    <d v="2024-12-19T00:00:00"/>
    <n v="29"/>
    <x v="54"/>
    <x v="0"/>
    <x v="0"/>
    <n v="258"/>
    <n v="191.39999999999998"/>
    <s v=""/>
  </r>
  <r>
    <s v="FB000301"/>
    <x v="1"/>
    <x v="3"/>
    <x v="1"/>
    <s v="L"/>
    <x v="4"/>
    <n v="107.15"/>
    <n v="0"/>
    <n v="107.15"/>
    <d v="2025-08-06T00:00:00"/>
    <n v="33"/>
    <x v="60"/>
    <x v="1"/>
    <x v="6"/>
    <n v="28"/>
    <n v="0"/>
    <n v="1"/>
  </r>
  <r>
    <s v="FB000302"/>
    <x v="3"/>
    <x v="4"/>
    <x v="2"/>
    <s v="XXL"/>
    <x v="4"/>
    <n v="85.54"/>
    <n v="0"/>
    <n v="85.54"/>
    <d v="2025-08-06T00:00:00"/>
    <n v="30"/>
    <x v="76"/>
    <x v="0"/>
    <x v="0"/>
    <n v="28"/>
    <n v="0"/>
    <s v=""/>
  </r>
  <r>
    <s v="FB000303"/>
    <x v="4"/>
    <x v="3"/>
    <x v="3"/>
    <s v="XL"/>
    <x v="6"/>
    <n v="34.36"/>
    <n v="5.4"/>
    <n v="32.5"/>
    <d v="2025-08-06T00:00:00"/>
    <n v="49"/>
    <x v="35"/>
    <x v="0"/>
    <x v="0"/>
    <n v="28"/>
    <n v="264.60000000000002"/>
    <s v=""/>
  </r>
  <r>
    <s v="FB000304"/>
    <x v="4"/>
    <x v="3"/>
    <x v="1"/>
    <s v="XL"/>
    <x v="2"/>
    <n v="111.25"/>
    <n v="42.2"/>
    <n v="64.3"/>
    <d v="2025-08-06T00:00:00"/>
    <n v="34"/>
    <x v="0"/>
    <x v="0"/>
    <x v="0"/>
    <n v="28"/>
    <n v="1434.8000000000002"/>
    <s v=""/>
  </r>
  <r>
    <s v="FB000305"/>
    <x v="1"/>
    <x v="0"/>
    <x v="0"/>
    <s v="XXL"/>
    <x v="1"/>
    <n v="39.97"/>
    <n v="35.200000000000003"/>
    <n v="25.9"/>
    <d v="2025-01-22T00:00:00"/>
    <n v="15"/>
    <x v="39"/>
    <x v="0"/>
    <x v="0"/>
    <n v="224"/>
    <n v="528"/>
    <s v=""/>
  </r>
  <r>
    <s v="FB000306"/>
    <x v="3"/>
    <x v="7"/>
    <x v="3"/>
    <s v="M"/>
    <x v="3"/>
    <n v="60.34"/>
    <n v="0"/>
    <n v="60.34"/>
    <d v="2025-08-06T00:00:00"/>
    <n v="4"/>
    <x v="63"/>
    <x v="0"/>
    <x v="0"/>
    <n v="28"/>
    <n v="0"/>
    <s v=""/>
  </r>
  <r>
    <s v="FB000307"/>
    <x v="2"/>
    <x v="6"/>
    <x v="3"/>
    <m/>
    <x v="5"/>
    <n v="17.7"/>
    <n v="0"/>
    <n v="17.7"/>
    <d v="2025-08-06T00:00:00"/>
    <n v="42"/>
    <x v="38"/>
    <x v="0"/>
    <x v="0"/>
    <n v="28"/>
    <n v="0"/>
    <s v=""/>
  </r>
  <r>
    <s v="FB000308"/>
    <x v="4"/>
    <x v="3"/>
    <x v="3"/>
    <s v="M"/>
    <x v="3"/>
    <n v="57.88"/>
    <n v="0"/>
    <n v="57.88"/>
    <d v="2025-08-06T00:00:00"/>
    <n v="39"/>
    <x v="0"/>
    <x v="0"/>
    <x v="0"/>
    <n v="28"/>
    <n v="0"/>
    <s v=""/>
  </r>
  <r>
    <s v="FB000309"/>
    <x v="1"/>
    <x v="3"/>
    <x v="3"/>
    <s v="S"/>
    <x v="5"/>
    <n v="25.15"/>
    <n v="0"/>
    <n v="25.15"/>
    <d v="2025-08-06T00:00:00"/>
    <n v="34"/>
    <x v="3"/>
    <x v="0"/>
    <x v="0"/>
    <n v="28"/>
    <n v="0"/>
    <s v=""/>
  </r>
  <r>
    <s v="FB000310"/>
    <x v="0"/>
    <x v="3"/>
    <x v="0"/>
    <s v="L"/>
    <x v="9"/>
    <n v="157.44999999999999"/>
    <n v="0"/>
    <n v="157.44999999999999"/>
    <d v="2025-05-26T00:00:00"/>
    <n v="7"/>
    <x v="5"/>
    <x v="0"/>
    <x v="0"/>
    <n v="100"/>
    <n v="0"/>
    <s v=""/>
  </r>
  <r>
    <s v="FB000311"/>
    <x v="4"/>
    <x v="4"/>
    <x v="1"/>
    <s v="L"/>
    <x v="9"/>
    <n v="65.72"/>
    <n v="9.1"/>
    <n v="59.74"/>
    <d v="2025-08-06T00:00:00"/>
    <n v="10"/>
    <x v="32"/>
    <x v="1"/>
    <x v="4"/>
    <n v="28"/>
    <n v="91"/>
    <n v="1"/>
  </r>
  <r>
    <s v="FB000312"/>
    <x v="5"/>
    <x v="7"/>
    <x v="1"/>
    <s v="XXL"/>
    <x v="10"/>
    <n v="92.8"/>
    <n v="0"/>
    <n v="92.8"/>
    <d v="2025-08-06T00:00:00"/>
    <n v="25"/>
    <x v="1"/>
    <x v="0"/>
    <x v="0"/>
    <n v="28"/>
    <n v="0"/>
    <s v=""/>
  </r>
  <r>
    <s v="FB000313"/>
    <x v="5"/>
    <x v="2"/>
    <x v="1"/>
    <s v="XL"/>
    <x v="5"/>
    <n v="88.65"/>
    <n v="0"/>
    <n v="88.65"/>
    <d v="2025-08-06T00:00:00"/>
    <n v="11"/>
    <x v="31"/>
    <x v="0"/>
    <x v="0"/>
    <n v="28"/>
    <n v="0"/>
    <s v=""/>
  </r>
  <r>
    <s v="FB000314"/>
    <x v="1"/>
    <x v="0"/>
    <x v="1"/>
    <s v="XXL"/>
    <x v="7"/>
    <n v="47.07"/>
    <n v="57.4"/>
    <n v="20.05"/>
    <d v="2025-08-06T00:00:00"/>
    <n v="24"/>
    <x v="49"/>
    <x v="1"/>
    <x v="2"/>
    <n v="28"/>
    <n v="1377.6"/>
    <n v="1"/>
  </r>
  <r>
    <s v="FB000315"/>
    <x v="0"/>
    <x v="5"/>
    <x v="3"/>
    <s v="XS"/>
    <x v="0"/>
    <n v="101.75"/>
    <n v="0"/>
    <n v="101.75"/>
    <d v="2025-08-06T00:00:00"/>
    <n v="7"/>
    <x v="47"/>
    <x v="0"/>
    <x v="0"/>
    <n v="28"/>
    <n v="0"/>
    <s v=""/>
  </r>
  <r>
    <s v="FB000316"/>
    <x v="5"/>
    <x v="3"/>
    <x v="0"/>
    <s v="XS"/>
    <x v="5"/>
    <n v="131.08000000000001"/>
    <n v="7.5"/>
    <n v="121.25"/>
    <d v="2024-12-04T00:00:00"/>
    <n v="20"/>
    <x v="35"/>
    <x v="1"/>
    <x v="6"/>
    <n v="273"/>
    <n v="150"/>
    <n v="1"/>
  </r>
  <r>
    <s v="FB000317"/>
    <x v="1"/>
    <x v="0"/>
    <x v="2"/>
    <s v="XS"/>
    <x v="2"/>
    <n v="82.06"/>
    <n v="26.1"/>
    <n v="60.64"/>
    <d v="2025-08-06T00:00:00"/>
    <n v="32"/>
    <x v="25"/>
    <x v="0"/>
    <x v="0"/>
    <n v="28"/>
    <n v="835.2"/>
    <s v=""/>
  </r>
  <r>
    <s v="FB000318"/>
    <x v="5"/>
    <x v="4"/>
    <x v="3"/>
    <s v="L"/>
    <x v="9"/>
    <n v="66.31"/>
    <n v="0"/>
    <n v="66.31"/>
    <d v="2025-08-06T00:00:00"/>
    <n v="47"/>
    <x v="38"/>
    <x v="0"/>
    <x v="0"/>
    <n v="28"/>
    <n v="0"/>
    <s v=""/>
  </r>
  <r>
    <s v="FB000319"/>
    <x v="2"/>
    <x v="1"/>
    <x v="2"/>
    <m/>
    <x v="6"/>
    <n v="26.03"/>
    <n v="0"/>
    <n v="26.03"/>
    <d v="2025-08-06T00:00:00"/>
    <n v="15"/>
    <x v="22"/>
    <x v="0"/>
    <x v="0"/>
    <n v="28"/>
    <n v="0"/>
    <s v=""/>
  </r>
  <r>
    <s v="FB000320"/>
    <x v="3"/>
    <x v="1"/>
    <x v="0"/>
    <s v="S"/>
    <x v="7"/>
    <n v="152.53"/>
    <n v="0"/>
    <n v="152.53"/>
    <d v="2024-11-21T00:00:00"/>
    <n v="24"/>
    <x v="36"/>
    <x v="0"/>
    <x v="0"/>
    <n v="286"/>
    <n v="0"/>
    <s v=""/>
  </r>
  <r>
    <s v="FB000321"/>
    <x v="4"/>
    <x v="3"/>
    <x v="2"/>
    <s v="S"/>
    <x v="7"/>
    <n v="26.16"/>
    <n v="16.2"/>
    <n v="21.92"/>
    <d v="2025-08-06T00:00:00"/>
    <n v="13"/>
    <x v="39"/>
    <x v="0"/>
    <x v="0"/>
    <n v="28"/>
    <n v="210.6"/>
    <s v=""/>
  </r>
  <r>
    <s v="FB000322"/>
    <x v="5"/>
    <x v="1"/>
    <x v="1"/>
    <s v="XXL"/>
    <x v="5"/>
    <n v="89.17"/>
    <n v="10.8"/>
    <n v="79.540000000000006"/>
    <d v="2025-08-06T00:00:00"/>
    <n v="27"/>
    <x v="31"/>
    <x v="0"/>
    <x v="0"/>
    <n v="28"/>
    <n v="291.60000000000002"/>
    <s v=""/>
  </r>
  <r>
    <s v="FB000323"/>
    <x v="4"/>
    <x v="4"/>
    <x v="0"/>
    <m/>
    <x v="3"/>
    <n v="106.37"/>
    <n v="0"/>
    <n v="106.37"/>
    <d v="2025-04-06T00:00:00"/>
    <n v="37"/>
    <x v="26"/>
    <x v="0"/>
    <x v="0"/>
    <n v="150"/>
    <n v="0"/>
    <s v=""/>
  </r>
  <r>
    <s v="FB000324"/>
    <x v="5"/>
    <x v="3"/>
    <x v="2"/>
    <s v="XL"/>
    <x v="3"/>
    <n v="80.95"/>
    <n v="36.799999999999997"/>
    <n v="51.16"/>
    <d v="2025-08-06T00:00:00"/>
    <n v="16"/>
    <x v="1"/>
    <x v="0"/>
    <x v="0"/>
    <n v="28"/>
    <n v="588.79999999999995"/>
    <s v=""/>
  </r>
  <r>
    <s v="FB000325"/>
    <x v="0"/>
    <x v="2"/>
    <x v="3"/>
    <s v="M"/>
    <x v="8"/>
    <n v="169.84"/>
    <n v="50.2"/>
    <n v="84.58"/>
    <d v="2025-08-06T00:00:00"/>
    <n v="21"/>
    <x v="0"/>
    <x v="1"/>
    <x v="4"/>
    <n v="28"/>
    <n v="1054.2"/>
    <n v="1"/>
  </r>
  <r>
    <s v="FB000326"/>
    <x v="5"/>
    <x v="7"/>
    <x v="2"/>
    <s v="M"/>
    <x v="6"/>
    <n v="159.4"/>
    <n v="8.8000000000000007"/>
    <n v="145.37"/>
    <d v="2025-08-06T00:00:00"/>
    <n v="43"/>
    <x v="35"/>
    <x v="0"/>
    <x v="0"/>
    <n v="28"/>
    <n v="378.40000000000003"/>
    <s v=""/>
  </r>
  <r>
    <s v="FB000327"/>
    <x v="4"/>
    <x v="7"/>
    <x v="1"/>
    <s v="S"/>
    <x v="2"/>
    <n v="106.53"/>
    <n v="46.5"/>
    <n v="56.99"/>
    <d v="2025-08-06T00:00:00"/>
    <n v="17"/>
    <x v="77"/>
    <x v="0"/>
    <x v="0"/>
    <n v="28"/>
    <n v="790.5"/>
    <s v=""/>
  </r>
  <r>
    <s v="FB000328"/>
    <x v="2"/>
    <x v="6"/>
    <x v="0"/>
    <m/>
    <x v="2"/>
    <n v="78.81"/>
    <n v="44.7"/>
    <n v="43.58"/>
    <d v="2024-09-13T00:00:00"/>
    <n v="34"/>
    <x v="40"/>
    <x v="0"/>
    <x v="0"/>
    <n v="355"/>
    <n v="1519.8000000000002"/>
    <s v=""/>
  </r>
  <r>
    <s v="FB000329"/>
    <x v="0"/>
    <x v="1"/>
    <x v="3"/>
    <s v="XS"/>
    <x v="4"/>
    <n v="117.45"/>
    <n v="29.5"/>
    <n v="82.8"/>
    <d v="2025-08-06T00:00:00"/>
    <n v="43"/>
    <x v="19"/>
    <x v="0"/>
    <x v="0"/>
    <n v="28"/>
    <n v="1268.5"/>
    <s v=""/>
  </r>
  <r>
    <s v="FB000330"/>
    <x v="2"/>
    <x v="6"/>
    <x v="0"/>
    <m/>
    <x v="7"/>
    <n v="76.94"/>
    <n v="0"/>
    <n v="76.94"/>
    <d v="2025-06-13T00:00:00"/>
    <n v="21"/>
    <x v="2"/>
    <x v="0"/>
    <x v="0"/>
    <n v="82"/>
    <n v="0"/>
    <s v=""/>
  </r>
  <r>
    <s v="FB000331"/>
    <x v="0"/>
    <x v="6"/>
    <x v="3"/>
    <s v="L"/>
    <x v="3"/>
    <n v="232.19"/>
    <n v="0"/>
    <n v="232.19"/>
    <d v="2025-08-06T00:00:00"/>
    <n v="31"/>
    <x v="49"/>
    <x v="1"/>
    <x v="5"/>
    <n v="28"/>
    <n v="0"/>
    <n v="1"/>
  </r>
  <r>
    <s v="FB000332"/>
    <x v="5"/>
    <x v="7"/>
    <x v="2"/>
    <s v="XS"/>
    <x v="8"/>
    <n v="80.400000000000006"/>
    <n v="52.1"/>
    <n v="38.51"/>
    <d v="2025-08-06T00:00:00"/>
    <n v="7"/>
    <x v="19"/>
    <x v="0"/>
    <x v="0"/>
    <n v="28"/>
    <n v="364.7"/>
    <s v=""/>
  </r>
  <r>
    <s v="FB000333"/>
    <x v="4"/>
    <x v="3"/>
    <x v="3"/>
    <s v="XL"/>
    <x v="2"/>
    <n v="102.82"/>
    <n v="0"/>
    <n v="102.82"/>
    <d v="2025-08-06T00:00:00"/>
    <n v="50"/>
    <x v="20"/>
    <x v="0"/>
    <x v="0"/>
    <n v="28"/>
    <n v="0"/>
    <s v=""/>
  </r>
  <r>
    <s v="FB000334"/>
    <x v="2"/>
    <x v="0"/>
    <x v="0"/>
    <m/>
    <x v="8"/>
    <n v="48.5"/>
    <n v="0"/>
    <n v="48.5"/>
    <d v="2025-05-09T00:00:00"/>
    <n v="46"/>
    <x v="78"/>
    <x v="0"/>
    <x v="0"/>
    <n v="117"/>
    <n v="0"/>
    <s v=""/>
  </r>
  <r>
    <s v="FB000335"/>
    <x v="4"/>
    <x v="3"/>
    <x v="2"/>
    <m/>
    <x v="1"/>
    <n v="88.4"/>
    <n v="0"/>
    <n v="88.4"/>
    <d v="2025-08-06T00:00:00"/>
    <n v="1"/>
    <x v="40"/>
    <x v="0"/>
    <x v="0"/>
    <n v="28"/>
    <n v="0"/>
    <s v=""/>
  </r>
  <r>
    <s v="FB000336"/>
    <x v="3"/>
    <x v="3"/>
    <x v="1"/>
    <s v="S"/>
    <x v="2"/>
    <n v="112.5"/>
    <n v="0"/>
    <n v="112.5"/>
    <d v="2025-08-06T00:00:00"/>
    <n v="11"/>
    <x v="2"/>
    <x v="0"/>
    <x v="0"/>
    <n v="28"/>
    <n v="0"/>
    <s v=""/>
  </r>
  <r>
    <s v="FB000337"/>
    <x v="4"/>
    <x v="0"/>
    <x v="2"/>
    <s v="XXL"/>
    <x v="4"/>
    <n v="97.95"/>
    <n v="11.1"/>
    <n v="87.08"/>
    <d v="2025-08-06T00:00:00"/>
    <n v="25"/>
    <x v="13"/>
    <x v="0"/>
    <x v="0"/>
    <n v="28"/>
    <n v="277.5"/>
    <s v=""/>
  </r>
  <r>
    <s v="FB000338"/>
    <x v="0"/>
    <x v="4"/>
    <x v="3"/>
    <s v="M"/>
    <x v="1"/>
    <n v="114.51"/>
    <n v="36.9"/>
    <n v="72.260000000000005"/>
    <d v="2025-08-06T00:00:00"/>
    <n v="33"/>
    <x v="25"/>
    <x v="0"/>
    <x v="0"/>
    <n v="28"/>
    <n v="1217.7"/>
    <s v=""/>
  </r>
  <r>
    <s v="FB000339"/>
    <x v="4"/>
    <x v="0"/>
    <x v="1"/>
    <s v="XS"/>
    <x v="10"/>
    <n v="27.85"/>
    <n v="0"/>
    <n v="27.85"/>
    <d v="2025-08-06T00:00:00"/>
    <n v="0"/>
    <x v="25"/>
    <x v="0"/>
    <x v="0"/>
    <n v="28"/>
    <n v="0"/>
    <s v=""/>
  </r>
  <r>
    <s v="FB000340"/>
    <x v="3"/>
    <x v="5"/>
    <x v="0"/>
    <s v="XL"/>
    <x v="5"/>
    <n v="82.08"/>
    <n v="40.6"/>
    <n v="48.76"/>
    <d v="2025-05-23T00:00:00"/>
    <n v="43"/>
    <x v="1"/>
    <x v="1"/>
    <x v="4"/>
    <n v="103"/>
    <n v="1745.8"/>
    <n v="1"/>
  </r>
  <r>
    <s v="FB000341"/>
    <x v="4"/>
    <x v="3"/>
    <x v="3"/>
    <s v="S"/>
    <x v="2"/>
    <n v="116.41"/>
    <n v="40.700000000000003"/>
    <n v="69.03"/>
    <d v="2025-08-06T00:00:00"/>
    <n v="23"/>
    <x v="19"/>
    <x v="0"/>
    <x v="0"/>
    <n v="28"/>
    <n v="936.1"/>
    <s v=""/>
  </r>
  <r>
    <s v="FB000342"/>
    <x v="4"/>
    <x v="5"/>
    <x v="0"/>
    <s v="M"/>
    <x v="3"/>
    <n v="95.61"/>
    <n v="0"/>
    <n v="95.61"/>
    <d v="2025-06-10T00:00:00"/>
    <n v="47"/>
    <x v="52"/>
    <x v="1"/>
    <x v="4"/>
    <n v="85"/>
    <n v="0"/>
    <n v="1"/>
  </r>
  <r>
    <s v="FB000343"/>
    <x v="3"/>
    <x v="3"/>
    <x v="2"/>
    <s v="M"/>
    <x v="3"/>
    <n v="70.040000000000006"/>
    <n v="0"/>
    <n v="70.040000000000006"/>
    <d v="2025-08-06T00:00:00"/>
    <n v="12"/>
    <x v="13"/>
    <x v="0"/>
    <x v="0"/>
    <n v="28"/>
    <n v="0"/>
    <s v=""/>
  </r>
  <r>
    <s v="FB000344"/>
    <x v="3"/>
    <x v="2"/>
    <x v="1"/>
    <s v="S"/>
    <x v="4"/>
    <n v="112.59"/>
    <n v="54"/>
    <n v="51.79"/>
    <d v="2025-08-06T00:00:00"/>
    <n v="17"/>
    <x v="30"/>
    <x v="0"/>
    <x v="0"/>
    <n v="28"/>
    <n v="918"/>
    <s v=""/>
  </r>
  <r>
    <s v="FB000345"/>
    <x v="2"/>
    <x v="0"/>
    <x v="3"/>
    <m/>
    <x v="9"/>
    <n v="26.8"/>
    <n v="0.9"/>
    <n v="26.56"/>
    <d v="2025-08-06T00:00:00"/>
    <n v="25"/>
    <x v="19"/>
    <x v="1"/>
    <x v="1"/>
    <n v="28"/>
    <n v="22.5"/>
    <n v="1"/>
  </r>
  <r>
    <s v="FB000346"/>
    <x v="1"/>
    <x v="4"/>
    <x v="3"/>
    <s v="L"/>
    <x v="5"/>
    <n v="50.09"/>
    <n v="0"/>
    <n v="50.09"/>
    <d v="2025-08-06T00:00:00"/>
    <n v="47"/>
    <x v="30"/>
    <x v="0"/>
    <x v="0"/>
    <n v="28"/>
    <n v="0"/>
    <s v=""/>
  </r>
  <r>
    <s v="FB000347"/>
    <x v="4"/>
    <x v="3"/>
    <x v="0"/>
    <s v="XS"/>
    <x v="6"/>
    <n v="92.84"/>
    <n v="4.2"/>
    <n v="88.94"/>
    <d v="2025-01-13T00:00:00"/>
    <n v="0"/>
    <x v="18"/>
    <x v="1"/>
    <x v="2"/>
    <n v="233"/>
    <n v="0"/>
    <n v="1"/>
  </r>
  <r>
    <s v="FB000348"/>
    <x v="1"/>
    <x v="1"/>
    <x v="3"/>
    <s v="XXL"/>
    <x v="4"/>
    <n v="114.63"/>
    <n v="0"/>
    <n v="114.63"/>
    <d v="2025-08-06T00:00:00"/>
    <n v="47"/>
    <x v="22"/>
    <x v="1"/>
    <x v="5"/>
    <n v="28"/>
    <n v="0"/>
    <n v="1"/>
  </r>
  <r>
    <s v="FB000349"/>
    <x v="2"/>
    <x v="6"/>
    <x v="3"/>
    <m/>
    <x v="9"/>
    <n v="21.9"/>
    <n v="29.2"/>
    <n v="15.51"/>
    <d v="2025-08-06T00:00:00"/>
    <n v="35"/>
    <x v="66"/>
    <x v="0"/>
    <x v="0"/>
    <n v="28"/>
    <n v="1022"/>
    <s v=""/>
  </r>
  <r>
    <s v="FB000350"/>
    <x v="5"/>
    <x v="0"/>
    <x v="0"/>
    <s v="XS"/>
    <x v="8"/>
    <n v="100.55"/>
    <n v="46.7"/>
    <n v="53.59"/>
    <d v="2025-02-01T00:00:00"/>
    <n v="30"/>
    <x v="75"/>
    <x v="0"/>
    <x v="0"/>
    <n v="214"/>
    <n v="1401"/>
    <s v=""/>
  </r>
  <r>
    <s v="FB000351"/>
    <x v="2"/>
    <x v="7"/>
    <x v="3"/>
    <m/>
    <x v="10"/>
    <n v="47.45"/>
    <n v="16.399999999999999"/>
    <n v="39.67"/>
    <d v="2025-08-06T00:00:00"/>
    <n v="33"/>
    <x v="12"/>
    <x v="0"/>
    <x v="0"/>
    <n v="28"/>
    <n v="541.19999999999993"/>
    <s v=""/>
  </r>
  <r>
    <s v="FB000352"/>
    <x v="4"/>
    <x v="4"/>
    <x v="3"/>
    <s v="XL"/>
    <x v="10"/>
    <n v="113.21"/>
    <n v="0"/>
    <n v="113.21"/>
    <d v="2025-08-06T00:00:00"/>
    <n v="8"/>
    <x v="67"/>
    <x v="0"/>
    <x v="0"/>
    <n v="28"/>
    <n v="0"/>
    <s v=""/>
  </r>
  <r>
    <s v="FB000353"/>
    <x v="5"/>
    <x v="2"/>
    <x v="0"/>
    <s v="XS"/>
    <x v="2"/>
    <n v="163.27000000000001"/>
    <n v="0"/>
    <n v="163.27000000000001"/>
    <d v="2025-04-23T00:00:00"/>
    <n v="24"/>
    <x v="1"/>
    <x v="0"/>
    <x v="0"/>
    <n v="133"/>
    <n v="0"/>
    <s v=""/>
  </r>
  <r>
    <s v="FB000354"/>
    <x v="2"/>
    <x v="1"/>
    <x v="2"/>
    <m/>
    <x v="2"/>
    <n v="44.58"/>
    <n v="0"/>
    <n v="44.58"/>
    <d v="2025-08-06T00:00:00"/>
    <n v="21"/>
    <x v="55"/>
    <x v="0"/>
    <x v="0"/>
    <n v="28"/>
    <n v="0"/>
    <s v=""/>
  </r>
  <r>
    <s v="FB000355"/>
    <x v="5"/>
    <x v="7"/>
    <x v="3"/>
    <s v="L"/>
    <x v="0"/>
    <n v="166.53"/>
    <n v="0"/>
    <n v="166.53"/>
    <d v="2025-08-06T00:00:00"/>
    <n v="28"/>
    <x v="12"/>
    <x v="0"/>
    <x v="0"/>
    <n v="28"/>
    <n v="0"/>
    <s v=""/>
  </r>
  <r>
    <s v="FB000356"/>
    <x v="3"/>
    <x v="2"/>
    <x v="3"/>
    <s v="XL"/>
    <x v="1"/>
    <n v="144.61000000000001"/>
    <n v="0"/>
    <n v="144.61000000000001"/>
    <d v="2025-08-06T00:00:00"/>
    <n v="21"/>
    <x v="1"/>
    <x v="0"/>
    <x v="0"/>
    <n v="28"/>
    <n v="0"/>
    <s v=""/>
  </r>
  <r>
    <s v="FB000357"/>
    <x v="2"/>
    <x v="3"/>
    <x v="2"/>
    <m/>
    <x v="8"/>
    <n v="31"/>
    <n v="0"/>
    <n v="31"/>
    <d v="2025-08-06T00:00:00"/>
    <n v="29"/>
    <x v="42"/>
    <x v="0"/>
    <x v="0"/>
    <n v="28"/>
    <n v="0"/>
    <s v=""/>
  </r>
  <r>
    <s v="FB000358"/>
    <x v="2"/>
    <x v="7"/>
    <x v="1"/>
    <m/>
    <x v="1"/>
    <n v="68.569999999999993"/>
    <n v="29.4"/>
    <n v="48.41"/>
    <d v="2025-08-06T00:00:00"/>
    <n v="4"/>
    <x v="15"/>
    <x v="0"/>
    <x v="0"/>
    <n v="28"/>
    <n v="117.6"/>
    <s v=""/>
  </r>
  <r>
    <s v="FB000359"/>
    <x v="5"/>
    <x v="7"/>
    <x v="3"/>
    <s v="L"/>
    <x v="0"/>
    <n v="73.040000000000006"/>
    <n v="56.5"/>
    <n v="31.77"/>
    <d v="2025-08-06T00:00:00"/>
    <n v="15"/>
    <x v="0"/>
    <x v="1"/>
    <x v="5"/>
    <n v="28"/>
    <n v="847.5"/>
    <n v="1"/>
  </r>
  <r>
    <s v="FB000360"/>
    <x v="1"/>
    <x v="4"/>
    <x v="0"/>
    <s v="L"/>
    <x v="9"/>
    <n v="95.19"/>
    <n v="0"/>
    <n v="95.19"/>
    <d v="2025-02-09T00:00:00"/>
    <n v="13"/>
    <x v="16"/>
    <x v="0"/>
    <x v="0"/>
    <n v="206"/>
    <n v="0"/>
    <s v=""/>
  </r>
  <r>
    <s v="FB000361"/>
    <x v="1"/>
    <x v="6"/>
    <x v="1"/>
    <s v="XS"/>
    <x v="9"/>
    <n v="104.94"/>
    <n v="0"/>
    <n v="104.94"/>
    <d v="2025-08-06T00:00:00"/>
    <n v="42"/>
    <x v="66"/>
    <x v="0"/>
    <x v="0"/>
    <n v="28"/>
    <n v="0"/>
    <s v=""/>
  </r>
  <r>
    <s v="FB000362"/>
    <x v="4"/>
    <x v="6"/>
    <x v="0"/>
    <s v="XXL"/>
    <x v="7"/>
    <n v="97.29"/>
    <n v="0"/>
    <n v="97.29"/>
    <d v="2025-07-29T00:00:00"/>
    <n v="42"/>
    <x v="35"/>
    <x v="0"/>
    <x v="0"/>
    <n v="36"/>
    <n v="0"/>
    <s v=""/>
  </r>
  <r>
    <s v="FB000363"/>
    <x v="3"/>
    <x v="3"/>
    <x v="1"/>
    <s v="L"/>
    <x v="3"/>
    <n v="83.05"/>
    <n v="39.799999999999997"/>
    <n v="50"/>
    <d v="2025-08-06T00:00:00"/>
    <n v="5"/>
    <x v="10"/>
    <x v="0"/>
    <x v="0"/>
    <n v="28"/>
    <n v="199"/>
    <s v=""/>
  </r>
  <r>
    <s v="FB000364"/>
    <x v="0"/>
    <x v="1"/>
    <x v="2"/>
    <s v="S"/>
    <x v="7"/>
    <n v="86.13"/>
    <n v="0"/>
    <n v="86.13"/>
    <d v="2025-08-06T00:00:00"/>
    <n v="28"/>
    <x v="67"/>
    <x v="0"/>
    <x v="0"/>
    <n v="28"/>
    <n v="0"/>
    <s v=""/>
  </r>
  <r>
    <s v="FB000365"/>
    <x v="4"/>
    <x v="2"/>
    <x v="3"/>
    <s v="S"/>
    <x v="3"/>
    <n v="104.13"/>
    <n v="28.7"/>
    <n v="74.239999999999995"/>
    <d v="2025-08-06T00:00:00"/>
    <n v="23"/>
    <x v="47"/>
    <x v="0"/>
    <x v="0"/>
    <n v="28"/>
    <n v="660.1"/>
    <s v=""/>
  </r>
  <r>
    <s v="FB000366"/>
    <x v="2"/>
    <x v="1"/>
    <x v="2"/>
    <m/>
    <x v="6"/>
    <n v="41.7"/>
    <n v="0"/>
    <n v="41.7"/>
    <d v="2025-08-06T00:00:00"/>
    <n v="18"/>
    <x v="53"/>
    <x v="0"/>
    <x v="0"/>
    <n v="28"/>
    <n v="0"/>
    <s v=""/>
  </r>
  <r>
    <s v="FB000367"/>
    <x v="0"/>
    <x v="2"/>
    <x v="0"/>
    <s v="L"/>
    <x v="3"/>
    <n v="80.11"/>
    <n v="0"/>
    <n v="80.11"/>
    <d v="2025-04-16T00:00:00"/>
    <n v="34"/>
    <x v="34"/>
    <x v="0"/>
    <x v="0"/>
    <n v="140"/>
    <n v="0"/>
    <s v=""/>
  </r>
  <r>
    <s v="FB000368"/>
    <x v="1"/>
    <x v="5"/>
    <x v="2"/>
    <s v="L"/>
    <x v="3"/>
    <n v="97.84"/>
    <n v="0"/>
    <n v="97.84"/>
    <d v="2025-08-06T00:00:00"/>
    <n v="16"/>
    <x v="68"/>
    <x v="0"/>
    <x v="0"/>
    <n v="28"/>
    <n v="0"/>
    <s v=""/>
  </r>
  <r>
    <s v="FB000369"/>
    <x v="4"/>
    <x v="6"/>
    <x v="2"/>
    <s v="XL"/>
    <x v="7"/>
    <n v="77.37"/>
    <n v="35.200000000000003"/>
    <n v="50.14"/>
    <d v="2025-08-06T00:00:00"/>
    <n v="14"/>
    <x v="39"/>
    <x v="0"/>
    <x v="0"/>
    <n v="28"/>
    <n v="492.80000000000007"/>
    <s v=""/>
  </r>
  <r>
    <s v="FB000370"/>
    <x v="2"/>
    <x v="4"/>
    <x v="2"/>
    <m/>
    <x v="0"/>
    <n v="36.35"/>
    <n v="37.6"/>
    <n v="22.68"/>
    <d v="2025-08-06T00:00:00"/>
    <n v="49"/>
    <x v="30"/>
    <x v="1"/>
    <x v="5"/>
    <n v="28"/>
    <n v="1842.4"/>
    <n v="1"/>
  </r>
  <r>
    <s v="FB000371"/>
    <x v="0"/>
    <x v="2"/>
    <x v="1"/>
    <s v="XXL"/>
    <x v="6"/>
    <n v="181.04"/>
    <n v="20.2"/>
    <n v="144.47"/>
    <d v="2025-08-06T00:00:00"/>
    <n v="17"/>
    <x v="79"/>
    <x v="1"/>
    <x v="2"/>
    <n v="28"/>
    <n v="343.4"/>
    <n v="1"/>
  </r>
  <r>
    <s v="FB000372"/>
    <x v="0"/>
    <x v="0"/>
    <x v="0"/>
    <s v="XL"/>
    <x v="2"/>
    <n v="158.37"/>
    <n v="0"/>
    <n v="158.37"/>
    <d v="2025-02-15T00:00:00"/>
    <n v="33"/>
    <x v="59"/>
    <x v="0"/>
    <x v="0"/>
    <n v="200"/>
    <n v="0"/>
    <s v=""/>
  </r>
  <r>
    <s v="FB000373"/>
    <x v="3"/>
    <x v="7"/>
    <x v="3"/>
    <s v="XXL"/>
    <x v="9"/>
    <n v="91.98"/>
    <n v="0"/>
    <n v="91.98"/>
    <d v="2025-08-06T00:00:00"/>
    <n v="48"/>
    <x v="38"/>
    <x v="0"/>
    <x v="0"/>
    <n v="28"/>
    <n v="0"/>
    <s v=""/>
  </r>
  <r>
    <s v="FB000374"/>
    <x v="3"/>
    <x v="0"/>
    <x v="1"/>
    <s v="S"/>
    <x v="10"/>
    <n v="140.29"/>
    <n v="55.3"/>
    <n v="62.71"/>
    <d v="2025-08-06T00:00:00"/>
    <n v="5"/>
    <x v="9"/>
    <x v="0"/>
    <x v="0"/>
    <n v="28"/>
    <n v="276.5"/>
    <s v=""/>
  </r>
  <r>
    <s v="FB000375"/>
    <x v="1"/>
    <x v="1"/>
    <x v="0"/>
    <s v="XL"/>
    <x v="0"/>
    <n v="26.01"/>
    <n v="0"/>
    <n v="26.01"/>
    <d v="2025-02-23T00:00:00"/>
    <n v="9"/>
    <x v="30"/>
    <x v="0"/>
    <x v="0"/>
    <n v="192"/>
    <n v="0"/>
    <s v=""/>
  </r>
  <r>
    <s v="FB000376"/>
    <x v="1"/>
    <x v="7"/>
    <x v="1"/>
    <s v="XL"/>
    <x v="5"/>
    <n v="51.06"/>
    <n v="9.5"/>
    <n v="46.21"/>
    <d v="2025-08-06T00:00:00"/>
    <n v="34"/>
    <x v="21"/>
    <x v="0"/>
    <x v="0"/>
    <n v="28"/>
    <n v="323"/>
    <s v=""/>
  </r>
  <r>
    <s v="FB000377"/>
    <x v="0"/>
    <x v="6"/>
    <x v="2"/>
    <s v="XS"/>
    <x v="0"/>
    <n v="132.91999999999999"/>
    <n v="0"/>
    <n v="132.91999999999999"/>
    <d v="2025-08-06T00:00:00"/>
    <n v="36"/>
    <x v="19"/>
    <x v="0"/>
    <x v="0"/>
    <n v="28"/>
    <n v="0"/>
    <s v=""/>
  </r>
  <r>
    <s v="FB000378"/>
    <x v="2"/>
    <x v="6"/>
    <x v="2"/>
    <m/>
    <x v="9"/>
    <n v="16.57"/>
    <n v="0"/>
    <n v="16.57"/>
    <d v="2025-08-06T00:00:00"/>
    <n v="17"/>
    <x v="80"/>
    <x v="0"/>
    <x v="0"/>
    <n v="28"/>
    <n v="0"/>
    <s v=""/>
  </r>
  <r>
    <s v="FB000379"/>
    <x v="4"/>
    <x v="7"/>
    <x v="1"/>
    <s v="XS"/>
    <x v="2"/>
    <n v="78.599999999999994"/>
    <n v="45.8"/>
    <n v="42.6"/>
    <d v="2025-08-06T00:00:00"/>
    <n v="6"/>
    <x v="67"/>
    <x v="0"/>
    <x v="0"/>
    <n v="28"/>
    <n v="274.79999999999995"/>
    <s v=""/>
  </r>
  <r>
    <s v="FB000380"/>
    <x v="2"/>
    <x v="3"/>
    <x v="3"/>
    <m/>
    <x v="10"/>
    <n v="69.38"/>
    <n v="0"/>
    <n v="69.38"/>
    <d v="2025-08-06T00:00:00"/>
    <n v="43"/>
    <x v="13"/>
    <x v="0"/>
    <x v="0"/>
    <n v="28"/>
    <n v="0"/>
    <s v=""/>
  </r>
  <r>
    <s v="FB000381"/>
    <x v="2"/>
    <x v="3"/>
    <x v="2"/>
    <m/>
    <x v="1"/>
    <n v="23.58"/>
    <n v="0"/>
    <n v="23.58"/>
    <d v="2025-08-06T00:00:00"/>
    <n v="16"/>
    <x v="49"/>
    <x v="0"/>
    <x v="0"/>
    <n v="28"/>
    <n v="0"/>
    <s v=""/>
  </r>
  <r>
    <s v="FB000382"/>
    <x v="1"/>
    <x v="4"/>
    <x v="0"/>
    <s v="XS"/>
    <x v="8"/>
    <n v="119.91"/>
    <n v="27.8"/>
    <n v="86.58"/>
    <d v="2024-09-28T00:00:00"/>
    <n v="12"/>
    <x v="12"/>
    <x v="0"/>
    <x v="0"/>
    <n v="340"/>
    <n v="333.6"/>
    <s v=""/>
  </r>
  <r>
    <s v="FB000383"/>
    <x v="0"/>
    <x v="4"/>
    <x v="3"/>
    <s v="M"/>
    <x v="2"/>
    <n v="111.05"/>
    <n v="1.4"/>
    <n v="109.5"/>
    <d v="2025-08-06T00:00:00"/>
    <n v="7"/>
    <x v="32"/>
    <x v="0"/>
    <x v="0"/>
    <n v="28"/>
    <n v="9.7999999999999989"/>
    <s v=""/>
  </r>
  <r>
    <s v="FB000384"/>
    <x v="2"/>
    <x v="2"/>
    <x v="3"/>
    <m/>
    <x v="4"/>
    <n v="60.22"/>
    <n v="0"/>
    <n v="60.22"/>
    <d v="2025-08-06T00:00:00"/>
    <n v="6"/>
    <x v="54"/>
    <x v="0"/>
    <x v="0"/>
    <n v="28"/>
    <n v="0"/>
    <s v=""/>
  </r>
  <r>
    <s v="FB000385"/>
    <x v="0"/>
    <x v="6"/>
    <x v="1"/>
    <s v="M"/>
    <x v="8"/>
    <n v="133.52000000000001"/>
    <n v="0"/>
    <n v="133.52000000000001"/>
    <d v="2025-08-06T00:00:00"/>
    <n v="27"/>
    <x v="20"/>
    <x v="0"/>
    <x v="0"/>
    <n v="28"/>
    <n v="0"/>
    <s v=""/>
  </r>
  <r>
    <s v="FB000386"/>
    <x v="5"/>
    <x v="2"/>
    <x v="0"/>
    <s v="XL"/>
    <x v="10"/>
    <n v="54.97"/>
    <n v="49.6"/>
    <n v="27.7"/>
    <d v="2024-10-08T00:00:00"/>
    <n v="48"/>
    <x v="35"/>
    <x v="0"/>
    <x v="0"/>
    <n v="330"/>
    <n v="2380.8000000000002"/>
    <s v=""/>
  </r>
  <r>
    <s v="FB000387"/>
    <x v="1"/>
    <x v="1"/>
    <x v="1"/>
    <s v="L"/>
    <x v="3"/>
    <n v="85.94"/>
    <n v="0"/>
    <n v="85.94"/>
    <d v="2025-08-06T00:00:00"/>
    <n v="42"/>
    <x v="2"/>
    <x v="0"/>
    <x v="0"/>
    <n v="28"/>
    <n v="0"/>
    <s v=""/>
  </r>
  <r>
    <s v="FB000388"/>
    <x v="2"/>
    <x v="4"/>
    <x v="2"/>
    <m/>
    <x v="2"/>
    <n v="24.64"/>
    <n v="0"/>
    <n v="24.64"/>
    <d v="2025-08-06T00:00:00"/>
    <n v="6"/>
    <x v="9"/>
    <x v="0"/>
    <x v="0"/>
    <n v="28"/>
    <n v="0"/>
    <s v=""/>
  </r>
  <r>
    <s v="FB000389"/>
    <x v="2"/>
    <x v="2"/>
    <x v="0"/>
    <m/>
    <x v="5"/>
    <n v="28.82"/>
    <n v="0"/>
    <n v="28.82"/>
    <d v="2024-10-23T00:00:00"/>
    <n v="30"/>
    <x v="32"/>
    <x v="0"/>
    <x v="0"/>
    <n v="315"/>
    <n v="0"/>
    <s v=""/>
  </r>
  <r>
    <s v="FB000390"/>
    <x v="3"/>
    <x v="7"/>
    <x v="3"/>
    <s v="L"/>
    <x v="1"/>
    <n v="79.59"/>
    <n v="24.3"/>
    <n v="60.25"/>
    <d v="2025-08-06T00:00:00"/>
    <n v="37"/>
    <x v="12"/>
    <x v="0"/>
    <x v="0"/>
    <n v="28"/>
    <n v="899.1"/>
    <s v=""/>
  </r>
  <r>
    <s v="FB000391"/>
    <x v="5"/>
    <x v="6"/>
    <x v="2"/>
    <s v="XL"/>
    <x v="5"/>
    <n v="49.44"/>
    <n v="0"/>
    <n v="49.44"/>
    <d v="2025-08-06T00:00:00"/>
    <n v="19"/>
    <x v="10"/>
    <x v="0"/>
    <x v="0"/>
    <n v="28"/>
    <n v="0"/>
    <s v=""/>
  </r>
  <r>
    <s v="FB000392"/>
    <x v="1"/>
    <x v="3"/>
    <x v="1"/>
    <s v="XS"/>
    <x v="5"/>
    <n v="41.46"/>
    <n v="0"/>
    <n v="41.46"/>
    <d v="2025-08-06T00:00:00"/>
    <n v="36"/>
    <x v="15"/>
    <x v="0"/>
    <x v="0"/>
    <n v="28"/>
    <n v="0"/>
    <s v=""/>
  </r>
  <r>
    <s v="FB000393"/>
    <x v="5"/>
    <x v="1"/>
    <x v="2"/>
    <s v="XS"/>
    <x v="7"/>
    <n v="131.76"/>
    <n v="35.4"/>
    <n v="85.12"/>
    <d v="2025-08-06T00:00:00"/>
    <n v="21"/>
    <x v="52"/>
    <x v="0"/>
    <x v="0"/>
    <n v="28"/>
    <n v="743.4"/>
    <s v=""/>
  </r>
  <r>
    <s v="FB000394"/>
    <x v="4"/>
    <x v="3"/>
    <x v="2"/>
    <s v="M"/>
    <x v="5"/>
    <n v="56.53"/>
    <n v="27.9"/>
    <n v="40.76"/>
    <d v="2025-08-06T00:00:00"/>
    <n v="22"/>
    <x v="18"/>
    <x v="0"/>
    <x v="0"/>
    <n v="28"/>
    <n v="613.79999999999995"/>
    <s v=""/>
  </r>
  <r>
    <s v="FB000395"/>
    <x v="1"/>
    <x v="0"/>
    <x v="1"/>
    <m/>
    <x v="5"/>
    <n v="111.72"/>
    <n v="33.299999999999997"/>
    <n v="74.52"/>
    <d v="2025-08-06T00:00:00"/>
    <n v="47"/>
    <x v="66"/>
    <x v="1"/>
    <x v="4"/>
    <n v="28"/>
    <n v="1565.1"/>
    <n v="1"/>
  </r>
  <r>
    <s v="FB000396"/>
    <x v="1"/>
    <x v="0"/>
    <x v="1"/>
    <s v="L"/>
    <x v="7"/>
    <n v="99.96"/>
    <n v="47.6"/>
    <n v="52.38"/>
    <d v="2025-08-06T00:00:00"/>
    <n v="18"/>
    <x v="66"/>
    <x v="1"/>
    <x v="4"/>
    <n v="28"/>
    <n v="856.80000000000007"/>
    <n v="1"/>
  </r>
  <r>
    <s v="FB000397"/>
    <x v="5"/>
    <x v="1"/>
    <x v="2"/>
    <s v="XS"/>
    <x v="0"/>
    <n v="110.04"/>
    <n v="57.1"/>
    <n v="47.21"/>
    <d v="2025-08-06T00:00:00"/>
    <n v="0"/>
    <x v="52"/>
    <x v="0"/>
    <x v="0"/>
    <n v="28"/>
    <n v="0"/>
    <s v=""/>
  </r>
  <r>
    <s v="FB000398"/>
    <x v="5"/>
    <x v="7"/>
    <x v="1"/>
    <s v="L"/>
    <x v="5"/>
    <n v="141.84"/>
    <n v="0"/>
    <n v="141.84"/>
    <d v="2025-08-06T00:00:00"/>
    <n v="39"/>
    <x v="12"/>
    <x v="0"/>
    <x v="0"/>
    <n v="28"/>
    <n v="0"/>
    <s v=""/>
  </r>
  <r>
    <s v="FB000399"/>
    <x v="2"/>
    <x v="4"/>
    <x v="1"/>
    <m/>
    <x v="10"/>
    <n v="32.630000000000003"/>
    <n v="42.9"/>
    <n v="18.63"/>
    <d v="2025-08-06T00:00:00"/>
    <n v="5"/>
    <x v="21"/>
    <x v="0"/>
    <x v="0"/>
    <n v="28"/>
    <n v="214.5"/>
    <s v=""/>
  </r>
  <r>
    <s v="FB000400"/>
    <x v="0"/>
    <x v="0"/>
    <x v="0"/>
    <s v="L"/>
    <x v="2"/>
    <n v="189.68"/>
    <n v="40.799999999999997"/>
    <n v="112.29"/>
    <d v="2024-09-21T00:00:00"/>
    <n v="27"/>
    <x v="34"/>
    <x v="1"/>
    <x v="3"/>
    <n v="347"/>
    <n v="1101.5999999999999"/>
    <n v="1"/>
  </r>
  <r>
    <s v="FB000401"/>
    <x v="5"/>
    <x v="5"/>
    <x v="2"/>
    <s v="XL"/>
    <x v="1"/>
    <n v="150.88999999999999"/>
    <n v="46.8"/>
    <n v="80.27"/>
    <d v="2025-08-06T00:00:00"/>
    <n v="18"/>
    <x v="26"/>
    <x v="0"/>
    <x v="0"/>
    <n v="28"/>
    <n v="842.4"/>
    <s v=""/>
  </r>
  <r>
    <s v="FB000402"/>
    <x v="2"/>
    <x v="6"/>
    <x v="2"/>
    <m/>
    <x v="8"/>
    <n v="42.66"/>
    <n v="21.5"/>
    <n v="33.49"/>
    <d v="2025-08-06T00:00:00"/>
    <n v="16"/>
    <x v="80"/>
    <x v="0"/>
    <x v="0"/>
    <n v="28"/>
    <n v="344"/>
    <s v=""/>
  </r>
  <r>
    <s v="FB000403"/>
    <x v="2"/>
    <x v="1"/>
    <x v="2"/>
    <m/>
    <x v="0"/>
    <n v="62.05"/>
    <n v="0"/>
    <n v="62.05"/>
    <d v="2025-08-06T00:00:00"/>
    <n v="50"/>
    <x v="40"/>
    <x v="1"/>
    <x v="5"/>
    <n v="28"/>
    <n v="0"/>
    <n v="1"/>
  </r>
  <r>
    <s v="FB000404"/>
    <x v="2"/>
    <x v="2"/>
    <x v="1"/>
    <m/>
    <x v="6"/>
    <n v="74.319999999999993"/>
    <n v="0"/>
    <n v="74.319999999999993"/>
    <d v="2025-08-06T00:00:00"/>
    <n v="4"/>
    <x v="81"/>
    <x v="0"/>
    <x v="0"/>
    <n v="28"/>
    <n v="0"/>
    <s v=""/>
  </r>
  <r>
    <s v="FB000405"/>
    <x v="0"/>
    <x v="1"/>
    <x v="1"/>
    <s v="XS"/>
    <x v="8"/>
    <n v="217.34"/>
    <n v="0"/>
    <n v="217.34"/>
    <d v="2025-08-06T00:00:00"/>
    <n v="4"/>
    <x v="36"/>
    <x v="0"/>
    <x v="0"/>
    <n v="28"/>
    <n v="0"/>
    <s v=""/>
  </r>
  <r>
    <s v="FB000406"/>
    <x v="1"/>
    <x v="0"/>
    <x v="3"/>
    <s v="XL"/>
    <x v="3"/>
    <n v="111.14"/>
    <n v="56.7"/>
    <n v="48.12"/>
    <d v="2025-08-06T00:00:00"/>
    <n v="29"/>
    <x v="25"/>
    <x v="0"/>
    <x v="0"/>
    <n v="28"/>
    <n v="1644.3000000000002"/>
    <s v=""/>
  </r>
  <r>
    <s v="FB000407"/>
    <x v="3"/>
    <x v="4"/>
    <x v="1"/>
    <s v="XL"/>
    <x v="8"/>
    <n v="62.5"/>
    <n v="0"/>
    <n v="62.5"/>
    <d v="2025-08-06T00:00:00"/>
    <n v="0"/>
    <x v="42"/>
    <x v="1"/>
    <x v="5"/>
    <n v="28"/>
    <n v="0"/>
    <n v="1"/>
  </r>
  <r>
    <s v="FB000408"/>
    <x v="0"/>
    <x v="2"/>
    <x v="1"/>
    <s v="XS"/>
    <x v="5"/>
    <n v="165.88"/>
    <n v="3.4"/>
    <n v="160.24"/>
    <d v="2025-08-06T00:00:00"/>
    <n v="42"/>
    <x v="13"/>
    <x v="0"/>
    <x v="0"/>
    <n v="28"/>
    <n v="142.79999999999998"/>
    <s v=""/>
  </r>
  <r>
    <s v="FB000409"/>
    <x v="0"/>
    <x v="6"/>
    <x v="2"/>
    <s v="XS"/>
    <x v="10"/>
    <n v="179.8"/>
    <n v="0"/>
    <n v="179.8"/>
    <d v="2025-08-06T00:00:00"/>
    <n v="25"/>
    <x v="12"/>
    <x v="0"/>
    <x v="0"/>
    <n v="28"/>
    <n v="0"/>
    <s v=""/>
  </r>
  <r>
    <s v="FB000410"/>
    <x v="2"/>
    <x v="0"/>
    <x v="3"/>
    <m/>
    <x v="7"/>
    <n v="34.15"/>
    <n v="0"/>
    <n v="34.15"/>
    <d v="2025-08-06T00:00:00"/>
    <n v="27"/>
    <x v="16"/>
    <x v="0"/>
    <x v="0"/>
    <n v="28"/>
    <n v="0"/>
    <s v=""/>
  </r>
  <r>
    <s v="FB000411"/>
    <x v="1"/>
    <x v="6"/>
    <x v="0"/>
    <s v="XS"/>
    <x v="6"/>
    <n v="101.88"/>
    <n v="0"/>
    <n v="101.88"/>
    <d v="2025-03-14T00:00:00"/>
    <n v="46"/>
    <x v="24"/>
    <x v="1"/>
    <x v="2"/>
    <n v="173"/>
    <n v="0"/>
    <n v="1"/>
  </r>
  <r>
    <s v="FB000412"/>
    <x v="3"/>
    <x v="2"/>
    <x v="3"/>
    <s v="XL"/>
    <x v="5"/>
    <n v="187.58"/>
    <n v="0"/>
    <n v="187.58"/>
    <d v="2025-08-06T00:00:00"/>
    <n v="46"/>
    <x v="5"/>
    <x v="0"/>
    <x v="0"/>
    <n v="28"/>
    <n v="0"/>
    <s v=""/>
  </r>
  <r>
    <s v="FB000413"/>
    <x v="0"/>
    <x v="5"/>
    <x v="2"/>
    <s v="L"/>
    <x v="1"/>
    <n v="145.02000000000001"/>
    <n v="0"/>
    <n v="145.02000000000001"/>
    <d v="2025-08-06T00:00:00"/>
    <n v="36"/>
    <x v="3"/>
    <x v="0"/>
    <x v="0"/>
    <n v="28"/>
    <n v="0"/>
    <s v=""/>
  </r>
  <r>
    <s v="FB000414"/>
    <x v="4"/>
    <x v="6"/>
    <x v="3"/>
    <s v="XS"/>
    <x v="5"/>
    <n v="101.61"/>
    <n v="26.9"/>
    <n v="74.28"/>
    <d v="2025-08-06T00:00:00"/>
    <n v="38"/>
    <x v="10"/>
    <x v="1"/>
    <x v="3"/>
    <n v="28"/>
    <n v="1022.1999999999999"/>
    <n v="1"/>
  </r>
  <r>
    <s v="FB000415"/>
    <x v="5"/>
    <x v="4"/>
    <x v="2"/>
    <s v="XXL"/>
    <x v="7"/>
    <n v="71.14"/>
    <n v="0"/>
    <n v="71.14"/>
    <d v="2025-08-06T00:00:00"/>
    <n v="33"/>
    <x v="47"/>
    <x v="0"/>
    <x v="0"/>
    <n v="28"/>
    <n v="0"/>
    <s v=""/>
  </r>
  <r>
    <s v="FB000416"/>
    <x v="5"/>
    <x v="5"/>
    <x v="3"/>
    <s v="M"/>
    <x v="6"/>
    <n v="55.21"/>
    <n v="0"/>
    <n v="55.21"/>
    <d v="2025-08-06T00:00:00"/>
    <n v="2"/>
    <x v="22"/>
    <x v="1"/>
    <x v="6"/>
    <n v="28"/>
    <n v="0"/>
    <n v="1"/>
  </r>
  <r>
    <s v="FB000417"/>
    <x v="1"/>
    <x v="0"/>
    <x v="3"/>
    <s v="XXL"/>
    <x v="2"/>
    <n v="94.96"/>
    <n v="35.4"/>
    <n v="61.34"/>
    <d v="2025-08-06T00:00:00"/>
    <n v="34"/>
    <x v="38"/>
    <x v="0"/>
    <x v="0"/>
    <n v="28"/>
    <n v="1203.5999999999999"/>
    <s v=""/>
  </r>
  <r>
    <s v="FB000418"/>
    <x v="3"/>
    <x v="3"/>
    <x v="0"/>
    <s v="M"/>
    <x v="9"/>
    <n v="138.69"/>
    <n v="0"/>
    <n v="138.69"/>
    <d v="2024-12-02T00:00:00"/>
    <n v="0"/>
    <x v="5"/>
    <x v="0"/>
    <x v="0"/>
    <n v="275"/>
    <n v="0"/>
    <s v=""/>
  </r>
  <r>
    <s v="FB000419"/>
    <x v="0"/>
    <x v="6"/>
    <x v="0"/>
    <s v="XXL"/>
    <x v="8"/>
    <n v="175.7"/>
    <n v="0"/>
    <n v="175.7"/>
    <d v="2025-02-23T00:00:00"/>
    <n v="20"/>
    <x v="0"/>
    <x v="0"/>
    <x v="0"/>
    <n v="192"/>
    <n v="0"/>
    <s v=""/>
  </r>
  <r>
    <s v="FB000420"/>
    <x v="3"/>
    <x v="1"/>
    <x v="3"/>
    <s v="XS"/>
    <x v="2"/>
    <n v="145.18"/>
    <n v="35.700000000000003"/>
    <n v="93.35"/>
    <d v="2025-08-06T00:00:00"/>
    <n v="25"/>
    <x v="81"/>
    <x v="0"/>
    <x v="0"/>
    <n v="28"/>
    <n v="892.50000000000011"/>
    <s v=""/>
  </r>
  <r>
    <s v="FB000421"/>
    <x v="5"/>
    <x v="3"/>
    <x v="3"/>
    <s v="M"/>
    <x v="2"/>
    <n v="169.34"/>
    <n v="44.6"/>
    <n v="93.81"/>
    <d v="2025-08-06T00:00:00"/>
    <n v="37"/>
    <x v="67"/>
    <x v="0"/>
    <x v="0"/>
    <n v="28"/>
    <n v="1650.2"/>
    <s v=""/>
  </r>
  <r>
    <s v="FB000422"/>
    <x v="1"/>
    <x v="1"/>
    <x v="3"/>
    <s v="L"/>
    <x v="0"/>
    <n v="103.14"/>
    <n v="0"/>
    <n v="103.14"/>
    <d v="2025-08-06T00:00:00"/>
    <n v="13"/>
    <x v="35"/>
    <x v="0"/>
    <x v="0"/>
    <n v="28"/>
    <n v="0"/>
    <s v=""/>
  </r>
  <r>
    <s v="FB000423"/>
    <x v="1"/>
    <x v="3"/>
    <x v="2"/>
    <s v="M"/>
    <x v="7"/>
    <n v="97.47"/>
    <n v="32"/>
    <n v="66.28"/>
    <d v="2025-08-06T00:00:00"/>
    <n v="27"/>
    <x v="0"/>
    <x v="0"/>
    <x v="0"/>
    <n v="28"/>
    <n v="864"/>
    <s v=""/>
  </r>
  <r>
    <s v="FB000424"/>
    <x v="5"/>
    <x v="5"/>
    <x v="0"/>
    <s v="M"/>
    <x v="8"/>
    <n v="50.69"/>
    <n v="26.3"/>
    <n v="37.36"/>
    <d v="2024-10-29T00:00:00"/>
    <n v="37"/>
    <x v="16"/>
    <x v="0"/>
    <x v="0"/>
    <n v="309"/>
    <n v="973.1"/>
    <s v=""/>
  </r>
  <r>
    <s v="FB000425"/>
    <x v="0"/>
    <x v="2"/>
    <x v="2"/>
    <s v="XL"/>
    <x v="2"/>
    <n v="127.75"/>
    <n v="0"/>
    <n v="127.75"/>
    <d v="2025-08-06T00:00:00"/>
    <n v="32"/>
    <x v="20"/>
    <x v="0"/>
    <x v="0"/>
    <n v="28"/>
    <n v="0"/>
    <s v=""/>
  </r>
  <r>
    <s v="FB000426"/>
    <x v="1"/>
    <x v="7"/>
    <x v="1"/>
    <s v="XL"/>
    <x v="2"/>
    <n v="111.64"/>
    <n v="0"/>
    <n v="111.64"/>
    <d v="2025-08-06T00:00:00"/>
    <n v="13"/>
    <x v="51"/>
    <x v="0"/>
    <x v="0"/>
    <n v="28"/>
    <n v="0"/>
    <s v=""/>
  </r>
  <r>
    <s v="FB000427"/>
    <x v="3"/>
    <x v="1"/>
    <x v="2"/>
    <m/>
    <x v="9"/>
    <n v="134.6"/>
    <n v="11.6"/>
    <n v="118.99"/>
    <d v="2025-08-06T00:00:00"/>
    <n v="47"/>
    <x v="38"/>
    <x v="0"/>
    <x v="0"/>
    <n v="28"/>
    <n v="545.19999999999993"/>
    <s v=""/>
  </r>
  <r>
    <s v="FB000428"/>
    <x v="4"/>
    <x v="0"/>
    <x v="0"/>
    <s v="XXL"/>
    <x v="9"/>
    <n v="56.05"/>
    <n v="0"/>
    <n v="56.05"/>
    <d v="2025-07-16T00:00:00"/>
    <n v="9"/>
    <x v="65"/>
    <x v="0"/>
    <x v="0"/>
    <n v="49"/>
    <n v="0"/>
    <s v=""/>
  </r>
  <r>
    <s v="FB000429"/>
    <x v="5"/>
    <x v="2"/>
    <x v="2"/>
    <s v="XL"/>
    <x v="9"/>
    <n v="106.2"/>
    <n v="0"/>
    <n v="106.2"/>
    <d v="2025-08-06T00:00:00"/>
    <n v="35"/>
    <x v="35"/>
    <x v="0"/>
    <x v="0"/>
    <n v="28"/>
    <n v="0"/>
    <s v=""/>
  </r>
  <r>
    <s v="FB000430"/>
    <x v="3"/>
    <x v="3"/>
    <x v="2"/>
    <m/>
    <x v="6"/>
    <n v="104.26"/>
    <n v="20.6"/>
    <n v="82.78"/>
    <d v="2025-08-06T00:00:00"/>
    <n v="31"/>
    <x v="0"/>
    <x v="0"/>
    <x v="0"/>
    <n v="28"/>
    <n v="638.6"/>
    <s v=""/>
  </r>
  <r>
    <s v="FB000431"/>
    <x v="2"/>
    <x v="1"/>
    <x v="0"/>
    <m/>
    <x v="9"/>
    <n v="24.53"/>
    <n v="0"/>
    <n v="24.53"/>
    <d v="2024-08-20T00:00:00"/>
    <n v="44"/>
    <x v="36"/>
    <x v="0"/>
    <x v="0"/>
    <n v="379"/>
    <n v="0"/>
    <s v=""/>
  </r>
  <r>
    <s v="FB000432"/>
    <x v="3"/>
    <x v="3"/>
    <x v="0"/>
    <s v="L"/>
    <x v="6"/>
    <n v="131.25"/>
    <n v="0"/>
    <n v="131.25"/>
    <d v="2025-06-18T00:00:00"/>
    <n v="12"/>
    <x v="6"/>
    <x v="0"/>
    <x v="0"/>
    <n v="77"/>
    <n v="0"/>
    <s v=""/>
  </r>
  <r>
    <s v="FB000433"/>
    <x v="4"/>
    <x v="7"/>
    <x v="2"/>
    <s v="M"/>
    <x v="0"/>
    <n v="72.849999999999994"/>
    <n v="0"/>
    <n v="72.849999999999994"/>
    <d v="2025-08-06T00:00:00"/>
    <n v="25"/>
    <x v="22"/>
    <x v="0"/>
    <x v="0"/>
    <n v="28"/>
    <n v="0"/>
    <s v=""/>
  </r>
  <r>
    <s v="FB000434"/>
    <x v="3"/>
    <x v="0"/>
    <x v="1"/>
    <s v="XS"/>
    <x v="6"/>
    <n v="135.38999999999999"/>
    <n v="0"/>
    <n v="135.38999999999999"/>
    <d v="2025-08-06T00:00:00"/>
    <n v="26"/>
    <x v="38"/>
    <x v="0"/>
    <x v="0"/>
    <n v="28"/>
    <n v="0"/>
    <s v=""/>
  </r>
  <r>
    <s v="FB000435"/>
    <x v="3"/>
    <x v="0"/>
    <x v="1"/>
    <s v="XL"/>
    <x v="8"/>
    <n v="166.94"/>
    <n v="4.2"/>
    <n v="159.93"/>
    <d v="2025-08-06T00:00:00"/>
    <n v="17"/>
    <x v="3"/>
    <x v="1"/>
    <x v="1"/>
    <n v="28"/>
    <n v="71.400000000000006"/>
    <n v="1"/>
  </r>
  <r>
    <s v="FB000436"/>
    <x v="3"/>
    <x v="2"/>
    <x v="0"/>
    <s v="XL"/>
    <x v="6"/>
    <n v="135.36000000000001"/>
    <n v="41.7"/>
    <n v="78.91"/>
    <d v="2024-12-20T00:00:00"/>
    <n v="17"/>
    <x v="2"/>
    <x v="0"/>
    <x v="0"/>
    <n v="257"/>
    <n v="708.90000000000009"/>
    <s v=""/>
  </r>
  <r>
    <s v="FB000437"/>
    <x v="4"/>
    <x v="5"/>
    <x v="0"/>
    <s v="L"/>
    <x v="5"/>
    <n v="96.05"/>
    <n v="0"/>
    <n v="96.05"/>
    <d v="2024-09-09T00:00:00"/>
    <n v="15"/>
    <x v="30"/>
    <x v="0"/>
    <x v="0"/>
    <n v="359"/>
    <n v="0"/>
    <s v=""/>
  </r>
  <r>
    <s v="FB000438"/>
    <x v="0"/>
    <x v="4"/>
    <x v="3"/>
    <s v="L"/>
    <x v="0"/>
    <n v="116.1"/>
    <n v="0"/>
    <n v="116.1"/>
    <d v="2025-08-06T00:00:00"/>
    <n v="27"/>
    <x v="20"/>
    <x v="1"/>
    <x v="5"/>
    <n v="28"/>
    <n v="0"/>
    <n v="1"/>
  </r>
  <r>
    <s v="FB000439"/>
    <x v="3"/>
    <x v="3"/>
    <x v="2"/>
    <s v="L"/>
    <x v="2"/>
    <n v="91.53"/>
    <n v="0"/>
    <n v="91.53"/>
    <d v="2025-08-06T00:00:00"/>
    <n v="8"/>
    <x v="25"/>
    <x v="0"/>
    <x v="0"/>
    <n v="28"/>
    <n v="0"/>
    <s v=""/>
  </r>
  <r>
    <s v="FB000440"/>
    <x v="4"/>
    <x v="0"/>
    <x v="1"/>
    <s v="XS"/>
    <x v="4"/>
    <n v="102.16"/>
    <n v="0"/>
    <n v="102.16"/>
    <d v="2025-08-06T00:00:00"/>
    <n v="50"/>
    <x v="65"/>
    <x v="0"/>
    <x v="0"/>
    <n v="28"/>
    <n v="0"/>
    <s v=""/>
  </r>
  <r>
    <s v="FB000441"/>
    <x v="3"/>
    <x v="1"/>
    <x v="1"/>
    <s v="L"/>
    <x v="4"/>
    <n v="67.739999999999995"/>
    <n v="3.3"/>
    <n v="65.5"/>
    <d v="2025-08-06T00:00:00"/>
    <n v="23"/>
    <x v="25"/>
    <x v="0"/>
    <x v="0"/>
    <n v="28"/>
    <n v="75.899999999999991"/>
    <s v=""/>
  </r>
  <r>
    <s v="FB000442"/>
    <x v="2"/>
    <x v="2"/>
    <x v="1"/>
    <m/>
    <x v="6"/>
    <n v="38.340000000000003"/>
    <n v="0"/>
    <n v="38.340000000000003"/>
    <d v="2025-08-06T00:00:00"/>
    <n v="14"/>
    <x v="40"/>
    <x v="0"/>
    <x v="0"/>
    <n v="28"/>
    <n v="0"/>
    <s v=""/>
  </r>
  <r>
    <s v="FB000443"/>
    <x v="2"/>
    <x v="0"/>
    <x v="1"/>
    <m/>
    <x v="4"/>
    <n v="60.49"/>
    <n v="0"/>
    <n v="60.49"/>
    <d v="2025-08-06T00:00:00"/>
    <n v="30"/>
    <x v="1"/>
    <x v="0"/>
    <x v="0"/>
    <n v="28"/>
    <n v="0"/>
    <s v=""/>
  </r>
  <r>
    <s v="FB000444"/>
    <x v="0"/>
    <x v="2"/>
    <x v="0"/>
    <s v="L"/>
    <x v="8"/>
    <n v="90.27"/>
    <n v="0"/>
    <n v="90.27"/>
    <d v="2025-04-16T00:00:00"/>
    <n v="35"/>
    <x v="36"/>
    <x v="0"/>
    <x v="0"/>
    <n v="140"/>
    <n v="0"/>
    <s v=""/>
  </r>
  <r>
    <s v="FB000445"/>
    <x v="2"/>
    <x v="2"/>
    <x v="3"/>
    <m/>
    <x v="0"/>
    <n v="45.42"/>
    <n v="0"/>
    <n v="45.42"/>
    <d v="2025-08-06T00:00:00"/>
    <n v="36"/>
    <x v="49"/>
    <x v="0"/>
    <x v="0"/>
    <n v="28"/>
    <n v="0"/>
    <s v=""/>
  </r>
  <r>
    <s v="FB000446"/>
    <x v="1"/>
    <x v="5"/>
    <x v="0"/>
    <m/>
    <x v="9"/>
    <n v="58.56"/>
    <n v="0"/>
    <n v="58.56"/>
    <d v="2025-01-23T00:00:00"/>
    <n v="21"/>
    <x v="39"/>
    <x v="0"/>
    <x v="0"/>
    <n v="223"/>
    <n v="0"/>
    <s v=""/>
  </r>
  <r>
    <s v="FB000447"/>
    <x v="5"/>
    <x v="4"/>
    <x v="3"/>
    <s v="L"/>
    <x v="1"/>
    <n v="167.64"/>
    <n v="0"/>
    <n v="167.64"/>
    <d v="2025-08-06T00:00:00"/>
    <n v="18"/>
    <x v="16"/>
    <x v="0"/>
    <x v="0"/>
    <n v="28"/>
    <n v="0"/>
    <s v=""/>
  </r>
  <r>
    <s v="FB000448"/>
    <x v="0"/>
    <x v="0"/>
    <x v="2"/>
    <s v="XXL"/>
    <x v="0"/>
    <n v="193.14"/>
    <n v="0"/>
    <n v="193.14"/>
    <d v="2025-08-06T00:00:00"/>
    <n v="7"/>
    <x v="15"/>
    <x v="0"/>
    <x v="0"/>
    <n v="28"/>
    <n v="0"/>
    <s v=""/>
  </r>
  <r>
    <s v="FB000449"/>
    <x v="2"/>
    <x v="6"/>
    <x v="1"/>
    <m/>
    <x v="4"/>
    <n v="60.06"/>
    <n v="15.6"/>
    <n v="50.69"/>
    <d v="2025-08-06T00:00:00"/>
    <n v="49"/>
    <x v="66"/>
    <x v="1"/>
    <x v="1"/>
    <n v="28"/>
    <n v="764.4"/>
    <n v="1"/>
  </r>
  <r>
    <s v="FB000450"/>
    <x v="4"/>
    <x v="2"/>
    <x v="2"/>
    <s v="M"/>
    <x v="4"/>
    <n v="35.369999999999997"/>
    <n v="0"/>
    <n v="35.369999999999997"/>
    <d v="2025-08-06T00:00:00"/>
    <n v="29"/>
    <x v="52"/>
    <x v="0"/>
    <x v="0"/>
    <n v="28"/>
    <n v="0"/>
    <s v=""/>
  </r>
  <r>
    <s v="FB000451"/>
    <x v="2"/>
    <x v="3"/>
    <x v="3"/>
    <m/>
    <x v="9"/>
    <n v="39.85"/>
    <n v="0"/>
    <n v="39.85"/>
    <d v="2025-08-06T00:00:00"/>
    <n v="28"/>
    <x v="13"/>
    <x v="0"/>
    <x v="0"/>
    <n v="28"/>
    <n v="0"/>
    <s v=""/>
  </r>
  <r>
    <s v="FB000452"/>
    <x v="1"/>
    <x v="0"/>
    <x v="1"/>
    <s v="XL"/>
    <x v="2"/>
    <n v="85.34"/>
    <n v="59.4"/>
    <n v="34.65"/>
    <d v="2025-08-06T00:00:00"/>
    <n v="5"/>
    <x v="26"/>
    <x v="0"/>
    <x v="0"/>
    <n v="28"/>
    <n v="297"/>
    <s v=""/>
  </r>
  <r>
    <s v="FB000453"/>
    <x v="4"/>
    <x v="7"/>
    <x v="2"/>
    <s v="XXL"/>
    <x v="3"/>
    <n v="81.17"/>
    <n v="0"/>
    <n v="81.17"/>
    <d v="2025-08-06T00:00:00"/>
    <n v="21"/>
    <x v="19"/>
    <x v="0"/>
    <x v="0"/>
    <n v="28"/>
    <n v="0"/>
    <s v=""/>
  </r>
  <r>
    <s v="FB000454"/>
    <x v="2"/>
    <x v="5"/>
    <x v="0"/>
    <m/>
    <x v="3"/>
    <n v="16.809999999999999"/>
    <n v="0"/>
    <n v="16.809999999999999"/>
    <d v="2025-07-31T00:00:00"/>
    <n v="16"/>
    <x v="32"/>
    <x v="0"/>
    <x v="0"/>
    <n v="34"/>
    <n v="0"/>
    <s v=""/>
  </r>
  <r>
    <s v="FB000455"/>
    <x v="1"/>
    <x v="5"/>
    <x v="1"/>
    <s v="XL"/>
    <x v="2"/>
    <n v="115.71"/>
    <n v="55"/>
    <n v="52.07"/>
    <d v="2025-08-06T00:00:00"/>
    <n v="6"/>
    <x v="6"/>
    <x v="0"/>
    <x v="0"/>
    <n v="28"/>
    <n v="330"/>
    <s v=""/>
  </r>
  <r>
    <s v="FB000456"/>
    <x v="4"/>
    <x v="3"/>
    <x v="3"/>
    <s v="XXL"/>
    <x v="1"/>
    <n v="49.87"/>
    <n v="0"/>
    <n v="49.87"/>
    <d v="2025-08-06T00:00:00"/>
    <n v="17"/>
    <x v="54"/>
    <x v="0"/>
    <x v="0"/>
    <n v="28"/>
    <n v="0"/>
    <s v=""/>
  </r>
  <r>
    <s v="FB000457"/>
    <x v="3"/>
    <x v="3"/>
    <x v="2"/>
    <s v="XS"/>
    <x v="7"/>
    <n v="107.96"/>
    <n v="52.9"/>
    <n v="50.85"/>
    <d v="2025-08-06T00:00:00"/>
    <n v="2"/>
    <x v="26"/>
    <x v="0"/>
    <x v="0"/>
    <n v="28"/>
    <n v="105.8"/>
    <s v=""/>
  </r>
  <r>
    <s v="FB000458"/>
    <x v="3"/>
    <x v="3"/>
    <x v="3"/>
    <s v="M"/>
    <x v="2"/>
    <n v="138.35"/>
    <n v="31.7"/>
    <n v="94.49"/>
    <d v="2025-08-06T00:00:00"/>
    <n v="3"/>
    <x v="1"/>
    <x v="0"/>
    <x v="0"/>
    <n v="28"/>
    <n v="95.1"/>
    <s v=""/>
  </r>
  <r>
    <s v="FB000459"/>
    <x v="1"/>
    <x v="6"/>
    <x v="0"/>
    <s v="XS"/>
    <x v="0"/>
    <n v="32.01"/>
    <n v="0"/>
    <n v="32.01"/>
    <d v="2025-05-09T00:00:00"/>
    <n v="43"/>
    <x v="10"/>
    <x v="1"/>
    <x v="6"/>
    <n v="117"/>
    <n v="0"/>
    <n v="1"/>
  </r>
  <r>
    <s v="FB000460"/>
    <x v="5"/>
    <x v="4"/>
    <x v="2"/>
    <s v="XS"/>
    <x v="2"/>
    <n v="129.08000000000001"/>
    <n v="50.6"/>
    <n v="63.77"/>
    <d v="2025-08-06T00:00:00"/>
    <n v="10"/>
    <x v="9"/>
    <x v="0"/>
    <x v="0"/>
    <n v="28"/>
    <n v="506"/>
    <s v=""/>
  </r>
  <r>
    <s v="FB000461"/>
    <x v="5"/>
    <x v="2"/>
    <x v="1"/>
    <s v="M"/>
    <x v="4"/>
    <n v="68.569999999999993"/>
    <n v="56.4"/>
    <n v="29.9"/>
    <d v="2025-08-06T00:00:00"/>
    <n v="30"/>
    <x v="34"/>
    <x v="0"/>
    <x v="0"/>
    <n v="28"/>
    <n v="1692"/>
    <s v=""/>
  </r>
  <r>
    <s v="FB000462"/>
    <x v="2"/>
    <x v="4"/>
    <x v="1"/>
    <m/>
    <x v="4"/>
    <n v="46.46"/>
    <n v="0"/>
    <n v="46.46"/>
    <d v="2025-08-06T00:00:00"/>
    <n v="30"/>
    <x v="73"/>
    <x v="0"/>
    <x v="0"/>
    <n v="28"/>
    <n v="0"/>
    <s v=""/>
  </r>
  <r>
    <s v="FB000463"/>
    <x v="0"/>
    <x v="2"/>
    <x v="2"/>
    <s v="XXL"/>
    <x v="3"/>
    <n v="124.68"/>
    <n v="58.2"/>
    <n v="52.12"/>
    <d v="2025-08-06T00:00:00"/>
    <n v="44"/>
    <x v="53"/>
    <x v="0"/>
    <x v="0"/>
    <n v="28"/>
    <n v="2560.8000000000002"/>
    <s v=""/>
  </r>
  <r>
    <s v="FB000464"/>
    <x v="4"/>
    <x v="4"/>
    <x v="0"/>
    <s v="XL"/>
    <x v="0"/>
    <n v="36.85"/>
    <n v="0"/>
    <n v="36.85"/>
    <d v="2025-07-03T00:00:00"/>
    <n v="0"/>
    <x v="9"/>
    <x v="0"/>
    <x v="0"/>
    <n v="62"/>
    <n v="0"/>
    <s v=""/>
  </r>
  <r>
    <s v="FB000465"/>
    <x v="0"/>
    <x v="5"/>
    <x v="1"/>
    <s v="XS"/>
    <x v="2"/>
    <n v="229.63"/>
    <n v="0.3"/>
    <n v="228.94"/>
    <d v="2025-08-06T00:00:00"/>
    <n v="30"/>
    <x v="10"/>
    <x v="0"/>
    <x v="0"/>
    <n v="28"/>
    <n v="9"/>
    <s v=""/>
  </r>
  <r>
    <s v="FB000466"/>
    <x v="1"/>
    <x v="5"/>
    <x v="0"/>
    <s v="S"/>
    <x v="8"/>
    <n v="74.09"/>
    <n v="0"/>
    <n v="74.09"/>
    <d v="2024-09-07T00:00:00"/>
    <n v="35"/>
    <x v="10"/>
    <x v="0"/>
    <x v="0"/>
    <n v="361"/>
    <n v="0"/>
    <s v=""/>
  </r>
  <r>
    <s v="FB000467"/>
    <x v="4"/>
    <x v="2"/>
    <x v="0"/>
    <s v="XS"/>
    <x v="10"/>
    <n v="27.22"/>
    <n v="0"/>
    <n v="27.22"/>
    <d v="2024-09-09T00:00:00"/>
    <n v="14"/>
    <x v="13"/>
    <x v="0"/>
    <x v="0"/>
    <n v="359"/>
    <n v="0"/>
    <s v=""/>
  </r>
  <r>
    <s v="FB000468"/>
    <x v="1"/>
    <x v="5"/>
    <x v="0"/>
    <s v="L"/>
    <x v="9"/>
    <n v="32.64"/>
    <n v="1.4"/>
    <n v="32.18"/>
    <d v="2025-05-06T00:00:00"/>
    <n v="29"/>
    <x v="25"/>
    <x v="1"/>
    <x v="5"/>
    <n v="120"/>
    <n v="40.599999999999994"/>
    <n v="1"/>
  </r>
  <r>
    <s v="FB000469"/>
    <x v="2"/>
    <x v="0"/>
    <x v="3"/>
    <m/>
    <x v="9"/>
    <n v="30.25"/>
    <n v="11.8"/>
    <n v="26.68"/>
    <d v="2025-08-06T00:00:00"/>
    <n v="30"/>
    <x v="10"/>
    <x v="0"/>
    <x v="0"/>
    <n v="28"/>
    <n v="354"/>
    <s v=""/>
  </r>
  <r>
    <s v="FB000470"/>
    <x v="0"/>
    <x v="1"/>
    <x v="3"/>
    <s v="S"/>
    <x v="10"/>
    <n v="180.57"/>
    <n v="0"/>
    <n v="180.57"/>
    <d v="2025-08-06T00:00:00"/>
    <n v="28"/>
    <x v="7"/>
    <x v="0"/>
    <x v="0"/>
    <n v="28"/>
    <n v="0"/>
    <s v=""/>
  </r>
  <r>
    <s v="FB000471"/>
    <x v="4"/>
    <x v="1"/>
    <x v="3"/>
    <s v="XS"/>
    <x v="3"/>
    <n v="96.55"/>
    <n v="0"/>
    <n v="96.55"/>
    <d v="2025-08-06T00:00:00"/>
    <n v="17"/>
    <x v="9"/>
    <x v="0"/>
    <x v="0"/>
    <n v="28"/>
    <n v="0"/>
    <s v=""/>
  </r>
  <r>
    <s v="FB000472"/>
    <x v="4"/>
    <x v="5"/>
    <x v="2"/>
    <m/>
    <x v="1"/>
    <n v="68.53"/>
    <n v="54.3"/>
    <n v="31.32"/>
    <d v="2025-08-06T00:00:00"/>
    <n v="38"/>
    <x v="5"/>
    <x v="0"/>
    <x v="0"/>
    <n v="28"/>
    <n v="2063.4"/>
    <s v=""/>
  </r>
  <r>
    <s v="FB000473"/>
    <x v="3"/>
    <x v="6"/>
    <x v="2"/>
    <s v="XS"/>
    <x v="3"/>
    <n v="71.94"/>
    <n v="0"/>
    <n v="71.94"/>
    <d v="2025-08-06T00:00:00"/>
    <n v="45"/>
    <x v="31"/>
    <x v="0"/>
    <x v="0"/>
    <n v="28"/>
    <n v="0"/>
    <s v=""/>
  </r>
  <r>
    <s v="FB000474"/>
    <x v="3"/>
    <x v="6"/>
    <x v="2"/>
    <s v="L"/>
    <x v="5"/>
    <n v="80.72"/>
    <n v="9.9"/>
    <n v="72.73"/>
    <d v="2025-08-06T00:00:00"/>
    <n v="37"/>
    <x v="1"/>
    <x v="0"/>
    <x v="0"/>
    <n v="28"/>
    <n v="366.3"/>
    <s v=""/>
  </r>
  <r>
    <s v="FB000475"/>
    <x v="0"/>
    <x v="0"/>
    <x v="1"/>
    <s v="L"/>
    <x v="6"/>
    <n v="208.8"/>
    <n v="0"/>
    <n v="208.8"/>
    <d v="2025-08-06T00:00:00"/>
    <n v="13"/>
    <x v="6"/>
    <x v="0"/>
    <x v="0"/>
    <n v="28"/>
    <n v="0"/>
    <s v=""/>
  </r>
  <r>
    <s v="FB000476"/>
    <x v="3"/>
    <x v="3"/>
    <x v="3"/>
    <s v="M"/>
    <x v="8"/>
    <n v="158.15"/>
    <n v="54.1"/>
    <n v="72.59"/>
    <d v="2025-08-06T00:00:00"/>
    <n v="36"/>
    <x v="35"/>
    <x v="0"/>
    <x v="0"/>
    <n v="28"/>
    <n v="1947.6000000000001"/>
    <s v=""/>
  </r>
  <r>
    <s v="FB000477"/>
    <x v="1"/>
    <x v="0"/>
    <x v="2"/>
    <s v="S"/>
    <x v="3"/>
    <n v="85.92"/>
    <n v="0"/>
    <n v="85.92"/>
    <d v="2025-08-06T00:00:00"/>
    <n v="12"/>
    <x v="69"/>
    <x v="0"/>
    <x v="0"/>
    <n v="28"/>
    <n v="0"/>
    <s v=""/>
  </r>
  <r>
    <s v="FB000478"/>
    <x v="2"/>
    <x v="6"/>
    <x v="0"/>
    <m/>
    <x v="1"/>
    <n v="69.59"/>
    <n v="0"/>
    <n v="69.59"/>
    <d v="2024-09-26T00:00:00"/>
    <n v="38"/>
    <x v="25"/>
    <x v="0"/>
    <x v="0"/>
    <n v="342"/>
    <n v="0"/>
    <s v=""/>
  </r>
  <r>
    <s v="FB000479"/>
    <x v="5"/>
    <x v="0"/>
    <x v="1"/>
    <s v="XL"/>
    <x v="0"/>
    <n v="136.16999999999999"/>
    <n v="19.100000000000001"/>
    <n v="110.16"/>
    <d v="2025-08-06T00:00:00"/>
    <n v="14"/>
    <x v="75"/>
    <x v="0"/>
    <x v="0"/>
    <n v="28"/>
    <n v="267.40000000000003"/>
    <s v=""/>
  </r>
  <r>
    <s v="FB000480"/>
    <x v="3"/>
    <x v="3"/>
    <x v="0"/>
    <s v="XS"/>
    <x v="1"/>
    <n v="124.26"/>
    <n v="0"/>
    <n v="124.26"/>
    <d v="2024-08-08T00:00:00"/>
    <n v="44"/>
    <x v="30"/>
    <x v="0"/>
    <x v="0"/>
    <n v="391"/>
    <n v="0"/>
    <s v=""/>
  </r>
  <r>
    <s v="FB000481"/>
    <x v="3"/>
    <x v="2"/>
    <x v="1"/>
    <s v="S"/>
    <x v="2"/>
    <n v="129.33000000000001"/>
    <n v="0"/>
    <n v="129.33000000000001"/>
    <d v="2025-08-06T00:00:00"/>
    <n v="15"/>
    <x v="47"/>
    <x v="0"/>
    <x v="0"/>
    <n v="28"/>
    <n v="0"/>
    <s v=""/>
  </r>
  <r>
    <s v="FB000482"/>
    <x v="5"/>
    <x v="4"/>
    <x v="0"/>
    <s v="S"/>
    <x v="8"/>
    <n v="123.93"/>
    <n v="30"/>
    <n v="86.75"/>
    <d v="2025-07-31T00:00:00"/>
    <n v="39"/>
    <x v="42"/>
    <x v="0"/>
    <x v="0"/>
    <n v="34"/>
    <n v="1170"/>
    <s v=""/>
  </r>
  <r>
    <s v="FB000483"/>
    <x v="3"/>
    <x v="0"/>
    <x v="3"/>
    <s v="XS"/>
    <x v="7"/>
    <n v="62.76"/>
    <n v="0"/>
    <n v="62.76"/>
    <d v="2025-08-06T00:00:00"/>
    <n v="12"/>
    <x v="52"/>
    <x v="0"/>
    <x v="0"/>
    <n v="28"/>
    <n v="0"/>
    <s v=""/>
  </r>
  <r>
    <s v="FB000484"/>
    <x v="3"/>
    <x v="1"/>
    <x v="0"/>
    <s v="XS"/>
    <x v="5"/>
    <n v="74.540000000000006"/>
    <n v="0"/>
    <n v="74.540000000000006"/>
    <d v="2024-11-07T00:00:00"/>
    <n v="4"/>
    <x v="15"/>
    <x v="0"/>
    <x v="0"/>
    <n v="300"/>
    <n v="0"/>
    <s v=""/>
  </r>
  <r>
    <s v="FB000485"/>
    <x v="1"/>
    <x v="6"/>
    <x v="3"/>
    <s v="S"/>
    <x v="1"/>
    <n v="114.03"/>
    <n v="0"/>
    <n v="114.03"/>
    <d v="2025-08-06T00:00:00"/>
    <n v="2"/>
    <x v="24"/>
    <x v="0"/>
    <x v="0"/>
    <n v="28"/>
    <n v="0"/>
    <s v=""/>
  </r>
  <r>
    <s v="FB000486"/>
    <x v="2"/>
    <x v="6"/>
    <x v="2"/>
    <m/>
    <x v="3"/>
    <n v="20.59"/>
    <n v="27.6"/>
    <n v="14.91"/>
    <d v="2025-08-06T00:00:00"/>
    <n v="36"/>
    <x v="80"/>
    <x v="0"/>
    <x v="0"/>
    <n v="28"/>
    <n v="993.6"/>
    <s v=""/>
  </r>
  <r>
    <s v="FB000487"/>
    <x v="3"/>
    <x v="2"/>
    <x v="3"/>
    <s v="XL"/>
    <x v="5"/>
    <n v="167.86"/>
    <n v="0"/>
    <n v="167.86"/>
    <d v="2025-08-06T00:00:00"/>
    <n v="17"/>
    <x v="53"/>
    <x v="0"/>
    <x v="0"/>
    <n v="28"/>
    <n v="0"/>
    <s v=""/>
  </r>
  <r>
    <s v="FB000488"/>
    <x v="2"/>
    <x v="1"/>
    <x v="2"/>
    <m/>
    <x v="4"/>
    <n v="62.2"/>
    <n v="37.700000000000003"/>
    <n v="38.75"/>
    <d v="2025-08-06T00:00:00"/>
    <n v="16"/>
    <x v="47"/>
    <x v="0"/>
    <x v="0"/>
    <n v="28"/>
    <n v="603.20000000000005"/>
    <s v=""/>
  </r>
  <r>
    <s v="FB000489"/>
    <x v="0"/>
    <x v="2"/>
    <x v="2"/>
    <m/>
    <x v="1"/>
    <n v="223.69"/>
    <n v="6.3"/>
    <n v="209.6"/>
    <d v="2025-08-06T00:00:00"/>
    <n v="18"/>
    <x v="42"/>
    <x v="0"/>
    <x v="0"/>
    <n v="28"/>
    <n v="113.39999999999999"/>
    <s v=""/>
  </r>
  <r>
    <s v="FB000490"/>
    <x v="2"/>
    <x v="3"/>
    <x v="3"/>
    <m/>
    <x v="5"/>
    <n v="67.13"/>
    <n v="0"/>
    <n v="67.13"/>
    <d v="2025-08-06T00:00:00"/>
    <n v="3"/>
    <x v="40"/>
    <x v="0"/>
    <x v="0"/>
    <n v="28"/>
    <n v="0"/>
    <s v=""/>
  </r>
  <r>
    <s v="FB000491"/>
    <x v="5"/>
    <x v="0"/>
    <x v="3"/>
    <s v="M"/>
    <x v="0"/>
    <n v="144.81"/>
    <n v="33.299999999999997"/>
    <n v="96.59"/>
    <d v="2025-08-06T00:00:00"/>
    <n v="33"/>
    <x v="32"/>
    <x v="0"/>
    <x v="0"/>
    <n v="28"/>
    <n v="1098.8999999999999"/>
    <s v=""/>
  </r>
  <r>
    <s v="FB000492"/>
    <x v="0"/>
    <x v="6"/>
    <x v="1"/>
    <s v="XS"/>
    <x v="9"/>
    <n v="152.93"/>
    <n v="53"/>
    <n v="71.88"/>
    <d v="2025-08-06T00:00:00"/>
    <n v="2"/>
    <x v="14"/>
    <x v="1"/>
    <x v="5"/>
    <n v="28"/>
    <n v="106"/>
    <n v="1"/>
  </r>
  <r>
    <s v="FB000493"/>
    <x v="5"/>
    <x v="7"/>
    <x v="3"/>
    <s v="XXL"/>
    <x v="3"/>
    <n v="111.29"/>
    <n v="0"/>
    <n v="111.29"/>
    <d v="2025-08-06T00:00:00"/>
    <n v="48"/>
    <x v="26"/>
    <x v="0"/>
    <x v="0"/>
    <n v="28"/>
    <n v="0"/>
    <s v=""/>
  </r>
  <r>
    <s v="FB000494"/>
    <x v="0"/>
    <x v="2"/>
    <x v="1"/>
    <s v="XS"/>
    <x v="1"/>
    <n v="159.18"/>
    <n v="0"/>
    <n v="159.18"/>
    <d v="2025-08-06T00:00:00"/>
    <n v="38"/>
    <x v="13"/>
    <x v="1"/>
    <x v="4"/>
    <n v="28"/>
    <n v="0"/>
    <n v="1"/>
  </r>
  <r>
    <s v="FB000495"/>
    <x v="0"/>
    <x v="0"/>
    <x v="1"/>
    <s v="XXL"/>
    <x v="3"/>
    <n v="215.93"/>
    <n v="0"/>
    <n v="215.93"/>
    <d v="2025-08-06T00:00:00"/>
    <n v="43"/>
    <x v="15"/>
    <x v="0"/>
    <x v="0"/>
    <n v="28"/>
    <n v="0"/>
    <s v=""/>
  </r>
  <r>
    <s v="FB000496"/>
    <x v="1"/>
    <x v="5"/>
    <x v="0"/>
    <m/>
    <x v="7"/>
    <n v="51.69"/>
    <n v="33.4"/>
    <n v="34.43"/>
    <d v="2024-08-07T00:00:00"/>
    <n v="36"/>
    <x v="10"/>
    <x v="0"/>
    <x v="0"/>
    <n v="392"/>
    <n v="1202.3999999999999"/>
    <s v=""/>
  </r>
  <r>
    <s v="FB000497"/>
    <x v="0"/>
    <x v="5"/>
    <x v="3"/>
    <s v="L"/>
    <x v="1"/>
    <n v="137.38"/>
    <n v="0"/>
    <n v="137.38"/>
    <d v="2025-08-06T00:00:00"/>
    <n v="43"/>
    <x v="15"/>
    <x v="0"/>
    <x v="0"/>
    <n v="28"/>
    <n v="0"/>
    <s v=""/>
  </r>
  <r>
    <s v="FB000498"/>
    <x v="4"/>
    <x v="7"/>
    <x v="2"/>
    <s v="XXL"/>
    <x v="6"/>
    <n v="96.7"/>
    <n v="38.799999999999997"/>
    <n v="59.18"/>
    <d v="2025-08-06T00:00:00"/>
    <n v="46"/>
    <x v="12"/>
    <x v="0"/>
    <x v="0"/>
    <n v="28"/>
    <n v="1784.8"/>
    <s v=""/>
  </r>
  <r>
    <s v="FB000499"/>
    <x v="4"/>
    <x v="4"/>
    <x v="0"/>
    <s v="M"/>
    <x v="9"/>
    <n v="58.73"/>
    <n v="38.1"/>
    <n v="36.35"/>
    <d v="2024-12-27T00:00:00"/>
    <n v="50"/>
    <x v="19"/>
    <x v="0"/>
    <x v="0"/>
    <n v="250"/>
    <n v="1905"/>
    <s v=""/>
  </r>
  <r>
    <s v="FB000500"/>
    <x v="0"/>
    <x v="6"/>
    <x v="1"/>
    <s v="S"/>
    <x v="6"/>
    <n v="204.68"/>
    <n v="0"/>
    <n v="204.68"/>
    <d v="2025-08-06T00:00:00"/>
    <n v="33"/>
    <x v="47"/>
    <x v="0"/>
    <x v="0"/>
    <n v="28"/>
    <n v="0"/>
    <s v=""/>
  </r>
  <r>
    <s v="FB000501"/>
    <x v="4"/>
    <x v="7"/>
    <x v="0"/>
    <s v="L"/>
    <x v="3"/>
    <n v="117.26"/>
    <n v="0"/>
    <n v="117.26"/>
    <d v="2024-09-25T00:00:00"/>
    <n v="29"/>
    <x v="77"/>
    <x v="0"/>
    <x v="0"/>
    <n v="343"/>
    <n v="0"/>
    <s v=""/>
  </r>
  <r>
    <s v="FB000502"/>
    <x v="0"/>
    <x v="6"/>
    <x v="3"/>
    <s v="XXL"/>
    <x v="3"/>
    <n v="91.95"/>
    <n v="0"/>
    <n v="91.95"/>
    <d v="2025-08-06T00:00:00"/>
    <n v="1"/>
    <x v="1"/>
    <x v="0"/>
    <x v="0"/>
    <n v="28"/>
    <n v="0"/>
    <s v=""/>
  </r>
  <r>
    <s v="FB000503"/>
    <x v="4"/>
    <x v="6"/>
    <x v="2"/>
    <s v="XL"/>
    <x v="8"/>
    <n v="94.53"/>
    <n v="0"/>
    <n v="94.53"/>
    <d v="2025-08-06T00:00:00"/>
    <n v="13"/>
    <x v="13"/>
    <x v="0"/>
    <x v="0"/>
    <n v="28"/>
    <n v="0"/>
    <s v=""/>
  </r>
  <r>
    <s v="FB000504"/>
    <x v="5"/>
    <x v="3"/>
    <x v="2"/>
    <s v="XXL"/>
    <x v="3"/>
    <n v="71.94"/>
    <n v="3"/>
    <n v="69.78"/>
    <d v="2025-08-06T00:00:00"/>
    <n v="45"/>
    <x v="40"/>
    <x v="0"/>
    <x v="0"/>
    <n v="28"/>
    <n v="135"/>
    <s v=""/>
  </r>
  <r>
    <s v="FB000505"/>
    <x v="5"/>
    <x v="5"/>
    <x v="1"/>
    <s v="XL"/>
    <x v="6"/>
    <n v="177.72"/>
    <n v="5.9"/>
    <n v="167.23"/>
    <d v="2025-08-06T00:00:00"/>
    <n v="47"/>
    <x v="62"/>
    <x v="0"/>
    <x v="0"/>
    <n v="28"/>
    <n v="277.3"/>
    <s v=""/>
  </r>
  <r>
    <s v="FB000506"/>
    <x v="2"/>
    <x v="0"/>
    <x v="3"/>
    <m/>
    <x v="3"/>
    <n v="34.4"/>
    <n v="0"/>
    <n v="34.4"/>
    <d v="2025-08-06T00:00:00"/>
    <n v="43"/>
    <x v="0"/>
    <x v="1"/>
    <x v="6"/>
    <n v="28"/>
    <n v="0"/>
    <n v="1"/>
  </r>
  <r>
    <s v="FB000507"/>
    <x v="4"/>
    <x v="2"/>
    <x v="0"/>
    <s v="M"/>
    <x v="4"/>
    <n v="119.72"/>
    <n v="0"/>
    <n v="119.72"/>
    <d v="2025-01-18T00:00:00"/>
    <n v="18"/>
    <x v="17"/>
    <x v="0"/>
    <x v="0"/>
    <n v="228"/>
    <n v="0"/>
    <s v=""/>
  </r>
  <r>
    <s v="FB000508"/>
    <x v="2"/>
    <x v="4"/>
    <x v="3"/>
    <m/>
    <x v="10"/>
    <n v="44.09"/>
    <n v="0"/>
    <n v="44.09"/>
    <d v="2025-08-06T00:00:00"/>
    <n v="2"/>
    <x v="66"/>
    <x v="0"/>
    <x v="0"/>
    <n v="28"/>
    <n v="0"/>
    <s v=""/>
  </r>
  <r>
    <s v="FB000509"/>
    <x v="4"/>
    <x v="3"/>
    <x v="0"/>
    <s v="XL"/>
    <x v="9"/>
    <n v="42.47"/>
    <n v="0"/>
    <n v="42.47"/>
    <d v="2024-11-14T00:00:00"/>
    <n v="33"/>
    <x v="35"/>
    <x v="1"/>
    <x v="5"/>
    <n v="293"/>
    <n v="0"/>
    <n v="1"/>
  </r>
  <r>
    <s v="FB000510"/>
    <x v="5"/>
    <x v="2"/>
    <x v="3"/>
    <s v="XL"/>
    <x v="9"/>
    <n v="68.430000000000007"/>
    <n v="0"/>
    <n v="68.430000000000007"/>
    <d v="2025-08-06T00:00:00"/>
    <n v="16"/>
    <x v="82"/>
    <x v="0"/>
    <x v="0"/>
    <n v="28"/>
    <n v="0"/>
    <s v=""/>
  </r>
  <r>
    <s v="FB000511"/>
    <x v="3"/>
    <x v="0"/>
    <x v="2"/>
    <s v="XS"/>
    <x v="6"/>
    <n v="165.39"/>
    <n v="31.8"/>
    <n v="112.8"/>
    <d v="2025-08-06T00:00:00"/>
    <n v="9"/>
    <x v="14"/>
    <x v="0"/>
    <x v="0"/>
    <n v="28"/>
    <n v="286.2"/>
    <s v=""/>
  </r>
  <r>
    <s v="FB000512"/>
    <x v="2"/>
    <x v="5"/>
    <x v="1"/>
    <m/>
    <x v="6"/>
    <n v="35.36"/>
    <n v="0"/>
    <n v="35.36"/>
    <d v="2025-08-06T00:00:00"/>
    <n v="42"/>
    <x v="35"/>
    <x v="0"/>
    <x v="0"/>
    <n v="28"/>
    <n v="0"/>
    <s v=""/>
  </r>
  <r>
    <s v="FB000513"/>
    <x v="5"/>
    <x v="4"/>
    <x v="3"/>
    <s v="M"/>
    <x v="8"/>
    <n v="95.73"/>
    <n v="0"/>
    <n v="95.73"/>
    <d v="2025-08-06T00:00:00"/>
    <n v="6"/>
    <x v="14"/>
    <x v="0"/>
    <x v="0"/>
    <n v="28"/>
    <n v="0"/>
    <s v=""/>
  </r>
  <r>
    <s v="FB000514"/>
    <x v="2"/>
    <x v="2"/>
    <x v="0"/>
    <m/>
    <x v="10"/>
    <n v="72.28"/>
    <n v="51.3"/>
    <n v="35.200000000000003"/>
    <d v="2025-02-15T00:00:00"/>
    <n v="31"/>
    <x v="42"/>
    <x v="0"/>
    <x v="0"/>
    <n v="200"/>
    <n v="1590.3"/>
    <s v=""/>
  </r>
  <r>
    <s v="FB000515"/>
    <x v="0"/>
    <x v="5"/>
    <x v="3"/>
    <m/>
    <x v="3"/>
    <n v="80.349999999999994"/>
    <n v="0"/>
    <n v="80.349999999999994"/>
    <d v="2025-08-06T00:00:00"/>
    <n v="28"/>
    <x v="5"/>
    <x v="0"/>
    <x v="0"/>
    <n v="28"/>
    <n v="0"/>
    <s v=""/>
  </r>
  <r>
    <s v="FB000516"/>
    <x v="4"/>
    <x v="2"/>
    <x v="1"/>
    <s v="XL"/>
    <x v="4"/>
    <n v="119.04"/>
    <n v="0"/>
    <n v="119.04"/>
    <d v="2025-08-06T00:00:00"/>
    <n v="35"/>
    <x v="40"/>
    <x v="0"/>
    <x v="0"/>
    <n v="28"/>
    <n v="0"/>
    <s v=""/>
  </r>
  <r>
    <s v="FB000517"/>
    <x v="1"/>
    <x v="6"/>
    <x v="1"/>
    <s v="XS"/>
    <x v="10"/>
    <n v="60.53"/>
    <n v="42.5"/>
    <n v="34.799999999999997"/>
    <d v="2025-08-06T00:00:00"/>
    <n v="8"/>
    <x v="24"/>
    <x v="1"/>
    <x v="1"/>
    <n v="28"/>
    <n v="340"/>
    <n v="1"/>
  </r>
  <r>
    <s v="FB000518"/>
    <x v="0"/>
    <x v="4"/>
    <x v="2"/>
    <s v="M"/>
    <x v="8"/>
    <n v="92.54"/>
    <n v="43.8"/>
    <n v="52.01"/>
    <d v="2025-08-06T00:00:00"/>
    <n v="33"/>
    <x v="25"/>
    <x v="1"/>
    <x v="3"/>
    <n v="28"/>
    <n v="1445.3999999999999"/>
    <n v="1"/>
  </r>
  <r>
    <s v="FB000519"/>
    <x v="2"/>
    <x v="1"/>
    <x v="2"/>
    <m/>
    <x v="1"/>
    <n v="28.4"/>
    <n v="0"/>
    <n v="28.4"/>
    <d v="2025-08-06T00:00:00"/>
    <n v="4"/>
    <x v="47"/>
    <x v="0"/>
    <x v="0"/>
    <n v="28"/>
    <n v="0"/>
    <s v=""/>
  </r>
  <r>
    <s v="FB000520"/>
    <x v="4"/>
    <x v="0"/>
    <x v="3"/>
    <s v="M"/>
    <x v="4"/>
    <n v="91.65"/>
    <n v="0"/>
    <n v="91.65"/>
    <d v="2025-08-06T00:00:00"/>
    <n v="40"/>
    <x v="22"/>
    <x v="0"/>
    <x v="0"/>
    <n v="28"/>
    <n v="0"/>
    <s v=""/>
  </r>
  <r>
    <s v="FB000521"/>
    <x v="2"/>
    <x v="3"/>
    <x v="2"/>
    <m/>
    <x v="8"/>
    <n v="72.569999999999993"/>
    <n v="0"/>
    <n v="72.569999999999993"/>
    <d v="2025-08-06T00:00:00"/>
    <n v="27"/>
    <x v="1"/>
    <x v="0"/>
    <x v="0"/>
    <n v="28"/>
    <n v="0"/>
    <s v=""/>
  </r>
  <r>
    <s v="FB000522"/>
    <x v="4"/>
    <x v="4"/>
    <x v="2"/>
    <s v="L"/>
    <x v="5"/>
    <n v="39.049999999999997"/>
    <n v="0"/>
    <n v="39.049999999999997"/>
    <d v="2025-08-06T00:00:00"/>
    <n v="10"/>
    <x v="15"/>
    <x v="0"/>
    <x v="0"/>
    <n v="28"/>
    <n v="0"/>
    <s v=""/>
  </r>
  <r>
    <s v="FB000523"/>
    <x v="5"/>
    <x v="0"/>
    <x v="1"/>
    <s v="S"/>
    <x v="4"/>
    <n v="113.21"/>
    <n v="0"/>
    <n v="113.21"/>
    <d v="2025-08-06T00:00:00"/>
    <n v="12"/>
    <x v="9"/>
    <x v="0"/>
    <x v="0"/>
    <n v="28"/>
    <n v="0"/>
    <s v=""/>
  </r>
  <r>
    <s v="FB000524"/>
    <x v="2"/>
    <x v="7"/>
    <x v="0"/>
    <m/>
    <x v="8"/>
    <n v="25.34"/>
    <n v="0"/>
    <n v="25.34"/>
    <d v="2025-07-31T00:00:00"/>
    <n v="17"/>
    <x v="31"/>
    <x v="0"/>
    <x v="0"/>
    <n v="34"/>
    <n v="0"/>
    <s v=""/>
  </r>
  <r>
    <s v="FB000525"/>
    <x v="1"/>
    <x v="3"/>
    <x v="0"/>
    <s v="L"/>
    <x v="2"/>
    <n v="98.16"/>
    <n v="56.7"/>
    <n v="42.5"/>
    <d v="2025-02-05T00:00:00"/>
    <n v="44"/>
    <x v="3"/>
    <x v="0"/>
    <x v="0"/>
    <n v="210"/>
    <n v="2494.8000000000002"/>
    <s v=""/>
  </r>
  <r>
    <s v="FB000526"/>
    <x v="1"/>
    <x v="2"/>
    <x v="0"/>
    <s v="XS"/>
    <x v="9"/>
    <n v="60.54"/>
    <n v="0"/>
    <n v="60.54"/>
    <d v="2025-04-10T00:00:00"/>
    <n v="35"/>
    <x v="12"/>
    <x v="0"/>
    <x v="0"/>
    <n v="146"/>
    <n v="0"/>
    <s v=""/>
  </r>
  <r>
    <s v="FB000527"/>
    <x v="5"/>
    <x v="0"/>
    <x v="1"/>
    <s v="S"/>
    <x v="1"/>
    <n v="132.61000000000001"/>
    <n v="7.4"/>
    <n v="122.8"/>
    <d v="2025-08-06T00:00:00"/>
    <n v="0"/>
    <x v="36"/>
    <x v="0"/>
    <x v="0"/>
    <n v="28"/>
    <n v="0"/>
    <s v=""/>
  </r>
  <r>
    <s v="FB000528"/>
    <x v="0"/>
    <x v="5"/>
    <x v="2"/>
    <s v="XL"/>
    <x v="1"/>
    <n v="234.14"/>
    <n v="0"/>
    <n v="234.14"/>
    <d v="2025-08-06T00:00:00"/>
    <n v="40"/>
    <x v="12"/>
    <x v="0"/>
    <x v="0"/>
    <n v="28"/>
    <n v="0"/>
    <s v=""/>
  </r>
  <r>
    <s v="FB000529"/>
    <x v="2"/>
    <x v="4"/>
    <x v="2"/>
    <m/>
    <x v="2"/>
    <n v="31.86"/>
    <n v="48.2"/>
    <n v="16.5"/>
    <d v="2025-08-06T00:00:00"/>
    <n v="32"/>
    <x v="35"/>
    <x v="0"/>
    <x v="0"/>
    <n v="28"/>
    <n v="1542.4"/>
    <s v=""/>
  </r>
  <r>
    <s v="FB000530"/>
    <x v="2"/>
    <x v="1"/>
    <x v="0"/>
    <m/>
    <x v="4"/>
    <n v="15.14"/>
    <n v="36.700000000000003"/>
    <n v="9.58"/>
    <d v="2025-07-23T00:00:00"/>
    <n v="41"/>
    <x v="22"/>
    <x v="0"/>
    <x v="0"/>
    <n v="42"/>
    <n v="1504.7"/>
    <s v=""/>
  </r>
  <r>
    <s v="FB000531"/>
    <x v="3"/>
    <x v="4"/>
    <x v="1"/>
    <s v="XS"/>
    <x v="9"/>
    <n v="77.72"/>
    <n v="0"/>
    <n v="77.72"/>
    <d v="2025-08-06T00:00:00"/>
    <n v="48"/>
    <x v="21"/>
    <x v="0"/>
    <x v="0"/>
    <n v="28"/>
    <n v="0"/>
    <s v=""/>
  </r>
  <r>
    <s v="FB000532"/>
    <x v="2"/>
    <x v="0"/>
    <x v="0"/>
    <m/>
    <x v="4"/>
    <n v="78.040000000000006"/>
    <n v="0"/>
    <n v="78.040000000000006"/>
    <d v="2025-04-09T00:00:00"/>
    <n v="38"/>
    <x v="26"/>
    <x v="0"/>
    <x v="0"/>
    <n v="147"/>
    <n v="0"/>
    <s v=""/>
  </r>
  <r>
    <s v="FB000533"/>
    <x v="0"/>
    <x v="6"/>
    <x v="2"/>
    <s v="M"/>
    <x v="10"/>
    <n v="169.82"/>
    <n v="0"/>
    <n v="169.82"/>
    <d v="2025-08-06T00:00:00"/>
    <n v="28"/>
    <x v="30"/>
    <x v="0"/>
    <x v="0"/>
    <n v="28"/>
    <n v="0"/>
    <s v=""/>
  </r>
  <r>
    <s v="FB000534"/>
    <x v="4"/>
    <x v="4"/>
    <x v="0"/>
    <s v="L"/>
    <x v="3"/>
    <n v="94.71"/>
    <n v="38.9"/>
    <n v="57.87"/>
    <d v="2024-08-16T00:00:00"/>
    <n v="39"/>
    <x v="52"/>
    <x v="0"/>
    <x v="0"/>
    <n v="383"/>
    <n v="1517.1"/>
    <s v=""/>
  </r>
  <r>
    <s v="FB000535"/>
    <x v="3"/>
    <x v="5"/>
    <x v="0"/>
    <s v="XL"/>
    <x v="0"/>
    <n v="112.6"/>
    <n v="22"/>
    <n v="87.83"/>
    <d v="2025-07-22T00:00:00"/>
    <n v="29"/>
    <x v="54"/>
    <x v="1"/>
    <x v="1"/>
    <n v="43"/>
    <n v="638"/>
    <n v="1"/>
  </r>
  <r>
    <s v="FB000536"/>
    <x v="4"/>
    <x v="0"/>
    <x v="3"/>
    <s v="L"/>
    <x v="9"/>
    <n v="104.16"/>
    <n v="0"/>
    <n v="104.16"/>
    <d v="2025-08-06T00:00:00"/>
    <n v="21"/>
    <x v="6"/>
    <x v="0"/>
    <x v="0"/>
    <n v="28"/>
    <n v="0"/>
    <s v=""/>
  </r>
  <r>
    <s v="FB000537"/>
    <x v="0"/>
    <x v="6"/>
    <x v="1"/>
    <s v="XXL"/>
    <x v="4"/>
    <n v="174.86"/>
    <n v="0"/>
    <n v="174.86"/>
    <d v="2025-08-06T00:00:00"/>
    <n v="15"/>
    <x v="12"/>
    <x v="0"/>
    <x v="0"/>
    <n v="28"/>
    <n v="0"/>
    <s v=""/>
  </r>
  <r>
    <s v="FB000538"/>
    <x v="0"/>
    <x v="1"/>
    <x v="0"/>
    <s v="L"/>
    <x v="9"/>
    <n v="217.89"/>
    <n v="49.4"/>
    <n v="110.25"/>
    <d v="2024-11-27T00:00:00"/>
    <n v="42"/>
    <x v="5"/>
    <x v="0"/>
    <x v="0"/>
    <n v="280"/>
    <n v="2074.7999999999997"/>
    <s v=""/>
  </r>
  <r>
    <s v="FB000539"/>
    <x v="3"/>
    <x v="3"/>
    <x v="1"/>
    <s v="L"/>
    <x v="2"/>
    <n v="123.14"/>
    <n v="0"/>
    <n v="123.14"/>
    <d v="2025-08-06T00:00:00"/>
    <n v="15"/>
    <x v="34"/>
    <x v="1"/>
    <x v="6"/>
    <n v="28"/>
    <n v="0"/>
    <n v="1"/>
  </r>
  <r>
    <s v="FB000540"/>
    <x v="1"/>
    <x v="5"/>
    <x v="1"/>
    <s v="XL"/>
    <x v="8"/>
    <n v="103.96"/>
    <n v="0"/>
    <n v="103.96"/>
    <d v="2025-08-06T00:00:00"/>
    <n v="23"/>
    <x v="31"/>
    <x v="0"/>
    <x v="0"/>
    <n v="28"/>
    <n v="0"/>
    <s v=""/>
  </r>
  <r>
    <s v="FB000541"/>
    <x v="5"/>
    <x v="4"/>
    <x v="0"/>
    <s v="XL"/>
    <x v="5"/>
    <n v="138.44999999999999"/>
    <n v="0"/>
    <n v="138.44999999999999"/>
    <d v="2025-03-28T00:00:00"/>
    <n v="18"/>
    <x v="31"/>
    <x v="0"/>
    <x v="0"/>
    <n v="159"/>
    <n v="0"/>
    <s v=""/>
  </r>
  <r>
    <s v="FB000542"/>
    <x v="3"/>
    <x v="6"/>
    <x v="3"/>
    <s v="S"/>
    <x v="2"/>
    <n v="165.1"/>
    <n v="0"/>
    <n v="165.1"/>
    <d v="2025-08-06T00:00:00"/>
    <n v="7"/>
    <x v="23"/>
    <x v="0"/>
    <x v="0"/>
    <n v="28"/>
    <n v="0"/>
    <s v=""/>
  </r>
  <r>
    <s v="FB000543"/>
    <x v="3"/>
    <x v="6"/>
    <x v="1"/>
    <s v="XXL"/>
    <x v="4"/>
    <n v="147.25"/>
    <n v="0"/>
    <n v="147.25"/>
    <d v="2025-08-06T00:00:00"/>
    <n v="15"/>
    <x v="67"/>
    <x v="0"/>
    <x v="0"/>
    <n v="28"/>
    <n v="0"/>
    <s v=""/>
  </r>
  <r>
    <s v="FB000544"/>
    <x v="3"/>
    <x v="1"/>
    <x v="2"/>
    <s v="L"/>
    <x v="1"/>
    <n v="126.23"/>
    <n v="0"/>
    <n v="126.23"/>
    <d v="2025-08-06T00:00:00"/>
    <n v="48"/>
    <x v="54"/>
    <x v="0"/>
    <x v="0"/>
    <n v="28"/>
    <n v="0"/>
    <s v=""/>
  </r>
  <r>
    <s v="FB000545"/>
    <x v="0"/>
    <x v="5"/>
    <x v="2"/>
    <s v="M"/>
    <x v="8"/>
    <n v="229.04"/>
    <n v="0"/>
    <n v="229.04"/>
    <d v="2025-08-06T00:00:00"/>
    <n v="5"/>
    <x v="35"/>
    <x v="0"/>
    <x v="0"/>
    <n v="28"/>
    <n v="0"/>
    <s v=""/>
  </r>
  <r>
    <s v="FB000546"/>
    <x v="2"/>
    <x v="5"/>
    <x v="1"/>
    <m/>
    <x v="4"/>
    <n v="38.65"/>
    <n v="32.6"/>
    <n v="26.05"/>
    <d v="2025-08-06T00:00:00"/>
    <n v="46"/>
    <x v="21"/>
    <x v="0"/>
    <x v="0"/>
    <n v="28"/>
    <n v="1499.6000000000001"/>
    <s v=""/>
  </r>
  <r>
    <s v="FB000547"/>
    <x v="4"/>
    <x v="2"/>
    <x v="0"/>
    <s v="XS"/>
    <x v="1"/>
    <n v="80.819999999999993"/>
    <n v="0"/>
    <n v="80.819999999999993"/>
    <d v="2025-02-11T00:00:00"/>
    <n v="42"/>
    <x v="28"/>
    <x v="0"/>
    <x v="0"/>
    <n v="204"/>
    <n v="0"/>
    <s v=""/>
  </r>
  <r>
    <s v="FB000548"/>
    <x v="2"/>
    <x v="1"/>
    <x v="0"/>
    <m/>
    <x v="7"/>
    <n v="56.44"/>
    <n v="0"/>
    <n v="56.44"/>
    <d v="2025-03-18T00:00:00"/>
    <n v="35"/>
    <x v="30"/>
    <x v="0"/>
    <x v="0"/>
    <n v="169"/>
    <n v="0"/>
    <s v=""/>
  </r>
  <r>
    <s v="FB000549"/>
    <x v="5"/>
    <x v="0"/>
    <x v="2"/>
    <s v="M"/>
    <x v="7"/>
    <n v="121.3"/>
    <n v="0"/>
    <n v="121.3"/>
    <d v="2025-08-06T00:00:00"/>
    <n v="33"/>
    <x v="39"/>
    <x v="0"/>
    <x v="0"/>
    <n v="28"/>
    <n v="0"/>
    <s v=""/>
  </r>
  <r>
    <s v="FB000550"/>
    <x v="4"/>
    <x v="6"/>
    <x v="2"/>
    <m/>
    <x v="2"/>
    <n v="101.98"/>
    <n v="28.4"/>
    <n v="73.02"/>
    <d v="2025-08-06T00:00:00"/>
    <n v="40"/>
    <x v="35"/>
    <x v="0"/>
    <x v="0"/>
    <n v="28"/>
    <n v="1136"/>
    <s v=""/>
  </r>
  <r>
    <s v="FB000551"/>
    <x v="4"/>
    <x v="2"/>
    <x v="0"/>
    <s v="L"/>
    <x v="0"/>
    <n v="89.99"/>
    <n v="0"/>
    <n v="89.99"/>
    <d v="2025-02-28T00:00:00"/>
    <n v="26"/>
    <x v="16"/>
    <x v="0"/>
    <x v="0"/>
    <n v="187"/>
    <n v="0"/>
    <s v=""/>
  </r>
  <r>
    <s v="FB000552"/>
    <x v="3"/>
    <x v="7"/>
    <x v="3"/>
    <s v="XXL"/>
    <x v="6"/>
    <n v="64.31"/>
    <n v="34.5"/>
    <n v="42.12"/>
    <d v="2025-08-06T00:00:00"/>
    <n v="48"/>
    <x v="35"/>
    <x v="0"/>
    <x v="0"/>
    <n v="28"/>
    <n v="1656"/>
    <s v=""/>
  </r>
  <r>
    <s v="FB000553"/>
    <x v="5"/>
    <x v="0"/>
    <x v="0"/>
    <s v="L"/>
    <x v="7"/>
    <n v="168.92"/>
    <n v="0"/>
    <n v="168.92"/>
    <d v="2025-07-14T00:00:00"/>
    <n v="11"/>
    <x v="9"/>
    <x v="0"/>
    <x v="0"/>
    <n v="51"/>
    <n v="0"/>
    <s v=""/>
  </r>
  <r>
    <s v="FB000554"/>
    <x v="4"/>
    <x v="6"/>
    <x v="3"/>
    <s v="XL"/>
    <x v="8"/>
    <n v="86.46"/>
    <n v="49.5"/>
    <n v="43.66"/>
    <d v="2025-08-06T00:00:00"/>
    <n v="19"/>
    <x v="2"/>
    <x v="0"/>
    <x v="0"/>
    <n v="28"/>
    <n v="940.5"/>
    <s v=""/>
  </r>
  <r>
    <s v="FB000555"/>
    <x v="1"/>
    <x v="7"/>
    <x v="1"/>
    <s v="XS"/>
    <x v="0"/>
    <n v="36.840000000000003"/>
    <n v="18.899999999999999"/>
    <n v="29.88"/>
    <d v="2025-08-06T00:00:00"/>
    <n v="39"/>
    <x v="19"/>
    <x v="0"/>
    <x v="0"/>
    <n v="28"/>
    <n v="737.09999999999991"/>
    <s v=""/>
  </r>
  <r>
    <s v="FB000556"/>
    <x v="1"/>
    <x v="5"/>
    <x v="0"/>
    <s v="XS"/>
    <x v="1"/>
    <n v="38.5"/>
    <n v="0"/>
    <n v="38.5"/>
    <d v="2025-03-06T00:00:00"/>
    <n v="2"/>
    <x v="53"/>
    <x v="0"/>
    <x v="0"/>
    <n v="181"/>
    <n v="0"/>
    <s v=""/>
  </r>
  <r>
    <s v="FB000557"/>
    <x v="4"/>
    <x v="3"/>
    <x v="1"/>
    <m/>
    <x v="7"/>
    <n v="68.02"/>
    <n v="37.700000000000003"/>
    <n v="42.38"/>
    <d v="2025-08-06T00:00:00"/>
    <n v="40"/>
    <x v="54"/>
    <x v="0"/>
    <x v="0"/>
    <n v="28"/>
    <n v="1508"/>
    <s v=""/>
  </r>
  <r>
    <s v="FB000558"/>
    <x v="5"/>
    <x v="1"/>
    <x v="2"/>
    <s v="M"/>
    <x v="10"/>
    <n v="117.23"/>
    <n v="0"/>
    <n v="117.23"/>
    <d v="2025-08-06T00:00:00"/>
    <n v="30"/>
    <x v="83"/>
    <x v="1"/>
    <x v="5"/>
    <n v="28"/>
    <n v="0"/>
    <n v="1"/>
  </r>
  <r>
    <s v="FB000559"/>
    <x v="1"/>
    <x v="5"/>
    <x v="0"/>
    <s v="S"/>
    <x v="8"/>
    <n v="79.33"/>
    <n v="0"/>
    <n v="79.33"/>
    <d v="2025-01-30T00:00:00"/>
    <n v="10"/>
    <x v="10"/>
    <x v="1"/>
    <x v="5"/>
    <n v="216"/>
    <n v="0"/>
    <n v="1"/>
  </r>
  <r>
    <s v="FB000560"/>
    <x v="4"/>
    <x v="3"/>
    <x v="3"/>
    <s v="L"/>
    <x v="6"/>
    <n v="75.819999999999993"/>
    <n v="42.7"/>
    <n v="43.44"/>
    <d v="2025-08-06T00:00:00"/>
    <n v="11"/>
    <x v="66"/>
    <x v="0"/>
    <x v="0"/>
    <n v="28"/>
    <n v="469.70000000000005"/>
    <s v=""/>
  </r>
  <r>
    <s v="FB000561"/>
    <x v="5"/>
    <x v="5"/>
    <x v="0"/>
    <s v="M"/>
    <x v="3"/>
    <n v="141.41999999999999"/>
    <n v="0"/>
    <n v="141.41999999999999"/>
    <d v="2025-03-25T00:00:00"/>
    <n v="10"/>
    <x v="1"/>
    <x v="0"/>
    <x v="0"/>
    <n v="162"/>
    <n v="0"/>
    <s v=""/>
  </r>
  <r>
    <s v="FB000562"/>
    <x v="3"/>
    <x v="1"/>
    <x v="0"/>
    <s v="L"/>
    <x v="2"/>
    <n v="124.2"/>
    <n v="0"/>
    <n v="124.2"/>
    <d v="2024-08-28T00:00:00"/>
    <n v="24"/>
    <x v="50"/>
    <x v="0"/>
    <x v="0"/>
    <n v="371"/>
    <n v="0"/>
    <s v=""/>
  </r>
  <r>
    <s v="FB000563"/>
    <x v="4"/>
    <x v="7"/>
    <x v="1"/>
    <s v="L"/>
    <x v="8"/>
    <n v="48.42"/>
    <n v="0"/>
    <n v="48.42"/>
    <d v="2025-08-06T00:00:00"/>
    <n v="6"/>
    <x v="2"/>
    <x v="0"/>
    <x v="0"/>
    <n v="28"/>
    <n v="0"/>
    <s v=""/>
  </r>
  <r>
    <s v="FB000564"/>
    <x v="5"/>
    <x v="4"/>
    <x v="2"/>
    <s v="XS"/>
    <x v="4"/>
    <n v="119.4"/>
    <n v="0"/>
    <n v="119.4"/>
    <d v="2025-08-06T00:00:00"/>
    <n v="45"/>
    <x v="36"/>
    <x v="0"/>
    <x v="0"/>
    <n v="28"/>
    <n v="0"/>
    <s v=""/>
  </r>
  <r>
    <s v="FB000565"/>
    <x v="3"/>
    <x v="3"/>
    <x v="3"/>
    <s v="M"/>
    <x v="10"/>
    <n v="186.07"/>
    <n v="0"/>
    <n v="186.07"/>
    <d v="2025-08-06T00:00:00"/>
    <n v="41"/>
    <x v="3"/>
    <x v="0"/>
    <x v="0"/>
    <n v="28"/>
    <n v="0"/>
    <s v=""/>
  </r>
  <r>
    <s v="FB000566"/>
    <x v="3"/>
    <x v="3"/>
    <x v="3"/>
    <s v="XL"/>
    <x v="10"/>
    <n v="109.46"/>
    <n v="0"/>
    <n v="109.46"/>
    <d v="2025-08-06T00:00:00"/>
    <n v="38"/>
    <x v="16"/>
    <x v="0"/>
    <x v="0"/>
    <n v="28"/>
    <n v="0"/>
    <s v=""/>
  </r>
  <r>
    <s v="FB000567"/>
    <x v="5"/>
    <x v="6"/>
    <x v="1"/>
    <s v="S"/>
    <x v="4"/>
    <n v="116.18"/>
    <n v="42.7"/>
    <n v="66.569999999999993"/>
    <d v="2025-08-06T00:00:00"/>
    <n v="3"/>
    <x v="15"/>
    <x v="0"/>
    <x v="0"/>
    <n v="28"/>
    <n v="128.10000000000002"/>
    <s v=""/>
  </r>
  <r>
    <s v="FB000568"/>
    <x v="2"/>
    <x v="0"/>
    <x v="1"/>
    <m/>
    <x v="6"/>
    <n v="41.29"/>
    <n v="26.3"/>
    <n v="30.43"/>
    <d v="2025-08-06T00:00:00"/>
    <n v="5"/>
    <x v="52"/>
    <x v="0"/>
    <x v="0"/>
    <n v="28"/>
    <n v="131.5"/>
    <s v=""/>
  </r>
  <r>
    <s v="FB000569"/>
    <x v="1"/>
    <x v="1"/>
    <x v="1"/>
    <s v="S"/>
    <x v="6"/>
    <n v="94.68"/>
    <n v="45"/>
    <n v="52.07"/>
    <d v="2025-08-06T00:00:00"/>
    <n v="47"/>
    <x v="3"/>
    <x v="0"/>
    <x v="0"/>
    <n v="28"/>
    <n v="2115"/>
    <s v=""/>
  </r>
  <r>
    <s v="FB000570"/>
    <x v="2"/>
    <x v="0"/>
    <x v="0"/>
    <m/>
    <x v="3"/>
    <n v="48.55"/>
    <n v="32.700000000000003"/>
    <n v="32.67"/>
    <d v="2024-10-01T00:00:00"/>
    <n v="39"/>
    <x v="32"/>
    <x v="0"/>
    <x v="0"/>
    <n v="337"/>
    <n v="1275.3000000000002"/>
    <s v=""/>
  </r>
  <r>
    <s v="FB000571"/>
    <x v="1"/>
    <x v="6"/>
    <x v="3"/>
    <s v="M"/>
    <x v="9"/>
    <n v="75.22"/>
    <n v="0"/>
    <n v="75.22"/>
    <d v="2025-08-06T00:00:00"/>
    <n v="22"/>
    <x v="54"/>
    <x v="1"/>
    <x v="2"/>
    <n v="28"/>
    <n v="0"/>
    <n v="1"/>
  </r>
  <r>
    <s v="FB000572"/>
    <x v="3"/>
    <x v="4"/>
    <x v="3"/>
    <s v="XS"/>
    <x v="3"/>
    <n v="98.95"/>
    <n v="30.3"/>
    <n v="68.97"/>
    <d v="2025-08-06T00:00:00"/>
    <n v="16"/>
    <x v="76"/>
    <x v="0"/>
    <x v="0"/>
    <n v="28"/>
    <n v="484.8"/>
    <s v=""/>
  </r>
  <r>
    <s v="FB000573"/>
    <x v="1"/>
    <x v="4"/>
    <x v="0"/>
    <s v="XL"/>
    <x v="10"/>
    <n v="39.56"/>
    <n v="0"/>
    <n v="39.56"/>
    <d v="2025-01-21T00:00:00"/>
    <n v="15"/>
    <x v="84"/>
    <x v="0"/>
    <x v="0"/>
    <n v="225"/>
    <n v="0"/>
    <s v=""/>
  </r>
  <r>
    <s v="FB000574"/>
    <x v="0"/>
    <x v="1"/>
    <x v="1"/>
    <s v="S"/>
    <x v="3"/>
    <n v="153.88"/>
    <n v="0"/>
    <n v="153.88"/>
    <d v="2025-08-06T00:00:00"/>
    <n v="42"/>
    <x v="81"/>
    <x v="0"/>
    <x v="0"/>
    <n v="28"/>
    <n v="0"/>
    <s v=""/>
  </r>
  <r>
    <s v="FB000575"/>
    <x v="2"/>
    <x v="5"/>
    <x v="3"/>
    <m/>
    <x v="7"/>
    <n v="68.87"/>
    <n v="0"/>
    <n v="68.87"/>
    <d v="2025-08-06T00:00:00"/>
    <n v="9"/>
    <x v="21"/>
    <x v="0"/>
    <x v="0"/>
    <n v="28"/>
    <n v="0"/>
    <s v=""/>
  </r>
  <r>
    <s v="FB000576"/>
    <x v="4"/>
    <x v="5"/>
    <x v="2"/>
    <s v="M"/>
    <x v="1"/>
    <n v="25.56"/>
    <n v="38.9"/>
    <n v="15.62"/>
    <d v="2025-08-06T00:00:00"/>
    <n v="48"/>
    <x v="11"/>
    <x v="0"/>
    <x v="0"/>
    <n v="28"/>
    <n v="1867.1999999999998"/>
    <s v=""/>
  </r>
  <r>
    <s v="FB000577"/>
    <x v="0"/>
    <x v="4"/>
    <x v="2"/>
    <s v="XXL"/>
    <x v="3"/>
    <n v="246.49"/>
    <n v="0"/>
    <n v="246.49"/>
    <d v="2025-08-06T00:00:00"/>
    <n v="20"/>
    <x v="51"/>
    <x v="0"/>
    <x v="0"/>
    <n v="28"/>
    <n v="0"/>
    <s v=""/>
  </r>
  <r>
    <s v="FB000578"/>
    <x v="2"/>
    <x v="4"/>
    <x v="2"/>
    <m/>
    <x v="6"/>
    <n v="52.41"/>
    <n v="0"/>
    <n v="52.41"/>
    <d v="2025-08-06T00:00:00"/>
    <n v="14"/>
    <x v="73"/>
    <x v="0"/>
    <x v="0"/>
    <n v="28"/>
    <n v="0"/>
    <s v=""/>
  </r>
  <r>
    <s v="FB000579"/>
    <x v="1"/>
    <x v="0"/>
    <x v="3"/>
    <s v="M"/>
    <x v="8"/>
    <n v="33.770000000000003"/>
    <n v="0"/>
    <n v="33.770000000000003"/>
    <d v="2025-08-06T00:00:00"/>
    <n v="12"/>
    <x v="22"/>
    <x v="0"/>
    <x v="0"/>
    <n v="28"/>
    <n v="0"/>
    <s v=""/>
  </r>
  <r>
    <s v="FB000580"/>
    <x v="3"/>
    <x v="4"/>
    <x v="3"/>
    <s v="M"/>
    <x v="1"/>
    <n v="96.7"/>
    <n v="0"/>
    <n v="96.7"/>
    <d v="2025-08-06T00:00:00"/>
    <n v="28"/>
    <x v="0"/>
    <x v="0"/>
    <x v="0"/>
    <n v="28"/>
    <n v="0"/>
    <s v=""/>
  </r>
  <r>
    <s v="FB000581"/>
    <x v="5"/>
    <x v="4"/>
    <x v="0"/>
    <s v="M"/>
    <x v="0"/>
    <n v="95.81"/>
    <n v="0"/>
    <n v="95.81"/>
    <d v="2025-05-09T00:00:00"/>
    <n v="47"/>
    <x v="26"/>
    <x v="0"/>
    <x v="0"/>
    <n v="117"/>
    <n v="0"/>
    <s v=""/>
  </r>
  <r>
    <s v="FB000582"/>
    <x v="1"/>
    <x v="6"/>
    <x v="2"/>
    <s v="M"/>
    <x v="10"/>
    <n v="41.58"/>
    <n v="0"/>
    <n v="41.58"/>
    <d v="2025-08-06T00:00:00"/>
    <n v="3"/>
    <x v="6"/>
    <x v="0"/>
    <x v="0"/>
    <n v="28"/>
    <n v="0"/>
    <s v=""/>
  </r>
  <r>
    <s v="FB000583"/>
    <x v="1"/>
    <x v="1"/>
    <x v="3"/>
    <s v="XL"/>
    <x v="4"/>
    <n v="46.67"/>
    <n v="6.6"/>
    <n v="43.59"/>
    <d v="2025-08-06T00:00:00"/>
    <n v="35"/>
    <x v="49"/>
    <x v="1"/>
    <x v="4"/>
    <n v="28"/>
    <n v="231"/>
    <n v="1"/>
  </r>
  <r>
    <s v="FB000584"/>
    <x v="4"/>
    <x v="0"/>
    <x v="1"/>
    <s v="L"/>
    <x v="7"/>
    <n v="25.98"/>
    <n v="59.4"/>
    <n v="10.55"/>
    <d v="2025-08-06T00:00:00"/>
    <n v="40"/>
    <x v="65"/>
    <x v="0"/>
    <x v="0"/>
    <n v="28"/>
    <n v="2376"/>
    <s v=""/>
  </r>
  <r>
    <s v="FB000585"/>
    <x v="0"/>
    <x v="1"/>
    <x v="3"/>
    <s v="L"/>
    <x v="7"/>
    <n v="204.82"/>
    <n v="14"/>
    <n v="176.15"/>
    <d v="2025-08-06T00:00:00"/>
    <n v="27"/>
    <x v="22"/>
    <x v="0"/>
    <x v="0"/>
    <n v="28"/>
    <n v="378"/>
    <s v=""/>
  </r>
  <r>
    <s v="FB000586"/>
    <x v="1"/>
    <x v="0"/>
    <x v="1"/>
    <s v="XXL"/>
    <x v="1"/>
    <n v="43.43"/>
    <n v="47.1"/>
    <n v="22.97"/>
    <d v="2025-08-06T00:00:00"/>
    <n v="44"/>
    <x v="52"/>
    <x v="0"/>
    <x v="0"/>
    <n v="28"/>
    <n v="2072.4"/>
    <s v=""/>
  </r>
  <r>
    <s v="FB000587"/>
    <x v="2"/>
    <x v="4"/>
    <x v="3"/>
    <m/>
    <x v="5"/>
    <n v="40.5"/>
    <n v="40.5"/>
    <n v="24.1"/>
    <d v="2025-08-06T00:00:00"/>
    <n v="25"/>
    <x v="5"/>
    <x v="0"/>
    <x v="0"/>
    <n v="28"/>
    <n v="1012.5"/>
    <s v=""/>
  </r>
  <r>
    <s v="FB000588"/>
    <x v="4"/>
    <x v="7"/>
    <x v="1"/>
    <s v="M"/>
    <x v="0"/>
    <n v="73.59"/>
    <n v="16.600000000000001"/>
    <n v="61.37"/>
    <d v="2025-08-06T00:00:00"/>
    <n v="34"/>
    <x v="30"/>
    <x v="0"/>
    <x v="0"/>
    <n v="28"/>
    <n v="564.40000000000009"/>
    <s v=""/>
  </r>
  <r>
    <s v="FB000589"/>
    <x v="2"/>
    <x v="5"/>
    <x v="3"/>
    <m/>
    <x v="8"/>
    <n v="17.670000000000002"/>
    <n v="0"/>
    <n v="17.670000000000002"/>
    <d v="2025-08-06T00:00:00"/>
    <n v="29"/>
    <x v="2"/>
    <x v="0"/>
    <x v="0"/>
    <n v="28"/>
    <n v="0"/>
    <s v=""/>
  </r>
  <r>
    <s v="FB000590"/>
    <x v="5"/>
    <x v="6"/>
    <x v="1"/>
    <s v="S"/>
    <x v="6"/>
    <n v="70.010000000000005"/>
    <n v="28"/>
    <n v="50.41"/>
    <d v="2025-08-06T00:00:00"/>
    <n v="23"/>
    <x v="70"/>
    <x v="0"/>
    <x v="0"/>
    <n v="28"/>
    <n v="644"/>
    <s v=""/>
  </r>
  <r>
    <s v="FB000591"/>
    <x v="3"/>
    <x v="3"/>
    <x v="2"/>
    <s v="XS"/>
    <x v="0"/>
    <n v="79.319999999999993"/>
    <n v="33.700000000000003"/>
    <n v="52.59"/>
    <d v="2025-08-06T00:00:00"/>
    <n v="38"/>
    <x v="0"/>
    <x v="1"/>
    <x v="2"/>
    <n v="28"/>
    <n v="1280.6000000000001"/>
    <n v="1"/>
  </r>
  <r>
    <s v="FB000592"/>
    <x v="2"/>
    <x v="0"/>
    <x v="3"/>
    <m/>
    <x v="7"/>
    <n v="45.24"/>
    <n v="0"/>
    <n v="45.24"/>
    <d v="2025-08-06T00:00:00"/>
    <n v="20"/>
    <x v="0"/>
    <x v="1"/>
    <x v="4"/>
    <n v="28"/>
    <n v="0"/>
    <n v="1"/>
  </r>
  <r>
    <s v="FB000593"/>
    <x v="1"/>
    <x v="4"/>
    <x v="3"/>
    <s v="XXL"/>
    <x v="0"/>
    <n v="63.51"/>
    <n v="13.6"/>
    <n v="54.87"/>
    <d v="2025-08-06T00:00:00"/>
    <n v="19"/>
    <x v="84"/>
    <x v="0"/>
    <x v="0"/>
    <n v="28"/>
    <n v="258.39999999999998"/>
    <s v=""/>
  </r>
  <r>
    <s v="FB000594"/>
    <x v="4"/>
    <x v="5"/>
    <x v="1"/>
    <s v="XXL"/>
    <x v="3"/>
    <n v="55.23"/>
    <n v="33.6"/>
    <n v="36.67"/>
    <d v="2025-08-06T00:00:00"/>
    <n v="9"/>
    <x v="11"/>
    <x v="0"/>
    <x v="0"/>
    <n v="28"/>
    <n v="302.40000000000003"/>
    <s v=""/>
  </r>
  <r>
    <s v="FB000595"/>
    <x v="5"/>
    <x v="2"/>
    <x v="2"/>
    <s v="M"/>
    <x v="8"/>
    <n v="137.59"/>
    <n v="0"/>
    <n v="137.59"/>
    <d v="2025-08-06T00:00:00"/>
    <n v="18"/>
    <x v="82"/>
    <x v="0"/>
    <x v="0"/>
    <n v="28"/>
    <n v="0"/>
    <s v=""/>
  </r>
  <r>
    <s v="FB000596"/>
    <x v="3"/>
    <x v="4"/>
    <x v="2"/>
    <m/>
    <x v="3"/>
    <n v="65.8"/>
    <n v="0"/>
    <n v="65.8"/>
    <d v="2025-08-06T00:00:00"/>
    <n v="46"/>
    <x v="53"/>
    <x v="0"/>
    <x v="0"/>
    <n v="28"/>
    <n v="0"/>
    <s v=""/>
  </r>
  <r>
    <s v="FB000597"/>
    <x v="3"/>
    <x v="1"/>
    <x v="1"/>
    <s v="XL"/>
    <x v="5"/>
    <n v="88.42"/>
    <n v="0"/>
    <n v="88.42"/>
    <d v="2025-08-06T00:00:00"/>
    <n v="44"/>
    <x v="10"/>
    <x v="1"/>
    <x v="3"/>
    <n v="28"/>
    <n v="0"/>
    <n v="1"/>
  </r>
  <r>
    <s v="FB000598"/>
    <x v="5"/>
    <x v="3"/>
    <x v="2"/>
    <s v="M"/>
    <x v="0"/>
    <n v="75.540000000000006"/>
    <n v="0"/>
    <n v="75.540000000000006"/>
    <d v="2025-08-06T00:00:00"/>
    <n v="6"/>
    <x v="14"/>
    <x v="0"/>
    <x v="0"/>
    <n v="28"/>
    <n v="0"/>
    <s v=""/>
  </r>
  <r>
    <s v="FB000599"/>
    <x v="3"/>
    <x v="4"/>
    <x v="0"/>
    <s v="L"/>
    <x v="3"/>
    <n v="185.13"/>
    <n v="0"/>
    <n v="185.13"/>
    <d v="2025-05-09T00:00:00"/>
    <n v="49"/>
    <x v="26"/>
    <x v="0"/>
    <x v="0"/>
    <n v="117"/>
    <n v="0"/>
    <s v=""/>
  </r>
  <r>
    <s v="FB000600"/>
    <x v="0"/>
    <x v="3"/>
    <x v="2"/>
    <s v="L"/>
    <x v="2"/>
    <n v="132.58000000000001"/>
    <n v="0"/>
    <n v="132.58000000000001"/>
    <d v="2025-08-06T00:00:00"/>
    <n v="45"/>
    <x v="6"/>
    <x v="0"/>
    <x v="0"/>
    <n v="28"/>
    <n v="0"/>
    <s v=""/>
  </r>
  <r>
    <s v="FB000601"/>
    <x v="4"/>
    <x v="0"/>
    <x v="2"/>
    <s v="M"/>
    <x v="3"/>
    <n v="93.38"/>
    <n v="0"/>
    <n v="93.38"/>
    <d v="2025-08-06T00:00:00"/>
    <n v="7"/>
    <x v="15"/>
    <x v="0"/>
    <x v="0"/>
    <n v="28"/>
    <n v="0"/>
    <s v=""/>
  </r>
  <r>
    <s v="FB000602"/>
    <x v="2"/>
    <x v="5"/>
    <x v="2"/>
    <m/>
    <x v="2"/>
    <n v="47.28"/>
    <n v="0"/>
    <n v="47.28"/>
    <d v="2025-08-06T00:00:00"/>
    <n v="38"/>
    <x v="36"/>
    <x v="0"/>
    <x v="0"/>
    <n v="28"/>
    <n v="0"/>
    <s v=""/>
  </r>
  <r>
    <s v="FB000603"/>
    <x v="4"/>
    <x v="2"/>
    <x v="0"/>
    <s v="L"/>
    <x v="6"/>
    <n v="59.88"/>
    <n v="0"/>
    <n v="59.88"/>
    <d v="2024-10-12T00:00:00"/>
    <n v="33"/>
    <x v="5"/>
    <x v="0"/>
    <x v="0"/>
    <n v="326"/>
    <n v="0"/>
    <s v=""/>
  </r>
  <r>
    <s v="FB000604"/>
    <x v="5"/>
    <x v="4"/>
    <x v="1"/>
    <s v="XXL"/>
    <x v="2"/>
    <n v="140.07"/>
    <n v="0"/>
    <n v="140.07"/>
    <d v="2025-08-06T00:00:00"/>
    <n v="15"/>
    <x v="67"/>
    <x v="0"/>
    <x v="0"/>
    <n v="28"/>
    <n v="0"/>
    <s v=""/>
  </r>
  <r>
    <s v="FB000605"/>
    <x v="2"/>
    <x v="1"/>
    <x v="1"/>
    <m/>
    <x v="2"/>
    <n v="66.599999999999994"/>
    <n v="0"/>
    <n v="66.599999999999994"/>
    <d v="2025-08-06T00:00:00"/>
    <n v="47"/>
    <x v="30"/>
    <x v="0"/>
    <x v="0"/>
    <n v="28"/>
    <n v="0"/>
    <s v=""/>
  </r>
  <r>
    <s v="FB000606"/>
    <x v="2"/>
    <x v="6"/>
    <x v="3"/>
    <m/>
    <x v="9"/>
    <n v="39.82"/>
    <n v="35.4"/>
    <n v="25.72"/>
    <d v="2025-08-06T00:00:00"/>
    <n v="9"/>
    <x v="14"/>
    <x v="0"/>
    <x v="0"/>
    <n v="28"/>
    <n v="318.59999999999997"/>
    <s v=""/>
  </r>
  <r>
    <s v="FB000607"/>
    <x v="2"/>
    <x v="0"/>
    <x v="2"/>
    <m/>
    <x v="0"/>
    <n v="70.739999999999995"/>
    <n v="0"/>
    <n v="70.739999999999995"/>
    <d v="2025-08-06T00:00:00"/>
    <n v="49"/>
    <x v="34"/>
    <x v="0"/>
    <x v="0"/>
    <n v="28"/>
    <n v="0"/>
    <s v=""/>
  </r>
  <r>
    <s v="FB000608"/>
    <x v="5"/>
    <x v="0"/>
    <x v="0"/>
    <s v="M"/>
    <x v="0"/>
    <n v="95.33"/>
    <n v="0"/>
    <n v="95.33"/>
    <d v="2025-06-07T00:00:00"/>
    <n v="36"/>
    <x v="75"/>
    <x v="1"/>
    <x v="4"/>
    <n v="88"/>
    <n v="0"/>
    <n v="1"/>
  </r>
  <r>
    <s v="FB000609"/>
    <x v="2"/>
    <x v="7"/>
    <x v="0"/>
    <m/>
    <x v="0"/>
    <n v="32.619999999999997"/>
    <n v="29.1"/>
    <n v="23.13"/>
    <d v="2025-07-27T00:00:00"/>
    <n v="9"/>
    <x v="40"/>
    <x v="0"/>
    <x v="0"/>
    <n v="38"/>
    <n v="261.90000000000003"/>
    <s v=""/>
  </r>
  <r>
    <s v="FB000610"/>
    <x v="4"/>
    <x v="3"/>
    <x v="3"/>
    <s v="XL"/>
    <x v="9"/>
    <n v="41.07"/>
    <n v="0"/>
    <n v="41.07"/>
    <d v="2025-08-06T00:00:00"/>
    <n v="10"/>
    <x v="51"/>
    <x v="0"/>
    <x v="0"/>
    <n v="28"/>
    <n v="0"/>
    <s v=""/>
  </r>
  <r>
    <s v="FB000611"/>
    <x v="4"/>
    <x v="0"/>
    <x v="1"/>
    <s v="XL"/>
    <x v="4"/>
    <n v="43.1"/>
    <n v="0"/>
    <n v="43.1"/>
    <d v="2025-08-06T00:00:00"/>
    <n v="34"/>
    <x v="26"/>
    <x v="0"/>
    <x v="0"/>
    <n v="28"/>
    <n v="0"/>
    <s v=""/>
  </r>
  <r>
    <s v="FB000612"/>
    <x v="0"/>
    <x v="5"/>
    <x v="1"/>
    <s v="XXL"/>
    <x v="8"/>
    <n v="102.03"/>
    <n v="27.9"/>
    <n v="73.56"/>
    <d v="2025-08-06T00:00:00"/>
    <n v="21"/>
    <x v="81"/>
    <x v="1"/>
    <x v="2"/>
    <n v="28"/>
    <n v="585.9"/>
    <n v="1"/>
  </r>
  <r>
    <s v="FB000613"/>
    <x v="2"/>
    <x v="3"/>
    <x v="1"/>
    <m/>
    <x v="0"/>
    <n v="54.11"/>
    <n v="0"/>
    <n v="54.11"/>
    <d v="2025-08-06T00:00:00"/>
    <n v="15"/>
    <x v="3"/>
    <x v="0"/>
    <x v="0"/>
    <n v="28"/>
    <n v="0"/>
    <s v=""/>
  </r>
  <r>
    <s v="FB000614"/>
    <x v="2"/>
    <x v="3"/>
    <x v="1"/>
    <m/>
    <x v="9"/>
    <n v="43.5"/>
    <n v="0"/>
    <n v="43.5"/>
    <d v="2025-08-06T00:00:00"/>
    <n v="35"/>
    <x v="32"/>
    <x v="0"/>
    <x v="0"/>
    <n v="28"/>
    <n v="0"/>
    <s v=""/>
  </r>
  <r>
    <s v="FB000615"/>
    <x v="2"/>
    <x v="2"/>
    <x v="1"/>
    <m/>
    <x v="1"/>
    <n v="66"/>
    <n v="0"/>
    <n v="66"/>
    <d v="2025-08-06T00:00:00"/>
    <n v="19"/>
    <x v="3"/>
    <x v="0"/>
    <x v="0"/>
    <n v="28"/>
    <n v="0"/>
    <s v=""/>
  </r>
  <r>
    <s v="FB000616"/>
    <x v="4"/>
    <x v="2"/>
    <x v="3"/>
    <s v="M"/>
    <x v="3"/>
    <n v="38.85"/>
    <n v="0"/>
    <n v="38.85"/>
    <d v="2025-08-06T00:00:00"/>
    <n v="10"/>
    <x v="22"/>
    <x v="0"/>
    <x v="0"/>
    <n v="28"/>
    <n v="0"/>
    <s v=""/>
  </r>
  <r>
    <s v="FB000617"/>
    <x v="2"/>
    <x v="0"/>
    <x v="3"/>
    <m/>
    <x v="7"/>
    <n v="61.29"/>
    <n v="0"/>
    <n v="61.29"/>
    <d v="2025-08-06T00:00:00"/>
    <n v="15"/>
    <x v="30"/>
    <x v="0"/>
    <x v="0"/>
    <n v="28"/>
    <n v="0"/>
    <s v=""/>
  </r>
  <r>
    <s v="FB000618"/>
    <x v="4"/>
    <x v="4"/>
    <x v="0"/>
    <s v="XS"/>
    <x v="7"/>
    <n v="90.66"/>
    <n v="0"/>
    <n v="90.66"/>
    <d v="2025-03-20T00:00:00"/>
    <n v="49"/>
    <x v="13"/>
    <x v="1"/>
    <x v="1"/>
    <n v="167"/>
    <n v="0"/>
    <n v="1"/>
  </r>
  <r>
    <s v="FB000619"/>
    <x v="5"/>
    <x v="3"/>
    <x v="2"/>
    <s v="XL"/>
    <x v="6"/>
    <n v="119.96"/>
    <n v="0"/>
    <n v="119.96"/>
    <d v="2025-08-06T00:00:00"/>
    <n v="5"/>
    <x v="64"/>
    <x v="0"/>
    <x v="0"/>
    <n v="28"/>
    <n v="0"/>
    <s v=""/>
  </r>
  <r>
    <s v="FB000620"/>
    <x v="3"/>
    <x v="7"/>
    <x v="2"/>
    <s v="XXL"/>
    <x v="0"/>
    <n v="130.21"/>
    <n v="0"/>
    <n v="130.21"/>
    <d v="2025-08-06T00:00:00"/>
    <n v="50"/>
    <x v="52"/>
    <x v="0"/>
    <x v="0"/>
    <n v="28"/>
    <n v="0"/>
    <s v=""/>
  </r>
  <r>
    <s v="FB000621"/>
    <x v="1"/>
    <x v="2"/>
    <x v="1"/>
    <s v="XS"/>
    <x v="0"/>
    <n v="49.68"/>
    <n v="0"/>
    <n v="49.68"/>
    <d v="2025-08-06T00:00:00"/>
    <n v="15"/>
    <x v="32"/>
    <x v="0"/>
    <x v="0"/>
    <n v="28"/>
    <n v="0"/>
    <s v=""/>
  </r>
  <r>
    <s v="FB000622"/>
    <x v="2"/>
    <x v="0"/>
    <x v="0"/>
    <m/>
    <x v="9"/>
    <n v="46.58"/>
    <n v="0"/>
    <n v="46.58"/>
    <d v="2024-09-25T00:00:00"/>
    <n v="42"/>
    <x v="12"/>
    <x v="0"/>
    <x v="0"/>
    <n v="343"/>
    <n v="0"/>
    <s v=""/>
  </r>
  <r>
    <s v="FB000623"/>
    <x v="2"/>
    <x v="3"/>
    <x v="3"/>
    <m/>
    <x v="10"/>
    <n v="69.88"/>
    <n v="0"/>
    <n v="69.88"/>
    <d v="2025-08-06T00:00:00"/>
    <n v="8"/>
    <x v="32"/>
    <x v="0"/>
    <x v="0"/>
    <n v="28"/>
    <n v="0"/>
    <s v=""/>
  </r>
  <r>
    <s v="FB000624"/>
    <x v="2"/>
    <x v="7"/>
    <x v="2"/>
    <m/>
    <x v="6"/>
    <n v="32.15"/>
    <n v="0"/>
    <n v="32.15"/>
    <d v="2025-08-06T00:00:00"/>
    <n v="17"/>
    <x v="42"/>
    <x v="1"/>
    <x v="4"/>
    <n v="28"/>
    <n v="0"/>
    <n v="1"/>
  </r>
  <r>
    <s v="FB000625"/>
    <x v="4"/>
    <x v="7"/>
    <x v="3"/>
    <s v="S"/>
    <x v="2"/>
    <n v="36.340000000000003"/>
    <n v="0"/>
    <n v="36.340000000000003"/>
    <d v="2025-08-06T00:00:00"/>
    <n v="6"/>
    <x v="35"/>
    <x v="1"/>
    <x v="3"/>
    <n v="28"/>
    <n v="0"/>
    <n v="1"/>
  </r>
  <r>
    <s v="FB000626"/>
    <x v="4"/>
    <x v="3"/>
    <x v="2"/>
    <s v="M"/>
    <x v="7"/>
    <n v="93.01"/>
    <n v="0"/>
    <n v="93.01"/>
    <d v="2025-08-06T00:00:00"/>
    <n v="34"/>
    <x v="40"/>
    <x v="0"/>
    <x v="0"/>
    <n v="28"/>
    <n v="0"/>
    <s v=""/>
  </r>
  <r>
    <s v="FB000627"/>
    <x v="1"/>
    <x v="6"/>
    <x v="1"/>
    <s v="S"/>
    <x v="10"/>
    <n v="75"/>
    <n v="0"/>
    <n v="75"/>
    <d v="2025-08-06T00:00:00"/>
    <n v="19"/>
    <x v="6"/>
    <x v="0"/>
    <x v="0"/>
    <n v="28"/>
    <n v="0"/>
    <s v=""/>
  </r>
  <r>
    <s v="FB000628"/>
    <x v="0"/>
    <x v="0"/>
    <x v="2"/>
    <s v="M"/>
    <x v="5"/>
    <n v="81.63"/>
    <n v="12.4"/>
    <n v="71.510000000000005"/>
    <d v="2025-08-06T00:00:00"/>
    <n v="3"/>
    <x v="59"/>
    <x v="0"/>
    <x v="0"/>
    <n v="28"/>
    <n v="37.200000000000003"/>
    <s v=""/>
  </r>
  <r>
    <s v="FB000629"/>
    <x v="4"/>
    <x v="1"/>
    <x v="0"/>
    <s v="XL"/>
    <x v="4"/>
    <n v="109.81"/>
    <n v="0"/>
    <n v="109.81"/>
    <d v="2025-07-24T00:00:00"/>
    <n v="17"/>
    <x v="42"/>
    <x v="0"/>
    <x v="0"/>
    <n v="41"/>
    <n v="0"/>
    <s v=""/>
  </r>
  <r>
    <s v="FB000630"/>
    <x v="4"/>
    <x v="5"/>
    <x v="2"/>
    <m/>
    <x v="2"/>
    <n v="47.7"/>
    <n v="0"/>
    <n v="47.7"/>
    <d v="2025-08-06T00:00:00"/>
    <n v="14"/>
    <x v="39"/>
    <x v="0"/>
    <x v="0"/>
    <n v="28"/>
    <n v="0"/>
    <s v=""/>
  </r>
  <r>
    <s v="FB000631"/>
    <x v="1"/>
    <x v="2"/>
    <x v="1"/>
    <s v="S"/>
    <x v="0"/>
    <n v="96.08"/>
    <n v="0"/>
    <n v="96.08"/>
    <d v="2025-08-06T00:00:00"/>
    <n v="7"/>
    <x v="1"/>
    <x v="0"/>
    <x v="0"/>
    <n v="28"/>
    <n v="0"/>
    <s v=""/>
  </r>
  <r>
    <s v="FB000632"/>
    <x v="1"/>
    <x v="4"/>
    <x v="1"/>
    <s v="XS"/>
    <x v="10"/>
    <n v="28"/>
    <n v="2.6"/>
    <n v="27.27"/>
    <d v="2025-08-06T00:00:00"/>
    <n v="2"/>
    <x v="84"/>
    <x v="0"/>
    <x v="0"/>
    <n v="28"/>
    <n v="5.2"/>
    <s v=""/>
  </r>
  <r>
    <s v="FB000633"/>
    <x v="4"/>
    <x v="0"/>
    <x v="1"/>
    <s v="S"/>
    <x v="10"/>
    <n v="52.43"/>
    <n v="6.4"/>
    <n v="49.07"/>
    <d v="2025-08-06T00:00:00"/>
    <n v="42"/>
    <x v="3"/>
    <x v="0"/>
    <x v="0"/>
    <n v="28"/>
    <n v="268.8"/>
    <s v=""/>
  </r>
  <r>
    <s v="FB000634"/>
    <x v="2"/>
    <x v="6"/>
    <x v="3"/>
    <m/>
    <x v="1"/>
    <n v="67.95"/>
    <n v="18.3"/>
    <n v="55.52"/>
    <d v="2025-08-06T00:00:00"/>
    <n v="37"/>
    <x v="80"/>
    <x v="0"/>
    <x v="0"/>
    <n v="28"/>
    <n v="677.1"/>
    <s v=""/>
  </r>
  <r>
    <s v="FB000635"/>
    <x v="5"/>
    <x v="5"/>
    <x v="2"/>
    <m/>
    <x v="0"/>
    <n v="131.91999999999999"/>
    <n v="0"/>
    <n v="131.91999999999999"/>
    <d v="2025-08-06T00:00:00"/>
    <n v="10"/>
    <x v="1"/>
    <x v="0"/>
    <x v="0"/>
    <n v="28"/>
    <n v="0"/>
    <s v=""/>
  </r>
  <r>
    <s v="FB000636"/>
    <x v="0"/>
    <x v="5"/>
    <x v="0"/>
    <s v="XS"/>
    <x v="3"/>
    <n v="205.77"/>
    <n v="0"/>
    <n v="205.77"/>
    <d v="2025-01-31T00:00:00"/>
    <n v="38"/>
    <x v="50"/>
    <x v="0"/>
    <x v="0"/>
    <n v="215"/>
    <n v="0"/>
    <s v=""/>
  </r>
  <r>
    <s v="FB000637"/>
    <x v="1"/>
    <x v="1"/>
    <x v="1"/>
    <s v="XL"/>
    <x v="3"/>
    <n v="97.88"/>
    <n v="11.3"/>
    <n v="86.82"/>
    <d v="2025-08-06T00:00:00"/>
    <n v="27"/>
    <x v="49"/>
    <x v="0"/>
    <x v="0"/>
    <n v="28"/>
    <n v="305.10000000000002"/>
    <s v=""/>
  </r>
  <r>
    <s v="FB000638"/>
    <x v="3"/>
    <x v="0"/>
    <x v="3"/>
    <s v="L"/>
    <x v="4"/>
    <n v="109.55"/>
    <n v="0"/>
    <n v="109.55"/>
    <d v="2025-08-06T00:00:00"/>
    <n v="32"/>
    <x v="40"/>
    <x v="0"/>
    <x v="0"/>
    <n v="28"/>
    <n v="0"/>
    <s v=""/>
  </r>
  <r>
    <s v="FB000639"/>
    <x v="4"/>
    <x v="0"/>
    <x v="2"/>
    <s v="L"/>
    <x v="4"/>
    <n v="52.94"/>
    <n v="10.6"/>
    <n v="47.33"/>
    <d v="2025-08-06T00:00:00"/>
    <n v="50"/>
    <x v="67"/>
    <x v="0"/>
    <x v="0"/>
    <n v="28"/>
    <n v="530"/>
    <s v=""/>
  </r>
  <r>
    <s v="FB000640"/>
    <x v="4"/>
    <x v="2"/>
    <x v="1"/>
    <s v="XS"/>
    <x v="1"/>
    <n v="70.83"/>
    <n v="18"/>
    <n v="58.08"/>
    <d v="2025-08-06T00:00:00"/>
    <n v="21"/>
    <x v="5"/>
    <x v="0"/>
    <x v="0"/>
    <n v="28"/>
    <n v="378"/>
    <s v=""/>
  </r>
  <r>
    <s v="FB000641"/>
    <x v="5"/>
    <x v="3"/>
    <x v="2"/>
    <s v="L"/>
    <x v="8"/>
    <n v="53.17"/>
    <n v="0"/>
    <n v="53.17"/>
    <d v="2025-08-06T00:00:00"/>
    <n v="14"/>
    <x v="35"/>
    <x v="1"/>
    <x v="5"/>
    <n v="28"/>
    <n v="0"/>
    <n v="1"/>
  </r>
  <r>
    <s v="FB000642"/>
    <x v="4"/>
    <x v="2"/>
    <x v="3"/>
    <s v="XS"/>
    <x v="7"/>
    <n v="119.56"/>
    <n v="46.2"/>
    <n v="64.319999999999993"/>
    <d v="2025-08-06T00:00:00"/>
    <n v="14"/>
    <x v="28"/>
    <x v="0"/>
    <x v="0"/>
    <n v="28"/>
    <n v="646.80000000000007"/>
    <s v=""/>
  </r>
  <r>
    <s v="FB000643"/>
    <x v="5"/>
    <x v="3"/>
    <x v="1"/>
    <s v="S"/>
    <x v="5"/>
    <n v="144.43"/>
    <n v="0"/>
    <n v="144.43"/>
    <d v="2025-08-06T00:00:00"/>
    <n v="41"/>
    <x v="20"/>
    <x v="0"/>
    <x v="0"/>
    <n v="28"/>
    <n v="0"/>
    <s v=""/>
  </r>
  <r>
    <s v="FB000644"/>
    <x v="0"/>
    <x v="3"/>
    <x v="0"/>
    <s v="S"/>
    <x v="9"/>
    <n v="172.93"/>
    <n v="0"/>
    <n v="172.93"/>
    <d v="2025-04-12T00:00:00"/>
    <n v="43"/>
    <x v="52"/>
    <x v="1"/>
    <x v="4"/>
    <n v="144"/>
    <n v="0"/>
    <n v="1"/>
  </r>
  <r>
    <s v="FB000645"/>
    <x v="0"/>
    <x v="6"/>
    <x v="1"/>
    <s v="XL"/>
    <x v="7"/>
    <n v="191.95"/>
    <n v="40.4"/>
    <n v="114.4"/>
    <d v="2025-08-06T00:00:00"/>
    <n v="21"/>
    <x v="5"/>
    <x v="0"/>
    <x v="0"/>
    <n v="28"/>
    <n v="848.4"/>
    <s v=""/>
  </r>
  <r>
    <s v="FB000646"/>
    <x v="5"/>
    <x v="4"/>
    <x v="1"/>
    <s v="M"/>
    <x v="2"/>
    <n v="128.56"/>
    <n v="0"/>
    <n v="128.56"/>
    <d v="2025-08-06T00:00:00"/>
    <n v="45"/>
    <x v="13"/>
    <x v="0"/>
    <x v="0"/>
    <n v="28"/>
    <n v="0"/>
    <s v=""/>
  </r>
  <r>
    <s v="FB000647"/>
    <x v="5"/>
    <x v="4"/>
    <x v="3"/>
    <s v="L"/>
    <x v="3"/>
    <n v="123.08"/>
    <n v="53"/>
    <n v="57.85"/>
    <d v="2025-08-06T00:00:00"/>
    <n v="38"/>
    <x v="1"/>
    <x v="0"/>
    <x v="0"/>
    <n v="28"/>
    <n v="2014"/>
    <s v=""/>
  </r>
  <r>
    <s v="FB000648"/>
    <x v="0"/>
    <x v="5"/>
    <x v="0"/>
    <s v="S"/>
    <x v="9"/>
    <n v="119.78"/>
    <n v="0"/>
    <n v="119.78"/>
    <d v="2025-04-04T00:00:00"/>
    <n v="22"/>
    <x v="25"/>
    <x v="1"/>
    <x v="1"/>
    <n v="152"/>
    <n v="0"/>
    <n v="1"/>
  </r>
  <r>
    <s v="FB000649"/>
    <x v="4"/>
    <x v="2"/>
    <x v="3"/>
    <s v="XS"/>
    <x v="3"/>
    <n v="110.6"/>
    <n v="0"/>
    <n v="110.6"/>
    <d v="2025-08-06T00:00:00"/>
    <n v="19"/>
    <x v="28"/>
    <x v="1"/>
    <x v="1"/>
    <n v="28"/>
    <n v="0"/>
    <n v="1"/>
  </r>
  <r>
    <s v="FB000650"/>
    <x v="1"/>
    <x v="0"/>
    <x v="0"/>
    <s v="S"/>
    <x v="9"/>
    <n v="58.16"/>
    <n v="0"/>
    <n v="58.16"/>
    <d v="2025-07-02T00:00:00"/>
    <n v="29"/>
    <x v="16"/>
    <x v="0"/>
    <x v="0"/>
    <n v="63"/>
    <n v="0"/>
    <s v=""/>
  </r>
  <r>
    <s v="FB000651"/>
    <x v="0"/>
    <x v="3"/>
    <x v="2"/>
    <s v="S"/>
    <x v="6"/>
    <n v="208.82"/>
    <n v="0"/>
    <n v="208.82"/>
    <d v="2025-08-06T00:00:00"/>
    <n v="45"/>
    <x v="34"/>
    <x v="0"/>
    <x v="0"/>
    <n v="28"/>
    <n v="0"/>
    <s v=""/>
  </r>
  <r>
    <s v="FB000652"/>
    <x v="3"/>
    <x v="5"/>
    <x v="1"/>
    <s v="M"/>
    <x v="2"/>
    <n v="192.74"/>
    <n v="0"/>
    <n v="192.74"/>
    <d v="2025-08-06T00:00:00"/>
    <n v="43"/>
    <x v="2"/>
    <x v="0"/>
    <x v="0"/>
    <n v="28"/>
    <n v="0"/>
    <s v=""/>
  </r>
  <r>
    <s v="FB000653"/>
    <x v="2"/>
    <x v="6"/>
    <x v="2"/>
    <m/>
    <x v="0"/>
    <n v="71.819999999999993"/>
    <n v="18.399999999999999"/>
    <n v="58.61"/>
    <d v="2025-08-06T00:00:00"/>
    <n v="50"/>
    <x v="42"/>
    <x v="0"/>
    <x v="0"/>
    <n v="28"/>
    <n v="919.99999999999989"/>
    <s v=""/>
  </r>
  <r>
    <s v="FB000654"/>
    <x v="3"/>
    <x v="0"/>
    <x v="3"/>
    <s v="XS"/>
    <x v="0"/>
    <n v="145.4"/>
    <n v="0"/>
    <n v="145.4"/>
    <d v="2025-08-06T00:00:00"/>
    <n v="14"/>
    <x v="66"/>
    <x v="0"/>
    <x v="0"/>
    <n v="28"/>
    <n v="0"/>
    <s v=""/>
  </r>
  <r>
    <s v="FB000655"/>
    <x v="4"/>
    <x v="3"/>
    <x v="3"/>
    <s v="XXL"/>
    <x v="10"/>
    <n v="51.94"/>
    <n v="0"/>
    <n v="51.94"/>
    <d v="2025-08-06T00:00:00"/>
    <n v="9"/>
    <x v="53"/>
    <x v="0"/>
    <x v="0"/>
    <n v="28"/>
    <n v="0"/>
    <s v=""/>
  </r>
  <r>
    <s v="FB000656"/>
    <x v="2"/>
    <x v="5"/>
    <x v="0"/>
    <m/>
    <x v="2"/>
    <n v="77.48"/>
    <n v="0"/>
    <n v="77.48"/>
    <d v="2024-10-07T00:00:00"/>
    <n v="49"/>
    <x v="31"/>
    <x v="1"/>
    <x v="4"/>
    <n v="331"/>
    <n v="0"/>
    <n v="1"/>
  </r>
  <r>
    <s v="FB000657"/>
    <x v="5"/>
    <x v="3"/>
    <x v="3"/>
    <s v="L"/>
    <x v="2"/>
    <n v="59.66"/>
    <n v="45.2"/>
    <n v="32.69"/>
    <d v="2025-08-06T00:00:00"/>
    <n v="14"/>
    <x v="3"/>
    <x v="0"/>
    <x v="0"/>
    <n v="28"/>
    <n v="632.80000000000007"/>
    <s v=""/>
  </r>
  <r>
    <s v="FB000658"/>
    <x v="4"/>
    <x v="1"/>
    <x v="3"/>
    <s v="S"/>
    <x v="0"/>
    <n v="102.07"/>
    <n v="0"/>
    <n v="102.07"/>
    <d v="2025-08-06T00:00:00"/>
    <n v="26"/>
    <x v="56"/>
    <x v="1"/>
    <x v="1"/>
    <n v="28"/>
    <n v="0"/>
    <n v="1"/>
  </r>
  <r>
    <s v="FB000659"/>
    <x v="2"/>
    <x v="2"/>
    <x v="0"/>
    <m/>
    <x v="4"/>
    <n v="48.57"/>
    <n v="0"/>
    <n v="48.57"/>
    <d v="2024-12-06T00:00:00"/>
    <n v="12"/>
    <x v="52"/>
    <x v="0"/>
    <x v="0"/>
    <n v="271"/>
    <n v="0"/>
    <s v=""/>
  </r>
  <r>
    <s v="FB000660"/>
    <x v="3"/>
    <x v="6"/>
    <x v="3"/>
    <s v="M"/>
    <x v="8"/>
    <n v="121.55"/>
    <n v="0"/>
    <n v="121.55"/>
    <d v="2025-08-06T00:00:00"/>
    <n v="16"/>
    <x v="23"/>
    <x v="1"/>
    <x v="3"/>
    <n v="28"/>
    <n v="0"/>
    <n v="1"/>
  </r>
  <r>
    <s v="FB000661"/>
    <x v="2"/>
    <x v="5"/>
    <x v="1"/>
    <m/>
    <x v="8"/>
    <n v="59.22"/>
    <n v="44.8"/>
    <n v="32.69"/>
    <d v="2025-08-06T00:00:00"/>
    <n v="21"/>
    <x v="66"/>
    <x v="0"/>
    <x v="0"/>
    <n v="28"/>
    <n v="940.8"/>
    <s v=""/>
  </r>
  <r>
    <s v="FB000662"/>
    <x v="1"/>
    <x v="5"/>
    <x v="0"/>
    <s v="XS"/>
    <x v="7"/>
    <n v="58.5"/>
    <n v="2.1"/>
    <n v="57.27"/>
    <d v="2025-05-23T00:00:00"/>
    <n v="24"/>
    <x v="38"/>
    <x v="0"/>
    <x v="0"/>
    <n v="103"/>
    <n v="50.400000000000006"/>
    <s v=""/>
  </r>
  <r>
    <s v="FB000663"/>
    <x v="2"/>
    <x v="7"/>
    <x v="2"/>
    <m/>
    <x v="6"/>
    <n v="73.849999999999994"/>
    <n v="0"/>
    <n v="73.849999999999994"/>
    <d v="2025-08-06T00:00:00"/>
    <n v="46"/>
    <x v="66"/>
    <x v="0"/>
    <x v="0"/>
    <n v="28"/>
    <n v="0"/>
    <s v=""/>
  </r>
  <r>
    <s v="FB000664"/>
    <x v="4"/>
    <x v="4"/>
    <x v="3"/>
    <s v="XXL"/>
    <x v="0"/>
    <n v="114.32"/>
    <n v="36.5"/>
    <n v="72.59"/>
    <d v="2025-08-06T00:00:00"/>
    <n v="41"/>
    <x v="16"/>
    <x v="0"/>
    <x v="0"/>
    <n v="28"/>
    <n v="1496.5"/>
    <s v=""/>
  </r>
  <r>
    <s v="FB000665"/>
    <x v="4"/>
    <x v="7"/>
    <x v="3"/>
    <s v="XS"/>
    <x v="4"/>
    <n v="91.4"/>
    <n v="11"/>
    <n v="81.349999999999994"/>
    <d v="2025-08-06T00:00:00"/>
    <n v="18"/>
    <x v="6"/>
    <x v="0"/>
    <x v="0"/>
    <n v="28"/>
    <n v="198"/>
    <s v=""/>
  </r>
  <r>
    <s v="FB000666"/>
    <x v="2"/>
    <x v="7"/>
    <x v="1"/>
    <m/>
    <x v="8"/>
    <n v="69.77"/>
    <n v="0"/>
    <n v="69.77"/>
    <d v="2025-08-06T00:00:00"/>
    <n v="30"/>
    <x v="85"/>
    <x v="1"/>
    <x v="1"/>
    <n v="28"/>
    <n v="0"/>
    <n v="1"/>
  </r>
  <r>
    <s v="FB000667"/>
    <x v="1"/>
    <x v="4"/>
    <x v="3"/>
    <s v="L"/>
    <x v="2"/>
    <n v="72.95"/>
    <n v="0"/>
    <n v="72.95"/>
    <d v="2025-08-06T00:00:00"/>
    <n v="27"/>
    <x v="51"/>
    <x v="0"/>
    <x v="0"/>
    <n v="28"/>
    <n v="0"/>
    <s v=""/>
  </r>
  <r>
    <s v="FB000668"/>
    <x v="4"/>
    <x v="5"/>
    <x v="3"/>
    <s v="XL"/>
    <x v="7"/>
    <n v="63.99"/>
    <n v="42.2"/>
    <n v="36.99"/>
    <d v="2025-08-06T00:00:00"/>
    <n v="35"/>
    <x v="53"/>
    <x v="0"/>
    <x v="0"/>
    <n v="28"/>
    <n v="1477"/>
    <s v=""/>
  </r>
  <r>
    <s v="FB000669"/>
    <x v="5"/>
    <x v="2"/>
    <x v="3"/>
    <s v="XL"/>
    <x v="5"/>
    <n v="74.84"/>
    <n v="51.9"/>
    <n v="36"/>
    <d v="2025-08-06T00:00:00"/>
    <n v="35"/>
    <x v="1"/>
    <x v="0"/>
    <x v="0"/>
    <n v="28"/>
    <n v="1816.5"/>
    <s v=""/>
  </r>
  <r>
    <s v="FB000670"/>
    <x v="0"/>
    <x v="4"/>
    <x v="0"/>
    <s v="XS"/>
    <x v="2"/>
    <n v="158.84"/>
    <n v="0"/>
    <n v="158.84"/>
    <d v="2025-04-16T00:00:00"/>
    <n v="30"/>
    <x v="14"/>
    <x v="0"/>
    <x v="0"/>
    <n v="140"/>
    <n v="0"/>
    <s v=""/>
  </r>
  <r>
    <s v="FB000671"/>
    <x v="3"/>
    <x v="3"/>
    <x v="0"/>
    <s v="M"/>
    <x v="10"/>
    <n v="96.36"/>
    <n v="58.6"/>
    <n v="39.89"/>
    <d v="2025-02-10T00:00:00"/>
    <n v="16"/>
    <x v="38"/>
    <x v="0"/>
    <x v="0"/>
    <n v="205"/>
    <n v="937.6"/>
    <s v=""/>
  </r>
  <r>
    <s v="FB000672"/>
    <x v="4"/>
    <x v="4"/>
    <x v="0"/>
    <s v="XS"/>
    <x v="9"/>
    <n v="51.06"/>
    <n v="13.9"/>
    <n v="43.96"/>
    <d v="2024-08-16T00:00:00"/>
    <n v="16"/>
    <x v="49"/>
    <x v="0"/>
    <x v="0"/>
    <n v="383"/>
    <n v="222.4"/>
    <s v=""/>
  </r>
  <r>
    <s v="FB000673"/>
    <x v="4"/>
    <x v="2"/>
    <x v="3"/>
    <s v="L"/>
    <x v="8"/>
    <n v="49.75"/>
    <n v="26.4"/>
    <n v="36.619999999999997"/>
    <d v="2025-08-06T00:00:00"/>
    <n v="24"/>
    <x v="22"/>
    <x v="0"/>
    <x v="0"/>
    <n v="28"/>
    <n v="633.59999999999991"/>
    <s v=""/>
  </r>
  <r>
    <s v="FB000674"/>
    <x v="5"/>
    <x v="3"/>
    <x v="0"/>
    <s v="XS"/>
    <x v="1"/>
    <n v="148.97999999999999"/>
    <n v="0"/>
    <n v="148.97999999999999"/>
    <d v="2024-10-26T00:00:00"/>
    <n v="11"/>
    <x v="81"/>
    <x v="1"/>
    <x v="6"/>
    <n v="312"/>
    <n v="0"/>
    <n v="1"/>
  </r>
  <r>
    <s v="FB000675"/>
    <x v="2"/>
    <x v="6"/>
    <x v="1"/>
    <m/>
    <x v="4"/>
    <n v="72.239999999999995"/>
    <n v="0"/>
    <n v="72.239999999999995"/>
    <d v="2025-08-06T00:00:00"/>
    <n v="35"/>
    <x v="16"/>
    <x v="0"/>
    <x v="0"/>
    <n v="28"/>
    <n v="0"/>
    <s v=""/>
  </r>
  <r>
    <s v="FB000676"/>
    <x v="1"/>
    <x v="3"/>
    <x v="1"/>
    <s v="XS"/>
    <x v="5"/>
    <n v="94.92"/>
    <n v="0"/>
    <n v="94.92"/>
    <d v="2025-08-06T00:00:00"/>
    <n v="5"/>
    <x v="31"/>
    <x v="0"/>
    <x v="0"/>
    <n v="28"/>
    <n v="0"/>
    <s v=""/>
  </r>
  <r>
    <s v="FB000677"/>
    <x v="0"/>
    <x v="2"/>
    <x v="2"/>
    <s v="XXL"/>
    <x v="10"/>
    <n v="91.08"/>
    <n v="0"/>
    <n v="91.08"/>
    <d v="2025-08-06T00:00:00"/>
    <n v="47"/>
    <x v="26"/>
    <x v="0"/>
    <x v="0"/>
    <n v="28"/>
    <n v="0"/>
    <s v=""/>
  </r>
  <r>
    <s v="FB000678"/>
    <x v="2"/>
    <x v="2"/>
    <x v="2"/>
    <m/>
    <x v="10"/>
    <n v="49.72"/>
    <n v="58.3"/>
    <n v="20.73"/>
    <d v="2025-08-06T00:00:00"/>
    <n v="4"/>
    <x v="6"/>
    <x v="0"/>
    <x v="0"/>
    <n v="28"/>
    <n v="233.2"/>
    <s v=""/>
  </r>
  <r>
    <s v="FB000679"/>
    <x v="2"/>
    <x v="6"/>
    <x v="1"/>
    <m/>
    <x v="9"/>
    <n v="23.09"/>
    <n v="7.1"/>
    <n v="21.45"/>
    <d v="2025-08-06T00:00:00"/>
    <n v="11"/>
    <x v="19"/>
    <x v="0"/>
    <x v="0"/>
    <n v="28"/>
    <n v="78.099999999999994"/>
    <s v=""/>
  </r>
  <r>
    <s v="FB000680"/>
    <x v="2"/>
    <x v="0"/>
    <x v="0"/>
    <m/>
    <x v="0"/>
    <n v="49.95"/>
    <n v="0"/>
    <n v="49.95"/>
    <d v="2024-09-17T00:00:00"/>
    <n v="29"/>
    <x v="2"/>
    <x v="0"/>
    <x v="0"/>
    <n v="351"/>
    <n v="0"/>
    <s v=""/>
  </r>
  <r>
    <s v="FB000681"/>
    <x v="2"/>
    <x v="7"/>
    <x v="1"/>
    <m/>
    <x v="6"/>
    <n v="25.7"/>
    <n v="0"/>
    <n v="25.7"/>
    <d v="2025-08-06T00:00:00"/>
    <n v="38"/>
    <x v="53"/>
    <x v="1"/>
    <x v="4"/>
    <n v="28"/>
    <n v="0"/>
    <n v="1"/>
  </r>
  <r>
    <s v="FB000682"/>
    <x v="3"/>
    <x v="3"/>
    <x v="3"/>
    <s v="XS"/>
    <x v="6"/>
    <n v="175.22"/>
    <n v="0"/>
    <n v="175.22"/>
    <d v="2025-08-06T00:00:00"/>
    <n v="8"/>
    <x v="26"/>
    <x v="0"/>
    <x v="0"/>
    <n v="28"/>
    <n v="0"/>
    <s v=""/>
  </r>
  <r>
    <s v="FB000683"/>
    <x v="4"/>
    <x v="5"/>
    <x v="3"/>
    <s v="XS"/>
    <x v="4"/>
    <n v="37.57"/>
    <n v="0"/>
    <n v="37.57"/>
    <d v="2025-08-06T00:00:00"/>
    <n v="18"/>
    <x v="42"/>
    <x v="0"/>
    <x v="0"/>
    <n v="28"/>
    <n v="0"/>
    <s v=""/>
  </r>
  <r>
    <s v="FB000684"/>
    <x v="0"/>
    <x v="0"/>
    <x v="0"/>
    <s v="M"/>
    <x v="6"/>
    <n v="245.87"/>
    <n v="0"/>
    <n v="245.87"/>
    <d v="2025-06-24T00:00:00"/>
    <n v="27"/>
    <x v="3"/>
    <x v="0"/>
    <x v="0"/>
    <n v="71"/>
    <n v="0"/>
    <s v=""/>
  </r>
  <r>
    <s v="FB000685"/>
    <x v="4"/>
    <x v="2"/>
    <x v="1"/>
    <s v="XS"/>
    <x v="0"/>
    <n v="116.92"/>
    <n v="0"/>
    <n v="116.92"/>
    <d v="2025-08-06T00:00:00"/>
    <n v="13"/>
    <x v="53"/>
    <x v="0"/>
    <x v="0"/>
    <n v="28"/>
    <n v="0"/>
    <s v=""/>
  </r>
  <r>
    <s v="FB000686"/>
    <x v="5"/>
    <x v="5"/>
    <x v="1"/>
    <s v="L"/>
    <x v="1"/>
    <n v="103.11"/>
    <n v="0"/>
    <n v="103.11"/>
    <d v="2025-08-06T00:00:00"/>
    <n v="17"/>
    <x v="62"/>
    <x v="0"/>
    <x v="0"/>
    <n v="28"/>
    <n v="0"/>
    <s v=""/>
  </r>
  <r>
    <s v="FB000687"/>
    <x v="0"/>
    <x v="1"/>
    <x v="2"/>
    <s v="M"/>
    <x v="9"/>
    <n v="238.89"/>
    <n v="0.5"/>
    <n v="237.7"/>
    <d v="2025-08-06T00:00:00"/>
    <n v="28"/>
    <x v="67"/>
    <x v="0"/>
    <x v="0"/>
    <n v="28"/>
    <n v="14"/>
    <s v=""/>
  </r>
  <r>
    <s v="FB000688"/>
    <x v="3"/>
    <x v="1"/>
    <x v="3"/>
    <s v="XS"/>
    <x v="1"/>
    <n v="86.81"/>
    <n v="12.6"/>
    <n v="75.87"/>
    <d v="2025-08-06T00:00:00"/>
    <n v="6"/>
    <x v="12"/>
    <x v="0"/>
    <x v="0"/>
    <n v="28"/>
    <n v="75.599999999999994"/>
    <s v=""/>
  </r>
  <r>
    <s v="FB000689"/>
    <x v="4"/>
    <x v="3"/>
    <x v="3"/>
    <s v="XS"/>
    <x v="5"/>
    <n v="58.8"/>
    <n v="11.8"/>
    <n v="51.86"/>
    <d v="2025-08-06T00:00:00"/>
    <n v="8"/>
    <x v="18"/>
    <x v="0"/>
    <x v="0"/>
    <n v="28"/>
    <n v="94.4"/>
    <s v=""/>
  </r>
  <r>
    <s v="FB000690"/>
    <x v="4"/>
    <x v="5"/>
    <x v="0"/>
    <s v="XL"/>
    <x v="7"/>
    <n v="41.65"/>
    <n v="52"/>
    <n v="19.989999999999998"/>
    <d v="2025-05-16T00:00:00"/>
    <n v="20"/>
    <x v="19"/>
    <x v="0"/>
    <x v="0"/>
    <n v="110"/>
    <n v="1040"/>
    <s v=""/>
  </r>
  <r>
    <s v="FB000691"/>
    <x v="1"/>
    <x v="4"/>
    <x v="0"/>
    <s v="XL"/>
    <x v="2"/>
    <n v="61.67"/>
    <n v="46.4"/>
    <n v="33.06"/>
    <d v="2025-07-15T00:00:00"/>
    <n v="50"/>
    <x v="67"/>
    <x v="0"/>
    <x v="0"/>
    <n v="50"/>
    <n v="2320"/>
    <s v=""/>
  </r>
  <r>
    <s v="FB000692"/>
    <x v="4"/>
    <x v="4"/>
    <x v="2"/>
    <s v="XS"/>
    <x v="2"/>
    <n v="40.39"/>
    <n v="0"/>
    <n v="40.39"/>
    <d v="2025-08-06T00:00:00"/>
    <n v="16"/>
    <x v="48"/>
    <x v="0"/>
    <x v="0"/>
    <n v="28"/>
    <n v="0"/>
    <s v=""/>
  </r>
  <r>
    <s v="FB000693"/>
    <x v="1"/>
    <x v="5"/>
    <x v="2"/>
    <s v="XXL"/>
    <x v="9"/>
    <n v="95.13"/>
    <n v="45.4"/>
    <n v="51.94"/>
    <d v="2025-08-06T00:00:00"/>
    <n v="46"/>
    <x v="1"/>
    <x v="0"/>
    <x v="0"/>
    <n v="28"/>
    <n v="2088.4"/>
    <s v=""/>
  </r>
  <r>
    <s v="FB000694"/>
    <x v="4"/>
    <x v="0"/>
    <x v="2"/>
    <s v="S"/>
    <x v="6"/>
    <n v="115.14"/>
    <n v="0"/>
    <n v="115.14"/>
    <d v="2025-08-06T00:00:00"/>
    <n v="43"/>
    <x v="1"/>
    <x v="0"/>
    <x v="0"/>
    <n v="28"/>
    <n v="0"/>
    <s v=""/>
  </r>
  <r>
    <s v="FB000695"/>
    <x v="1"/>
    <x v="4"/>
    <x v="3"/>
    <m/>
    <x v="7"/>
    <n v="59.58"/>
    <n v="0"/>
    <n v="59.58"/>
    <d v="2025-08-06T00:00:00"/>
    <n v="27"/>
    <x v="31"/>
    <x v="0"/>
    <x v="0"/>
    <n v="28"/>
    <n v="0"/>
    <s v=""/>
  </r>
  <r>
    <s v="FB000696"/>
    <x v="3"/>
    <x v="1"/>
    <x v="0"/>
    <s v="M"/>
    <x v="9"/>
    <n v="169.89"/>
    <n v="0"/>
    <n v="169.89"/>
    <d v="2025-07-14T00:00:00"/>
    <n v="12"/>
    <x v="19"/>
    <x v="0"/>
    <x v="0"/>
    <n v="51"/>
    <n v="0"/>
    <s v=""/>
  </r>
  <r>
    <s v="FB000697"/>
    <x v="3"/>
    <x v="3"/>
    <x v="1"/>
    <s v="S"/>
    <x v="2"/>
    <n v="117.38"/>
    <n v="22.5"/>
    <n v="90.97"/>
    <d v="2025-08-06T00:00:00"/>
    <n v="42"/>
    <x v="32"/>
    <x v="1"/>
    <x v="1"/>
    <n v="28"/>
    <n v="945"/>
    <n v="1"/>
  </r>
  <r>
    <s v="FB000698"/>
    <x v="1"/>
    <x v="3"/>
    <x v="1"/>
    <s v="S"/>
    <x v="1"/>
    <n v="118.95"/>
    <n v="0"/>
    <n v="118.95"/>
    <d v="2025-08-06T00:00:00"/>
    <n v="18"/>
    <x v="42"/>
    <x v="1"/>
    <x v="4"/>
    <n v="28"/>
    <n v="0"/>
    <n v="1"/>
  </r>
  <r>
    <s v="FB000699"/>
    <x v="2"/>
    <x v="1"/>
    <x v="2"/>
    <m/>
    <x v="0"/>
    <n v="39.299999999999997"/>
    <n v="0"/>
    <n v="39.299999999999997"/>
    <d v="2025-08-06T00:00:00"/>
    <n v="39"/>
    <x v="55"/>
    <x v="0"/>
    <x v="0"/>
    <n v="28"/>
    <n v="0"/>
    <s v=""/>
  </r>
  <r>
    <s v="FB000700"/>
    <x v="1"/>
    <x v="4"/>
    <x v="1"/>
    <s v="L"/>
    <x v="7"/>
    <n v="74.3"/>
    <n v="0"/>
    <n v="74.3"/>
    <d v="2025-08-06T00:00:00"/>
    <n v="31"/>
    <x v="22"/>
    <x v="1"/>
    <x v="6"/>
    <n v="28"/>
    <n v="0"/>
    <n v="1"/>
  </r>
  <r>
    <s v="FB000701"/>
    <x v="4"/>
    <x v="4"/>
    <x v="0"/>
    <s v="XS"/>
    <x v="10"/>
    <n v="62.97"/>
    <n v="0"/>
    <n v="62.97"/>
    <d v="2025-05-26T00:00:00"/>
    <n v="5"/>
    <x v="15"/>
    <x v="0"/>
    <x v="0"/>
    <n v="100"/>
    <n v="0"/>
    <s v=""/>
  </r>
  <r>
    <s v="FB000702"/>
    <x v="2"/>
    <x v="4"/>
    <x v="3"/>
    <m/>
    <x v="4"/>
    <n v="73.599999999999994"/>
    <n v="0"/>
    <n v="73.599999999999994"/>
    <d v="2025-08-06T00:00:00"/>
    <n v="1"/>
    <x v="34"/>
    <x v="0"/>
    <x v="0"/>
    <n v="28"/>
    <n v="0"/>
    <s v=""/>
  </r>
  <r>
    <s v="FB000703"/>
    <x v="2"/>
    <x v="3"/>
    <x v="0"/>
    <m/>
    <x v="2"/>
    <n v="77.849999999999994"/>
    <n v="34.9"/>
    <n v="50.68"/>
    <d v="2025-08-05T00:00:00"/>
    <n v="11"/>
    <x v="72"/>
    <x v="0"/>
    <x v="0"/>
    <n v="29"/>
    <n v="383.9"/>
    <s v=""/>
  </r>
  <r>
    <s v="FB000704"/>
    <x v="1"/>
    <x v="7"/>
    <x v="3"/>
    <m/>
    <x v="0"/>
    <n v="94.31"/>
    <n v="0"/>
    <n v="94.31"/>
    <d v="2025-08-06T00:00:00"/>
    <n v="20"/>
    <x v="0"/>
    <x v="0"/>
    <x v="0"/>
    <n v="28"/>
    <n v="0"/>
    <s v=""/>
  </r>
  <r>
    <s v="FB000705"/>
    <x v="4"/>
    <x v="5"/>
    <x v="0"/>
    <m/>
    <x v="8"/>
    <n v="60.36"/>
    <n v="0"/>
    <n v="60.36"/>
    <d v="2024-09-01T00:00:00"/>
    <n v="35"/>
    <x v="31"/>
    <x v="0"/>
    <x v="0"/>
    <n v="367"/>
    <n v="0"/>
    <s v=""/>
  </r>
  <r>
    <s v="FB000706"/>
    <x v="4"/>
    <x v="3"/>
    <x v="3"/>
    <s v="XXL"/>
    <x v="10"/>
    <n v="94.85"/>
    <n v="0"/>
    <n v="94.85"/>
    <d v="2025-08-06T00:00:00"/>
    <n v="28"/>
    <x v="25"/>
    <x v="0"/>
    <x v="0"/>
    <n v="28"/>
    <n v="0"/>
    <s v=""/>
  </r>
  <r>
    <s v="FB000707"/>
    <x v="2"/>
    <x v="1"/>
    <x v="1"/>
    <m/>
    <x v="5"/>
    <n v="30.52"/>
    <n v="7.9"/>
    <n v="28.11"/>
    <d v="2025-08-06T00:00:00"/>
    <n v="43"/>
    <x v="52"/>
    <x v="0"/>
    <x v="0"/>
    <n v="28"/>
    <n v="339.7"/>
    <s v=""/>
  </r>
  <r>
    <s v="FB000708"/>
    <x v="5"/>
    <x v="3"/>
    <x v="3"/>
    <s v="XS"/>
    <x v="8"/>
    <n v="97.06"/>
    <n v="0"/>
    <n v="97.06"/>
    <d v="2025-08-06T00:00:00"/>
    <n v="24"/>
    <x v="38"/>
    <x v="0"/>
    <x v="0"/>
    <n v="28"/>
    <n v="0"/>
    <s v=""/>
  </r>
  <r>
    <s v="FB000709"/>
    <x v="4"/>
    <x v="7"/>
    <x v="3"/>
    <s v="M"/>
    <x v="9"/>
    <n v="57.85"/>
    <n v="35.4"/>
    <n v="37.369999999999997"/>
    <d v="2025-08-06T00:00:00"/>
    <n v="17"/>
    <x v="77"/>
    <x v="0"/>
    <x v="0"/>
    <n v="28"/>
    <n v="601.79999999999995"/>
    <s v=""/>
  </r>
  <r>
    <s v="FB000710"/>
    <x v="1"/>
    <x v="0"/>
    <x v="2"/>
    <s v="M"/>
    <x v="3"/>
    <n v="51.35"/>
    <n v="19.7"/>
    <n v="41.23"/>
    <d v="2025-08-06T00:00:00"/>
    <n v="39"/>
    <x v="49"/>
    <x v="0"/>
    <x v="0"/>
    <n v="28"/>
    <n v="768.3"/>
    <s v=""/>
  </r>
  <r>
    <s v="FB000711"/>
    <x v="2"/>
    <x v="5"/>
    <x v="0"/>
    <m/>
    <x v="2"/>
    <n v="61.34"/>
    <n v="45.4"/>
    <n v="33.49"/>
    <d v="2025-02-03T00:00:00"/>
    <n v="46"/>
    <x v="71"/>
    <x v="0"/>
    <x v="0"/>
    <n v="212"/>
    <n v="2088.4"/>
    <s v=""/>
  </r>
  <r>
    <s v="FB000712"/>
    <x v="0"/>
    <x v="2"/>
    <x v="3"/>
    <s v="L"/>
    <x v="9"/>
    <n v="189.28"/>
    <n v="0"/>
    <n v="189.28"/>
    <d v="2025-08-06T00:00:00"/>
    <n v="41"/>
    <x v="67"/>
    <x v="1"/>
    <x v="6"/>
    <n v="28"/>
    <n v="0"/>
    <n v="1"/>
  </r>
  <r>
    <s v="FB000713"/>
    <x v="1"/>
    <x v="2"/>
    <x v="3"/>
    <s v="XXL"/>
    <x v="9"/>
    <n v="86.67"/>
    <n v="35.799999999999997"/>
    <n v="55.64"/>
    <d v="2025-08-06T00:00:00"/>
    <n v="2"/>
    <x v="26"/>
    <x v="0"/>
    <x v="0"/>
    <n v="28"/>
    <n v="71.599999999999994"/>
    <s v=""/>
  </r>
  <r>
    <s v="FB000714"/>
    <x v="4"/>
    <x v="5"/>
    <x v="0"/>
    <s v="S"/>
    <x v="8"/>
    <n v="102.84"/>
    <n v="0"/>
    <n v="102.84"/>
    <d v="2024-09-10T00:00:00"/>
    <n v="27"/>
    <x v="34"/>
    <x v="0"/>
    <x v="0"/>
    <n v="358"/>
    <n v="0"/>
    <s v=""/>
  </r>
  <r>
    <s v="FB000715"/>
    <x v="0"/>
    <x v="0"/>
    <x v="2"/>
    <s v="XXL"/>
    <x v="6"/>
    <n v="225.21"/>
    <n v="0"/>
    <n v="225.21"/>
    <d v="2025-08-06T00:00:00"/>
    <n v="27"/>
    <x v="47"/>
    <x v="1"/>
    <x v="5"/>
    <n v="28"/>
    <n v="0"/>
    <n v="1"/>
  </r>
  <r>
    <s v="FB000716"/>
    <x v="5"/>
    <x v="1"/>
    <x v="1"/>
    <s v="XL"/>
    <x v="4"/>
    <n v="48.91"/>
    <n v="27.8"/>
    <n v="35.31"/>
    <d v="2025-08-06T00:00:00"/>
    <n v="0"/>
    <x v="16"/>
    <x v="0"/>
    <x v="0"/>
    <n v="28"/>
    <n v="0"/>
    <s v=""/>
  </r>
  <r>
    <s v="FB000717"/>
    <x v="0"/>
    <x v="7"/>
    <x v="2"/>
    <s v="L"/>
    <x v="1"/>
    <n v="145.93"/>
    <n v="0"/>
    <n v="145.93"/>
    <d v="2025-08-06T00:00:00"/>
    <n v="19"/>
    <x v="25"/>
    <x v="0"/>
    <x v="0"/>
    <n v="28"/>
    <n v="0"/>
    <s v=""/>
  </r>
  <r>
    <s v="FB000718"/>
    <x v="0"/>
    <x v="2"/>
    <x v="1"/>
    <m/>
    <x v="6"/>
    <n v="225.92"/>
    <n v="43.7"/>
    <n v="127.19"/>
    <d v="2025-08-06T00:00:00"/>
    <n v="30"/>
    <x v="53"/>
    <x v="0"/>
    <x v="0"/>
    <n v="28"/>
    <n v="1311"/>
    <s v=""/>
  </r>
  <r>
    <s v="FB000719"/>
    <x v="0"/>
    <x v="1"/>
    <x v="3"/>
    <s v="XL"/>
    <x v="6"/>
    <n v="202.18"/>
    <n v="39.700000000000003"/>
    <n v="121.91"/>
    <d v="2025-08-06T00:00:00"/>
    <n v="20"/>
    <x v="16"/>
    <x v="0"/>
    <x v="0"/>
    <n v="28"/>
    <n v="794"/>
    <s v=""/>
  </r>
  <r>
    <s v="FB000720"/>
    <x v="1"/>
    <x v="1"/>
    <x v="2"/>
    <s v="XL"/>
    <x v="5"/>
    <n v="51.85"/>
    <n v="0"/>
    <n v="51.85"/>
    <d v="2025-08-06T00:00:00"/>
    <n v="28"/>
    <x v="29"/>
    <x v="0"/>
    <x v="0"/>
    <n v="28"/>
    <n v="0"/>
    <s v=""/>
  </r>
  <r>
    <s v="FB000721"/>
    <x v="1"/>
    <x v="1"/>
    <x v="3"/>
    <s v="L"/>
    <x v="4"/>
    <n v="75.34"/>
    <n v="0"/>
    <n v="75.34"/>
    <d v="2025-08-06T00:00:00"/>
    <n v="21"/>
    <x v="29"/>
    <x v="0"/>
    <x v="0"/>
    <n v="28"/>
    <n v="0"/>
    <s v=""/>
  </r>
  <r>
    <s v="FB000722"/>
    <x v="3"/>
    <x v="6"/>
    <x v="0"/>
    <s v="S"/>
    <x v="1"/>
    <n v="92.09"/>
    <n v="54.9"/>
    <n v="41.53"/>
    <d v="2025-01-19T00:00:00"/>
    <n v="44"/>
    <x v="81"/>
    <x v="0"/>
    <x v="0"/>
    <n v="227"/>
    <n v="2415.6"/>
    <s v=""/>
  </r>
  <r>
    <s v="FB000723"/>
    <x v="2"/>
    <x v="0"/>
    <x v="2"/>
    <m/>
    <x v="5"/>
    <n v="56.39"/>
    <n v="0"/>
    <n v="56.39"/>
    <d v="2025-08-06T00:00:00"/>
    <n v="49"/>
    <x v="36"/>
    <x v="0"/>
    <x v="0"/>
    <n v="28"/>
    <n v="0"/>
    <s v=""/>
  </r>
  <r>
    <s v="FB000724"/>
    <x v="1"/>
    <x v="3"/>
    <x v="2"/>
    <s v="L"/>
    <x v="1"/>
    <n v="108.75"/>
    <n v="0"/>
    <n v="108.75"/>
    <d v="2025-08-06T00:00:00"/>
    <n v="38"/>
    <x v="22"/>
    <x v="0"/>
    <x v="0"/>
    <n v="28"/>
    <n v="0"/>
    <s v=""/>
  </r>
  <r>
    <s v="FB000725"/>
    <x v="5"/>
    <x v="1"/>
    <x v="0"/>
    <s v="S"/>
    <x v="0"/>
    <n v="156.85"/>
    <n v="0"/>
    <n v="156.85"/>
    <d v="2025-04-01T00:00:00"/>
    <n v="48"/>
    <x v="10"/>
    <x v="0"/>
    <x v="0"/>
    <n v="155"/>
    <n v="0"/>
    <s v=""/>
  </r>
  <r>
    <s v="FB000726"/>
    <x v="0"/>
    <x v="1"/>
    <x v="0"/>
    <s v="XS"/>
    <x v="10"/>
    <n v="168.13"/>
    <n v="0"/>
    <n v="168.13"/>
    <d v="2025-04-18T00:00:00"/>
    <n v="42"/>
    <x v="1"/>
    <x v="0"/>
    <x v="0"/>
    <n v="138"/>
    <n v="0"/>
    <s v=""/>
  </r>
  <r>
    <s v="FB000727"/>
    <x v="3"/>
    <x v="7"/>
    <x v="3"/>
    <s v="S"/>
    <x v="6"/>
    <n v="145.79"/>
    <n v="57"/>
    <n v="62.69"/>
    <d v="2025-08-06T00:00:00"/>
    <n v="46"/>
    <x v="63"/>
    <x v="0"/>
    <x v="0"/>
    <n v="28"/>
    <n v="2622"/>
    <s v=""/>
  </r>
  <r>
    <s v="FB000728"/>
    <x v="4"/>
    <x v="6"/>
    <x v="1"/>
    <s v="S"/>
    <x v="3"/>
    <n v="54.14"/>
    <n v="0"/>
    <n v="54.14"/>
    <d v="2025-08-06T00:00:00"/>
    <n v="32"/>
    <x v="58"/>
    <x v="0"/>
    <x v="0"/>
    <n v="28"/>
    <n v="0"/>
    <s v=""/>
  </r>
  <r>
    <s v="FB000729"/>
    <x v="2"/>
    <x v="0"/>
    <x v="2"/>
    <m/>
    <x v="8"/>
    <n v="45.64"/>
    <n v="0"/>
    <n v="45.64"/>
    <d v="2025-08-06T00:00:00"/>
    <n v="36"/>
    <x v="20"/>
    <x v="1"/>
    <x v="2"/>
    <n v="28"/>
    <n v="0"/>
    <n v="1"/>
  </r>
  <r>
    <s v="FB000730"/>
    <x v="4"/>
    <x v="3"/>
    <x v="2"/>
    <s v="S"/>
    <x v="0"/>
    <n v="46.76"/>
    <n v="0"/>
    <n v="46.76"/>
    <d v="2025-08-06T00:00:00"/>
    <n v="38"/>
    <x v="67"/>
    <x v="0"/>
    <x v="0"/>
    <n v="28"/>
    <n v="0"/>
    <s v=""/>
  </r>
  <r>
    <s v="FB000731"/>
    <x v="5"/>
    <x v="2"/>
    <x v="1"/>
    <m/>
    <x v="4"/>
    <n v="75.23"/>
    <n v="0"/>
    <n v="75.23"/>
    <d v="2025-08-06T00:00:00"/>
    <n v="42"/>
    <x v="12"/>
    <x v="1"/>
    <x v="4"/>
    <n v="28"/>
    <n v="0"/>
    <n v="1"/>
  </r>
  <r>
    <s v="FB000732"/>
    <x v="5"/>
    <x v="3"/>
    <x v="3"/>
    <s v="XL"/>
    <x v="3"/>
    <n v="70.38"/>
    <n v="0"/>
    <n v="70.38"/>
    <d v="2025-08-06T00:00:00"/>
    <n v="37"/>
    <x v="66"/>
    <x v="0"/>
    <x v="0"/>
    <n v="28"/>
    <n v="0"/>
    <s v=""/>
  </r>
  <r>
    <s v="FB000733"/>
    <x v="4"/>
    <x v="4"/>
    <x v="3"/>
    <s v="M"/>
    <x v="1"/>
    <n v="76.040000000000006"/>
    <n v="0"/>
    <n v="76.040000000000006"/>
    <d v="2025-08-06T00:00:00"/>
    <n v="13"/>
    <x v="9"/>
    <x v="0"/>
    <x v="0"/>
    <n v="28"/>
    <n v="0"/>
    <s v=""/>
  </r>
  <r>
    <s v="FB000734"/>
    <x v="3"/>
    <x v="1"/>
    <x v="3"/>
    <s v="XS"/>
    <x v="2"/>
    <n v="110.82"/>
    <n v="15.7"/>
    <n v="93.42"/>
    <d v="2025-08-06T00:00:00"/>
    <n v="43"/>
    <x v="57"/>
    <x v="1"/>
    <x v="2"/>
    <n v="28"/>
    <n v="675.1"/>
    <n v="1"/>
  </r>
  <r>
    <s v="FB000735"/>
    <x v="2"/>
    <x v="7"/>
    <x v="2"/>
    <m/>
    <x v="8"/>
    <n v="47.47"/>
    <n v="0"/>
    <n v="47.47"/>
    <d v="2025-08-06T00:00:00"/>
    <n v="42"/>
    <x v="52"/>
    <x v="0"/>
    <x v="0"/>
    <n v="28"/>
    <n v="0"/>
    <s v=""/>
  </r>
  <r>
    <s v="FB000736"/>
    <x v="2"/>
    <x v="6"/>
    <x v="0"/>
    <m/>
    <x v="0"/>
    <n v="79.94"/>
    <n v="0"/>
    <n v="79.94"/>
    <d v="2025-07-31T00:00:00"/>
    <n v="26"/>
    <x v="22"/>
    <x v="0"/>
    <x v="0"/>
    <n v="34"/>
    <n v="0"/>
    <s v=""/>
  </r>
  <r>
    <s v="FB000737"/>
    <x v="4"/>
    <x v="2"/>
    <x v="2"/>
    <s v="XXL"/>
    <x v="8"/>
    <n v="74.67"/>
    <n v="0"/>
    <n v="74.67"/>
    <d v="2025-08-06T00:00:00"/>
    <n v="15"/>
    <x v="14"/>
    <x v="0"/>
    <x v="0"/>
    <n v="28"/>
    <n v="0"/>
    <s v=""/>
  </r>
  <r>
    <s v="FB000738"/>
    <x v="5"/>
    <x v="7"/>
    <x v="2"/>
    <s v="XXL"/>
    <x v="10"/>
    <n v="63.79"/>
    <n v="35.5"/>
    <n v="41.14"/>
    <d v="2025-08-06T00:00:00"/>
    <n v="15"/>
    <x v="47"/>
    <x v="1"/>
    <x v="4"/>
    <n v="28"/>
    <n v="532.5"/>
    <n v="1"/>
  </r>
  <r>
    <s v="FB000739"/>
    <x v="4"/>
    <x v="5"/>
    <x v="2"/>
    <s v="XXL"/>
    <x v="10"/>
    <n v="49.6"/>
    <n v="0"/>
    <n v="49.6"/>
    <d v="2025-08-06T00:00:00"/>
    <n v="32"/>
    <x v="52"/>
    <x v="0"/>
    <x v="0"/>
    <n v="28"/>
    <n v="0"/>
    <s v=""/>
  </r>
  <r>
    <s v="FB000740"/>
    <x v="1"/>
    <x v="0"/>
    <x v="0"/>
    <s v="XL"/>
    <x v="0"/>
    <n v="57.91"/>
    <n v="0"/>
    <n v="57.91"/>
    <d v="2025-03-13T00:00:00"/>
    <n v="33"/>
    <x v="38"/>
    <x v="0"/>
    <x v="0"/>
    <n v="174"/>
    <n v="0"/>
    <s v=""/>
  </r>
  <r>
    <s v="FB000741"/>
    <x v="5"/>
    <x v="1"/>
    <x v="3"/>
    <s v="XL"/>
    <x v="1"/>
    <n v="135.99"/>
    <n v="0"/>
    <n v="135.99"/>
    <d v="2025-08-06T00:00:00"/>
    <n v="34"/>
    <x v="0"/>
    <x v="0"/>
    <x v="0"/>
    <n v="28"/>
    <n v="0"/>
    <s v=""/>
  </r>
  <r>
    <s v="FB000742"/>
    <x v="5"/>
    <x v="3"/>
    <x v="1"/>
    <s v="S"/>
    <x v="9"/>
    <n v="53.49"/>
    <n v="21.8"/>
    <n v="41.83"/>
    <d v="2025-08-06T00:00:00"/>
    <n v="41"/>
    <x v="54"/>
    <x v="0"/>
    <x v="0"/>
    <n v="28"/>
    <n v="893.80000000000007"/>
    <s v=""/>
  </r>
  <r>
    <s v="FB000743"/>
    <x v="1"/>
    <x v="7"/>
    <x v="3"/>
    <s v="S"/>
    <x v="1"/>
    <n v="113.29"/>
    <n v="34"/>
    <n v="74.77"/>
    <d v="2025-08-06T00:00:00"/>
    <n v="10"/>
    <x v="86"/>
    <x v="0"/>
    <x v="0"/>
    <n v="28"/>
    <n v="340"/>
    <s v=""/>
  </r>
  <r>
    <s v="FB000744"/>
    <x v="1"/>
    <x v="4"/>
    <x v="1"/>
    <s v="L"/>
    <x v="3"/>
    <n v="110.87"/>
    <n v="6"/>
    <n v="104.22"/>
    <d v="2025-08-06T00:00:00"/>
    <n v="15"/>
    <x v="84"/>
    <x v="0"/>
    <x v="0"/>
    <n v="28"/>
    <n v="90"/>
    <s v=""/>
  </r>
  <r>
    <s v="FB000745"/>
    <x v="1"/>
    <x v="5"/>
    <x v="2"/>
    <m/>
    <x v="8"/>
    <n v="94.3"/>
    <n v="0"/>
    <n v="94.3"/>
    <d v="2025-08-06T00:00:00"/>
    <n v="16"/>
    <x v="68"/>
    <x v="0"/>
    <x v="0"/>
    <n v="28"/>
    <n v="0"/>
    <s v=""/>
  </r>
  <r>
    <s v="FB000746"/>
    <x v="2"/>
    <x v="7"/>
    <x v="0"/>
    <m/>
    <x v="0"/>
    <n v="37.94"/>
    <n v="0"/>
    <n v="37.94"/>
    <d v="2024-10-08T00:00:00"/>
    <n v="9"/>
    <x v="14"/>
    <x v="0"/>
    <x v="0"/>
    <n v="330"/>
    <n v="0"/>
    <s v=""/>
  </r>
  <r>
    <s v="FB000747"/>
    <x v="0"/>
    <x v="5"/>
    <x v="1"/>
    <s v="XXL"/>
    <x v="4"/>
    <n v="200.24"/>
    <n v="23"/>
    <n v="154.18"/>
    <d v="2025-08-06T00:00:00"/>
    <n v="38"/>
    <x v="46"/>
    <x v="0"/>
    <x v="0"/>
    <n v="28"/>
    <n v="874"/>
    <s v=""/>
  </r>
  <r>
    <s v="FB000748"/>
    <x v="2"/>
    <x v="7"/>
    <x v="1"/>
    <m/>
    <x v="9"/>
    <n v="43.45"/>
    <n v="0"/>
    <n v="43.45"/>
    <d v="2025-08-06T00:00:00"/>
    <n v="50"/>
    <x v="30"/>
    <x v="0"/>
    <x v="0"/>
    <n v="28"/>
    <n v="0"/>
    <s v=""/>
  </r>
  <r>
    <s v="FB000749"/>
    <x v="4"/>
    <x v="7"/>
    <x v="3"/>
    <s v="L"/>
    <x v="0"/>
    <n v="76.92"/>
    <n v="9.6"/>
    <n v="69.540000000000006"/>
    <d v="2025-08-06T00:00:00"/>
    <n v="20"/>
    <x v="66"/>
    <x v="0"/>
    <x v="0"/>
    <n v="28"/>
    <n v="192"/>
    <s v=""/>
  </r>
  <r>
    <s v="FB000750"/>
    <x v="2"/>
    <x v="7"/>
    <x v="2"/>
    <m/>
    <x v="3"/>
    <n v="21.09"/>
    <n v="0"/>
    <n v="21.09"/>
    <d v="2025-08-06T00:00:00"/>
    <n v="33"/>
    <x v="16"/>
    <x v="1"/>
    <x v="2"/>
    <n v="28"/>
    <n v="0"/>
    <n v="1"/>
  </r>
  <r>
    <s v="FB000751"/>
    <x v="5"/>
    <x v="2"/>
    <x v="1"/>
    <s v="XL"/>
    <x v="6"/>
    <n v="55.47"/>
    <n v="0"/>
    <n v="55.47"/>
    <d v="2025-08-06T00:00:00"/>
    <n v="18"/>
    <x v="82"/>
    <x v="0"/>
    <x v="0"/>
    <n v="28"/>
    <n v="0"/>
    <s v=""/>
  </r>
  <r>
    <s v="FB000752"/>
    <x v="0"/>
    <x v="4"/>
    <x v="0"/>
    <s v="XXL"/>
    <x v="3"/>
    <n v="122.53"/>
    <n v="0"/>
    <n v="122.53"/>
    <d v="2024-09-21T00:00:00"/>
    <n v="25"/>
    <x v="8"/>
    <x v="0"/>
    <x v="0"/>
    <n v="347"/>
    <n v="0"/>
    <s v=""/>
  </r>
  <r>
    <s v="FB000753"/>
    <x v="2"/>
    <x v="1"/>
    <x v="3"/>
    <m/>
    <x v="7"/>
    <n v="61.13"/>
    <n v="0"/>
    <n v="61.13"/>
    <d v="2025-08-06T00:00:00"/>
    <n v="34"/>
    <x v="3"/>
    <x v="0"/>
    <x v="0"/>
    <n v="28"/>
    <n v="0"/>
    <s v=""/>
  </r>
  <r>
    <s v="FB000754"/>
    <x v="0"/>
    <x v="1"/>
    <x v="0"/>
    <s v="XS"/>
    <x v="10"/>
    <n v="127.59"/>
    <n v="0"/>
    <n v="127.59"/>
    <d v="2025-05-08T00:00:00"/>
    <n v="1"/>
    <x v="26"/>
    <x v="0"/>
    <x v="0"/>
    <n v="118"/>
    <n v="0"/>
    <s v=""/>
  </r>
  <r>
    <s v="FB000755"/>
    <x v="2"/>
    <x v="5"/>
    <x v="3"/>
    <m/>
    <x v="8"/>
    <n v="73.040000000000006"/>
    <n v="0"/>
    <n v="73.040000000000006"/>
    <d v="2025-08-06T00:00:00"/>
    <n v="44"/>
    <x v="36"/>
    <x v="0"/>
    <x v="0"/>
    <n v="28"/>
    <n v="0"/>
    <s v=""/>
  </r>
  <r>
    <s v="FB000756"/>
    <x v="0"/>
    <x v="1"/>
    <x v="1"/>
    <s v="XL"/>
    <x v="7"/>
    <n v="129.46"/>
    <n v="0"/>
    <n v="129.46"/>
    <d v="2025-08-06T00:00:00"/>
    <n v="32"/>
    <x v="30"/>
    <x v="0"/>
    <x v="0"/>
    <n v="28"/>
    <n v="0"/>
    <s v=""/>
  </r>
  <r>
    <s v="FB000757"/>
    <x v="2"/>
    <x v="2"/>
    <x v="1"/>
    <m/>
    <x v="3"/>
    <n v="51.3"/>
    <n v="0"/>
    <n v="51.3"/>
    <d v="2025-08-06T00:00:00"/>
    <n v="33"/>
    <x v="33"/>
    <x v="0"/>
    <x v="0"/>
    <n v="28"/>
    <n v="0"/>
    <s v=""/>
  </r>
  <r>
    <s v="FB000758"/>
    <x v="5"/>
    <x v="4"/>
    <x v="0"/>
    <s v="L"/>
    <x v="4"/>
    <n v="173"/>
    <n v="0"/>
    <n v="173"/>
    <d v="2025-04-12T00:00:00"/>
    <n v="13"/>
    <x v="38"/>
    <x v="0"/>
    <x v="0"/>
    <n v="144"/>
    <n v="0"/>
    <s v=""/>
  </r>
  <r>
    <s v="FB000759"/>
    <x v="2"/>
    <x v="1"/>
    <x v="3"/>
    <m/>
    <x v="6"/>
    <n v="70.72"/>
    <n v="0"/>
    <n v="70.72"/>
    <d v="2025-08-06T00:00:00"/>
    <n v="18"/>
    <x v="32"/>
    <x v="0"/>
    <x v="0"/>
    <n v="28"/>
    <n v="0"/>
    <s v=""/>
  </r>
  <r>
    <s v="FB000760"/>
    <x v="5"/>
    <x v="7"/>
    <x v="3"/>
    <s v="S"/>
    <x v="2"/>
    <n v="126.37"/>
    <n v="0"/>
    <n v="126.37"/>
    <d v="2025-08-06T00:00:00"/>
    <n v="42"/>
    <x v="66"/>
    <x v="0"/>
    <x v="0"/>
    <n v="28"/>
    <n v="0"/>
    <s v=""/>
  </r>
  <r>
    <s v="FB000761"/>
    <x v="4"/>
    <x v="0"/>
    <x v="1"/>
    <s v="XXL"/>
    <x v="5"/>
    <n v="84.19"/>
    <n v="9.6"/>
    <n v="76.11"/>
    <d v="2025-08-06T00:00:00"/>
    <n v="45"/>
    <x v="54"/>
    <x v="0"/>
    <x v="0"/>
    <n v="28"/>
    <n v="432"/>
    <s v=""/>
  </r>
  <r>
    <s v="FB000762"/>
    <x v="2"/>
    <x v="7"/>
    <x v="3"/>
    <m/>
    <x v="1"/>
    <n v="59.39"/>
    <n v="44.6"/>
    <n v="32.9"/>
    <d v="2025-08-06T00:00:00"/>
    <n v="41"/>
    <x v="39"/>
    <x v="1"/>
    <x v="1"/>
    <n v="28"/>
    <n v="1828.6000000000001"/>
    <n v="1"/>
  </r>
  <r>
    <s v="FB000763"/>
    <x v="0"/>
    <x v="3"/>
    <x v="2"/>
    <s v="M"/>
    <x v="6"/>
    <n v="195.38"/>
    <n v="0.3"/>
    <n v="194.79"/>
    <d v="2025-08-06T00:00:00"/>
    <n v="30"/>
    <x v="5"/>
    <x v="0"/>
    <x v="0"/>
    <n v="28"/>
    <n v="9"/>
    <s v=""/>
  </r>
  <r>
    <s v="FB000764"/>
    <x v="5"/>
    <x v="6"/>
    <x v="0"/>
    <s v="S"/>
    <x v="3"/>
    <n v="107.64"/>
    <n v="7.5"/>
    <n v="99.57"/>
    <d v="2024-09-10T00:00:00"/>
    <n v="21"/>
    <x v="14"/>
    <x v="0"/>
    <x v="0"/>
    <n v="358"/>
    <n v="157.5"/>
    <s v=""/>
  </r>
  <r>
    <s v="FB000765"/>
    <x v="3"/>
    <x v="4"/>
    <x v="0"/>
    <s v="L"/>
    <x v="5"/>
    <n v="63.12"/>
    <n v="0"/>
    <n v="63.12"/>
    <d v="2024-11-08T00:00:00"/>
    <n v="35"/>
    <x v="5"/>
    <x v="0"/>
    <x v="0"/>
    <n v="299"/>
    <n v="0"/>
    <s v=""/>
  </r>
  <r>
    <s v="FB000766"/>
    <x v="4"/>
    <x v="6"/>
    <x v="2"/>
    <s v="L"/>
    <x v="5"/>
    <n v="58.91"/>
    <n v="0"/>
    <n v="58.91"/>
    <d v="2025-08-06T00:00:00"/>
    <n v="17"/>
    <x v="66"/>
    <x v="0"/>
    <x v="0"/>
    <n v="28"/>
    <n v="0"/>
    <s v=""/>
  </r>
  <r>
    <s v="FB000767"/>
    <x v="4"/>
    <x v="4"/>
    <x v="3"/>
    <s v="L"/>
    <x v="6"/>
    <n v="93.27"/>
    <n v="0"/>
    <n v="93.27"/>
    <d v="2025-08-06T00:00:00"/>
    <n v="18"/>
    <x v="17"/>
    <x v="0"/>
    <x v="0"/>
    <n v="28"/>
    <n v="0"/>
    <s v=""/>
  </r>
  <r>
    <s v="FB000768"/>
    <x v="5"/>
    <x v="7"/>
    <x v="0"/>
    <s v="XL"/>
    <x v="6"/>
    <n v="147.88"/>
    <n v="36.799999999999997"/>
    <n v="93.46"/>
    <d v="2024-09-08T00:00:00"/>
    <n v="37"/>
    <x v="31"/>
    <x v="0"/>
    <x v="0"/>
    <n v="360"/>
    <n v="1361.6"/>
    <s v=""/>
  </r>
  <r>
    <s v="FB000769"/>
    <x v="1"/>
    <x v="1"/>
    <x v="2"/>
    <s v="L"/>
    <x v="4"/>
    <n v="30.53"/>
    <n v="0"/>
    <n v="30.53"/>
    <d v="2025-08-06T00:00:00"/>
    <n v="25"/>
    <x v="1"/>
    <x v="0"/>
    <x v="0"/>
    <n v="28"/>
    <n v="0"/>
    <s v=""/>
  </r>
  <r>
    <s v="FB000770"/>
    <x v="1"/>
    <x v="0"/>
    <x v="2"/>
    <s v="S"/>
    <x v="3"/>
    <n v="104.96"/>
    <n v="1.6"/>
    <n v="103.28"/>
    <d v="2025-08-06T00:00:00"/>
    <n v="33"/>
    <x v="66"/>
    <x v="0"/>
    <x v="0"/>
    <n v="28"/>
    <n v="52.800000000000004"/>
    <s v=""/>
  </r>
  <r>
    <s v="FB000771"/>
    <x v="5"/>
    <x v="4"/>
    <x v="1"/>
    <s v="XS"/>
    <x v="5"/>
    <n v="75.52"/>
    <n v="0"/>
    <n v="75.52"/>
    <d v="2025-08-06T00:00:00"/>
    <n v="2"/>
    <x v="32"/>
    <x v="0"/>
    <x v="0"/>
    <n v="28"/>
    <n v="0"/>
    <s v=""/>
  </r>
  <r>
    <s v="FB000772"/>
    <x v="4"/>
    <x v="6"/>
    <x v="1"/>
    <s v="M"/>
    <x v="0"/>
    <n v="54.7"/>
    <n v="0"/>
    <n v="54.7"/>
    <d v="2025-08-06T00:00:00"/>
    <n v="18"/>
    <x v="36"/>
    <x v="0"/>
    <x v="0"/>
    <n v="28"/>
    <n v="0"/>
    <s v=""/>
  </r>
  <r>
    <s v="FB000773"/>
    <x v="3"/>
    <x v="5"/>
    <x v="3"/>
    <s v="XS"/>
    <x v="2"/>
    <n v="126.25"/>
    <n v="25.9"/>
    <n v="93.55"/>
    <d v="2025-08-06T00:00:00"/>
    <n v="40"/>
    <x v="25"/>
    <x v="1"/>
    <x v="2"/>
    <n v="28"/>
    <n v="1036"/>
    <n v="1"/>
  </r>
  <r>
    <s v="FB000774"/>
    <x v="3"/>
    <x v="2"/>
    <x v="3"/>
    <s v="XS"/>
    <x v="5"/>
    <n v="63.86"/>
    <n v="52.8"/>
    <n v="30.14"/>
    <d v="2025-08-06T00:00:00"/>
    <n v="23"/>
    <x v="74"/>
    <x v="0"/>
    <x v="0"/>
    <n v="28"/>
    <n v="1214.3999999999999"/>
    <s v=""/>
  </r>
  <r>
    <s v="FB000775"/>
    <x v="2"/>
    <x v="1"/>
    <x v="1"/>
    <m/>
    <x v="0"/>
    <n v="75.930000000000007"/>
    <n v="0"/>
    <n v="75.930000000000007"/>
    <d v="2025-08-06T00:00:00"/>
    <n v="32"/>
    <x v="47"/>
    <x v="0"/>
    <x v="0"/>
    <n v="28"/>
    <n v="0"/>
    <s v=""/>
  </r>
  <r>
    <s v="FB000776"/>
    <x v="1"/>
    <x v="0"/>
    <x v="2"/>
    <s v="M"/>
    <x v="10"/>
    <n v="82.51"/>
    <n v="27.3"/>
    <n v="59.98"/>
    <d v="2025-08-06T00:00:00"/>
    <n v="9"/>
    <x v="22"/>
    <x v="0"/>
    <x v="0"/>
    <n v="28"/>
    <n v="245.70000000000002"/>
    <s v=""/>
  </r>
  <r>
    <s v="FB000777"/>
    <x v="4"/>
    <x v="2"/>
    <x v="2"/>
    <s v="XXL"/>
    <x v="6"/>
    <n v="46.02"/>
    <n v="0"/>
    <n v="46.02"/>
    <d v="2025-08-06T00:00:00"/>
    <n v="21"/>
    <x v="21"/>
    <x v="0"/>
    <x v="0"/>
    <n v="28"/>
    <n v="0"/>
    <s v=""/>
  </r>
  <r>
    <s v="FB000778"/>
    <x v="5"/>
    <x v="3"/>
    <x v="1"/>
    <s v="XXL"/>
    <x v="10"/>
    <n v="125.67"/>
    <n v="45.5"/>
    <n v="68.489999999999995"/>
    <d v="2025-08-06T00:00:00"/>
    <n v="27"/>
    <x v="6"/>
    <x v="0"/>
    <x v="0"/>
    <n v="28"/>
    <n v="1228.5"/>
    <s v=""/>
  </r>
  <r>
    <s v="FB000779"/>
    <x v="3"/>
    <x v="3"/>
    <x v="1"/>
    <s v="S"/>
    <x v="0"/>
    <n v="65.61"/>
    <n v="50.7"/>
    <n v="32.35"/>
    <d v="2025-08-06T00:00:00"/>
    <n v="23"/>
    <x v="21"/>
    <x v="0"/>
    <x v="0"/>
    <n v="28"/>
    <n v="1166.1000000000001"/>
    <s v=""/>
  </r>
  <r>
    <s v="FB000780"/>
    <x v="5"/>
    <x v="2"/>
    <x v="3"/>
    <s v="XS"/>
    <x v="7"/>
    <n v="91.61"/>
    <n v="0"/>
    <n v="91.61"/>
    <d v="2025-08-06T00:00:00"/>
    <n v="31"/>
    <x v="40"/>
    <x v="0"/>
    <x v="0"/>
    <n v="28"/>
    <n v="0"/>
    <s v=""/>
  </r>
  <r>
    <s v="FB000781"/>
    <x v="0"/>
    <x v="4"/>
    <x v="3"/>
    <s v="XS"/>
    <x v="1"/>
    <n v="162.78"/>
    <n v="0"/>
    <n v="162.78"/>
    <d v="2025-08-06T00:00:00"/>
    <n v="0"/>
    <x v="8"/>
    <x v="0"/>
    <x v="0"/>
    <n v="28"/>
    <n v="0"/>
    <s v=""/>
  </r>
  <r>
    <s v="FB000782"/>
    <x v="0"/>
    <x v="3"/>
    <x v="1"/>
    <s v="M"/>
    <x v="4"/>
    <n v="134.35"/>
    <n v="35.299999999999997"/>
    <n v="86.92"/>
    <d v="2025-08-06T00:00:00"/>
    <n v="36"/>
    <x v="45"/>
    <x v="0"/>
    <x v="0"/>
    <n v="28"/>
    <n v="1270.8"/>
    <s v=""/>
  </r>
  <r>
    <s v="FB000783"/>
    <x v="4"/>
    <x v="3"/>
    <x v="0"/>
    <m/>
    <x v="4"/>
    <n v="77.739999999999995"/>
    <n v="38.799999999999997"/>
    <n v="47.58"/>
    <d v="2025-07-11T00:00:00"/>
    <n v="23"/>
    <x v="2"/>
    <x v="0"/>
    <x v="0"/>
    <n v="54"/>
    <n v="892.4"/>
    <s v=""/>
  </r>
  <r>
    <s v="FB000784"/>
    <x v="2"/>
    <x v="6"/>
    <x v="3"/>
    <m/>
    <x v="10"/>
    <n v="49.33"/>
    <n v="59.9"/>
    <n v="19.78"/>
    <d v="2025-08-06T00:00:00"/>
    <n v="47"/>
    <x v="80"/>
    <x v="0"/>
    <x v="0"/>
    <n v="28"/>
    <n v="2815.2999999999997"/>
    <s v=""/>
  </r>
  <r>
    <s v="FB000785"/>
    <x v="0"/>
    <x v="7"/>
    <x v="3"/>
    <s v="S"/>
    <x v="4"/>
    <n v="231.52"/>
    <n v="17.3"/>
    <n v="191.47"/>
    <d v="2025-08-06T00:00:00"/>
    <n v="49"/>
    <x v="54"/>
    <x v="0"/>
    <x v="0"/>
    <n v="28"/>
    <n v="847.7"/>
    <s v=""/>
  </r>
  <r>
    <s v="FB000786"/>
    <x v="0"/>
    <x v="6"/>
    <x v="1"/>
    <s v="XL"/>
    <x v="3"/>
    <n v="140.1"/>
    <n v="0"/>
    <n v="140.1"/>
    <d v="2025-08-06T00:00:00"/>
    <n v="14"/>
    <x v="38"/>
    <x v="0"/>
    <x v="0"/>
    <n v="28"/>
    <n v="0"/>
    <s v=""/>
  </r>
  <r>
    <s v="FB000787"/>
    <x v="5"/>
    <x v="5"/>
    <x v="3"/>
    <s v="S"/>
    <x v="1"/>
    <n v="117.38"/>
    <n v="27.8"/>
    <n v="84.75"/>
    <d v="2025-08-06T00:00:00"/>
    <n v="34"/>
    <x v="32"/>
    <x v="1"/>
    <x v="4"/>
    <n v="28"/>
    <n v="945.2"/>
    <n v="1"/>
  </r>
  <r>
    <s v="FB000788"/>
    <x v="1"/>
    <x v="5"/>
    <x v="0"/>
    <s v="S"/>
    <x v="9"/>
    <n v="83.98"/>
    <n v="0"/>
    <n v="83.98"/>
    <d v="2024-08-29T00:00:00"/>
    <n v="23"/>
    <x v="42"/>
    <x v="0"/>
    <x v="0"/>
    <n v="370"/>
    <n v="0"/>
    <s v=""/>
  </r>
  <r>
    <s v="FB000789"/>
    <x v="5"/>
    <x v="4"/>
    <x v="0"/>
    <s v="XL"/>
    <x v="8"/>
    <n v="111.67"/>
    <n v="53.5"/>
    <n v="51.93"/>
    <d v="2025-02-05T00:00:00"/>
    <n v="19"/>
    <x v="87"/>
    <x v="0"/>
    <x v="0"/>
    <n v="210"/>
    <n v="1016.5"/>
    <s v=""/>
  </r>
  <r>
    <s v="FB000790"/>
    <x v="4"/>
    <x v="4"/>
    <x v="3"/>
    <s v="S"/>
    <x v="3"/>
    <n v="25.16"/>
    <n v="0"/>
    <n v="25.16"/>
    <d v="2025-08-06T00:00:00"/>
    <n v="37"/>
    <x v="32"/>
    <x v="0"/>
    <x v="0"/>
    <n v="28"/>
    <n v="0"/>
    <s v=""/>
  </r>
  <r>
    <s v="FB000791"/>
    <x v="0"/>
    <x v="2"/>
    <x v="2"/>
    <s v="XL"/>
    <x v="5"/>
    <n v="175.82"/>
    <n v="23"/>
    <n v="135.38"/>
    <d v="2025-08-06T00:00:00"/>
    <n v="1"/>
    <x v="17"/>
    <x v="0"/>
    <x v="0"/>
    <n v="28"/>
    <n v="23"/>
    <s v=""/>
  </r>
  <r>
    <s v="FB000792"/>
    <x v="1"/>
    <x v="3"/>
    <x v="3"/>
    <s v="XS"/>
    <x v="6"/>
    <n v="53.25"/>
    <n v="37.5"/>
    <n v="33.28"/>
    <d v="2025-08-06T00:00:00"/>
    <n v="33"/>
    <x v="2"/>
    <x v="0"/>
    <x v="0"/>
    <n v="28"/>
    <n v="1237.5"/>
    <s v=""/>
  </r>
  <r>
    <s v="FB000793"/>
    <x v="0"/>
    <x v="2"/>
    <x v="2"/>
    <s v="M"/>
    <x v="9"/>
    <n v="215.19"/>
    <n v="43"/>
    <n v="122.66"/>
    <d v="2025-08-06T00:00:00"/>
    <n v="48"/>
    <x v="1"/>
    <x v="0"/>
    <x v="0"/>
    <n v="28"/>
    <n v="2064"/>
    <s v=""/>
  </r>
  <r>
    <s v="FB000794"/>
    <x v="4"/>
    <x v="0"/>
    <x v="3"/>
    <s v="S"/>
    <x v="1"/>
    <n v="78.41"/>
    <n v="20.7"/>
    <n v="62.18"/>
    <d v="2025-08-06T00:00:00"/>
    <n v="9"/>
    <x v="9"/>
    <x v="0"/>
    <x v="0"/>
    <n v="28"/>
    <n v="186.29999999999998"/>
    <s v=""/>
  </r>
  <r>
    <s v="FB000795"/>
    <x v="3"/>
    <x v="0"/>
    <x v="3"/>
    <s v="XXL"/>
    <x v="1"/>
    <n v="173.15"/>
    <n v="0"/>
    <n v="173.15"/>
    <d v="2025-08-06T00:00:00"/>
    <n v="45"/>
    <x v="81"/>
    <x v="0"/>
    <x v="0"/>
    <n v="28"/>
    <n v="0"/>
    <s v=""/>
  </r>
  <r>
    <s v="FB000796"/>
    <x v="2"/>
    <x v="0"/>
    <x v="2"/>
    <m/>
    <x v="5"/>
    <n v="16.84"/>
    <n v="36.6"/>
    <n v="10.68"/>
    <d v="2025-08-06T00:00:00"/>
    <n v="34"/>
    <x v="12"/>
    <x v="0"/>
    <x v="0"/>
    <n v="28"/>
    <n v="1244.4000000000001"/>
    <s v=""/>
  </r>
  <r>
    <s v="FB000797"/>
    <x v="0"/>
    <x v="7"/>
    <x v="3"/>
    <s v="S"/>
    <x v="9"/>
    <n v="128.6"/>
    <n v="0"/>
    <n v="128.6"/>
    <d v="2025-08-06T00:00:00"/>
    <n v="11"/>
    <x v="39"/>
    <x v="0"/>
    <x v="0"/>
    <n v="28"/>
    <n v="0"/>
    <s v=""/>
  </r>
  <r>
    <s v="FB000798"/>
    <x v="0"/>
    <x v="5"/>
    <x v="0"/>
    <s v="XXL"/>
    <x v="6"/>
    <n v="131.74"/>
    <n v="0"/>
    <n v="131.74"/>
    <d v="2024-09-13T00:00:00"/>
    <n v="46"/>
    <x v="14"/>
    <x v="0"/>
    <x v="0"/>
    <n v="355"/>
    <n v="0"/>
    <s v=""/>
  </r>
  <r>
    <s v="FB000799"/>
    <x v="4"/>
    <x v="7"/>
    <x v="3"/>
    <s v="XXL"/>
    <x v="3"/>
    <n v="28.15"/>
    <n v="12.7"/>
    <n v="24.57"/>
    <d v="2025-08-06T00:00:00"/>
    <n v="13"/>
    <x v="38"/>
    <x v="0"/>
    <x v="0"/>
    <n v="28"/>
    <n v="165.1"/>
    <s v=""/>
  </r>
  <r>
    <s v="FB000800"/>
    <x v="0"/>
    <x v="7"/>
    <x v="1"/>
    <s v="XL"/>
    <x v="0"/>
    <n v="165.1"/>
    <n v="58.4"/>
    <n v="68.680000000000007"/>
    <d v="2025-08-06T00:00:00"/>
    <n v="29"/>
    <x v="19"/>
    <x v="0"/>
    <x v="0"/>
    <n v="28"/>
    <n v="1693.6"/>
    <s v=""/>
  </r>
  <r>
    <s v="FB000801"/>
    <x v="1"/>
    <x v="3"/>
    <x v="0"/>
    <s v="XL"/>
    <x v="4"/>
    <n v="49.62"/>
    <n v="0.8"/>
    <n v="49.22"/>
    <d v="2024-11-17T00:00:00"/>
    <n v="22"/>
    <x v="39"/>
    <x v="0"/>
    <x v="0"/>
    <n v="290"/>
    <n v="17.600000000000001"/>
    <s v=""/>
  </r>
  <r>
    <s v="FB000802"/>
    <x v="1"/>
    <x v="2"/>
    <x v="2"/>
    <s v="XL"/>
    <x v="2"/>
    <n v="98.52"/>
    <n v="18.899999999999999"/>
    <n v="79.900000000000006"/>
    <d v="2025-08-06T00:00:00"/>
    <n v="37"/>
    <x v="16"/>
    <x v="1"/>
    <x v="6"/>
    <n v="28"/>
    <n v="699.3"/>
    <n v="1"/>
  </r>
  <r>
    <s v="FB000803"/>
    <x v="3"/>
    <x v="3"/>
    <x v="2"/>
    <s v="S"/>
    <x v="6"/>
    <n v="94.19"/>
    <n v="30.8"/>
    <n v="65.180000000000007"/>
    <d v="2025-08-06T00:00:00"/>
    <n v="31"/>
    <x v="40"/>
    <x v="0"/>
    <x v="0"/>
    <n v="28"/>
    <n v="954.80000000000007"/>
    <s v=""/>
  </r>
  <r>
    <s v="FB000804"/>
    <x v="2"/>
    <x v="7"/>
    <x v="1"/>
    <m/>
    <x v="4"/>
    <n v="23.5"/>
    <n v="0"/>
    <n v="23.5"/>
    <d v="2025-08-06T00:00:00"/>
    <n v="14"/>
    <x v="38"/>
    <x v="1"/>
    <x v="4"/>
    <n v="28"/>
    <n v="0"/>
    <n v="1"/>
  </r>
  <r>
    <s v="FB000805"/>
    <x v="4"/>
    <x v="0"/>
    <x v="2"/>
    <s v="S"/>
    <x v="7"/>
    <n v="109.36"/>
    <n v="0"/>
    <n v="109.36"/>
    <d v="2025-08-06T00:00:00"/>
    <n v="0"/>
    <x v="21"/>
    <x v="0"/>
    <x v="0"/>
    <n v="28"/>
    <n v="0"/>
    <s v=""/>
  </r>
  <r>
    <s v="FB000806"/>
    <x v="2"/>
    <x v="4"/>
    <x v="2"/>
    <m/>
    <x v="5"/>
    <n v="69.73"/>
    <n v="0"/>
    <n v="69.73"/>
    <d v="2025-08-06T00:00:00"/>
    <n v="7"/>
    <x v="21"/>
    <x v="1"/>
    <x v="1"/>
    <n v="28"/>
    <n v="0"/>
    <n v="1"/>
  </r>
  <r>
    <s v="FB000807"/>
    <x v="3"/>
    <x v="4"/>
    <x v="3"/>
    <s v="XS"/>
    <x v="6"/>
    <n v="199.03"/>
    <n v="57.3"/>
    <n v="84.99"/>
    <d v="2025-08-06T00:00:00"/>
    <n v="37"/>
    <x v="10"/>
    <x v="0"/>
    <x v="0"/>
    <n v="28"/>
    <n v="2120.1"/>
    <s v=""/>
  </r>
  <r>
    <s v="FB000808"/>
    <x v="4"/>
    <x v="6"/>
    <x v="0"/>
    <s v="M"/>
    <x v="3"/>
    <n v="82.32"/>
    <n v="56.7"/>
    <n v="35.64"/>
    <d v="2024-12-23T00:00:00"/>
    <n v="41"/>
    <x v="58"/>
    <x v="0"/>
    <x v="0"/>
    <n v="254"/>
    <n v="2324.7000000000003"/>
    <s v=""/>
  </r>
  <r>
    <s v="FB000809"/>
    <x v="4"/>
    <x v="1"/>
    <x v="0"/>
    <s v="M"/>
    <x v="8"/>
    <n v="52.42"/>
    <n v="9.9"/>
    <n v="47.23"/>
    <d v="2024-10-16T00:00:00"/>
    <n v="42"/>
    <x v="15"/>
    <x v="0"/>
    <x v="0"/>
    <n v="322"/>
    <n v="415.8"/>
    <s v=""/>
  </r>
  <r>
    <s v="FB000810"/>
    <x v="0"/>
    <x v="5"/>
    <x v="2"/>
    <s v="S"/>
    <x v="3"/>
    <n v="180.49"/>
    <n v="0"/>
    <n v="180.49"/>
    <d v="2025-08-06T00:00:00"/>
    <n v="18"/>
    <x v="1"/>
    <x v="1"/>
    <x v="6"/>
    <n v="28"/>
    <n v="0"/>
    <n v="1"/>
  </r>
  <r>
    <s v="FB000811"/>
    <x v="5"/>
    <x v="5"/>
    <x v="2"/>
    <s v="XL"/>
    <x v="3"/>
    <n v="63.02"/>
    <n v="0"/>
    <n v="63.02"/>
    <d v="2025-08-06T00:00:00"/>
    <n v="37"/>
    <x v="1"/>
    <x v="0"/>
    <x v="0"/>
    <n v="28"/>
    <n v="0"/>
    <s v=""/>
  </r>
  <r>
    <s v="FB000812"/>
    <x v="1"/>
    <x v="3"/>
    <x v="0"/>
    <s v="XL"/>
    <x v="0"/>
    <n v="97.05"/>
    <n v="0"/>
    <n v="97.05"/>
    <d v="2024-12-25T00:00:00"/>
    <n v="9"/>
    <x v="60"/>
    <x v="0"/>
    <x v="0"/>
    <n v="252"/>
    <n v="0"/>
    <s v=""/>
  </r>
  <r>
    <s v="FB000813"/>
    <x v="4"/>
    <x v="0"/>
    <x v="1"/>
    <s v="XXL"/>
    <x v="1"/>
    <n v="79.62"/>
    <n v="0"/>
    <n v="79.62"/>
    <d v="2025-08-06T00:00:00"/>
    <n v="37"/>
    <x v="16"/>
    <x v="0"/>
    <x v="0"/>
    <n v="28"/>
    <n v="0"/>
    <s v=""/>
  </r>
  <r>
    <s v="FB000814"/>
    <x v="5"/>
    <x v="0"/>
    <x v="1"/>
    <s v="M"/>
    <x v="0"/>
    <n v="82.5"/>
    <n v="0"/>
    <n v="82.5"/>
    <d v="2025-08-06T00:00:00"/>
    <n v="0"/>
    <x v="75"/>
    <x v="0"/>
    <x v="0"/>
    <n v="28"/>
    <n v="0"/>
    <s v=""/>
  </r>
  <r>
    <s v="FB000815"/>
    <x v="4"/>
    <x v="5"/>
    <x v="0"/>
    <s v="L"/>
    <x v="9"/>
    <n v="117.18"/>
    <n v="13.7"/>
    <n v="101.13"/>
    <d v="2025-08-02T00:00:00"/>
    <n v="5"/>
    <x v="51"/>
    <x v="0"/>
    <x v="0"/>
    <n v="32"/>
    <n v="68.5"/>
    <s v=""/>
  </r>
  <r>
    <s v="FB000816"/>
    <x v="0"/>
    <x v="5"/>
    <x v="0"/>
    <s v="XS"/>
    <x v="10"/>
    <n v="174.05"/>
    <n v="0"/>
    <n v="174.05"/>
    <d v="2025-04-13T00:00:00"/>
    <n v="9"/>
    <x v="46"/>
    <x v="0"/>
    <x v="0"/>
    <n v="143"/>
    <n v="0"/>
    <s v=""/>
  </r>
  <r>
    <s v="FB000817"/>
    <x v="4"/>
    <x v="7"/>
    <x v="0"/>
    <s v="XS"/>
    <x v="10"/>
    <n v="58.29"/>
    <n v="0"/>
    <n v="58.29"/>
    <d v="2025-01-07T00:00:00"/>
    <n v="22"/>
    <x v="39"/>
    <x v="0"/>
    <x v="0"/>
    <n v="239"/>
    <n v="0"/>
    <s v=""/>
  </r>
  <r>
    <s v="FB000818"/>
    <x v="4"/>
    <x v="4"/>
    <x v="3"/>
    <s v="M"/>
    <x v="3"/>
    <n v="61.42"/>
    <n v="57.5"/>
    <n v="26.1"/>
    <d v="2025-08-06T00:00:00"/>
    <n v="3"/>
    <x v="51"/>
    <x v="0"/>
    <x v="0"/>
    <n v="28"/>
    <n v="172.5"/>
    <s v=""/>
  </r>
  <r>
    <s v="FB000819"/>
    <x v="2"/>
    <x v="0"/>
    <x v="1"/>
    <m/>
    <x v="1"/>
    <n v="20.239999999999998"/>
    <n v="0"/>
    <n v="20.239999999999998"/>
    <d v="2025-08-06T00:00:00"/>
    <n v="20"/>
    <x v="16"/>
    <x v="0"/>
    <x v="0"/>
    <n v="28"/>
    <n v="0"/>
    <s v=""/>
  </r>
  <r>
    <s v="FB000820"/>
    <x v="4"/>
    <x v="0"/>
    <x v="2"/>
    <s v="L"/>
    <x v="0"/>
    <n v="88.58"/>
    <n v="0"/>
    <n v="88.58"/>
    <d v="2025-08-06T00:00:00"/>
    <n v="50"/>
    <x v="65"/>
    <x v="0"/>
    <x v="0"/>
    <n v="28"/>
    <n v="0"/>
    <s v=""/>
  </r>
  <r>
    <s v="FB000821"/>
    <x v="4"/>
    <x v="5"/>
    <x v="1"/>
    <s v="XXL"/>
    <x v="9"/>
    <n v="67.92"/>
    <n v="0"/>
    <n v="67.92"/>
    <d v="2025-08-06T00:00:00"/>
    <n v="23"/>
    <x v="34"/>
    <x v="1"/>
    <x v="2"/>
    <n v="28"/>
    <n v="0"/>
    <n v="1"/>
  </r>
  <r>
    <s v="FB000822"/>
    <x v="2"/>
    <x v="5"/>
    <x v="2"/>
    <m/>
    <x v="3"/>
    <n v="25.39"/>
    <n v="0"/>
    <n v="25.39"/>
    <d v="2025-08-06T00:00:00"/>
    <n v="42"/>
    <x v="34"/>
    <x v="0"/>
    <x v="0"/>
    <n v="28"/>
    <n v="0"/>
    <s v=""/>
  </r>
  <r>
    <s v="FB000823"/>
    <x v="5"/>
    <x v="7"/>
    <x v="1"/>
    <s v="S"/>
    <x v="2"/>
    <n v="115.89"/>
    <n v="39.4"/>
    <n v="70.23"/>
    <d v="2025-08-06T00:00:00"/>
    <n v="14"/>
    <x v="22"/>
    <x v="1"/>
    <x v="3"/>
    <n v="28"/>
    <n v="551.6"/>
    <n v="1"/>
  </r>
  <r>
    <s v="FB000824"/>
    <x v="4"/>
    <x v="7"/>
    <x v="3"/>
    <s v="XL"/>
    <x v="5"/>
    <n v="103.94"/>
    <n v="16.100000000000001"/>
    <n v="87.21"/>
    <d v="2025-08-06T00:00:00"/>
    <n v="6"/>
    <x v="26"/>
    <x v="1"/>
    <x v="5"/>
    <n v="28"/>
    <n v="96.600000000000009"/>
    <n v="1"/>
  </r>
  <r>
    <s v="FB000825"/>
    <x v="3"/>
    <x v="6"/>
    <x v="1"/>
    <s v="L"/>
    <x v="0"/>
    <n v="94.72"/>
    <n v="20.5"/>
    <n v="75.3"/>
    <d v="2025-08-06T00:00:00"/>
    <n v="24"/>
    <x v="20"/>
    <x v="0"/>
    <x v="0"/>
    <n v="28"/>
    <n v="492"/>
    <s v=""/>
  </r>
  <r>
    <s v="FB000826"/>
    <x v="2"/>
    <x v="5"/>
    <x v="2"/>
    <m/>
    <x v="1"/>
    <n v="23.28"/>
    <n v="0"/>
    <n v="23.28"/>
    <d v="2025-08-06T00:00:00"/>
    <n v="44"/>
    <x v="47"/>
    <x v="1"/>
    <x v="4"/>
    <n v="28"/>
    <n v="0"/>
    <n v="1"/>
  </r>
  <r>
    <s v="FB000827"/>
    <x v="1"/>
    <x v="6"/>
    <x v="3"/>
    <s v="S"/>
    <x v="1"/>
    <n v="90.73"/>
    <n v="0"/>
    <n v="90.73"/>
    <d v="2025-08-06T00:00:00"/>
    <n v="14"/>
    <x v="21"/>
    <x v="0"/>
    <x v="0"/>
    <n v="28"/>
    <n v="0"/>
    <s v=""/>
  </r>
  <r>
    <s v="FB000828"/>
    <x v="4"/>
    <x v="4"/>
    <x v="2"/>
    <s v="XXL"/>
    <x v="6"/>
    <n v="25.74"/>
    <n v="0"/>
    <n v="25.74"/>
    <d v="2025-08-06T00:00:00"/>
    <n v="33"/>
    <x v="21"/>
    <x v="1"/>
    <x v="1"/>
    <n v="28"/>
    <n v="0"/>
    <n v="1"/>
  </r>
  <r>
    <s v="FB000829"/>
    <x v="3"/>
    <x v="5"/>
    <x v="0"/>
    <s v="XL"/>
    <x v="4"/>
    <n v="162.97"/>
    <n v="0"/>
    <n v="162.97"/>
    <d v="2024-11-22T00:00:00"/>
    <n v="47"/>
    <x v="81"/>
    <x v="1"/>
    <x v="6"/>
    <n v="285"/>
    <n v="0"/>
    <n v="1"/>
  </r>
  <r>
    <s v="FB000830"/>
    <x v="2"/>
    <x v="4"/>
    <x v="1"/>
    <m/>
    <x v="2"/>
    <n v="50.33"/>
    <n v="8.6999999999999993"/>
    <n v="45.95"/>
    <d v="2025-08-06T00:00:00"/>
    <n v="14"/>
    <x v="49"/>
    <x v="0"/>
    <x v="0"/>
    <n v="28"/>
    <n v="121.79999999999998"/>
    <s v=""/>
  </r>
  <r>
    <s v="FB000831"/>
    <x v="3"/>
    <x v="1"/>
    <x v="0"/>
    <m/>
    <x v="1"/>
    <n v="60.38"/>
    <n v="0"/>
    <n v="60.38"/>
    <d v="2025-04-29T00:00:00"/>
    <n v="0"/>
    <x v="57"/>
    <x v="0"/>
    <x v="0"/>
    <n v="127"/>
    <n v="0"/>
    <s v=""/>
  </r>
  <r>
    <s v="FB000832"/>
    <x v="1"/>
    <x v="1"/>
    <x v="3"/>
    <s v="XXL"/>
    <x v="2"/>
    <n v="103.65"/>
    <n v="0"/>
    <n v="103.65"/>
    <d v="2025-08-06T00:00:00"/>
    <n v="29"/>
    <x v="17"/>
    <x v="0"/>
    <x v="0"/>
    <n v="28"/>
    <n v="0"/>
    <s v=""/>
  </r>
  <r>
    <s v="FB000833"/>
    <x v="4"/>
    <x v="6"/>
    <x v="0"/>
    <s v="L"/>
    <x v="7"/>
    <n v="75.14"/>
    <n v="0"/>
    <n v="75.14"/>
    <d v="2025-01-27T00:00:00"/>
    <n v="41"/>
    <x v="58"/>
    <x v="1"/>
    <x v="5"/>
    <n v="219"/>
    <n v="0"/>
    <n v="1"/>
  </r>
  <r>
    <s v="FB000834"/>
    <x v="3"/>
    <x v="4"/>
    <x v="1"/>
    <s v="S"/>
    <x v="1"/>
    <n v="88"/>
    <n v="0"/>
    <n v="88"/>
    <d v="2025-08-06T00:00:00"/>
    <n v="2"/>
    <x v="42"/>
    <x v="0"/>
    <x v="0"/>
    <n v="28"/>
    <n v="0"/>
    <s v=""/>
  </r>
  <r>
    <s v="FB000835"/>
    <x v="5"/>
    <x v="5"/>
    <x v="1"/>
    <s v="XS"/>
    <x v="0"/>
    <n v="69.540000000000006"/>
    <n v="0"/>
    <n v="69.540000000000006"/>
    <d v="2025-08-06T00:00:00"/>
    <n v="21"/>
    <x v="62"/>
    <x v="0"/>
    <x v="0"/>
    <n v="28"/>
    <n v="0"/>
    <s v=""/>
  </r>
  <r>
    <s v="FB000836"/>
    <x v="0"/>
    <x v="3"/>
    <x v="1"/>
    <s v="XS"/>
    <x v="1"/>
    <n v="209.52"/>
    <n v="0"/>
    <n v="209.52"/>
    <d v="2025-08-06T00:00:00"/>
    <n v="48"/>
    <x v="3"/>
    <x v="0"/>
    <x v="0"/>
    <n v="28"/>
    <n v="0"/>
    <s v=""/>
  </r>
  <r>
    <s v="FB000837"/>
    <x v="3"/>
    <x v="4"/>
    <x v="2"/>
    <s v="XXL"/>
    <x v="7"/>
    <n v="97.42"/>
    <n v="0"/>
    <n v="97.42"/>
    <d v="2025-08-06T00:00:00"/>
    <n v="35"/>
    <x v="66"/>
    <x v="0"/>
    <x v="0"/>
    <n v="28"/>
    <n v="0"/>
    <s v=""/>
  </r>
  <r>
    <s v="FB000838"/>
    <x v="5"/>
    <x v="1"/>
    <x v="1"/>
    <s v="XS"/>
    <x v="3"/>
    <n v="154.6"/>
    <n v="0"/>
    <n v="154.6"/>
    <d v="2025-08-06T00:00:00"/>
    <n v="38"/>
    <x v="35"/>
    <x v="1"/>
    <x v="5"/>
    <n v="28"/>
    <n v="0"/>
    <n v="1"/>
  </r>
  <r>
    <s v="FB000839"/>
    <x v="4"/>
    <x v="0"/>
    <x v="3"/>
    <s v="XL"/>
    <x v="3"/>
    <n v="81.59"/>
    <n v="38"/>
    <n v="50.59"/>
    <d v="2025-08-06T00:00:00"/>
    <n v="31"/>
    <x v="19"/>
    <x v="0"/>
    <x v="0"/>
    <n v="28"/>
    <n v="1178"/>
    <s v=""/>
  </r>
  <r>
    <s v="FB000840"/>
    <x v="2"/>
    <x v="3"/>
    <x v="1"/>
    <m/>
    <x v="10"/>
    <n v="48.04"/>
    <n v="0"/>
    <n v="48.04"/>
    <d v="2025-08-06T00:00:00"/>
    <n v="46"/>
    <x v="51"/>
    <x v="0"/>
    <x v="0"/>
    <n v="28"/>
    <n v="0"/>
    <s v=""/>
  </r>
  <r>
    <s v="FB000841"/>
    <x v="1"/>
    <x v="2"/>
    <x v="2"/>
    <s v="S"/>
    <x v="6"/>
    <n v="70.77"/>
    <n v="0"/>
    <n v="70.77"/>
    <d v="2025-08-06T00:00:00"/>
    <n v="5"/>
    <x v="17"/>
    <x v="0"/>
    <x v="0"/>
    <n v="28"/>
    <n v="0"/>
    <s v=""/>
  </r>
  <r>
    <s v="FB000842"/>
    <x v="0"/>
    <x v="7"/>
    <x v="2"/>
    <s v="S"/>
    <x v="4"/>
    <n v="103.49"/>
    <n v="0"/>
    <n v="103.49"/>
    <d v="2025-08-06T00:00:00"/>
    <n v="12"/>
    <x v="34"/>
    <x v="0"/>
    <x v="0"/>
    <n v="28"/>
    <n v="0"/>
    <s v=""/>
  </r>
  <r>
    <s v="FB000843"/>
    <x v="0"/>
    <x v="1"/>
    <x v="0"/>
    <s v="L"/>
    <x v="9"/>
    <n v="138.88999999999999"/>
    <n v="0"/>
    <n v="138.88999999999999"/>
    <d v="2025-01-30T00:00:00"/>
    <n v="10"/>
    <x v="7"/>
    <x v="0"/>
    <x v="0"/>
    <n v="216"/>
    <n v="0"/>
    <s v=""/>
  </r>
  <r>
    <s v="FB000844"/>
    <x v="2"/>
    <x v="4"/>
    <x v="1"/>
    <m/>
    <x v="6"/>
    <n v="73.510000000000005"/>
    <n v="32.200000000000003"/>
    <n v="49.84"/>
    <d v="2025-08-06T00:00:00"/>
    <n v="17"/>
    <x v="73"/>
    <x v="1"/>
    <x v="6"/>
    <n v="28"/>
    <n v="547.40000000000009"/>
    <n v="1"/>
  </r>
  <r>
    <s v="FB000845"/>
    <x v="4"/>
    <x v="0"/>
    <x v="0"/>
    <s v="M"/>
    <x v="9"/>
    <n v="82.37"/>
    <n v="0"/>
    <n v="82.37"/>
    <d v="2025-06-04T00:00:00"/>
    <n v="49"/>
    <x v="31"/>
    <x v="0"/>
    <x v="0"/>
    <n v="91"/>
    <n v="0"/>
    <s v=""/>
  </r>
  <r>
    <s v="FB000846"/>
    <x v="5"/>
    <x v="5"/>
    <x v="3"/>
    <s v="XS"/>
    <x v="8"/>
    <n v="81.709999999999994"/>
    <n v="18"/>
    <n v="67"/>
    <d v="2025-08-06T00:00:00"/>
    <n v="28"/>
    <x v="52"/>
    <x v="0"/>
    <x v="0"/>
    <n v="28"/>
    <n v="504"/>
    <s v=""/>
  </r>
  <r>
    <s v="FB000847"/>
    <x v="5"/>
    <x v="2"/>
    <x v="1"/>
    <s v="XXL"/>
    <x v="8"/>
    <n v="107.02"/>
    <n v="10.6"/>
    <n v="95.68"/>
    <d v="2025-08-06T00:00:00"/>
    <n v="6"/>
    <x v="82"/>
    <x v="0"/>
    <x v="0"/>
    <n v="28"/>
    <n v="63.599999999999994"/>
    <s v=""/>
  </r>
  <r>
    <s v="FB000848"/>
    <x v="4"/>
    <x v="4"/>
    <x v="3"/>
    <s v="XL"/>
    <x v="1"/>
    <n v="103.23"/>
    <n v="18.7"/>
    <n v="83.93"/>
    <d v="2025-08-06T00:00:00"/>
    <n v="6"/>
    <x v="30"/>
    <x v="0"/>
    <x v="0"/>
    <n v="28"/>
    <n v="112.19999999999999"/>
    <s v=""/>
  </r>
  <r>
    <s v="FB000849"/>
    <x v="1"/>
    <x v="6"/>
    <x v="2"/>
    <s v="L"/>
    <x v="5"/>
    <n v="100.48"/>
    <n v="17.600000000000001"/>
    <n v="82.8"/>
    <d v="2025-08-06T00:00:00"/>
    <n v="19"/>
    <x v="24"/>
    <x v="0"/>
    <x v="0"/>
    <n v="28"/>
    <n v="334.40000000000003"/>
    <s v=""/>
  </r>
  <r>
    <s v="FB000850"/>
    <x v="3"/>
    <x v="5"/>
    <x v="1"/>
    <s v="XL"/>
    <x v="3"/>
    <n v="160.87"/>
    <n v="53.7"/>
    <n v="74.48"/>
    <d v="2025-08-06T00:00:00"/>
    <n v="18"/>
    <x v="44"/>
    <x v="0"/>
    <x v="0"/>
    <n v="28"/>
    <n v="966.6"/>
    <s v=""/>
  </r>
  <r>
    <s v="FB000851"/>
    <x v="2"/>
    <x v="3"/>
    <x v="2"/>
    <m/>
    <x v="3"/>
    <n v="78.39"/>
    <n v="0"/>
    <n v="78.39"/>
    <d v="2025-08-06T00:00:00"/>
    <n v="7"/>
    <x v="36"/>
    <x v="0"/>
    <x v="0"/>
    <n v="28"/>
    <n v="0"/>
    <s v=""/>
  </r>
  <r>
    <s v="FB000852"/>
    <x v="0"/>
    <x v="0"/>
    <x v="0"/>
    <s v="S"/>
    <x v="7"/>
    <n v="168.38"/>
    <n v="23.1"/>
    <n v="129.47999999999999"/>
    <d v="2025-06-04T00:00:00"/>
    <n v="3"/>
    <x v="66"/>
    <x v="0"/>
    <x v="0"/>
    <n v="91"/>
    <n v="69.300000000000011"/>
    <s v=""/>
  </r>
  <r>
    <s v="FB000853"/>
    <x v="3"/>
    <x v="2"/>
    <x v="1"/>
    <s v="S"/>
    <x v="8"/>
    <n v="128.35"/>
    <n v="0"/>
    <n v="128.35"/>
    <d v="2025-08-06T00:00:00"/>
    <n v="20"/>
    <x v="1"/>
    <x v="0"/>
    <x v="0"/>
    <n v="28"/>
    <n v="0"/>
    <s v=""/>
  </r>
  <r>
    <s v="FB000854"/>
    <x v="5"/>
    <x v="1"/>
    <x v="0"/>
    <s v="XL"/>
    <x v="4"/>
    <n v="138.16999999999999"/>
    <n v="3"/>
    <n v="134.02000000000001"/>
    <d v="2025-04-04T00:00:00"/>
    <n v="34"/>
    <x v="16"/>
    <x v="0"/>
    <x v="0"/>
    <n v="152"/>
    <n v="102"/>
    <s v=""/>
  </r>
  <r>
    <s v="FB000855"/>
    <x v="5"/>
    <x v="1"/>
    <x v="2"/>
    <s v="M"/>
    <x v="8"/>
    <n v="52.45"/>
    <n v="0"/>
    <n v="52.45"/>
    <d v="2025-08-06T00:00:00"/>
    <n v="16"/>
    <x v="12"/>
    <x v="0"/>
    <x v="0"/>
    <n v="28"/>
    <n v="0"/>
    <s v=""/>
  </r>
  <r>
    <s v="FB000856"/>
    <x v="3"/>
    <x v="4"/>
    <x v="1"/>
    <s v="XS"/>
    <x v="3"/>
    <n v="171.53"/>
    <n v="0"/>
    <n v="171.53"/>
    <d v="2025-08-06T00:00:00"/>
    <n v="12"/>
    <x v="51"/>
    <x v="0"/>
    <x v="0"/>
    <n v="28"/>
    <n v="0"/>
    <s v=""/>
  </r>
  <r>
    <s v="FB000857"/>
    <x v="1"/>
    <x v="3"/>
    <x v="2"/>
    <s v="XXL"/>
    <x v="10"/>
    <n v="81.23"/>
    <n v="1.2"/>
    <n v="80.260000000000005"/>
    <d v="2025-08-06T00:00:00"/>
    <n v="10"/>
    <x v="26"/>
    <x v="0"/>
    <x v="0"/>
    <n v="28"/>
    <n v="12"/>
    <s v=""/>
  </r>
  <r>
    <s v="FB000858"/>
    <x v="2"/>
    <x v="2"/>
    <x v="0"/>
    <m/>
    <x v="5"/>
    <n v="31.37"/>
    <n v="44.1"/>
    <n v="17.54"/>
    <d v="2024-09-13T00:00:00"/>
    <n v="11"/>
    <x v="10"/>
    <x v="0"/>
    <x v="0"/>
    <n v="355"/>
    <n v="485.1"/>
    <s v=""/>
  </r>
  <r>
    <s v="FB000859"/>
    <x v="4"/>
    <x v="6"/>
    <x v="0"/>
    <s v="S"/>
    <x v="0"/>
    <n v="93.89"/>
    <n v="0"/>
    <n v="93.89"/>
    <d v="2025-02-03T00:00:00"/>
    <n v="3"/>
    <x v="34"/>
    <x v="0"/>
    <x v="0"/>
    <n v="212"/>
    <n v="0"/>
    <s v=""/>
  </r>
  <r>
    <s v="FB000860"/>
    <x v="4"/>
    <x v="1"/>
    <x v="0"/>
    <s v="XL"/>
    <x v="4"/>
    <n v="54.84"/>
    <n v="0"/>
    <n v="54.84"/>
    <d v="2024-09-22T00:00:00"/>
    <n v="12"/>
    <x v="53"/>
    <x v="0"/>
    <x v="0"/>
    <n v="346"/>
    <n v="0"/>
    <s v=""/>
  </r>
  <r>
    <s v="FB000861"/>
    <x v="5"/>
    <x v="0"/>
    <x v="1"/>
    <s v="L"/>
    <x v="0"/>
    <n v="140.34"/>
    <n v="0"/>
    <n v="140.34"/>
    <d v="2025-08-06T00:00:00"/>
    <n v="23"/>
    <x v="32"/>
    <x v="1"/>
    <x v="5"/>
    <n v="28"/>
    <n v="0"/>
    <n v="1"/>
  </r>
  <r>
    <s v="FB000862"/>
    <x v="1"/>
    <x v="2"/>
    <x v="2"/>
    <s v="M"/>
    <x v="0"/>
    <n v="51.88"/>
    <n v="16.8"/>
    <n v="43.16"/>
    <d v="2025-08-06T00:00:00"/>
    <n v="30"/>
    <x v="25"/>
    <x v="0"/>
    <x v="0"/>
    <n v="28"/>
    <n v="504"/>
    <s v=""/>
  </r>
  <r>
    <s v="FB000863"/>
    <x v="5"/>
    <x v="3"/>
    <x v="0"/>
    <s v="S"/>
    <x v="9"/>
    <n v="136.19999999999999"/>
    <n v="44.3"/>
    <n v="75.86"/>
    <d v="2024-11-21T00:00:00"/>
    <n v="49"/>
    <x v="88"/>
    <x v="0"/>
    <x v="0"/>
    <n v="286"/>
    <n v="2170.6999999999998"/>
    <s v=""/>
  </r>
  <r>
    <s v="FB000864"/>
    <x v="2"/>
    <x v="4"/>
    <x v="3"/>
    <m/>
    <x v="10"/>
    <n v="71.19"/>
    <n v="0"/>
    <n v="71.19"/>
    <d v="2025-08-06T00:00:00"/>
    <n v="14"/>
    <x v="32"/>
    <x v="0"/>
    <x v="0"/>
    <n v="28"/>
    <n v="0"/>
    <s v=""/>
  </r>
  <r>
    <s v="FB000865"/>
    <x v="0"/>
    <x v="7"/>
    <x v="0"/>
    <s v="S"/>
    <x v="8"/>
    <n v="241.37"/>
    <n v="44.9"/>
    <n v="132.99"/>
    <d v="2025-05-15T00:00:00"/>
    <n v="23"/>
    <x v="54"/>
    <x v="0"/>
    <x v="0"/>
    <n v="111"/>
    <n v="1032.7"/>
    <s v=""/>
  </r>
  <r>
    <s v="FB000866"/>
    <x v="0"/>
    <x v="6"/>
    <x v="2"/>
    <s v="XXL"/>
    <x v="5"/>
    <n v="198.26"/>
    <n v="51.3"/>
    <n v="96.55"/>
    <d v="2025-08-06T00:00:00"/>
    <n v="38"/>
    <x v="37"/>
    <x v="0"/>
    <x v="0"/>
    <n v="28"/>
    <n v="1949.3999999999999"/>
    <s v=""/>
  </r>
  <r>
    <s v="FB000867"/>
    <x v="4"/>
    <x v="5"/>
    <x v="1"/>
    <s v="XXL"/>
    <x v="7"/>
    <n v="64.069999999999993"/>
    <n v="0"/>
    <n v="64.069999999999993"/>
    <d v="2025-08-06T00:00:00"/>
    <n v="34"/>
    <x v="11"/>
    <x v="0"/>
    <x v="0"/>
    <n v="28"/>
    <n v="0"/>
    <s v=""/>
  </r>
  <r>
    <s v="FB000868"/>
    <x v="4"/>
    <x v="0"/>
    <x v="2"/>
    <s v="XL"/>
    <x v="4"/>
    <n v="110.15"/>
    <n v="10.4"/>
    <n v="98.69"/>
    <d v="2025-08-06T00:00:00"/>
    <n v="36"/>
    <x v="6"/>
    <x v="0"/>
    <x v="0"/>
    <n v="28"/>
    <n v="374.40000000000003"/>
    <s v=""/>
  </r>
  <r>
    <s v="FB000869"/>
    <x v="0"/>
    <x v="7"/>
    <x v="0"/>
    <s v="XS"/>
    <x v="5"/>
    <n v="120.68"/>
    <n v="0"/>
    <n v="120.68"/>
    <d v="2024-12-21T00:00:00"/>
    <n v="6"/>
    <x v="42"/>
    <x v="0"/>
    <x v="0"/>
    <n v="256"/>
    <n v="0"/>
    <s v=""/>
  </r>
  <r>
    <s v="FB000870"/>
    <x v="2"/>
    <x v="0"/>
    <x v="2"/>
    <m/>
    <x v="2"/>
    <n v="69.180000000000007"/>
    <n v="31"/>
    <n v="47.73"/>
    <d v="2025-08-06T00:00:00"/>
    <n v="9"/>
    <x v="67"/>
    <x v="1"/>
    <x v="2"/>
    <n v="28"/>
    <n v="279"/>
    <n v="1"/>
  </r>
  <r>
    <s v="FB000871"/>
    <x v="5"/>
    <x v="5"/>
    <x v="2"/>
    <s v="L"/>
    <x v="0"/>
    <n v="134.77000000000001"/>
    <n v="0"/>
    <n v="134.77000000000001"/>
    <d v="2025-08-06T00:00:00"/>
    <n v="36"/>
    <x v="51"/>
    <x v="0"/>
    <x v="0"/>
    <n v="28"/>
    <n v="0"/>
    <s v=""/>
  </r>
  <r>
    <s v="FB000872"/>
    <x v="1"/>
    <x v="1"/>
    <x v="0"/>
    <s v="S"/>
    <x v="2"/>
    <n v="29.93"/>
    <n v="0"/>
    <n v="29.93"/>
    <d v="2024-10-10T00:00:00"/>
    <n v="13"/>
    <x v="29"/>
    <x v="0"/>
    <x v="0"/>
    <n v="328"/>
    <n v="0"/>
    <s v=""/>
  </r>
  <r>
    <s v="FB000873"/>
    <x v="2"/>
    <x v="6"/>
    <x v="1"/>
    <m/>
    <x v="3"/>
    <n v="56.09"/>
    <n v="0"/>
    <n v="56.09"/>
    <d v="2025-08-06T00:00:00"/>
    <n v="21"/>
    <x v="26"/>
    <x v="0"/>
    <x v="0"/>
    <n v="28"/>
    <n v="0"/>
    <s v=""/>
  </r>
  <r>
    <s v="FB000874"/>
    <x v="3"/>
    <x v="6"/>
    <x v="2"/>
    <s v="XS"/>
    <x v="6"/>
    <n v="124.81"/>
    <n v="33.1"/>
    <n v="83.5"/>
    <d v="2025-08-06T00:00:00"/>
    <n v="45"/>
    <x v="13"/>
    <x v="0"/>
    <x v="0"/>
    <n v="28"/>
    <n v="1489.5"/>
    <s v=""/>
  </r>
  <r>
    <s v="FB000875"/>
    <x v="5"/>
    <x v="0"/>
    <x v="0"/>
    <s v="M"/>
    <x v="3"/>
    <n v="94.03"/>
    <n v="56.1"/>
    <n v="41.28"/>
    <d v="2024-12-16T00:00:00"/>
    <n v="16"/>
    <x v="19"/>
    <x v="0"/>
    <x v="0"/>
    <n v="261"/>
    <n v="897.6"/>
    <s v=""/>
  </r>
  <r>
    <s v="FB000876"/>
    <x v="3"/>
    <x v="0"/>
    <x v="2"/>
    <s v="XS"/>
    <x v="0"/>
    <n v="109.51"/>
    <n v="8.1999999999999993"/>
    <n v="100.53"/>
    <d v="2025-08-06T00:00:00"/>
    <n v="12"/>
    <x v="27"/>
    <x v="0"/>
    <x v="0"/>
    <n v="28"/>
    <n v="98.399999999999991"/>
    <s v=""/>
  </r>
  <r>
    <s v="FB000877"/>
    <x v="2"/>
    <x v="3"/>
    <x v="1"/>
    <m/>
    <x v="8"/>
    <n v="31.13"/>
    <n v="0"/>
    <n v="31.13"/>
    <d v="2025-08-06T00:00:00"/>
    <n v="29"/>
    <x v="52"/>
    <x v="0"/>
    <x v="0"/>
    <n v="28"/>
    <n v="0"/>
    <s v=""/>
  </r>
  <r>
    <s v="FB000878"/>
    <x v="2"/>
    <x v="2"/>
    <x v="2"/>
    <m/>
    <x v="5"/>
    <n v="66.3"/>
    <n v="1.7"/>
    <n v="65.17"/>
    <d v="2025-08-06T00:00:00"/>
    <n v="28"/>
    <x v="6"/>
    <x v="0"/>
    <x v="0"/>
    <n v="28"/>
    <n v="47.6"/>
    <s v=""/>
  </r>
  <r>
    <s v="FB000879"/>
    <x v="4"/>
    <x v="4"/>
    <x v="1"/>
    <s v="M"/>
    <x v="0"/>
    <n v="66.63"/>
    <n v="28.4"/>
    <n v="47.71"/>
    <d v="2025-08-06T00:00:00"/>
    <n v="32"/>
    <x v="66"/>
    <x v="0"/>
    <x v="0"/>
    <n v="28"/>
    <n v="908.8"/>
    <s v=""/>
  </r>
  <r>
    <s v="FB000880"/>
    <x v="4"/>
    <x v="3"/>
    <x v="0"/>
    <s v="L"/>
    <x v="6"/>
    <n v="117.63"/>
    <n v="0"/>
    <n v="117.63"/>
    <d v="2024-09-28T00:00:00"/>
    <n v="18"/>
    <x v="19"/>
    <x v="0"/>
    <x v="0"/>
    <n v="340"/>
    <n v="0"/>
    <s v=""/>
  </r>
  <r>
    <s v="FB000881"/>
    <x v="3"/>
    <x v="2"/>
    <x v="1"/>
    <s v="M"/>
    <x v="9"/>
    <n v="174.53"/>
    <n v="0"/>
    <n v="174.53"/>
    <d v="2025-08-06T00:00:00"/>
    <n v="45"/>
    <x v="74"/>
    <x v="0"/>
    <x v="0"/>
    <n v="28"/>
    <n v="0"/>
    <s v=""/>
  </r>
  <r>
    <s v="FB000882"/>
    <x v="5"/>
    <x v="0"/>
    <x v="1"/>
    <s v="S"/>
    <x v="6"/>
    <n v="152.65"/>
    <n v="0"/>
    <n v="152.65"/>
    <d v="2025-08-06T00:00:00"/>
    <n v="27"/>
    <x v="17"/>
    <x v="0"/>
    <x v="0"/>
    <n v="28"/>
    <n v="0"/>
    <s v=""/>
  </r>
  <r>
    <s v="FB000883"/>
    <x v="0"/>
    <x v="5"/>
    <x v="3"/>
    <s v="XL"/>
    <x v="5"/>
    <n v="83.24"/>
    <n v="0"/>
    <n v="83.24"/>
    <d v="2025-08-06T00:00:00"/>
    <n v="16"/>
    <x v="46"/>
    <x v="0"/>
    <x v="0"/>
    <n v="28"/>
    <n v="0"/>
    <s v=""/>
  </r>
  <r>
    <s v="FB000884"/>
    <x v="2"/>
    <x v="0"/>
    <x v="1"/>
    <m/>
    <x v="10"/>
    <n v="40.18"/>
    <n v="0"/>
    <n v="40.18"/>
    <d v="2025-08-06T00:00:00"/>
    <n v="27"/>
    <x v="52"/>
    <x v="0"/>
    <x v="0"/>
    <n v="28"/>
    <n v="0"/>
    <s v=""/>
  </r>
  <r>
    <s v="FB000885"/>
    <x v="4"/>
    <x v="3"/>
    <x v="0"/>
    <s v="XL"/>
    <x v="0"/>
    <n v="73.77"/>
    <n v="22.8"/>
    <n v="56.95"/>
    <d v="2024-08-18T00:00:00"/>
    <n v="0"/>
    <x v="18"/>
    <x v="0"/>
    <x v="0"/>
    <n v="381"/>
    <n v="0"/>
    <s v=""/>
  </r>
  <r>
    <s v="FB000886"/>
    <x v="2"/>
    <x v="7"/>
    <x v="1"/>
    <m/>
    <x v="0"/>
    <n v="71.3"/>
    <n v="0"/>
    <n v="71.3"/>
    <d v="2025-08-06T00:00:00"/>
    <n v="29"/>
    <x v="85"/>
    <x v="0"/>
    <x v="0"/>
    <n v="28"/>
    <n v="0"/>
    <s v=""/>
  </r>
  <r>
    <s v="FB000887"/>
    <x v="2"/>
    <x v="7"/>
    <x v="3"/>
    <m/>
    <x v="7"/>
    <n v="50.3"/>
    <n v="52.8"/>
    <n v="23.74"/>
    <d v="2025-08-06T00:00:00"/>
    <n v="11"/>
    <x v="85"/>
    <x v="0"/>
    <x v="0"/>
    <n v="28"/>
    <n v="580.79999999999995"/>
    <s v=""/>
  </r>
  <r>
    <s v="FB000888"/>
    <x v="2"/>
    <x v="4"/>
    <x v="0"/>
    <m/>
    <x v="6"/>
    <n v="46.97"/>
    <n v="0"/>
    <n v="46.97"/>
    <d v="2025-02-24T00:00:00"/>
    <n v="33"/>
    <x v="3"/>
    <x v="0"/>
    <x v="0"/>
    <n v="191"/>
    <n v="0"/>
    <s v=""/>
  </r>
  <r>
    <s v="FB000889"/>
    <x v="3"/>
    <x v="0"/>
    <x v="2"/>
    <m/>
    <x v="10"/>
    <n v="162.9"/>
    <n v="0"/>
    <n v="162.9"/>
    <d v="2025-08-06T00:00:00"/>
    <n v="30"/>
    <x v="42"/>
    <x v="0"/>
    <x v="0"/>
    <n v="28"/>
    <n v="0"/>
    <s v=""/>
  </r>
  <r>
    <s v="FB000890"/>
    <x v="4"/>
    <x v="7"/>
    <x v="1"/>
    <s v="XL"/>
    <x v="3"/>
    <n v="57.14"/>
    <n v="0"/>
    <n v="57.14"/>
    <d v="2025-08-06T00:00:00"/>
    <n v="39"/>
    <x v="40"/>
    <x v="0"/>
    <x v="0"/>
    <n v="28"/>
    <n v="0"/>
    <s v=""/>
  </r>
  <r>
    <s v="FB000891"/>
    <x v="3"/>
    <x v="5"/>
    <x v="0"/>
    <s v="L"/>
    <x v="9"/>
    <n v="93.6"/>
    <n v="0"/>
    <n v="93.6"/>
    <d v="2024-09-09T00:00:00"/>
    <n v="49"/>
    <x v="2"/>
    <x v="0"/>
    <x v="0"/>
    <n v="359"/>
    <n v="0"/>
    <s v=""/>
  </r>
  <r>
    <s v="FB000892"/>
    <x v="2"/>
    <x v="7"/>
    <x v="0"/>
    <m/>
    <x v="10"/>
    <n v="64.56"/>
    <n v="43"/>
    <n v="36.799999999999997"/>
    <d v="2024-08-06T00:00:00"/>
    <n v="36"/>
    <x v="38"/>
    <x v="0"/>
    <x v="0"/>
    <n v="393"/>
    <n v="1548"/>
    <s v=""/>
  </r>
  <r>
    <s v="FB000893"/>
    <x v="0"/>
    <x v="5"/>
    <x v="1"/>
    <s v="S"/>
    <x v="8"/>
    <n v="142.34"/>
    <n v="0"/>
    <n v="142.34"/>
    <d v="2025-08-06T00:00:00"/>
    <n v="43"/>
    <x v="46"/>
    <x v="0"/>
    <x v="0"/>
    <n v="28"/>
    <n v="0"/>
    <s v=""/>
  </r>
  <r>
    <s v="FB000894"/>
    <x v="3"/>
    <x v="6"/>
    <x v="0"/>
    <s v="XS"/>
    <x v="3"/>
    <n v="111.02"/>
    <n v="57.8"/>
    <n v="46.85"/>
    <d v="2025-05-19T00:00:00"/>
    <n v="11"/>
    <x v="81"/>
    <x v="0"/>
    <x v="0"/>
    <n v="107"/>
    <n v="635.79999999999995"/>
    <s v=""/>
  </r>
  <r>
    <s v="FB000895"/>
    <x v="1"/>
    <x v="2"/>
    <x v="1"/>
    <m/>
    <x v="2"/>
    <n v="29.16"/>
    <n v="49"/>
    <n v="14.87"/>
    <d v="2025-08-06T00:00:00"/>
    <n v="31"/>
    <x v="4"/>
    <x v="0"/>
    <x v="0"/>
    <n v="28"/>
    <n v="1519"/>
    <s v=""/>
  </r>
  <r>
    <s v="FB000896"/>
    <x v="1"/>
    <x v="5"/>
    <x v="3"/>
    <s v="XS"/>
    <x v="2"/>
    <n v="30.46"/>
    <n v="0"/>
    <n v="30.46"/>
    <d v="2025-08-06T00:00:00"/>
    <n v="19"/>
    <x v="19"/>
    <x v="0"/>
    <x v="0"/>
    <n v="28"/>
    <n v="0"/>
    <s v=""/>
  </r>
  <r>
    <s v="FB000897"/>
    <x v="2"/>
    <x v="7"/>
    <x v="1"/>
    <m/>
    <x v="5"/>
    <n v="31.32"/>
    <n v="0"/>
    <n v="31.32"/>
    <d v="2025-08-06T00:00:00"/>
    <n v="28"/>
    <x v="67"/>
    <x v="0"/>
    <x v="0"/>
    <n v="28"/>
    <n v="0"/>
    <s v=""/>
  </r>
  <r>
    <s v="FB000898"/>
    <x v="4"/>
    <x v="1"/>
    <x v="0"/>
    <s v="M"/>
    <x v="1"/>
    <n v="61.78"/>
    <n v="0"/>
    <n v="61.78"/>
    <d v="2025-07-30T00:00:00"/>
    <n v="24"/>
    <x v="15"/>
    <x v="0"/>
    <x v="0"/>
    <n v="35"/>
    <n v="0"/>
    <s v=""/>
  </r>
  <r>
    <s v="FB000899"/>
    <x v="0"/>
    <x v="0"/>
    <x v="3"/>
    <s v="M"/>
    <x v="6"/>
    <n v="126.27"/>
    <n v="0"/>
    <n v="126.27"/>
    <d v="2025-08-06T00:00:00"/>
    <n v="1"/>
    <x v="52"/>
    <x v="0"/>
    <x v="0"/>
    <n v="28"/>
    <n v="0"/>
    <s v=""/>
  </r>
  <r>
    <s v="FB000900"/>
    <x v="0"/>
    <x v="1"/>
    <x v="1"/>
    <s v="L"/>
    <x v="3"/>
    <n v="147.53"/>
    <n v="0"/>
    <n v="147.53"/>
    <d v="2025-08-06T00:00:00"/>
    <n v="33"/>
    <x v="52"/>
    <x v="1"/>
    <x v="4"/>
    <n v="28"/>
    <n v="0"/>
    <n v="1"/>
  </r>
  <r>
    <s v="FB000901"/>
    <x v="2"/>
    <x v="2"/>
    <x v="3"/>
    <m/>
    <x v="0"/>
    <n v="36.979999999999997"/>
    <n v="12.2"/>
    <n v="32.47"/>
    <d v="2025-08-06T00:00:00"/>
    <n v="14"/>
    <x v="51"/>
    <x v="0"/>
    <x v="0"/>
    <n v="28"/>
    <n v="170.79999999999998"/>
    <s v=""/>
  </r>
  <r>
    <s v="FB000902"/>
    <x v="3"/>
    <x v="4"/>
    <x v="2"/>
    <s v="M"/>
    <x v="1"/>
    <n v="172.41"/>
    <n v="0"/>
    <n v="172.41"/>
    <d v="2025-08-06T00:00:00"/>
    <n v="33"/>
    <x v="39"/>
    <x v="0"/>
    <x v="0"/>
    <n v="28"/>
    <n v="0"/>
    <s v=""/>
  </r>
  <r>
    <s v="FB000903"/>
    <x v="2"/>
    <x v="4"/>
    <x v="0"/>
    <m/>
    <x v="1"/>
    <n v="53.79"/>
    <n v="16"/>
    <n v="45.18"/>
    <d v="2024-10-01T00:00:00"/>
    <n v="32"/>
    <x v="73"/>
    <x v="0"/>
    <x v="0"/>
    <n v="337"/>
    <n v="512"/>
    <s v=""/>
  </r>
  <r>
    <s v="FB000904"/>
    <x v="3"/>
    <x v="3"/>
    <x v="3"/>
    <s v="XS"/>
    <x v="7"/>
    <n v="80.56"/>
    <n v="0"/>
    <n v="80.56"/>
    <d v="2025-08-06T00:00:00"/>
    <n v="7"/>
    <x v="42"/>
    <x v="0"/>
    <x v="0"/>
    <n v="28"/>
    <n v="0"/>
    <s v=""/>
  </r>
  <r>
    <s v="FB000905"/>
    <x v="2"/>
    <x v="3"/>
    <x v="2"/>
    <m/>
    <x v="1"/>
    <n v="51.72"/>
    <n v="0"/>
    <n v="51.72"/>
    <d v="2025-08-06T00:00:00"/>
    <n v="35"/>
    <x v="17"/>
    <x v="1"/>
    <x v="3"/>
    <n v="28"/>
    <n v="0"/>
    <n v="1"/>
  </r>
  <r>
    <s v="FB000906"/>
    <x v="4"/>
    <x v="3"/>
    <x v="0"/>
    <s v="XL"/>
    <x v="1"/>
    <n v="107.22"/>
    <n v="37.799999999999997"/>
    <n v="66.69"/>
    <d v="2025-07-11T00:00:00"/>
    <n v="21"/>
    <x v="5"/>
    <x v="0"/>
    <x v="0"/>
    <n v="54"/>
    <n v="793.8"/>
    <s v=""/>
  </r>
  <r>
    <s v="FB000907"/>
    <x v="3"/>
    <x v="4"/>
    <x v="2"/>
    <s v="XXL"/>
    <x v="6"/>
    <n v="174.99"/>
    <n v="50.1"/>
    <n v="87.32"/>
    <d v="2025-08-06T00:00:00"/>
    <n v="7"/>
    <x v="26"/>
    <x v="0"/>
    <x v="0"/>
    <n v="28"/>
    <n v="350.7"/>
    <s v=""/>
  </r>
  <r>
    <s v="FB000908"/>
    <x v="5"/>
    <x v="7"/>
    <x v="0"/>
    <s v="S"/>
    <x v="5"/>
    <n v="90.52"/>
    <n v="53.2"/>
    <n v="42.36"/>
    <d v="2025-07-28T00:00:00"/>
    <n v="37"/>
    <x v="81"/>
    <x v="0"/>
    <x v="0"/>
    <n v="37"/>
    <n v="1968.4"/>
    <s v=""/>
  </r>
  <r>
    <s v="FB000909"/>
    <x v="3"/>
    <x v="7"/>
    <x v="3"/>
    <s v="XXL"/>
    <x v="6"/>
    <n v="94.93"/>
    <n v="16.600000000000001"/>
    <n v="79.17"/>
    <d v="2025-08-06T00:00:00"/>
    <n v="39"/>
    <x v="51"/>
    <x v="0"/>
    <x v="0"/>
    <n v="28"/>
    <n v="647.40000000000009"/>
    <s v=""/>
  </r>
  <r>
    <s v="FB000910"/>
    <x v="3"/>
    <x v="2"/>
    <x v="1"/>
    <s v="XS"/>
    <x v="4"/>
    <n v="179.82"/>
    <n v="0"/>
    <n v="179.82"/>
    <d v="2025-08-06T00:00:00"/>
    <n v="28"/>
    <x v="13"/>
    <x v="1"/>
    <x v="3"/>
    <n v="28"/>
    <n v="0"/>
    <n v="1"/>
  </r>
  <r>
    <s v="FB000911"/>
    <x v="1"/>
    <x v="1"/>
    <x v="0"/>
    <m/>
    <x v="10"/>
    <n v="101.96"/>
    <n v="23.7"/>
    <n v="77.8"/>
    <d v="2025-05-21T00:00:00"/>
    <n v="29"/>
    <x v="20"/>
    <x v="0"/>
    <x v="0"/>
    <n v="105"/>
    <n v="687.3"/>
    <s v=""/>
  </r>
  <r>
    <s v="FB000912"/>
    <x v="4"/>
    <x v="2"/>
    <x v="0"/>
    <s v="S"/>
    <x v="6"/>
    <n v="27.11"/>
    <n v="16.2"/>
    <n v="22.72"/>
    <d v="2024-12-08T00:00:00"/>
    <n v="10"/>
    <x v="13"/>
    <x v="1"/>
    <x v="5"/>
    <n v="269"/>
    <n v="162"/>
    <n v="1"/>
  </r>
  <r>
    <s v="FB000913"/>
    <x v="0"/>
    <x v="6"/>
    <x v="3"/>
    <s v="S"/>
    <x v="2"/>
    <n v="141.83000000000001"/>
    <n v="0"/>
    <n v="141.83000000000001"/>
    <d v="2025-08-06T00:00:00"/>
    <n v="2"/>
    <x v="13"/>
    <x v="1"/>
    <x v="1"/>
    <n v="28"/>
    <n v="0"/>
    <n v="1"/>
  </r>
  <r>
    <s v="FB000914"/>
    <x v="3"/>
    <x v="6"/>
    <x v="0"/>
    <m/>
    <x v="7"/>
    <n v="156.34"/>
    <n v="37"/>
    <n v="98.49"/>
    <d v="2025-04-13T00:00:00"/>
    <n v="45"/>
    <x v="5"/>
    <x v="1"/>
    <x v="2"/>
    <n v="143"/>
    <n v="1665"/>
    <n v="1"/>
  </r>
  <r>
    <s v="FB000915"/>
    <x v="1"/>
    <x v="7"/>
    <x v="3"/>
    <s v="XS"/>
    <x v="10"/>
    <n v="81.84"/>
    <n v="0"/>
    <n v="81.84"/>
    <d v="2025-08-06T00:00:00"/>
    <n v="41"/>
    <x v="13"/>
    <x v="0"/>
    <x v="0"/>
    <n v="28"/>
    <n v="0"/>
    <s v=""/>
  </r>
  <r>
    <s v="FB000916"/>
    <x v="4"/>
    <x v="4"/>
    <x v="2"/>
    <s v="L"/>
    <x v="2"/>
    <n v="36.44"/>
    <n v="19.899999999999999"/>
    <n v="29.19"/>
    <d v="2025-08-06T00:00:00"/>
    <n v="39"/>
    <x v="34"/>
    <x v="0"/>
    <x v="0"/>
    <n v="28"/>
    <n v="776.09999999999991"/>
    <s v=""/>
  </r>
  <r>
    <s v="FB000917"/>
    <x v="0"/>
    <x v="5"/>
    <x v="2"/>
    <s v="S"/>
    <x v="1"/>
    <n v="155.30000000000001"/>
    <n v="0"/>
    <n v="155.30000000000001"/>
    <d v="2025-08-06T00:00:00"/>
    <n v="9"/>
    <x v="0"/>
    <x v="0"/>
    <x v="0"/>
    <n v="28"/>
    <n v="0"/>
    <s v=""/>
  </r>
  <r>
    <s v="FB000918"/>
    <x v="4"/>
    <x v="1"/>
    <x v="2"/>
    <s v="XL"/>
    <x v="0"/>
    <n v="84.04"/>
    <n v="28.5"/>
    <n v="60.09"/>
    <d v="2025-08-06T00:00:00"/>
    <n v="3"/>
    <x v="50"/>
    <x v="0"/>
    <x v="0"/>
    <n v="28"/>
    <n v="85.5"/>
    <s v=""/>
  </r>
  <r>
    <s v="FB000919"/>
    <x v="3"/>
    <x v="6"/>
    <x v="2"/>
    <s v="XS"/>
    <x v="10"/>
    <n v="98.76"/>
    <n v="56.4"/>
    <n v="43.06"/>
    <d v="2025-08-06T00:00:00"/>
    <n v="22"/>
    <x v="35"/>
    <x v="0"/>
    <x v="0"/>
    <n v="28"/>
    <n v="1240.8"/>
    <s v=""/>
  </r>
  <r>
    <s v="FB000920"/>
    <x v="2"/>
    <x v="5"/>
    <x v="3"/>
    <m/>
    <x v="3"/>
    <n v="52.99"/>
    <n v="59.1"/>
    <n v="21.67"/>
    <d v="2025-08-06T00:00:00"/>
    <n v="50"/>
    <x v="10"/>
    <x v="1"/>
    <x v="2"/>
    <n v="28"/>
    <n v="2955"/>
    <n v="1"/>
  </r>
  <r>
    <s v="FB000921"/>
    <x v="4"/>
    <x v="1"/>
    <x v="0"/>
    <s v="L"/>
    <x v="0"/>
    <n v="39.840000000000003"/>
    <n v="0"/>
    <n v="39.840000000000003"/>
    <d v="2025-04-18T00:00:00"/>
    <n v="24"/>
    <x v="13"/>
    <x v="0"/>
    <x v="0"/>
    <n v="138"/>
    <n v="0"/>
    <s v=""/>
  </r>
  <r>
    <s v="FB000922"/>
    <x v="2"/>
    <x v="5"/>
    <x v="0"/>
    <m/>
    <x v="6"/>
    <n v="40.01"/>
    <n v="0"/>
    <n v="40.01"/>
    <d v="2025-06-05T00:00:00"/>
    <n v="22"/>
    <x v="35"/>
    <x v="0"/>
    <x v="0"/>
    <n v="90"/>
    <n v="0"/>
    <s v=""/>
  </r>
  <r>
    <s v="FB000923"/>
    <x v="0"/>
    <x v="5"/>
    <x v="3"/>
    <s v="L"/>
    <x v="8"/>
    <n v="245.75"/>
    <n v="0"/>
    <n v="245.75"/>
    <d v="2025-08-06T00:00:00"/>
    <n v="12"/>
    <x v="46"/>
    <x v="1"/>
    <x v="5"/>
    <n v="28"/>
    <n v="0"/>
    <n v="1"/>
  </r>
  <r>
    <s v="FB000924"/>
    <x v="4"/>
    <x v="0"/>
    <x v="1"/>
    <s v="XL"/>
    <x v="4"/>
    <n v="102.25"/>
    <n v="0"/>
    <n v="102.25"/>
    <d v="2025-08-06T00:00:00"/>
    <n v="6"/>
    <x v="22"/>
    <x v="0"/>
    <x v="0"/>
    <n v="28"/>
    <n v="0"/>
    <s v=""/>
  </r>
  <r>
    <s v="FB000925"/>
    <x v="1"/>
    <x v="5"/>
    <x v="3"/>
    <s v="M"/>
    <x v="4"/>
    <n v="76.33"/>
    <n v="0"/>
    <n v="76.33"/>
    <d v="2025-08-06T00:00:00"/>
    <n v="15"/>
    <x v="66"/>
    <x v="1"/>
    <x v="6"/>
    <n v="28"/>
    <n v="0"/>
    <n v="1"/>
  </r>
  <r>
    <s v="FB000926"/>
    <x v="2"/>
    <x v="0"/>
    <x v="0"/>
    <m/>
    <x v="4"/>
    <n v="51.79"/>
    <n v="39"/>
    <n v="31.59"/>
    <d v="2025-03-17T00:00:00"/>
    <n v="37"/>
    <x v="1"/>
    <x v="0"/>
    <x v="0"/>
    <n v="170"/>
    <n v="1443"/>
    <s v=""/>
  </r>
  <r>
    <s v="FB000927"/>
    <x v="0"/>
    <x v="0"/>
    <x v="0"/>
    <s v="XXL"/>
    <x v="1"/>
    <n v="141.24"/>
    <n v="12.9"/>
    <n v="123.02"/>
    <d v="2024-10-02T00:00:00"/>
    <n v="23"/>
    <x v="12"/>
    <x v="0"/>
    <x v="0"/>
    <n v="336"/>
    <n v="296.7"/>
    <s v=""/>
  </r>
  <r>
    <s v="FB000928"/>
    <x v="2"/>
    <x v="1"/>
    <x v="0"/>
    <m/>
    <x v="2"/>
    <n v="66.180000000000007"/>
    <n v="0"/>
    <n v="66.180000000000007"/>
    <d v="2025-05-23T00:00:00"/>
    <n v="20"/>
    <x v="12"/>
    <x v="0"/>
    <x v="0"/>
    <n v="103"/>
    <n v="0"/>
    <s v=""/>
  </r>
  <r>
    <s v="FB000929"/>
    <x v="1"/>
    <x v="2"/>
    <x v="3"/>
    <s v="M"/>
    <x v="8"/>
    <n v="35.15"/>
    <n v="0"/>
    <n v="35.15"/>
    <d v="2025-08-06T00:00:00"/>
    <n v="38"/>
    <x v="81"/>
    <x v="0"/>
    <x v="0"/>
    <n v="28"/>
    <n v="0"/>
    <s v=""/>
  </r>
  <r>
    <s v="FB000930"/>
    <x v="2"/>
    <x v="4"/>
    <x v="0"/>
    <m/>
    <x v="1"/>
    <n v="35.619999999999997"/>
    <n v="41.2"/>
    <n v="20.94"/>
    <d v="2025-03-20T00:00:00"/>
    <n v="4"/>
    <x v="17"/>
    <x v="0"/>
    <x v="0"/>
    <n v="167"/>
    <n v="164.8"/>
    <s v=""/>
  </r>
  <r>
    <s v="FB000931"/>
    <x v="2"/>
    <x v="7"/>
    <x v="3"/>
    <m/>
    <x v="6"/>
    <n v="35.64"/>
    <n v="0"/>
    <n v="35.64"/>
    <d v="2025-08-06T00:00:00"/>
    <n v="48"/>
    <x v="64"/>
    <x v="1"/>
    <x v="1"/>
    <n v="28"/>
    <n v="0"/>
    <n v="1"/>
  </r>
  <r>
    <s v="FB000932"/>
    <x v="4"/>
    <x v="5"/>
    <x v="3"/>
    <s v="L"/>
    <x v="0"/>
    <n v="86.68"/>
    <n v="0"/>
    <n v="86.68"/>
    <d v="2025-08-06T00:00:00"/>
    <n v="2"/>
    <x v="11"/>
    <x v="0"/>
    <x v="0"/>
    <n v="28"/>
    <n v="0"/>
    <s v=""/>
  </r>
  <r>
    <s v="FB000933"/>
    <x v="2"/>
    <x v="4"/>
    <x v="2"/>
    <m/>
    <x v="1"/>
    <n v="17.72"/>
    <n v="0"/>
    <n v="17.72"/>
    <d v="2025-08-06T00:00:00"/>
    <n v="9"/>
    <x v="19"/>
    <x v="0"/>
    <x v="0"/>
    <n v="28"/>
    <n v="0"/>
    <s v=""/>
  </r>
  <r>
    <s v="FB000934"/>
    <x v="0"/>
    <x v="1"/>
    <x v="2"/>
    <s v="XXL"/>
    <x v="1"/>
    <n v="87.95"/>
    <n v="13.3"/>
    <n v="76.25"/>
    <d v="2025-08-06T00:00:00"/>
    <n v="4"/>
    <x v="35"/>
    <x v="0"/>
    <x v="0"/>
    <n v="28"/>
    <n v="53.2"/>
    <s v=""/>
  </r>
  <r>
    <s v="FB000935"/>
    <x v="0"/>
    <x v="3"/>
    <x v="0"/>
    <s v="XS"/>
    <x v="4"/>
    <n v="216.26"/>
    <n v="0"/>
    <n v="216.26"/>
    <d v="2025-04-16T00:00:00"/>
    <n v="26"/>
    <x v="21"/>
    <x v="0"/>
    <x v="0"/>
    <n v="140"/>
    <n v="0"/>
    <s v=""/>
  </r>
  <r>
    <s v="FB000936"/>
    <x v="0"/>
    <x v="3"/>
    <x v="3"/>
    <s v="S"/>
    <x v="2"/>
    <n v="238.11"/>
    <n v="0"/>
    <n v="238.11"/>
    <d v="2025-08-06T00:00:00"/>
    <n v="49"/>
    <x v="45"/>
    <x v="0"/>
    <x v="0"/>
    <n v="28"/>
    <n v="0"/>
    <s v=""/>
  </r>
  <r>
    <s v="FB000937"/>
    <x v="3"/>
    <x v="1"/>
    <x v="1"/>
    <s v="XXL"/>
    <x v="1"/>
    <n v="112.77"/>
    <n v="0"/>
    <n v="112.77"/>
    <d v="2025-08-06T00:00:00"/>
    <n v="11"/>
    <x v="16"/>
    <x v="0"/>
    <x v="0"/>
    <n v="28"/>
    <n v="0"/>
    <s v=""/>
  </r>
  <r>
    <s v="FB000938"/>
    <x v="2"/>
    <x v="6"/>
    <x v="1"/>
    <m/>
    <x v="8"/>
    <n v="39.020000000000003"/>
    <n v="44.8"/>
    <n v="21.54"/>
    <d v="2025-08-06T00:00:00"/>
    <n v="29"/>
    <x v="10"/>
    <x v="0"/>
    <x v="0"/>
    <n v="28"/>
    <n v="1299.1999999999998"/>
    <s v=""/>
  </r>
  <r>
    <s v="FB000939"/>
    <x v="1"/>
    <x v="5"/>
    <x v="0"/>
    <s v="XXL"/>
    <x v="9"/>
    <n v="69.77"/>
    <n v="0"/>
    <n v="69.77"/>
    <d v="2024-11-09T00:00:00"/>
    <n v="29"/>
    <x v="64"/>
    <x v="0"/>
    <x v="0"/>
    <n v="298"/>
    <n v="0"/>
    <s v=""/>
  </r>
  <r>
    <s v="FB000940"/>
    <x v="5"/>
    <x v="4"/>
    <x v="0"/>
    <s v="M"/>
    <x v="9"/>
    <n v="124.92"/>
    <n v="48.4"/>
    <n v="64.459999999999994"/>
    <d v="2025-05-03T00:00:00"/>
    <n v="22"/>
    <x v="53"/>
    <x v="0"/>
    <x v="0"/>
    <n v="123"/>
    <n v="1064.8"/>
    <s v=""/>
  </r>
  <r>
    <s v="FB000941"/>
    <x v="5"/>
    <x v="2"/>
    <x v="3"/>
    <m/>
    <x v="9"/>
    <n v="83.92"/>
    <n v="29.4"/>
    <n v="59.25"/>
    <d v="2025-08-06T00:00:00"/>
    <n v="20"/>
    <x v="54"/>
    <x v="1"/>
    <x v="4"/>
    <n v="28"/>
    <n v="588"/>
    <n v="1"/>
  </r>
  <r>
    <s v="FB000942"/>
    <x v="0"/>
    <x v="7"/>
    <x v="2"/>
    <s v="XS"/>
    <x v="7"/>
    <n v="180.91"/>
    <n v="0"/>
    <n v="180.91"/>
    <d v="2025-08-06T00:00:00"/>
    <n v="10"/>
    <x v="22"/>
    <x v="0"/>
    <x v="0"/>
    <n v="28"/>
    <n v="0"/>
    <s v=""/>
  </r>
  <r>
    <s v="FB000943"/>
    <x v="3"/>
    <x v="7"/>
    <x v="0"/>
    <s v="XXL"/>
    <x v="10"/>
    <n v="120.11"/>
    <n v="0"/>
    <n v="120.11"/>
    <d v="2024-12-24T00:00:00"/>
    <n v="27"/>
    <x v="16"/>
    <x v="0"/>
    <x v="0"/>
    <n v="253"/>
    <n v="0"/>
    <s v=""/>
  </r>
  <r>
    <s v="FB000944"/>
    <x v="0"/>
    <x v="7"/>
    <x v="3"/>
    <s v="XL"/>
    <x v="0"/>
    <n v="225.01"/>
    <n v="0"/>
    <n v="225.01"/>
    <d v="2025-08-06T00:00:00"/>
    <n v="50"/>
    <x v="42"/>
    <x v="1"/>
    <x v="2"/>
    <n v="28"/>
    <n v="0"/>
    <n v="1"/>
  </r>
  <r>
    <s v="FB000945"/>
    <x v="5"/>
    <x v="3"/>
    <x v="3"/>
    <s v="L"/>
    <x v="6"/>
    <n v="115.57"/>
    <n v="0"/>
    <n v="115.57"/>
    <d v="2025-08-06T00:00:00"/>
    <n v="32"/>
    <x v="0"/>
    <x v="0"/>
    <x v="0"/>
    <n v="28"/>
    <n v="0"/>
    <s v=""/>
  </r>
  <r>
    <s v="FB000946"/>
    <x v="2"/>
    <x v="6"/>
    <x v="2"/>
    <m/>
    <x v="5"/>
    <n v="21.2"/>
    <n v="19"/>
    <n v="17.170000000000002"/>
    <d v="2025-08-06T00:00:00"/>
    <n v="22"/>
    <x v="49"/>
    <x v="0"/>
    <x v="0"/>
    <n v="28"/>
    <n v="418"/>
    <s v=""/>
  </r>
  <r>
    <s v="FB000947"/>
    <x v="4"/>
    <x v="0"/>
    <x v="0"/>
    <s v="XXL"/>
    <x v="2"/>
    <n v="52.36"/>
    <n v="0"/>
    <n v="52.36"/>
    <d v="2025-04-22T00:00:00"/>
    <n v="35"/>
    <x v="65"/>
    <x v="0"/>
    <x v="0"/>
    <n v="134"/>
    <n v="0"/>
    <s v=""/>
  </r>
  <r>
    <s v="FB000948"/>
    <x v="2"/>
    <x v="5"/>
    <x v="2"/>
    <m/>
    <x v="4"/>
    <n v="73.430000000000007"/>
    <n v="0"/>
    <n v="73.430000000000007"/>
    <d v="2025-08-06T00:00:00"/>
    <n v="22"/>
    <x v="39"/>
    <x v="0"/>
    <x v="0"/>
    <n v="28"/>
    <n v="0"/>
    <s v=""/>
  </r>
  <r>
    <s v="FB000949"/>
    <x v="2"/>
    <x v="5"/>
    <x v="0"/>
    <m/>
    <x v="9"/>
    <n v="70.75"/>
    <n v="0"/>
    <n v="70.75"/>
    <d v="2025-05-12T00:00:00"/>
    <n v="0"/>
    <x v="40"/>
    <x v="0"/>
    <x v="0"/>
    <n v="114"/>
    <n v="0"/>
    <s v=""/>
  </r>
  <r>
    <s v="FB000950"/>
    <x v="2"/>
    <x v="6"/>
    <x v="2"/>
    <m/>
    <x v="3"/>
    <n v="58.9"/>
    <n v="0"/>
    <n v="58.9"/>
    <d v="2025-08-06T00:00:00"/>
    <n v="39"/>
    <x v="30"/>
    <x v="0"/>
    <x v="0"/>
    <n v="28"/>
    <n v="0"/>
    <s v=""/>
  </r>
  <r>
    <s v="FB000951"/>
    <x v="0"/>
    <x v="7"/>
    <x v="1"/>
    <s v="L"/>
    <x v="9"/>
    <n v="104.78"/>
    <n v="16.899999999999999"/>
    <n v="87.07"/>
    <d v="2025-08-06T00:00:00"/>
    <n v="43"/>
    <x v="2"/>
    <x v="0"/>
    <x v="0"/>
    <n v="28"/>
    <n v="726.69999999999993"/>
    <s v=""/>
  </r>
  <r>
    <s v="FB000952"/>
    <x v="2"/>
    <x v="7"/>
    <x v="2"/>
    <m/>
    <x v="5"/>
    <n v="55.3"/>
    <n v="0"/>
    <n v="55.3"/>
    <d v="2025-08-06T00:00:00"/>
    <n v="17"/>
    <x v="1"/>
    <x v="0"/>
    <x v="0"/>
    <n v="28"/>
    <n v="0"/>
    <s v=""/>
  </r>
  <r>
    <s v="FB000953"/>
    <x v="4"/>
    <x v="6"/>
    <x v="3"/>
    <s v="XS"/>
    <x v="2"/>
    <n v="56.65"/>
    <n v="34"/>
    <n v="37.39"/>
    <d v="2025-08-06T00:00:00"/>
    <n v="23"/>
    <x v="2"/>
    <x v="0"/>
    <x v="0"/>
    <n v="28"/>
    <n v="782"/>
    <s v=""/>
  </r>
  <r>
    <s v="FB000954"/>
    <x v="3"/>
    <x v="1"/>
    <x v="2"/>
    <s v="XS"/>
    <x v="1"/>
    <n v="199.14"/>
    <n v="0"/>
    <n v="199.14"/>
    <d v="2025-08-06T00:00:00"/>
    <n v="18"/>
    <x v="57"/>
    <x v="0"/>
    <x v="0"/>
    <n v="28"/>
    <n v="0"/>
    <s v=""/>
  </r>
  <r>
    <s v="FB000955"/>
    <x v="3"/>
    <x v="0"/>
    <x v="2"/>
    <s v="M"/>
    <x v="1"/>
    <n v="128.68"/>
    <n v="0"/>
    <n v="128.68"/>
    <d v="2025-08-06T00:00:00"/>
    <n v="8"/>
    <x v="81"/>
    <x v="0"/>
    <x v="0"/>
    <n v="28"/>
    <n v="0"/>
    <s v=""/>
  </r>
  <r>
    <s v="FB000956"/>
    <x v="0"/>
    <x v="1"/>
    <x v="2"/>
    <s v="XL"/>
    <x v="7"/>
    <n v="150.37"/>
    <n v="51.9"/>
    <n v="72.33"/>
    <d v="2025-08-06T00:00:00"/>
    <n v="15"/>
    <x v="64"/>
    <x v="0"/>
    <x v="0"/>
    <n v="28"/>
    <n v="778.5"/>
    <s v=""/>
  </r>
  <r>
    <s v="FB000957"/>
    <x v="5"/>
    <x v="7"/>
    <x v="1"/>
    <s v="M"/>
    <x v="1"/>
    <n v="162.65"/>
    <n v="0"/>
    <n v="162.65"/>
    <d v="2025-08-06T00:00:00"/>
    <n v="36"/>
    <x v="40"/>
    <x v="0"/>
    <x v="0"/>
    <n v="28"/>
    <n v="0"/>
    <s v=""/>
  </r>
  <r>
    <s v="FB000958"/>
    <x v="4"/>
    <x v="3"/>
    <x v="3"/>
    <s v="XXL"/>
    <x v="3"/>
    <n v="28.9"/>
    <n v="0"/>
    <n v="28.9"/>
    <d v="2025-08-06T00:00:00"/>
    <n v="5"/>
    <x v="14"/>
    <x v="0"/>
    <x v="0"/>
    <n v="28"/>
    <n v="0"/>
    <s v=""/>
  </r>
  <r>
    <s v="FB000959"/>
    <x v="2"/>
    <x v="7"/>
    <x v="0"/>
    <m/>
    <x v="1"/>
    <n v="75.59"/>
    <n v="38.799999999999997"/>
    <n v="46.26"/>
    <d v="2025-03-29T00:00:00"/>
    <n v="43"/>
    <x v="21"/>
    <x v="0"/>
    <x v="0"/>
    <n v="158"/>
    <n v="1668.3999999999999"/>
    <s v=""/>
  </r>
  <r>
    <s v="FB000960"/>
    <x v="1"/>
    <x v="0"/>
    <x v="0"/>
    <s v="S"/>
    <x v="10"/>
    <n v="30.9"/>
    <n v="5.5"/>
    <n v="29.2"/>
    <d v="2024-11-06T00:00:00"/>
    <n v="25"/>
    <x v="40"/>
    <x v="0"/>
    <x v="0"/>
    <n v="301"/>
    <n v="137.5"/>
    <s v=""/>
  </r>
  <r>
    <s v="FB000961"/>
    <x v="0"/>
    <x v="3"/>
    <x v="3"/>
    <s v="S"/>
    <x v="5"/>
    <n v="101.04"/>
    <n v="0"/>
    <n v="101.04"/>
    <d v="2025-08-06T00:00:00"/>
    <n v="35"/>
    <x v="15"/>
    <x v="0"/>
    <x v="0"/>
    <n v="28"/>
    <n v="0"/>
    <s v=""/>
  </r>
  <r>
    <s v="FB000962"/>
    <x v="5"/>
    <x v="7"/>
    <x v="2"/>
    <s v="S"/>
    <x v="3"/>
    <n v="54.81"/>
    <n v="0"/>
    <n v="54.81"/>
    <d v="2025-08-06T00:00:00"/>
    <n v="41"/>
    <x v="19"/>
    <x v="1"/>
    <x v="6"/>
    <n v="28"/>
    <n v="0"/>
    <n v="1"/>
  </r>
  <r>
    <s v="FB000963"/>
    <x v="3"/>
    <x v="4"/>
    <x v="3"/>
    <s v="M"/>
    <x v="8"/>
    <n v="191.61"/>
    <n v="42.1"/>
    <n v="110.94"/>
    <d v="2025-08-06T00:00:00"/>
    <n v="28"/>
    <x v="30"/>
    <x v="0"/>
    <x v="0"/>
    <n v="28"/>
    <n v="1178.8"/>
    <s v=""/>
  </r>
  <r>
    <s v="FB000964"/>
    <x v="1"/>
    <x v="3"/>
    <x v="3"/>
    <s v="XXL"/>
    <x v="1"/>
    <n v="100.5"/>
    <n v="0"/>
    <n v="100.5"/>
    <d v="2025-08-06T00:00:00"/>
    <n v="12"/>
    <x v="67"/>
    <x v="1"/>
    <x v="3"/>
    <n v="28"/>
    <n v="0"/>
    <n v="1"/>
  </r>
  <r>
    <s v="FB000965"/>
    <x v="3"/>
    <x v="3"/>
    <x v="0"/>
    <s v="XXL"/>
    <x v="6"/>
    <n v="92.35"/>
    <n v="23.6"/>
    <n v="70.56"/>
    <d v="2024-11-28T00:00:00"/>
    <n v="32"/>
    <x v="81"/>
    <x v="0"/>
    <x v="0"/>
    <n v="279"/>
    <n v="755.2"/>
    <s v=""/>
  </r>
  <r>
    <s v="FB000966"/>
    <x v="3"/>
    <x v="5"/>
    <x v="3"/>
    <s v="M"/>
    <x v="4"/>
    <n v="161.24"/>
    <n v="56.6"/>
    <n v="69.98"/>
    <d v="2025-08-06T00:00:00"/>
    <n v="8"/>
    <x v="54"/>
    <x v="0"/>
    <x v="0"/>
    <n v="28"/>
    <n v="452.8"/>
    <s v=""/>
  </r>
  <r>
    <s v="FB000967"/>
    <x v="5"/>
    <x v="3"/>
    <x v="1"/>
    <s v="XS"/>
    <x v="4"/>
    <n v="68.03"/>
    <n v="6.3"/>
    <n v="63.74"/>
    <d v="2025-08-06T00:00:00"/>
    <n v="43"/>
    <x v="10"/>
    <x v="0"/>
    <x v="0"/>
    <n v="28"/>
    <n v="270.89999999999998"/>
    <s v=""/>
  </r>
  <r>
    <s v="FB000968"/>
    <x v="3"/>
    <x v="5"/>
    <x v="2"/>
    <s v="XS"/>
    <x v="9"/>
    <n v="121.21"/>
    <n v="47.4"/>
    <n v="63.76"/>
    <d v="2025-08-06T00:00:00"/>
    <n v="45"/>
    <x v="0"/>
    <x v="1"/>
    <x v="5"/>
    <n v="28"/>
    <n v="2133"/>
    <n v="1"/>
  </r>
  <r>
    <s v="FB000969"/>
    <x v="1"/>
    <x v="0"/>
    <x v="1"/>
    <s v="L"/>
    <x v="5"/>
    <n v="69.599999999999994"/>
    <n v="28.8"/>
    <n v="49.56"/>
    <d v="2025-08-06T00:00:00"/>
    <n v="42"/>
    <x v="17"/>
    <x v="0"/>
    <x v="0"/>
    <n v="28"/>
    <n v="1209.6000000000001"/>
    <s v=""/>
  </r>
  <r>
    <s v="FB000970"/>
    <x v="0"/>
    <x v="2"/>
    <x v="1"/>
    <s v="XS"/>
    <x v="3"/>
    <n v="222.5"/>
    <n v="18.7"/>
    <n v="180.89"/>
    <d v="2025-08-06T00:00:00"/>
    <n v="47"/>
    <x v="79"/>
    <x v="0"/>
    <x v="0"/>
    <n v="28"/>
    <n v="878.9"/>
    <s v=""/>
  </r>
  <r>
    <s v="FB000971"/>
    <x v="4"/>
    <x v="7"/>
    <x v="2"/>
    <s v="XXL"/>
    <x v="1"/>
    <n v="25.58"/>
    <n v="54.5"/>
    <n v="11.64"/>
    <d v="2025-08-06T00:00:00"/>
    <n v="34"/>
    <x v="13"/>
    <x v="0"/>
    <x v="0"/>
    <n v="28"/>
    <n v="1853"/>
    <s v=""/>
  </r>
  <r>
    <s v="FB000972"/>
    <x v="5"/>
    <x v="3"/>
    <x v="3"/>
    <s v="XL"/>
    <x v="5"/>
    <n v="54.46"/>
    <n v="6.6"/>
    <n v="50.87"/>
    <d v="2025-08-06T00:00:00"/>
    <n v="17"/>
    <x v="12"/>
    <x v="0"/>
    <x v="0"/>
    <n v="28"/>
    <n v="112.19999999999999"/>
    <s v=""/>
  </r>
  <r>
    <s v="FB000973"/>
    <x v="4"/>
    <x v="7"/>
    <x v="1"/>
    <s v="S"/>
    <x v="1"/>
    <n v="43.32"/>
    <n v="0"/>
    <n v="43.32"/>
    <d v="2025-08-06T00:00:00"/>
    <n v="0"/>
    <x v="3"/>
    <x v="0"/>
    <x v="0"/>
    <n v="28"/>
    <n v="0"/>
    <s v=""/>
  </r>
  <r>
    <s v="FB000974"/>
    <x v="2"/>
    <x v="7"/>
    <x v="1"/>
    <m/>
    <x v="0"/>
    <n v="75.09"/>
    <n v="0"/>
    <n v="75.09"/>
    <d v="2025-08-06T00:00:00"/>
    <n v="41"/>
    <x v="15"/>
    <x v="0"/>
    <x v="0"/>
    <n v="28"/>
    <n v="0"/>
    <s v=""/>
  </r>
  <r>
    <s v="FB000975"/>
    <x v="5"/>
    <x v="1"/>
    <x v="0"/>
    <s v="XS"/>
    <x v="0"/>
    <n v="167.46"/>
    <n v="0"/>
    <n v="167.46"/>
    <d v="2024-08-18T00:00:00"/>
    <n v="4"/>
    <x v="49"/>
    <x v="0"/>
    <x v="0"/>
    <n v="381"/>
    <n v="0"/>
    <s v=""/>
  </r>
  <r>
    <s v="FB000976"/>
    <x v="3"/>
    <x v="2"/>
    <x v="2"/>
    <s v="L"/>
    <x v="5"/>
    <n v="111.24"/>
    <n v="34.299999999999997"/>
    <n v="73.08"/>
    <d v="2025-08-06T00:00:00"/>
    <n v="3"/>
    <x v="81"/>
    <x v="0"/>
    <x v="0"/>
    <n v="28"/>
    <n v="102.89999999999999"/>
    <s v=""/>
  </r>
  <r>
    <s v="FB000977"/>
    <x v="4"/>
    <x v="1"/>
    <x v="2"/>
    <s v="XXL"/>
    <x v="8"/>
    <n v="59.36"/>
    <n v="0"/>
    <n v="59.36"/>
    <d v="2025-08-06T00:00:00"/>
    <n v="16"/>
    <x v="56"/>
    <x v="0"/>
    <x v="0"/>
    <n v="28"/>
    <n v="0"/>
    <s v=""/>
  </r>
  <r>
    <s v="FB000978"/>
    <x v="3"/>
    <x v="2"/>
    <x v="2"/>
    <s v="S"/>
    <x v="8"/>
    <n v="199.46"/>
    <n v="0"/>
    <n v="199.46"/>
    <d v="2025-08-06T00:00:00"/>
    <n v="15"/>
    <x v="40"/>
    <x v="0"/>
    <x v="0"/>
    <n v="28"/>
    <n v="0"/>
    <s v=""/>
  </r>
  <r>
    <s v="FB000979"/>
    <x v="3"/>
    <x v="7"/>
    <x v="2"/>
    <s v="M"/>
    <x v="3"/>
    <n v="72.75"/>
    <n v="50.2"/>
    <n v="36.229999999999997"/>
    <d v="2025-08-06T00:00:00"/>
    <n v="28"/>
    <x v="20"/>
    <x v="0"/>
    <x v="0"/>
    <n v="28"/>
    <n v="1405.6000000000001"/>
    <s v=""/>
  </r>
  <r>
    <s v="FB000980"/>
    <x v="4"/>
    <x v="3"/>
    <x v="2"/>
    <s v="XS"/>
    <x v="1"/>
    <n v="86.52"/>
    <n v="27.6"/>
    <n v="62.64"/>
    <d v="2025-08-06T00:00:00"/>
    <n v="47"/>
    <x v="21"/>
    <x v="0"/>
    <x v="0"/>
    <n v="28"/>
    <n v="1297.2"/>
    <s v=""/>
  </r>
  <r>
    <s v="FB000981"/>
    <x v="2"/>
    <x v="7"/>
    <x v="0"/>
    <m/>
    <x v="5"/>
    <n v="52.69"/>
    <n v="40.200000000000003"/>
    <n v="31.51"/>
    <d v="2024-11-15T00:00:00"/>
    <n v="7"/>
    <x v="67"/>
    <x v="0"/>
    <x v="0"/>
    <n v="292"/>
    <n v="281.40000000000003"/>
    <s v=""/>
  </r>
  <r>
    <s v="FB000982"/>
    <x v="0"/>
    <x v="2"/>
    <x v="2"/>
    <s v="L"/>
    <x v="2"/>
    <n v="104.18"/>
    <n v="0"/>
    <n v="104.18"/>
    <d v="2025-08-06T00:00:00"/>
    <n v="12"/>
    <x v="64"/>
    <x v="0"/>
    <x v="0"/>
    <n v="28"/>
    <n v="0"/>
    <s v=""/>
  </r>
  <r>
    <s v="FB000983"/>
    <x v="0"/>
    <x v="4"/>
    <x v="1"/>
    <s v="L"/>
    <x v="0"/>
    <n v="132.38"/>
    <n v="58.2"/>
    <n v="55.33"/>
    <d v="2025-08-06T00:00:00"/>
    <n v="24"/>
    <x v="8"/>
    <x v="0"/>
    <x v="0"/>
    <n v="28"/>
    <n v="1396.8000000000002"/>
    <s v=""/>
  </r>
  <r>
    <s v="FB000984"/>
    <x v="3"/>
    <x v="4"/>
    <x v="2"/>
    <s v="XL"/>
    <x v="1"/>
    <n v="64.400000000000006"/>
    <n v="0"/>
    <n v="64.400000000000006"/>
    <d v="2025-08-06T00:00:00"/>
    <n v="40"/>
    <x v="26"/>
    <x v="0"/>
    <x v="0"/>
    <n v="28"/>
    <n v="0"/>
    <s v=""/>
  </r>
  <r>
    <s v="FB000985"/>
    <x v="4"/>
    <x v="0"/>
    <x v="3"/>
    <s v="XL"/>
    <x v="4"/>
    <n v="34.07"/>
    <n v="0"/>
    <n v="34.07"/>
    <d v="2025-08-06T00:00:00"/>
    <n v="25"/>
    <x v="36"/>
    <x v="1"/>
    <x v="6"/>
    <n v="28"/>
    <n v="0"/>
    <n v="1"/>
  </r>
  <r>
    <s v="FB000986"/>
    <x v="4"/>
    <x v="0"/>
    <x v="1"/>
    <s v="XXL"/>
    <x v="0"/>
    <n v="43.33"/>
    <n v="45.3"/>
    <n v="23.7"/>
    <d v="2025-08-06T00:00:00"/>
    <n v="1"/>
    <x v="10"/>
    <x v="0"/>
    <x v="0"/>
    <n v="28"/>
    <n v="45.3"/>
    <s v=""/>
  </r>
  <r>
    <s v="FB000987"/>
    <x v="0"/>
    <x v="1"/>
    <x v="0"/>
    <s v="XL"/>
    <x v="3"/>
    <n v="122.92"/>
    <n v="0"/>
    <n v="122.92"/>
    <d v="2024-11-06T00:00:00"/>
    <n v="41"/>
    <x v="5"/>
    <x v="0"/>
    <x v="0"/>
    <n v="301"/>
    <n v="0"/>
    <s v=""/>
  </r>
  <r>
    <s v="FB000988"/>
    <x v="3"/>
    <x v="0"/>
    <x v="0"/>
    <s v="S"/>
    <x v="4"/>
    <n v="142.84"/>
    <n v="0"/>
    <n v="142.84"/>
    <d v="2025-02-14T00:00:00"/>
    <n v="36"/>
    <x v="27"/>
    <x v="0"/>
    <x v="0"/>
    <n v="201"/>
    <n v="0"/>
    <s v=""/>
  </r>
  <r>
    <s v="FB000989"/>
    <x v="3"/>
    <x v="6"/>
    <x v="3"/>
    <s v="XXL"/>
    <x v="2"/>
    <n v="131.55000000000001"/>
    <n v="0"/>
    <n v="131.55000000000001"/>
    <d v="2025-08-06T00:00:00"/>
    <n v="45"/>
    <x v="34"/>
    <x v="0"/>
    <x v="0"/>
    <n v="28"/>
    <n v="0"/>
    <s v=""/>
  </r>
  <r>
    <s v="FB000990"/>
    <x v="0"/>
    <x v="0"/>
    <x v="0"/>
    <s v="S"/>
    <x v="0"/>
    <n v="192.58"/>
    <n v="0"/>
    <n v="192.58"/>
    <d v="2025-04-17T00:00:00"/>
    <n v="16"/>
    <x v="19"/>
    <x v="0"/>
    <x v="0"/>
    <n v="139"/>
    <n v="0"/>
    <s v=""/>
  </r>
  <r>
    <s v="FB000991"/>
    <x v="2"/>
    <x v="5"/>
    <x v="0"/>
    <m/>
    <x v="9"/>
    <n v="33.56"/>
    <n v="0"/>
    <n v="33.56"/>
    <d v="2025-03-27T00:00:00"/>
    <n v="24"/>
    <x v="0"/>
    <x v="0"/>
    <x v="0"/>
    <n v="160"/>
    <n v="0"/>
    <s v=""/>
  </r>
  <r>
    <s v="FB000992"/>
    <x v="2"/>
    <x v="1"/>
    <x v="3"/>
    <m/>
    <x v="5"/>
    <n v="59.1"/>
    <n v="0"/>
    <n v="59.1"/>
    <d v="2025-08-06T00:00:00"/>
    <n v="29"/>
    <x v="49"/>
    <x v="0"/>
    <x v="0"/>
    <n v="28"/>
    <n v="0"/>
    <s v=""/>
  </r>
  <r>
    <s v="FB000993"/>
    <x v="3"/>
    <x v="6"/>
    <x v="2"/>
    <s v="S"/>
    <x v="4"/>
    <n v="109.15"/>
    <n v="20.7"/>
    <n v="86.56"/>
    <d v="2025-08-06T00:00:00"/>
    <n v="28"/>
    <x v="66"/>
    <x v="1"/>
    <x v="5"/>
    <n v="28"/>
    <n v="579.6"/>
    <n v="1"/>
  </r>
  <r>
    <s v="FB000994"/>
    <x v="4"/>
    <x v="5"/>
    <x v="2"/>
    <m/>
    <x v="7"/>
    <n v="59.1"/>
    <n v="0"/>
    <n v="59.1"/>
    <d v="2025-08-06T00:00:00"/>
    <n v="47"/>
    <x v="14"/>
    <x v="0"/>
    <x v="0"/>
    <n v="28"/>
    <n v="0"/>
    <s v=""/>
  </r>
  <r>
    <s v="FB000995"/>
    <x v="3"/>
    <x v="6"/>
    <x v="0"/>
    <s v="M"/>
    <x v="9"/>
    <n v="99.33"/>
    <n v="0"/>
    <n v="99.33"/>
    <d v="2025-05-21T00:00:00"/>
    <n v="16"/>
    <x v="38"/>
    <x v="0"/>
    <x v="0"/>
    <n v="105"/>
    <n v="0"/>
    <s v=""/>
  </r>
  <r>
    <s v="FB000996"/>
    <x v="5"/>
    <x v="5"/>
    <x v="1"/>
    <s v="XL"/>
    <x v="8"/>
    <n v="92.75"/>
    <n v="0"/>
    <n v="92.75"/>
    <d v="2025-08-06T00:00:00"/>
    <n v="29"/>
    <x v="62"/>
    <x v="1"/>
    <x v="5"/>
    <n v="28"/>
    <n v="0"/>
    <n v="1"/>
  </r>
  <r>
    <s v="FB000997"/>
    <x v="1"/>
    <x v="0"/>
    <x v="3"/>
    <s v="S"/>
    <x v="7"/>
    <n v="116.82"/>
    <n v="0"/>
    <n v="116.82"/>
    <d v="2025-08-06T00:00:00"/>
    <n v="34"/>
    <x v="69"/>
    <x v="0"/>
    <x v="0"/>
    <n v="28"/>
    <n v="0"/>
    <s v=""/>
  </r>
  <r>
    <s v="FB000998"/>
    <x v="0"/>
    <x v="5"/>
    <x v="3"/>
    <s v="XL"/>
    <x v="6"/>
    <n v="129.78"/>
    <n v="9.5"/>
    <n v="117.45"/>
    <d v="2025-08-06T00:00:00"/>
    <n v="17"/>
    <x v="30"/>
    <x v="0"/>
    <x v="0"/>
    <n v="28"/>
    <n v="161.5"/>
    <s v=""/>
  </r>
  <r>
    <s v="FB000999"/>
    <x v="5"/>
    <x v="2"/>
    <x v="0"/>
    <s v="XS"/>
    <x v="10"/>
    <n v="135.69"/>
    <n v="3"/>
    <n v="131.62"/>
    <d v="2024-08-29T00:00:00"/>
    <n v="16"/>
    <x v="82"/>
    <x v="0"/>
    <x v="0"/>
    <n v="370"/>
    <n v="48"/>
    <s v=""/>
  </r>
  <r>
    <s v="FB001000"/>
    <x v="5"/>
    <x v="6"/>
    <x v="2"/>
    <m/>
    <x v="0"/>
    <n v="48.14"/>
    <n v="28.3"/>
    <n v="34.520000000000003"/>
    <d v="2025-08-06T00:00:00"/>
    <n v="41"/>
    <x v="70"/>
    <x v="0"/>
    <x v="0"/>
    <n v="28"/>
    <n v="1160.3"/>
    <s v=""/>
  </r>
  <r>
    <s v="FB001001"/>
    <x v="5"/>
    <x v="3"/>
    <x v="2"/>
    <s v="XS"/>
    <x v="5"/>
    <n v="142.96"/>
    <n v="47.7"/>
    <n v="74.77"/>
    <d v="2025-08-06T00:00:00"/>
    <n v="7"/>
    <x v="88"/>
    <x v="0"/>
    <x v="0"/>
    <n v="28"/>
    <n v="333.90000000000003"/>
    <s v=""/>
  </r>
  <r>
    <s v="FB001002"/>
    <x v="1"/>
    <x v="7"/>
    <x v="0"/>
    <s v="L"/>
    <x v="7"/>
    <n v="51.72"/>
    <n v="0"/>
    <n v="51.72"/>
    <d v="2025-02-14T00:00:00"/>
    <n v="50"/>
    <x v="86"/>
    <x v="0"/>
    <x v="0"/>
    <n v="201"/>
    <n v="0"/>
    <s v=""/>
  </r>
  <r>
    <s v="FB001003"/>
    <x v="2"/>
    <x v="0"/>
    <x v="2"/>
    <m/>
    <x v="10"/>
    <n v="18.3"/>
    <n v="38.299999999999997"/>
    <n v="11.29"/>
    <d v="2025-08-06T00:00:00"/>
    <n v="14"/>
    <x v="21"/>
    <x v="0"/>
    <x v="0"/>
    <n v="28"/>
    <n v="536.19999999999993"/>
    <s v=""/>
  </r>
  <r>
    <s v="FB001004"/>
    <x v="0"/>
    <x v="3"/>
    <x v="0"/>
    <s v="L"/>
    <x v="8"/>
    <n v="214.99"/>
    <n v="29"/>
    <n v="152.63999999999999"/>
    <d v="2024-09-06T00:00:00"/>
    <n v="32"/>
    <x v="32"/>
    <x v="1"/>
    <x v="6"/>
    <n v="362"/>
    <n v="928"/>
    <n v="1"/>
  </r>
  <r>
    <s v="FB001005"/>
    <x v="2"/>
    <x v="6"/>
    <x v="0"/>
    <m/>
    <x v="0"/>
    <n v="20.77"/>
    <n v="0"/>
    <n v="20.77"/>
    <d v="2024-08-17T00:00:00"/>
    <n v="31"/>
    <x v="66"/>
    <x v="0"/>
    <x v="0"/>
    <n v="382"/>
    <n v="0"/>
    <s v=""/>
  </r>
  <r>
    <s v="FB001006"/>
    <x v="2"/>
    <x v="6"/>
    <x v="3"/>
    <m/>
    <x v="1"/>
    <n v="77.959999999999994"/>
    <n v="0"/>
    <n v="77.959999999999994"/>
    <d v="2025-08-06T00:00:00"/>
    <n v="39"/>
    <x v="51"/>
    <x v="0"/>
    <x v="0"/>
    <n v="28"/>
    <n v="0"/>
    <s v=""/>
  </r>
  <r>
    <s v="FB001007"/>
    <x v="2"/>
    <x v="0"/>
    <x v="2"/>
    <m/>
    <x v="9"/>
    <n v="73.33"/>
    <n v="34.6"/>
    <n v="47.96"/>
    <d v="2025-08-06T00:00:00"/>
    <n v="45"/>
    <x v="54"/>
    <x v="0"/>
    <x v="0"/>
    <n v="28"/>
    <n v="1557"/>
    <s v=""/>
  </r>
  <r>
    <s v="FB001008"/>
    <x v="2"/>
    <x v="7"/>
    <x v="2"/>
    <m/>
    <x v="9"/>
    <n v="75.22"/>
    <n v="25.9"/>
    <n v="55.74"/>
    <d v="2025-08-06T00:00:00"/>
    <n v="31"/>
    <x v="42"/>
    <x v="1"/>
    <x v="1"/>
    <n v="28"/>
    <n v="802.9"/>
    <n v="1"/>
  </r>
  <r>
    <s v="FB001009"/>
    <x v="4"/>
    <x v="6"/>
    <x v="2"/>
    <s v="XS"/>
    <x v="2"/>
    <n v="46.65"/>
    <n v="24.2"/>
    <n v="35.36"/>
    <d v="2025-08-06T00:00:00"/>
    <n v="8"/>
    <x v="53"/>
    <x v="0"/>
    <x v="0"/>
    <n v="28"/>
    <n v="193.6"/>
    <s v=""/>
  </r>
  <r>
    <s v="FB001010"/>
    <x v="5"/>
    <x v="3"/>
    <x v="2"/>
    <s v="XXL"/>
    <x v="1"/>
    <n v="108.19"/>
    <n v="0"/>
    <n v="108.19"/>
    <d v="2025-08-06T00:00:00"/>
    <n v="21"/>
    <x v="88"/>
    <x v="0"/>
    <x v="0"/>
    <n v="28"/>
    <n v="0"/>
    <s v=""/>
  </r>
  <r>
    <s v="FB001011"/>
    <x v="5"/>
    <x v="0"/>
    <x v="0"/>
    <s v="L"/>
    <x v="0"/>
    <n v="62.82"/>
    <n v="0"/>
    <n v="62.82"/>
    <d v="2024-10-08T00:00:00"/>
    <n v="36"/>
    <x v="54"/>
    <x v="0"/>
    <x v="0"/>
    <n v="330"/>
    <n v="0"/>
    <s v=""/>
  </r>
  <r>
    <s v="FB001012"/>
    <x v="1"/>
    <x v="0"/>
    <x v="3"/>
    <s v="S"/>
    <x v="1"/>
    <n v="57.32"/>
    <n v="57.4"/>
    <n v="24.42"/>
    <d v="2025-08-06T00:00:00"/>
    <n v="46"/>
    <x v="47"/>
    <x v="0"/>
    <x v="0"/>
    <n v="28"/>
    <n v="2640.4"/>
    <s v=""/>
  </r>
  <r>
    <s v="FB001013"/>
    <x v="0"/>
    <x v="4"/>
    <x v="1"/>
    <s v="XXL"/>
    <x v="6"/>
    <n v="153.59"/>
    <n v="0"/>
    <n v="153.59"/>
    <d v="2025-08-06T00:00:00"/>
    <n v="31"/>
    <x v="5"/>
    <x v="1"/>
    <x v="3"/>
    <n v="28"/>
    <n v="0"/>
    <n v="1"/>
  </r>
  <r>
    <s v="FB001014"/>
    <x v="3"/>
    <x v="3"/>
    <x v="1"/>
    <s v="XL"/>
    <x v="9"/>
    <n v="101.14"/>
    <n v="0"/>
    <n v="101.14"/>
    <d v="2025-08-06T00:00:00"/>
    <n v="43"/>
    <x v="32"/>
    <x v="0"/>
    <x v="0"/>
    <n v="28"/>
    <n v="0"/>
    <s v=""/>
  </r>
  <r>
    <s v="FB001015"/>
    <x v="4"/>
    <x v="5"/>
    <x v="0"/>
    <s v="XXL"/>
    <x v="10"/>
    <n v="43.89"/>
    <n v="15.6"/>
    <n v="37.04"/>
    <d v="2025-04-30T00:00:00"/>
    <n v="31"/>
    <x v="12"/>
    <x v="1"/>
    <x v="6"/>
    <n v="126"/>
    <n v="483.59999999999997"/>
    <n v="1"/>
  </r>
  <r>
    <s v="FB001016"/>
    <x v="0"/>
    <x v="0"/>
    <x v="1"/>
    <s v="S"/>
    <x v="4"/>
    <n v="130.16"/>
    <n v="47.5"/>
    <n v="68.33"/>
    <d v="2025-08-06T00:00:00"/>
    <n v="21"/>
    <x v="59"/>
    <x v="0"/>
    <x v="0"/>
    <n v="28"/>
    <n v="997.5"/>
    <s v=""/>
  </r>
  <r>
    <s v="FB001017"/>
    <x v="5"/>
    <x v="6"/>
    <x v="1"/>
    <s v="L"/>
    <x v="2"/>
    <n v="153.12"/>
    <n v="0"/>
    <n v="153.12"/>
    <d v="2025-08-06T00:00:00"/>
    <n v="27"/>
    <x v="31"/>
    <x v="0"/>
    <x v="0"/>
    <n v="28"/>
    <n v="0"/>
    <s v=""/>
  </r>
  <r>
    <s v="FB001018"/>
    <x v="1"/>
    <x v="7"/>
    <x v="3"/>
    <s v="XXL"/>
    <x v="5"/>
    <n v="37.119999999999997"/>
    <n v="12.1"/>
    <n v="32.630000000000003"/>
    <d v="2025-08-06T00:00:00"/>
    <n v="43"/>
    <x v="53"/>
    <x v="0"/>
    <x v="0"/>
    <n v="28"/>
    <n v="520.29999999999995"/>
    <s v=""/>
  </r>
  <r>
    <s v="FB001019"/>
    <x v="1"/>
    <x v="3"/>
    <x v="3"/>
    <s v="XXL"/>
    <x v="9"/>
    <n v="41.05"/>
    <n v="0"/>
    <n v="41.05"/>
    <d v="2025-08-06T00:00:00"/>
    <n v="24"/>
    <x v="60"/>
    <x v="0"/>
    <x v="0"/>
    <n v="28"/>
    <n v="0"/>
    <s v=""/>
  </r>
  <r>
    <s v="FB001020"/>
    <x v="3"/>
    <x v="7"/>
    <x v="2"/>
    <s v="M"/>
    <x v="8"/>
    <n v="61.04"/>
    <n v="0"/>
    <n v="61.04"/>
    <d v="2025-08-06T00:00:00"/>
    <n v="43"/>
    <x v="42"/>
    <x v="0"/>
    <x v="0"/>
    <n v="28"/>
    <n v="0"/>
    <s v=""/>
  </r>
  <r>
    <s v="FB001021"/>
    <x v="1"/>
    <x v="5"/>
    <x v="3"/>
    <s v="S"/>
    <x v="2"/>
    <n v="97.17"/>
    <n v="0"/>
    <n v="97.17"/>
    <d v="2025-08-06T00:00:00"/>
    <n v="35"/>
    <x v="0"/>
    <x v="0"/>
    <x v="0"/>
    <n v="28"/>
    <n v="0"/>
    <s v=""/>
  </r>
  <r>
    <s v="FB001022"/>
    <x v="2"/>
    <x v="1"/>
    <x v="3"/>
    <m/>
    <x v="0"/>
    <n v="63.45"/>
    <n v="0"/>
    <n v="63.45"/>
    <d v="2025-08-06T00:00:00"/>
    <n v="4"/>
    <x v="38"/>
    <x v="0"/>
    <x v="0"/>
    <n v="28"/>
    <n v="0"/>
    <s v=""/>
  </r>
  <r>
    <s v="FB001023"/>
    <x v="1"/>
    <x v="3"/>
    <x v="2"/>
    <m/>
    <x v="4"/>
    <n v="117.39"/>
    <n v="0"/>
    <n v="117.39"/>
    <d v="2025-08-06T00:00:00"/>
    <n v="14"/>
    <x v="53"/>
    <x v="0"/>
    <x v="0"/>
    <n v="28"/>
    <n v="0"/>
    <s v=""/>
  </r>
  <r>
    <s v="FB001024"/>
    <x v="1"/>
    <x v="2"/>
    <x v="0"/>
    <s v="S"/>
    <x v="10"/>
    <n v="32.89"/>
    <n v="0"/>
    <n v="32.89"/>
    <d v="2025-07-08T00:00:00"/>
    <n v="6"/>
    <x v="14"/>
    <x v="0"/>
    <x v="0"/>
    <n v="57"/>
    <n v="0"/>
    <s v=""/>
  </r>
  <r>
    <s v="FB001025"/>
    <x v="4"/>
    <x v="5"/>
    <x v="0"/>
    <s v="L"/>
    <x v="5"/>
    <n v="102.6"/>
    <n v="38.6"/>
    <n v="63"/>
    <d v="2025-05-10T00:00:00"/>
    <n v="14"/>
    <x v="30"/>
    <x v="0"/>
    <x v="0"/>
    <n v="116"/>
    <n v="540.4"/>
    <s v=""/>
  </r>
  <r>
    <s v="FB001026"/>
    <x v="3"/>
    <x v="6"/>
    <x v="0"/>
    <s v="XXL"/>
    <x v="8"/>
    <n v="155.91999999999999"/>
    <n v="32.200000000000003"/>
    <n v="105.71"/>
    <d v="2024-10-02T00:00:00"/>
    <n v="5"/>
    <x v="66"/>
    <x v="0"/>
    <x v="0"/>
    <n v="336"/>
    <n v="161"/>
    <s v=""/>
  </r>
  <r>
    <s v="FB001027"/>
    <x v="0"/>
    <x v="6"/>
    <x v="2"/>
    <s v="L"/>
    <x v="9"/>
    <n v="178.39"/>
    <n v="0"/>
    <n v="178.39"/>
    <d v="2025-08-06T00:00:00"/>
    <n v="29"/>
    <x v="36"/>
    <x v="0"/>
    <x v="0"/>
    <n v="28"/>
    <n v="0"/>
    <s v=""/>
  </r>
  <r>
    <s v="FB001028"/>
    <x v="0"/>
    <x v="4"/>
    <x v="0"/>
    <s v="XL"/>
    <x v="4"/>
    <n v="151.1"/>
    <n v="0"/>
    <n v="151.1"/>
    <d v="2025-03-22T00:00:00"/>
    <n v="24"/>
    <x v="13"/>
    <x v="0"/>
    <x v="0"/>
    <n v="165"/>
    <n v="0"/>
    <s v=""/>
  </r>
  <r>
    <s v="FB001029"/>
    <x v="1"/>
    <x v="7"/>
    <x v="3"/>
    <s v="XXL"/>
    <x v="7"/>
    <n v="91.03"/>
    <n v="55.4"/>
    <n v="40.6"/>
    <d v="2025-08-06T00:00:00"/>
    <n v="2"/>
    <x v="1"/>
    <x v="0"/>
    <x v="0"/>
    <n v="28"/>
    <n v="110.8"/>
    <s v=""/>
  </r>
  <r>
    <s v="FB001030"/>
    <x v="1"/>
    <x v="4"/>
    <x v="2"/>
    <s v="M"/>
    <x v="4"/>
    <n v="89.03"/>
    <n v="41.3"/>
    <n v="52.26"/>
    <d v="2025-08-06T00:00:00"/>
    <n v="50"/>
    <x v="84"/>
    <x v="0"/>
    <x v="0"/>
    <n v="28"/>
    <n v="2065"/>
    <s v=""/>
  </r>
  <r>
    <s v="FB001031"/>
    <x v="5"/>
    <x v="5"/>
    <x v="3"/>
    <s v="S"/>
    <x v="6"/>
    <n v="147.58000000000001"/>
    <n v="0"/>
    <n v="147.58000000000001"/>
    <d v="2025-08-06T00:00:00"/>
    <n v="10"/>
    <x v="2"/>
    <x v="0"/>
    <x v="0"/>
    <n v="28"/>
    <n v="0"/>
    <s v=""/>
  </r>
  <r>
    <s v="FB001032"/>
    <x v="5"/>
    <x v="2"/>
    <x v="3"/>
    <s v="XL"/>
    <x v="5"/>
    <n v="79.98"/>
    <n v="0"/>
    <n v="79.98"/>
    <d v="2025-08-06T00:00:00"/>
    <n v="25"/>
    <x v="25"/>
    <x v="0"/>
    <x v="0"/>
    <n v="28"/>
    <n v="0"/>
    <s v=""/>
  </r>
  <r>
    <s v="FB001033"/>
    <x v="5"/>
    <x v="4"/>
    <x v="2"/>
    <s v="XS"/>
    <x v="7"/>
    <n v="86.38"/>
    <n v="0"/>
    <n v="86.38"/>
    <d v="2025-08-06T00:00:00"/>
    <n v="40"/>
    <x v="67"/>
    <x v="0"/>
    <x v="0"/>
    <n v="28"/>
    <n v="0"/>
    <s v=""/>
  </r>
  <r>
    <s v="FB001034"/>
    <x v="1"/>
    <x v="2"/>
    <x v="3"/>
    <s v="XXL"/>
    <x v="10"/>
    <n v="47.29"/>
    <n v="40.4"/>
    <n v="28.18"/>
    <d v="2025-08-06T00:00:00"/>
    <n v="26"/>
    <x v="9"/>
    <x v="0"/>
    <x v="0"/>
    <n v="28"/>
    <n v="1050.3999999999999"/>
    <s v=""/>
  </r>
  <r>
    <s v="FB001035"/>
    <x v="0"/>
    <x v="7"/>
    <x v="0"/>
    <s v="L"/>
    <x v="8"/>
    <n v="196.54"/>
    <n v="22.6"/>
    <n v="152.12"/>
    <d v="2025-05-12T00:00:00"/>
    <n v="33"/>
    <x v="40"/>
    <x v="0"/>
    <x v="0"/>
    <n v="114"/>
    <n v="745.80000000000007"/>
    <s v=""/>
  </r>
  <r>
    <s v="FB001036"/>
    <x v="1"/>
    <x v="0"/>
    <x v="0"/>
    <s v="XXL"/>
    <x v="4"/>
    <n v="72.72"/>
    <n v="0"/>
    <n v="72.72"/>
    <d v="2025-01-31T00:00:00"/>
    <n v="23"/>
    <x v="6"/>
    <x v="0"/>
    <x v="0"/>
    <n v="215"/>
    <n v="0"/>
    <s v=""/>
  </r>
  <r>
    <s v="FB001037"/>
    <x v="1"/>
    <x v="6"/>
    <x v="3"/>
    <s v="XXL"/>
    <x v="7"/>
    <n v="115.5"/>
    <n v="0"/>
    <n v="115.5"/>
    <d v="2025-08-06T00:00:00"/>
    <n v="36"/>
    <x v="24"/>
    <x v="1"/>
    <x v="4"/>
    <n v="28"/>
    <n v="0"/>
    <n v="1"/>
  </r>
  <r>
    <s v="FB001038"/>
    <x v="2"/>
    <x v="4"/>
    <x v="3"/>
    <m/>
    <x v="4"/>
    <n v="68.22"/>
    <n v="8.1"/>
    <n v="62.69"/>
    <d v="2025-08-06T00:00:00"/>
    <n v="28"/>
    <x v="30"/>
    <x v="0"/>
    <x v="0"/>
    <n v="28"/>
    <n v="226.79999999999998"/>
    <s v=""/>
  </r>
  <r>
    <s v="FB001039"/>
    <x v="1"/>
    <x v="3"/>
    <x v="2"/>
    <s v="XXL"/>
    <x v="2"/>
    <n v="91.03"/>
    <n v="0"/>
    <n v="91.03"/>
    <d v="2025-08-06T00:00:00"/>
    <n v="20"/>
    <x v="54"/>
    <x v="0"/>
    <x v="0"/>
    <n v="28"/>
    <n v="0"/>
    <s v=""/>
  </r>
  <r>
    <s v="FB001040"/>
    <x v="0"/>
    <x v="7"/>
    <x v="2"/>
    <s v="XXL"/>
    <x v="9"/>
    <n v="100.39"/>
    <n v="16.5"/>
    <n v="83.83"/>
    <d v="2025-08-06T00:00:00"/>
    <n v="17"/>
    <x v="14"/>
    <x v="0"/>
    <x v="0"/>
    <n v="28"/>
    <n v="280.5"/>
    <s v=""/>
  </r>
  <r>
    <s v="FB001041"/>
    <x v="1"/>
    <x v="6"/>
    <x v="2"/>
    <s v="XS"/>
    <x v="8"/>
    <n v="100.03"/>
    <n v="0"/>
    <n v="100.03"/>
    <d v="2025-08-06T00:00:00"/>
    <n v="39"/>
    <x v="19"/>
    <x v="0"/>
    <x v="0"/>
    <n v="28"/>
    <n v="0"/>
    <s v=""/>
  </r>
  <r>
    <s v="FB001042"/>
    <x v="2"/>
    <x v="6"/>
    <x v="0"/>
    <m/>
    <x v="3"/>
    <n v="50.14"/>
    <n v="29.2"/>
    <n v="35.5"/>
    <d v="2025-02-04T00:00:00"/>
    <n v="33"/>
    <x v="9"/>
    <x v="0"/>
    <x v="0"/>
    <n v="211"/>
    <n v="963.6"/>
    <s v=""/>
  </r>
  <r>
    <s v="FB001043"/>
    <x v="4"/>
    <x v="0"/>
    <x v="3"/>
    <s v="XL"/>
    <x v="2"/>
    <n v="33.130000000000003"/>
    <n v="0"/>
    <n v="33.130000000000003"/>
    <d v="2025-08-06T00:00:00"/>
    <n v="41"/>
    <x v="31"/>
    <x v="0"/>
    <x v="0"/>
    <n v="28"/>
    <n v="0"/>
    <s v=""/>
  </r>
  <r>
    <s v="FB001044"/>
    <x v="2"/>
    <x v="4"/>
    <x v="0"/>
    <m/>
    <x v="8"/>
    <n v="67.67"/>
    <n v="0"/>
    <n v="67.67"/>
    <d v="2024-09-25T00:00:00"/>
    <n v="7"/>
    <x v="31"/>
    <x v="0"/>
    <x v="0"/>
    <n v="343"/>
    <n v="0"/>
    <s v=""/>
  </r>
  <r>
    <s v="FB001045"/>
    <x v="4"/>
    <x v="2"/>
    <x v="3"/>
    <s v="S"/>
    <x v="2"/>
    <n v="93.94"/>
    <n v="56.3"/>
    <n v="41.05"/>
    <d v="2025-08-06T00:00:00"/>
    <n v="36"/>
    <x v="21"/>
    <x v="0"/>
    <x v="0"/>
    <n v="28"/>
    <n v="2026.8"/>
    <s v=""/>
  </r>
  <r>
    <s v="FB001046"/>
    <x v="1"/>
    <x v="2"/>
    <x v="2"/>
    <s v="XS"/>
    <x v="2"/>
    <n v="34.56"/>
    <n v="11.2"/>
    <n v="30.69"/>
    <d v="2025-08-06T00:00:00"/>
    <n v="46"/>
    <x v="10"/>
    <x v="0"/>
    <x v="0"/>
    <n v="28"/>
    <n v="515.19999999999993"/>
    <s v=""/>
  </r>
  <r>
    <s v="FB001047"/>
    <x v="0"/>
    <x v="5"/>
    <x v="3"/>
    <s v="M"/>
    <x v="2"/>
    <n v="235.33"/>
    <n v="0"/>
    <n v="235.33"/>
    <d v="2025-08-06T00:00:00"/>
    <n v="11"/>
    <x v="52"/>
    <x v="1"/>
    <x v="2"/>
    <n v="28"/>
    <n v="0"/>
    <n v="1"/>
  </r>
  <r>
    <s v="FB001048"/>
    <x v="1"/>
    <x v="1"/>
    <x v="0"/>
    <s v="XS"/>
    <x v="0"/>
    <n v="25.45"/>
    <n v="0"/>
    <n v="25.45"/>
    <d v="2024-08-10T00:00:00"/>
    <n v="29"/>
    <x v="17"/>
    <x v="0"/>
    <x v="0"/>
    <n v="389"/>
    <n v="0"/>
    <s v=""/>
  </r>
  <r>
    <s v="FB001049"/>
    <x v="1"/>
    <x v="6"/>
    <x v="1"/>
    <s v="XL"/>
    <x v="4"/>
    <n v="71.44"/>
    <n v="0"/>
    <n v="71.44"/>
    <d v="2025-08-06T00:00:00"/>
    <n v="18"/>
    <x v="2"/>
    <x v="0"/>
    <x v="0"/>
    <n v="28"/>
    <n v="0"/>
    <s v=""/>
  </r>
  <r>
    <s v="FB001050"/>
    <x v="5"/>
    <x v="2"/>
    <x v="3"/>
    <s v="XL"/>
    <x v="3"/>
    <n v="98.33"/>
    <n v="0"/>
    <n v="98.33"/>
    <d v="2025-08-06T00:00:00"/>
    <n v="46"/>
    <x v="17"/>
    <x v="0"/>
    <x v="0"/>
    <n v="28"/>
    <n v="0"/>
    <s v=""/>
  </r>
  <r>
    <s v="FB001051"/>
    <x v="5"/>
    <x v="7"/>
    <x v="0"/>
    <s v="S"/>
    <x v="5"/>
    <n v="171.1"/>
    <n v="0"/>
    <n v="171.1"/>
    <d v="2025-07-23T00:00:00"/>
    <n v="34"/>
    <x v="43"/>
    <x v="0"/>
    <x v="0"/>
    <n v="42"/>
    <n v="0"/>
    <s v=""/>
  </r>
  <r>
    <s v="FB001052"/>
    <x v="5"/>
    <x v="7"/>
    <x v="1"/>
    <s v="XS"/>
    <x v="3"/>
    <n v="155.57"/>
    <n v="0"/>
    <n v="155.57"/>
    <d v="2025-08-06T00:00:00"/>
    <n v="48"/>
    <x v="22"/>
    <x v="0"/>
    <x v="0"/>
    <n v="28"/>
    <n v="0"/>
    <s v=""/>
  </r>
  <r>
    <s v="FB001053"/>
    <x v="0"/>
    <x v="3"/>
    <x v="2"/>
    <s v="L"/>
    <x v="6"/>
    <n v="198.44"/>
    <n v="0"/>
    <n v="198.44"/>
    <d v="2025-08-06T00:00:00"/>
    <n v="40"/>
    <x v="81"/>
    <x v="0"/>
    <x v="0"/>
    <n v="28"/>
    <n v="0"/>
    <s v=""/>
  </r>
  <r>
    <s v="FB001054"/>
    <x v="3"/>
    <x v="5"/>
    <x v="0"/>
    <s v="M"/>
    <x v="2"/>
    <n v="175.85"/>
    <n v="18.100000000000001"/>
    <n v="144.02000000000001"/>
    <d v="2025-01-29T00:00:00"/>
    <n v="4"/>
    <x v="30"/>
    <x v="0"/>
    <x v="0"/>
    <n v="217"/>
    <n v="72.400000000000006"/>
    <s v=""/>
  </r>
  <r>
    <s v="FB001055"/>
    <x v="0"/>
    <x v="7"/>
    <x v="3"/>
    <s v="M"/>
    <x v="1"/>
    <n v="100.23"/>
    <n v="0"/>
    <n v="100.23"/>
    <d v="2025-08-06T00:00:00"/>
    <n v="12"/>
    <x v="15"/>
    <x v="0"/>
    <x v="0"/>
    <n v="28"/>
    <n v="0"/>
    <s v=""/>
  </r>
  <r>
    <s v="FB001056"/>
    <x v="0"/>
    <x v="0"/>
    <x v="1"/>
    <s v="XXL"/>
    <x v="7"/>
    <n v="88.94"/>
    <n v="0"/>
    <n v="88.94"/>
    <d v="2025-08-06T00:00:00"/>
    <n v="36"/>
    <x v="59"/>
    <x v="0"/>
    <x v="0"/>
    <n v="28"/>
    <n v="0"/>
    <s v=""/>
  </r>
  <r>
    <s v="FB001057"/>
    <x v="0"/>
    <x v="4"/>
    <x v="2"/>
    <s v="XXL"/>
    <x v="8"/>
    <n v="205.91"/>
    <n v="0"/>
    <n v="205.91"/>
    <d v="2025-08-06T00:00:00"/>
    <n v="3"/>
    <x v="51"/>
    <x v="0"/>
    <x v="0"/>
    <n v="28"/>
    <n v="0"/>
    <s v=""/>
  </r>
  <r>
    <s v="FB001058"/>
    <x v="2"/>
    <x v="1"/>
    <x v="2"/>
    <m/>
    <x v="1"/>
    <n v="29.06"/>
    <n v="1.1000000000000001"/>
    <n v="28.74"/>
    <d v="2025-08-06T00:00:00"/>
    <n v="12"/>
    <x v="21"/>
    <x v="1"/>
    <x v="1"/>
    <n v="28"/>
    <n v="13.200000000000001"/>
    <n v="1"/>
  </r>
  <r>
    <s v="FB001059"/>
    <x v="2"/>
    <x v="6"/>
    <x v="3"/>
    <m/>
    <x v="10"/>
    <n v="68.56"/>
    <n v="0"/>
    <n v="68.56"/>
    <d v="2025-08-06T00:00:00"/>
    <n v="2"/>
    <x v="13"/>
    <x v="0"/>
    <x v="0"/>
    <n v="28"/>
    <n v="0"/>
    <s v=""/>
  </r>
  <r>
    <s v="FB001060"/>
    <x v="1"/>
    <x v="7"/>
    <x v="3"/>
    <s v="L"/>
    <x v="9"/>
    <n v="91.6"/>
    <n v="59.5"/>
    <n v="37.1"/>
    <d v="2025-08-06T00:00:00"/>
    <n v="2"/>
    <x v="2"/>
    <x v="0"/>
    <x v="0"/>
    <n v="28"/>
    <n v="119"/>
    <s v=""/>
  </r>
  <r>
    <s v="FB001061"/>
    <x v="5"/>
    <x v="4"/>
    <x v="3"/>
    <s v="XS"/>
    <x v="2"/>
    <n v="96.57"/>
    <n v="0"/>
    <n v="96.57"/>
    <d v="2025-08-06T00:00:00"/>
    <n v="6"/>
    <x v="42"/>
    <x v="0"/>
    <x v="0"/>
    <n v="28"/>
    <n v="0"/>
    <s v=""/>
  </r>
  <r>
    <s v="FB001062"/>
    <x v="4"/>
    <x v="4"/>
    <x v="1"/>
    <s v="S"/>
    <x v="1"/>
    <n v="35.630000000000003"/>
    <n v="57.9"/>
    <n v="15"/>
    <d v="2025-08-06T00:00:00"/>
    <n v="11"/>
    <x v="34"/>
    <x v="0"/>
    <x v="0"/>
    <n v="28"/>
    <n v="636.9"/>
    <s v=""/>
  </r>
  <r>
    <s v="FB001063"/>
    <x v="3"/>
    <x v="1"/>
    <x v="1"/>
    <s v="XS"/>
    <x v="6"/>
    <n v="118.98"/>
    <n v="38.1"/>
    <n v="73.650000000000006"/>
    <d v="2025-08-06T00:00:00"/>
    <n v="36"/>
    <x v="21"/>
    <x v="1"/>
    <x v="1"/>
    <n v="28"/>
    <n v="1371.6000000000001"/>
    <n v="1"/>
  </r>
  <r>
    <s v="FB001064"/>
    <x v="3"/>
    <x v="4"/>
    <x v="0"/>
    <s v="XL"/>
    <x v="0"/>
    <n v="62.62"/>
    <n v="10.1"/>
    <n v="56.3"/>
    <d v="2025-04-15T00:00:00"/>
    <n v="32"/>
    <x v="5"/>
    <x v="0"/>
    <x v="0"/>
    <n v="141"/>
    <n v="323.2"/>
    <s v=""/>
  </r>
  <r>
    <s v="FB001065"/>
    <x v="3"/>
    <x v="7"/>
    <x v="3"/>
    <s v="M"/>
    <x v="10"/>
    <n v="153.34"/>
    <n v="55.5"/>
    <n v="68.239999999999995"/>
    <d v="2025-08-06T00:00:00"/>
    <n v="46"/>
    <x v="36"/>
    <x v="1"/>
    <x v="6"/>
    <n v="28"/>
    <n v="2553"/>
    <n v="1"/>
  </r>
  <r>
    <s v="FB001066"/>
    <x v="1"/>
    <x v="5"/>
    <x v="3"/>
    <s v="L"/>
    <x v="6"/>
    <n v="71.66"/>
    <n v="49.7"/>
    <n v="36.04"/>
    <d v="2025-08-06T00:00:00"/>
    <n v="33"/>
    <x v="68"/>
    <x v="1"/>
    <x v="1"/>
    <n v="28"/>
    <n v="1640.1000000000001"/>
    <n v="1"/>
  </r>
  <r>
    <s v="FB001067"/>
    <x v="5"/>
    <x v="5"/>
    <x v="0"/>
    <s v="S"/>
    <x v="2"/>
    <n v="107.58"/>
    <n v="55.9"/>
    <n v="47.44"/>
    <d v="2025-02-15T00:00:00"/>
    <n v="19"/>
    <x v="9"/>
    <x v="0"/>
    <x v="0"/>
    <n v="200"/>
    <n v="1062.0999999999999"/>
    <s v=""/>
  </r>
  <r>
    <s v="FB001068"/>
    <x v="3"/>
    <x v="0"/>
    <x v="0"/>
    <s v="XL"/>
    <x v="5"/>
    <n v="137.16"/>
    <n v="0"/>
    <n v="137.16"/>
    <d v="2025-04-02T00:00:00"/>
    <n v="34"/>
    <x v="30"/>
    <x v="0"/>
    <x v="0"/>
    <n v="154"/>
    <n v="0"/>
    <s v=""/>
  </r>
  <r>
    <s v="FB001069"/>
    <x v="1"/>
    <x v="2"/>
    <x v="1"/>
    <s v="M"/>
    <x v="3"/>
    <n v="119.29"/>
    <n v="0"/>
    <n v="119.29"/>
    <d v="2025-08-06T00:00:00"/>
    <n v="3"/>
    <x v="4"/>
    <x v="0"/>
    <x v="0"/>
    <n v="28"/>
    <n v="0"/>
    <s v=""/>
  </r>
  <r>
    <s v="FB001070"/>
    <x v="1"/>
    <x v="3"/>
    <x v="0"/>
    <s v="M"/>
    <x v="8"/>
    <n v="104.09"/>
    <n v="0"/>
    <n v="104.09"/>
    <d v="2024-12-21T00:00:00"/>
    <n v="29"/>
    <x v="60"/>
    <x v="0"/>
    <x v="0"/>
    <n v="256"/>
    <n v="0"/>
    <s v=""/>
  </r>
  <r>
    <s v="FB001071"/>
    <x v="5"/>
    <x v="2"/>
    <x v="2"/>
    <m/>
    <x v="1"/>
    <n v="73.069999999999993"/>
    <n v="0"/>
    <n v="73.069999999999993"/>
    <d v="2025-08-06T00:00:00"/>
    <n v="5"/>
    <x v="36"/>
    <x v="0"/>
    <x v="0"/>
    <n v="28"/>
    <n v="0"/>
    <s v=""/>
  </r>
  <r>
    <s v="FB001072"/>
    <x v="4"/>
    <x v="0"/>
    <x v="2"/>
    <s v="XXL"/>
    <x v="6"/>
    <n v="76.94"/>
    <n v="7.6"/>
    <n v="71.09"/>
    <d v="2025-08-06T00:00:00"/>
    <n v="20"/>
    <x v="17"/>
    <x v="0"/>
    <x v="0"/>
    <n v="28"/>
    <n v="152"/>
    <s v=""/>
  </r>
  <r>
    <s v="FB001073"/>
    <x v="4"/>
    <x v="7"/>
    <x v="1"/>
    <s v="XL"/>
    <x v="7"/>
    <n v="119.92"/>
    <n v="0"/>
    <n v="119.92"/>
    <d v="2025-08-06T00:00:00"/>
    <n v="37"/>
    <x v="64"/>
    <x v="0"/>
    <x v="0"/>
    <n v="28"/>
    <n v="0"/>
    <s v=""/>
  </r>
  <r>
    <s v="FB001074"/>
    <x v="0"/>
    <x v="5"/>
    <x v="1"/>
    <s v="XS"/>
    <x v="3"/>
    <n v="116.49"/>
    <n v="0"/>
    <n v="116.49"/>
    <d v="2025-08-06T00:00:00"/>
    <n v="17"/>
    <x v="31"/>
    <x v="1"/>
    <x v="3"/>
    <n v="28"/>
    <n v="0"/>
    <n v="1"/>
  </r>
  <r>
    <s v="FB001075"/>
    <x v="3"/>
    <x v="6"/>
    <x v="2"/>
    <s v="XL"/>
    <x v="1"/>
    <n v="179.59"/>
    <n v="14.7"/>
    <n v="153.19"/>
    <d v="2025-08-06T00:00:00"/>
    <n v="47"/>
    <x v="5"/>
    <x v="0"/>
    <x v="0"/>
    <n v="28"/>
    <n v="690.9"/>
    <s v=""/>
  </r>
  <r>
    <s v="FB001076"/>
    <x v="2"/>
    <x v="1"/>
    <x v="1"/>
    <m/>
    <x v="2"/>
    <n v="33.799999999999997"/>
    <n v="0"/>
    <n v="33.799999999999997"/>
    <d v="2025-08-06T00:00:00"/>
    <n v="34"/>
    <x v="51"/>
    <x v="0"/>
    <x v="0"/>
    <n v="28"/>
    <n v="0"/>
    <s v=""/>
  </r>
  <r>
    <s v="FB001077"/>
    <x v="1"/>
    <x v="1"/>
    <x v="2"/>
    <s v="L"/>
    <x v="7"/>
    <n v="41.57"/>
    <n v="3.3"/>
    <n v="40.200000000000003"/>
    <d v="2025-08-06T00:00:00"/>
    <n v="5"/>
    <x v="5"/>
    <x v="0"/>
    <x v="0"/>
    <n v="28"/>
    <n v="16.5"/>
    <s v=""/>
  </r>
  <r>
    <s v="FB001078"/>
    <x v="3"/>
    <x v="7"/>
    <x v="0"/>
    <s v="XL"/>
    <x v="9"/>
    <n v="139.1"/>
    <n v="47"/>
    <n v="73.72"/>
    <d v="2025-01-04T00:00:00"/>
    <n v="6"/>
    <x v="10"/>
    <x v="0"/>
    <x v="0"/>
    <n v="242"/>
    <n v="282"/>
    <s v=""/>
  </r>
  <r>
    <s v="FB001079"/>
    <x v="5"/>
    <x v="3"/>
    <x v="2"/>
    <s v="L"/>
    <x v="1"/>
    <n v="102.04"/>
    <n v="0"/>
    <n v="102.04"/>
    <d v="2025-08-06T00:00:00"/>
    <n v="34"/>
    <x v="10"/>
    <x v="0"/>
    <x v="0"/>
    <n v="28"/>
    <n v="0"/>
    <s v=""/>
  </r>
  <r>
    <s v="FB001080"/>
    <x v="4"/>
    <x v="6"/>
    <x v="2"/>
    <s v="XXL"/>
    <x v="8"/>
    <n v="47.25"/>
    <n v="54.2"/>
    <n v="21.64"/>
    <d v="2025-08-06T00:00:00"/>
    <n v="4"/>
    <x v="26"/>
    <x v="0"/>
    <x v="0"/>
    <n v="28"/>
    <n v="216.8"/>
    <s v=""/>
  </r>
  <r>
    <s v="FB001081"/>
    <x v="5"/>
    <x v="1"/>
    <x v="3"/>
    <s v="XS"/>
    <x v="3"/>
    <n v="55.08"/>
    <n v="0"/>
    <n v="55.08"/>
    <d v="2025-08-06T00:00:00"/>
    <n v="48"/>
    <x v="16"/>
    <x v="0"/>
    <x v="0"/>
    <n v="28"/>
    <n v="0"/>
    <s v=""/>
  </r>
  <r>
    <s v="FB001082"/>
    <x v="0"/>
    <x v="7"/>
    <x v="1"/>
    <s v="L"/>
    <x v="6"/>
    <n v="88.32"/>
    <n v="54.8"/>
    <n v="39.92"/>
    <d v="2025-08-06T00:00:00"/>
    <n v="36"/>
    <x v="47"/>
    <x v="0"/>
    <x v="0"/>
    <n v="28"/>
    <n v="1972.8"/>
    <s v=""/>
  </r>
  <r>
    <s v="FB001083"/>
    <x v="4"/>
    <x v="3"/>
    <x v="2"/>
    <s v="M"/>
    <x v="0"/>
    <n v="74.900000000000006"/>
    <n v="16.8"/>
    <n v="62.32"/>
    <d v="2025-08-06T00:00:00"/>
    <n v="13"/>
    <x v="18"/>
    <x v="1"/>
    <x v="1"/>
    <n v="28"/>
    <n v="218.4"/>
    <n v="1"/>
  </r>
  <r>
    <s v="FB001084"/>
    <x v="4"/>
    <x v="3"/>
    <x v="1"/>
    <s v="M"/>
    <x v="3"/>
    <n v="69.88"/>
    <n v="57.4"/>
    <n v="29.77"/>
    <d v="2025-08-06T00:00:00"/>
    <n v="30"/>
    <x v="36"/>
    <x v="0"/>
    <x v="0"/>
    <n v="28"/>
    <n v="1722"/>
    <s v=""/>
  </r>
  <r>
    <s v="FB001085"/>
    <x v="3"/>
    <x v="1"/>
    <x v="2"/>
    <s v="S"/>
    <x v="4"/>
    <n v="142.83000000000001"/>
    <n v="0"/>
    <n v="142.83000000000001"/>
    <d v="2025-08-06T00:00:00"/>
    <n v="25"/>
    <x v="15"/>
    <x v="0"/>
    <x v="0"/>
    <n v="28"/>
    <n v="0"/>
    <s v=""/>
  </r>
  <r>
    <s v="FB001086"/>
    <x v="3"/>
    <x v="0"/>
    <x v="2"/>
    <m/>
    <x v="9"/>
    <n v="140.16999999999999"/>
    <n v="0"/>
    <n v="140.16999999999999"/>
    <d v="2025-08-06T00:00:00"/>
    <n v="43"/>
    <x v="47"/>
    <x v="0"/>
    <x v="0"/>
    <n v="28"/>
    <n v="0"/>
    <s v=""/>
  </r>
  <r>
    <s v="FB001087"/>
    <x v="1"/>
    <x v="6"/>
    <x v="1"/>
    <s v="M"/>
    <x v="10"/>
    <n v="106.11"/>
    <n v="33.799999999999997"/>
    <n v="70.239999999999995"/>
    <d v="2025-08-06T00:00:00"/>
    <n v="15"/>
    <x v="35"/>
    <x v="0"/>
    <x v="0"/>
    <n v="28"/>
    <n v="506.99999999999994"/>
    <s v=""/>
  </r>
  <r>
    <s v="FB001088"/>
    <x v="5"/>
    <x v="4"/>
    <x v="3"/>
    <s v="XS"/>
    <x v="1"/>
    <n v="53.23"/>
    <n v="0"/>
    <n v="53.23"/>
    <d v="2025-08-06T00:00:00"/>
    <n v="41"/>
    <x v="32"/>
    <x v="1"/>
    <x v="1"/>
    <n v="28"/>
    <n v="0"/>
    <n v="1"/>
  </r>
  <r>
    <s v="FB001089"/>
    <x v="0"/>
    <x v="2"/>
    <x v="0"/>
    <s v="XXL"/>
    <x v="2"/>
    <n v="92.25"/>
    <n v="0"/>
    <n v="92.25"/>
    <d v="2025-05-28T00:00:00"/>
    <n v="22"/>
    <x v="31"/>
    <x v="1"/>
    <x v="6"/>
    <n v="98"/>
    <n v="0"/>
    <n v="1"/>
  </r>
  <r>
    <s v="FB001090"/>
    <x v="2"/>
    <x v="5"/>
    <x v="3"/>
    <m/>
    <x v="10"/>
    <n v="39.17"/>
    <n v="0"/>
    <n v="39.17"/>
    <d v="2025-08-06T00:00:00"/>
    <n v="4"/>
    <x v="15"/>
    <x v="1"/>
    <x v="1"/>
    <n v="28"/>
    <n v="0"/>
    <n v="1"/>
  </r>
  <r>
    <s v="FB001091"/>
    <x v="2"/>
    <x v="6"/>
    <x v="0"/>
    <m/>
    <x v="3"/>
    <n v="72.83"/>
    <n v="0"/>
    <n v="72.83"/>
    <d v="2024-11-26T00:00:00"/>
    <n v="6"/>
    <x v="66"/>
    <x v="0"/>
    <x v="0"/>
    <n v="281"/>
    <n v="0"/>
    <s v=""/>
  </r>
  <r>
    <s v="FB001092"/>
    <x v="4"/>
    <x v="7"/>
    <x v="1"/>
    <s v="S"/>
    <x v="10"/>
    <n v="29.73"/>
    <n v="28.7"/>
    <n v="21.2"/>
    <d v="2025-08-06T00:00:00"/>
    <n v="37"/>
    <x v="1"/>
    <x v="0"/>
    <x v="0"/>
    <n v="28"/>
    <n v="1061.8999999999999"/>
    <s v=""/>
  </r>
  <r>
    <s v="FB001093"/>
    <x v="5"/>
    <x v="3"/>
    <x v="1"/>
    <s v="XL"/>
    <x v="2"/>
    <n v="144.1"/>
    <n v="0"/>
    <n v="144.1"/>
    <d v="2025-08-06T00:00:00"/>
    <n v="36"/>
    <x v="1"/>
    <x v="0"/>
    <x v="0"/>
    <n v="28"/>
    <n v="0"/>
    <s v=""/>
  </r>
  <r>
    <s v="FB001094"/>
    <x v="5"/>
    <x v="4"/>
    <x v="3"/>
    <s v="XL"/>
    <x v="10"/>
    <n v="109.23"/>
    <n v="10.8"/>
    <n v="97.43"/>
    <d v="2025-08-06T00:00:00"/>
    <n v="38"/>
    <x v="31"/>
    <x v="0"/>
    <x v="0"/>
    <n v="28"/>
    <n v="410.40000000000003"/>
    <s v=""/>
  </r>
  <r>
    <s v="FB001095"/>
    <x v="0"/>
    <x v="3"/>
    <x v="1"/>
    <s v="XL"/>
    <x v="1"/>
    <n v="180.65"/>
    <n v="17.5"/>
    <n v="149.04"/>
    <d v="2025-08-06T00:00:00"/>
    <n v="41"/>
    <x v="40"/>
    <x v="0"/>
    <x v="0"/>
    <n v="28"/>
    <n v="717.5"/>
    <s v=""/>
  </r>
  <r>
    <s v="FB001096"/>
    <x v="0"/>
    <x v="2"/>
    <x v="0"/>
    <s v="M"/>
    <x v="6"/>
    <n v="129.24"/>
    <n v="46.2"/>
    <n v="69.53"/>
    <d v="2025-03-27T00:00:00"/>
    <n v="28"/>
    <x v="53"/>
    <x v="0"/>
    <x v="0"/>
    <n v="160"/>
    <n v="1293.6000000000001"/>
    <s v=""/>
  </r>
  <r>
    <s v="FB001097"/>
    <x v="3"/>
    <x v="6"/>
    <x v="3"/>
    <s v="XS"/>
    <x v="5"/>
    <n v="195.67"/>
    <n v="47.1"/>
    <n v="103.51"/>
    <d v="2025-08-06T00:00:00"/>
    <n v="36"/>
    <x v="30"/>
    <x v="0"/>
    <x v="0"/>
    <n v="28"/>
    <n v="1695.6000000000001"/>
    <s v=""/>
  </r>
  <r>
    <s v="FB001098"/>
    <x v="2"/>
    <x v="2"/>
    <x v="1"/>
    <m/>
    <x v="8"/>
    <n v="65.64"/>
    <n v="20.7"/>
    <n v="52.05"/>
    <d v="2025-08-06T00:00:00"/>
    <n v="20"/>
    <x v="3"/>
    <x v="0"/>
    <x v="0"/>
    <n v="28"/>
    <n v="414"/>
    <s v=""/>
  </r>
  <r>
    <s v="FB001099"/>
    <x v="4"/>
    <x v="4"/>
    <x v="0"/>
    <s v="XS"/>
    <x v="9"/>
    <n v="113.18"/>
    <n v="0"/>
    <n v="113.18"/>
    <d v="2025-04-02T00:00:00"/>
    <n v="3"/>
    <x v="26"/>
    <x v="0"/>
    <x v="0"/>
    <n v="154"/>
    <n v="0"/>
    <s v=""/>
  </r>
  <r>
    <s v="FB001100"/>
    <x v="3"/>
    <x v="5"/>
    <x v="2"/>
    <s v="XL"/>
    <x v="7"/>
    <n v="173.69"/>
    <n v="0"/>
    <n v="173.69"/>
    <d v="2025-08-06T00:00:00"/>
    <n v="25"/>
    <x v="20"/>
    <x v="0"/>
    <x v="0"/>
    <n v="28"/>
    <n v="0"/>
    <s v=""/>
  </r>
  <r>
    <s v="FB001101"/>
    <x v="0"/>
    <x v="0"/>
    <x v="2"/>
    <s v="S"/>
    <x v="4"/>
    <n v="156.54"/>
    <n v="0"/>
    <n v="156.54"/>
    <d v="2025-08-06T00:00:00"/>
    <n v="23"/>
    <x v="34"/>
    <x v="0"/>
    <x v="0"/>
    <n v="28"/>
    <n v="0"/>
    <s v=""/>
  </r>
  <r>
    <s v="FB001102"/>
    <x v="5"/>
    <x v="4"/>
    <x v="0"/>
    <s v="XL"/>
    <x v="10"/>
    <n v="103.78"/>
    <n v="39"/>
    <n v="63.31"/>
    <d v="2024-10-12T00:00:00"/>
    <n v="5"/>
    <x v="87"/>
    <x v="0"/>
    <x v="0"/>
    <n v="326"/>
    <n v="195"/>
    <s v=""/>
  </r>
  <r>
    <s v="FB001103"/>
    <x v="2"/>
    <x v="6"/>
    <x v="2"/>
    <m/>
    <x v="2"/>
    <n v="79.599999999999994"/>
    <n v="0"/>
    <n v="79.599999999999994"/>
    <d v="2025-08-06T00:00:00"/>
    <n v="22"/>
    <x v="80"/>
    <x v="0"/>
    <x v="0"/>
    <n v="28"/>
    <n v="0"/>
    <s v=""/>
  </r>
  <r>
    <s v="FB001104"/>
    <x v="2"/>
    <x v="5"/>
    <x v="2"/>
    <m/>
    <x v="7"/>
    <n v="34.18"/>
    <n v="18.899999999999999"/>
    <n v="27.72"/>
    <d v="2025-08-06T00:00:00"/>
    <n v="50"/>
    <x v="20"/>
    <x v="0"/>
    <x v="0"/>
    <n v="28"/>
    <n v="944.99999999999989"/>
    <s v=""/>
  </r>
  <r>
    <s v="FB001105"/>
    <x v="4"/>
    <x v="6"/>
    <x v="1"/>
    <s v="XXL"/>
    <x v="5"/>
    <n v="58.44"/>
    <n v="0"/>
    <n v="58.44"/>
    <d v="2025-08-06T00:00:00"/>
    <n v="3"/>
    <x v="3"/>
    <x v="1"/>
    <x v="6"/>
    <n v="28"/>
    <n v="0"/>
    <n v="1"/>
  </r>
  <r>
    <s v="FB001106"/>
    <x v="2"/>
    <x v="0"/>
    <x v="3"/>
    <m/>
    <x v="8"/>
    <n v="30.62"/>
    <n v="0"/>
    <n v="30.62"/>
    <d v="2025-08-06T00:00:00"/>
    <n v="31"/>
    <x v="0"/>
    <x v="1"/>
    <x v="3"/>
    <n v="28"/>
    <n v="0"/>
    <n v="1"/>
  </r>
  <r>
    <s v="FB001107"/>
    <x v="0"/>
    <x v="1"/>
    <x v="2"/>
    <s v="XXL"/>
    <x v="9"/>
    <n v="213.94"/>
    <n v="0"/>
    <n v="213.94"/>
    <d v="2025-08-06T00:00:00"/>
    <n v="16"/>
    <x v="52"/>
    <x v="0"/>
    <x v="0"/>
    <n v="28"/>
    <n v="0"/>
    <s v=""/>
  </r>
  <r>
    <s v="FB001108"/>
    <x v="4"/>
    <x v="7"/>
    <x v="2"/>
    <s v="XL"/>
    <x v="1"/>
    <n v="29.31"/>
    <n v="0"/>
    <n v="29.31"/>
    <d v="2025-08-06T00:00:00"/>
    <n v="25"/>
    <x v="14"/>
    <x v="1"/>
    <x v="5"/>
    <n v="28"/>
    <n v="0"/>
    <n v="1"/>
  </r>
  <r>
    <s v="FB001109"/>
    <x v="1"/>
    <x v="7"/>
    <x v="0"/>
    <s v="M"/>
    <x v="0"/>
    <n v="49.12"/>
    <n v="0"/>
    <n v="49.12"/>
    <d v="2025-06-28T00:00:00"/>
    <n v="47"/>
    <x v="86"/>
    <x v="0"/>
    <x v="0"/>
    <n v="67"/>
    <n v="0"/>
    <s v=""/>
  </r>
  <r>
    <s v="FB001110"/>
    <x v="4"/>
    <x v="2"/>
    <x v="2"/>
    <m/>
    <x v="9"/>
    <n v="113.23"/>
    <n v="0"/>
    <n v="113.23"/>
    <d v="2025-08-06T00:00:00"/>
    <n v="13"/>
    <x v="17"/>
    <x v="0"/>
    <x v="0"/>
    <n v="28"/>
    <n v="0"/>
    <s v=""/>
  </r>
  <r>
    <s v="FB001111"/>
    <x v="0"/>
    <x v="2"/>
    <x v="0"/>
    <s v="XXL"/>
    <x v="10"/>
    <n v="103.65"/>
    <n v="0"/>
    <n v="103.65"/>
    <d v="2024-11-16T00:00:00"/>
    <n v="4"/>
    <x v="50"/>
    <x v="0"/>
    <x v="0"/>
    <n v="291"/>
    <n v="0"/>
    <s v=""/>
  </r>
  <r>
    <s v="FB001112"/>
    <x v="5"/>
    <x v="5"/>
    <x v="2"/>
    <m/>
    <x v="4"/>
    <n v="71.84"/>
    <n v="49.4"/>
    <n v="36.35"/>
    <d v="2025-08-06T00:00:00"/>
    <n v="25"/>
    <x v="62"/>
    <x v="0"/>
    <x v="0"/>
    <n v="28"/>
    <n v="1235"/>
    <s v=""/>
  </r>
  <r>
    <s v="FB001113"/>
    <x v="3"/>
    <x v="0"/>
    <x v="1"/>
    <s v="L"/>
    <x v="4"/>
    <n v="128.31"/>
    <n v="0"/>
    <n v="128.31"/>
    <d v="2025-08-06T00:00:00"/>
    <n v="36"/>
    <x v="30"/>
    <x v="1"/>
    <x v="5"/>
    <n v="28"/>
    <n v="0"/>
    <n v="1"/>
  </r>
  <r>
    <s v="FB001114"/>
    <x v="3"/>
    <x v="7"/>
    <x v="1"/>
    <s v="L"/>
    <x v="5"/>
    <n v="118.97"/>
    <n v="0"/>
    <n v="118.97"/>
    <d v="2025-08-06T00:00:00"/>
    <n v="45"/>
    <x v="22"/>
    <x v="0"/>
    <x v="0"/>
    <n v="28"/>
    <n v="0"/>
    <s v=""/>
  </r>
  <r>
    <s v="FB001115"/>
    <x v="4"/>
    <x v="0"/>
    <x v="1"/>
    <s v="S"/>
    <x v="0"/>
    <n v="31.98"/>
    <n v="16.5"/>
    <n v="26.7"/>
    <d v="2025-08-06T00:00:00"/>
    <n v="48"/>
    <x v="34"/>
    <x v="0"/>
    <x v="0"/>
    <n v="28"/>
    <n v="792"/>
    <s v=""/>
  </r>
  <r>
    <s v="FB001116"/>
    <x v="1"/>
    <x v="2"/>
    <x v="1"/>
    <s v="XXL"/>
    <x v="9"/>
    <n v="115.89"/>
    <n v="26.8"/>
    <n v="84.83"/>
    <d v="2025-08-06T00:00:00"/>
    <n v="26"/>
    <x v="14"/>
    <x v="0"/>
    <x v="0"/>
    <n v="28"/>
    <n v="696.80000000000007"/>
    <s v=""/>
  </r>
  <r>
    <s v="FB001117"/>
    <x v="5"/>
    <x v="5"/>
    <x v="2"/>
    <s v="XL"/>
    <x v="1"/>
    <n v="140.06"/>
    <n v="0"/>
    <n v="140.06"/>
    <d v="2025-08-06T00:00:00"/>
    <n v="37"/>
    <x v="39"/>
    <x v="0"/>
    <x v="0"/>
    <n v="28"/>
    <n v="0"/>
    <s v=""/>
  </r>
  <r>
    <s v="FB001118"/>
    <x v="3"/>
    <x v="3"/>
    <x v="2"/>
    <s v="XS"/>
    <x v="1"/>
    <n v="154.82"/>
    <n v="0"/>
    <n v="154.82"/>
    <d v="2025-08-06T00:00:00"/>
    <n v="10"/>
    <x v="16"/>
    <x v="0"/>
    <x v="0"/>
    <n v="28"/>
    <n v="0"/>
    <s v=""/>
  </r>
  <r>
    <s v="FB001119"/>
    <x v="5"/>
    <x v="1"/>
    <x v="1"/>
    <s v="XL"/>
    <x v="5"/>
    <n v="114.21"/>
    <n v="20.2"/>
    <n v="91.14"/>
    <d v="2025-08-06T00:00:00"/>
    <n v="5"/>
    <x v="66"/>
    <x v="1"/>
    <x v="6"/>
    <n v="28"/>
    <n v="101"/>
    <n v="1"/>
  </r>
  <r>
    <s v="FB001120"/>
    <x v="3"/>
    <x v="0"/>
    <x v="1"/>
    <s v="XL"/>
    <x v="5"/>
    <n v="114.84"/>
    <n v="0"/>
    <n v="114.84"/>
    <d v="2025-08-06T00:00:00"/>
    <n v="38"/>
    <x v="3"/>
    <x v="1"/>
    <x v="1"/>
    <n v="28"/>
    <n v="0"/>
    <n v="1"/>
  </r>
  <r>
    <s v="FB001121"/>
    <x v="5"/>
    <x v="3"/>
    <x v="1"/>
    <s v="XL"/>
    <x v="8"/>
    <n v="131.32"/>
    <n v="6.8"/>
    <n v="122.39"/>
    <d v="2025-08-06T00:00:00"/>
    <n v="18"/>
    <x v="66"/>
    <x v="0"/>
    <x v="0"/>
    <n v="28"/>
    <n v="122.39999999999999"/>
    <s v=""/>
  </r>
  <r>
    <s v="FB001122"/>
    <x v="1"/>
    <x v="3"/>
    <x v="2"/>
    <s v="S"/>
    <x v="1"/>
    <n v="91.41"/>
    <n v="32.1"/>
    <n v="62.07"/>
    <d v="2025-08-06T00:00:00"/>
    <n v="49"/>
    <x v="39"/>
    <x v="0"/>
    <x v="0"/>
    <n v="28"/>
    <n v="1572.9"/>
    <s v=""/>
  </r>
  <r>
    <s v="FB001123"/>
    <x v="0"/>
    <x v="6"/>
    <x v="2"/>
    <s v="XS"/>
    <x v="2"/>
    <n v="202.28"/>
    <n v="0"/>
    <n v="202.28"/>
    <d v="2025-08-06T00:00:00"/>
    <n v="4"/>
    <x v="37"/>
    <x v="0"/>
    <x v="0"/>
    <n v="28"/>
    <n v="0"/>
    <s v=""/>
  </r>
  <r>
    <s v="FB001124"/>
    <x v="4"/>
    <x v="7"/>
    <x v="2"/>
    <s v="M"/>
    <x v="0"/>
    <n v="119.63"/>
    <n v="0"/>
    <n v="119.63"/>
    <d v="2025-08-06T00:00:00"/>
    <n v="14"/>
    <x v="54"/>
    <x v="0"/>
    <x v="0"/>
    <n v="28"/>
    <n v="0"/>
    <s v=""/>
  </r>
  <r>
    <s v="FB001125"/>
    <x v="3"/>
    <x v="2"/>
    <x v="3"/>
    <s v="L"/>
    <x v="5"/>
    <n v="167.89"/>
    <n v="0"/>
    <n v="167.89"/>
    <d v="2025-08-06T00:00:00"/>
    <n v="12"/>
    <x v="50"/>
    <x v="0"/>
    <x v="0"/>
    <n v="28"/>
    <n v="0"/>
    <s v=""/>
  </r>
  <r>
    <s v="FB001126"/>
    <x v="3"/>
    <x v="1"/>
    <x v="0"/>
    <s v="XL"/>
    <x v="5"/>
    <n v="100.39"/>
    <n v="0"/>
    <n v="100.39"/>
    <d v="2025-03-07T00:00:00"/>
    <n v="24"/>
    <x v="53"/>
    <x v="1"/>
    <x v="4"/>
    <n v="180"/>
    <n v="0"/>
    <n v="1"/>
  </r>
  <r>
    <s v="FB001127"/>
    <x v="5"/>
    <x v="6"/>
    <x v="3"/>
    <s v="L"/>
    <x v="4"/>
    <n v="162.41999999999999"/>
    <n v="40.9"/>
    <n v="95.99"/>
    <d v="2025-08-06T00:00:00"/>
    <n v="32"/>
    <x v="50"/>
    <x v="0"/>
    <x v="0"/>
    <n v="28"/>
    <n v="1308.8"/>
    <s v=""/>
  </r>
  <r>
    <s v="FB001128"/>
    <x v="3"/>
    <x v="6"/>
    <x v="0"/>
    <s v="XS"/>
    <x v="4"/>
    <n v="65.069999999999993"/>
    <n v="5.0999999999999996"/>
    <n v="61.75"/>
    <d v="2025-01-17T00:00:00"/>
    <n v="16"/>
    <x v="2"/>
    <x v="0"/>
    <x v="0"/>
    <n v="229"/>
    <n v="81.599999999999994"/>
    <s v=""/>
  </r>
  <r>
    <s v="FB001129"/>
    <x v="4"/>
    <x v="7"/>
    <x v="0"/>
    <s v="XXL"/>
    <x v="0"/>
    <n v="78.099999999999994"/>
    <n v="48.7"/>
    <n v="40.07"/>
    <d v="2025-05-06T00:00:00"/>
    <n v="0"/>
    <x v="77"/>
    <x v="0"/>
    <x v="0"/>
    <n v="120"/>
    <n v="0"/>
    <s v=""/>
  </r>
  <r>
    <s v="FB001130"/>
    <x v="0"/>
    <x v="0"/>
    <x v="0"/>
    <s v="M"/>
    <x v="5"/>
    <n v="115.73"/>
    <n v="59.8"/>
    <n v="46.52"/>
    <d v="2024-09-28T00:00:00"/>
    <n v="10"/>
    <x v="36"/>
    <x v="0"/>
    <x v="0"/>
    <n v="340"/>
    <n v="598"/>
    <s v=""/>
  </r>
  <r>
    <s v="FB001131"/>
    <x v="2"/>
    <x v="5"/>
    <x v="2"/>
    <m/>
    <x v="8"/>
    <n v="21.57"/>
    <n v="11.9"/>
    <n v="19"/>
    <d v="2025-08-06T00:00:00"/>
    <n v="37"/>
    <x v="0"/>
    <x v="1"/>
    <x v="5"/>
    <n v="28"/>
    <n v="440.3"/>
    <n v="1"/>
  </r>
  <r>
    <s v="FB001132"/>
    <x v="5"/>
    <x v="2"/>
    <x v="2"/>
    <s v="S"/>
    <x v="10"/>
    <n v="75.849999999999994"/>
    <n v="50.3"/>
    <n v="37.700000000000003"/>
    <d v="2025-08-06T00:00:00"/>
    <n v="50"/>
    <x v="52"/>
    <x v="1"/>
    <x v="4"/>
    <n v="28"/>
    <n v="2515"/>
    <n v="1"/>
  </r>
  <r>
    <s v="FB001133"/>
    <x v="0"/>
    <x v="1"/>
    <x v="3"/>
    <s v="L"/>
    <x v="6"/>
    <n v="170.91"/>
    <n v="0"/>
    <n v="170.91"/>
    <d v="2025-08-06T00:00:00"/>
    <n v="36"/>
    <x v="6"/>
    <x v="1"/>
    <x v="4"/>
    <n v="28"/>
    <n v="0"/>
    <n v="1"/>
  </r>
  <r>
    <s v="FB001134"/>
    <x v="3"/>
    <x v="4"/>
    <x v="2"/>
    <s v="XL"/>
    <x v="3"/>
    <n v="94.06"/>
    <n v="22.4"/>
    <n v="72.989999999999995"/>
    <d v="2025-08-06T00:00:00"/>
    <n v="0"/>
    <x v="76"/>
    <x v="0"/>
    <x v="0"/>
    <n v="28"/>
    <n v="0"/>
    <s v=""/>
  </r>
  <r>
    <s v="FB001135"/>
    <x v="4"/>
    <x v="4"/>
    <x v="3"/>
    <s v="S"/>
    <x v="5"/>
    <n v="84.44"/>
    <n v="0"/>
    <n v="84.44"/>
    <d v="2025-08-06T00:00:00"/>
    <n v="2"/>
    <x v="21"/>
    <x v="0"/>
    <x v="0"/>
    <n v="28"/>
    <n v="0"/>
    <s v=""/>
  </r>
  <r>
    <s v="FB001136"/>
    <x v="0"/>
    <x v="0"/>
    <x v="3"/>
    <s v="XS"/>
    <x v="1"/>
    <n v="93.11"/>
    <n v="0"/>
    <n v="93.11"/>
    <d v="2025-08-06T00:00:00"/>
    <n v="43"/>
    <x v="32"/>
    <x v="0"/>
    <x v="0"/>
    <n v="28"/>
    <n v="0"/>
    <s v=""/>
  </r>
  <r>
    <s v="FB001137"/>
    <x v="1"/>
    <x v="0"/>
    <x v="1"/>
    <s v="S"/>
    <x v="5"/>
    <n v="84.85"/>
    <n v="8.8000000000000007"/>
    <n v="77.38"/>
    <d v="2025-08-06T00:00:00"/>
    <n v="19"/>
    <x v="16"/>
    <x v="1"/>
    <x v="5"/>
    <n v="28"/>
    <n v="167.20000000000002"/>
    <n v="1"/>
  </r>
  <r>
    <s v="FB001138"/>
    <x v="3"/>
    <x v="1"/>
    <x v="0"/>
    <s v="M"/>
    <x v="6"/>
    <n v="138.41"/>
    <n v="0"/>
    <n v="138.41"/>
    <d v="2024-11-17T00:00:00"/>
    <n v="40"/>
    <x v="47"/>
    <x v="0"/>
    <x v="0"/>
    <n v="290"/>
    <n v="0"/>
    <s v=""/>
  </r>
  <r>
    <s v="FB001139"/>
    <x v="2"/>
    <x v="0"/>
    <x v="2"/>
    <m/>
    <x v="1"/>
    <n v="20.190000000000001"/>
    <n v="21.6"/>
    <n v="15.83"/>
    <d v="2025-08-06T00:00:00"/>
    <n v="45"/>
    <x v="9"/>
    <x v="1"/>
    <x v="5"/>
    <n v="28"/>
    <n v="972.00000000000011"/>
    <n v="1"/>
  </r>
  <r>
    <s v="FB001140"/>
    <x v="5"/>
    <x v="2"/>
    <x v="2"/>
    <s v="M"/>
    <x v="4"/>
    <n v="124.17"/>
    <n v="37.6"/>
    <n v="77.48"/>
    <d v="2025-08-06T00:00:00"/>
    <n v="24"/>
    <x v="39"/>
    <x v="0"/>
    <x v="0"/>
    <n v="28"/>
    <n v="902.40000000000009"/>
    <s v=""/>
  </r>
  <r>
    <s v="FB001141"/>
    <x v="0"/>
    <x v="2"/>
    <x v="0"/>
    <s v="L"/>
    <x v="0"/>
    <n v="133.91999999999999"/>
    <n v="0"/>
    <n v="133.91999999999999"/>
    <d v="2025-04-13T00:00:00"/>
    <n v="41"/>
    <x v="32"/>
    <x v="0"/>
    <x v="0"/>
    <n v="143"/>
    <n v="0"/>
    <s v=""/>
  </r>
  <r>
    <s v="FB001142"/>
    <x v="2"/>
    <x v="2"/>
    <x v="0"/>
    <m/>
    <x v="4"/>
    <n v="77.78"/>
    <n v="0"/>
    <n v="77.78"/>
    <d v="2025-07-07T00:00:00"/>
    <n v="23"/>
    <x v="1"/>
    <x v="1"/>
    <x v="2"/>
    <n v="58"/>
    <n v="0"/>
    <n v="1"/>
  </r>
  <r>
    <s v="FB001143"/>
    <x v="5"/>
    <x v="3"/>
    <x v="1"/>
    <s v="XXL"/>
    <x v="10"/>
    <n v="157.69"/>
    <n v="35.9"/>
    <n v="101.08"/>
    <d v="2025-08-06T00:00:00"/>
    <n v="6"/>
    <x v="50"/>
    <x v="0"/>
    <x v="0"/>
    <n v="28"/>
    <n v="215.39999999999998"/>
    <s v=""/>
  </r>
  <r>
    <s v="FB001144"/>
    <x v="1"/>
    <x v="0"/>
    <x v="1"/>
    <s v="L"/>
    <x v="2"/>
    <n v="99.57"/>
    <n v="0"/>
    <n v="99.57"/>
    <d v="2025-08-06T00:00:00"/>
    <n v="17"/>
    <x v="50"/>
    <x v="0"/>
    <x v="0"/>
    <n v="28"/>
    <n v="0"/>
    <s v=""/>
  </r>
  <r>
    <s v="FB001145"/>
    <x v="2"/>
    <x v="0"/>
    <x v="3"/>
    <m/>
    <x v="10"/>
    <n v="43.61"/>
    <n v="33.299999999999997"/>
    <n v="29.09"/>
    <d v="2025-08-06T00:00:00"/>
    <n v="47"/>
    <x v="1"/>
    <x v="0"/>
    <x v="0"/>
    <n v="28"/>
    <n v="1565.1"/>
    <s v=""/>
  </r>
  <r>
    <s v="FB001146"/>
    <x v="0"/>
    <x v="6"/>
    <x v="1"/>
    <s v="M"/>
    <x v="10"/>
    <n v="88.87"/>
    <n v="0"/>
    <n v="88.87"/>
    <d v="2025-08-06T00:00:00"/>
    <n v="27"/>
    <x v="13"/>
    <x v="0"/>
    <x v="0"/>
    <n v="28"/>
    <n v="0"/>
    <s v=""/>
  </r>
  <r>
    <s v="FB001147"/>
    <x v="4"/>
    <x v="7"/>
    <x v="2"/>
    <s v="M"/>
    <x v="3"/>
    <n v="112.6"/>
    <n v="19.8"/>
    <n v="90.31"/>
    <d v="2025-08-06T00:00:00"/>
    <n v="2"/>
    <x v="50"/>
    <x v="0"/>
    <x v="0"/>
    <n v="28"/>
    <n v="39.6"/>
    <s v=""/>
  </r>
  <r>
    <s v="FB001148"/>
    <x v="1"/>
    <x v="1"/>
    <x v="2"/>
    <s v="XL"/>
    <x v="6"/>
    <n v="33.35"/>
    <n v="0"/>
    <n v="33.35"/>
    <d v="2025-08-06T00:00:00"/>
    <n v="29"/>
    <x v="19"/>
    <x v="0"/>
    <x v="0"/>
    <n v="28"/>
    <n v="0"/>
    <s v=""/>
  </r>
  <r>
    <s v="FB001149"/>
    <x v="4"/>
    <x v="7"/>
    <x v="2"/>
    <s v="L"/>
    <x v="8"/>
    <n v="115.82"/>
    <n v="2.9"/>
    <n v="112.46"/>
    <d v="2025-08-06T00:00:00"/>
    <n v="46"/>
    <x v="77"/>
    <x v="0"/>
    <x v="0"/>
    <n v="28"/>
    <n v="133.4"/>
    <s v=""/>
  </r>
  <r>
    <s v="FB001150"/>
    <x v="1"/>
    <x v="2"/>
    <x v="2"/>
    <s v="XL"/>
    <x v="3"/>
    <n v="107.79"/>
    <n v="3.1"/>
    <n v="104.45"/>
    <d v="2025-08-06T00:00:00"/>
    <n v="6"/>
    <x v="32"/>
    <x v="0"/>
    <x v="0"/>
    <n v="28"/>
    <n v="18.600000000000001"/>
    <s v=""/>
  </r>
  <r>
    <s v="FB001151"/>
    <x v="1"/>
    <x v="4"/>
    <x v="3"/>
    <s v="S"/>
    <x v="3"/>
    <n v="53.87"/>
    <n v="0"/>
    <n v="53.87"/>
    <d v="2025-08-06T00:00:00"/>
    <n v="50"/>
    <x v="36"/>
    <x v="1"/>
    <x v="3"/>
    <n v="28"/>
    <n v="0"/>
    <n v="1"/>
  </r>
  <r>
    <s v="FB001152"/>
    <x v="1"/>
    <x v="6"/>
    <x v="0"/>
    <s v="XS"/>
    <x v="6"/>
    <n v="72.5"/>
    <n v="40.799999999999997"/>
    <n v="42.92"/>
    <d v="2024-12-30T00:00:00"/>
    <n v="23"/>
    <x v="9"/>
    <x v="0"/>
    <x v="0"/>
    <n v="247"/>
    <n v="938.4"/>
    <s v=""/>
  </r>
  <r>
    <s v="FB001153"/>
    <x v="3"/>
    <x v="6"/>
    <x v="0"/>
    <s v="S"/>
    <x v="4"/>
    <n v="152.32"/>
    <n v="0"/>
    <n v="152.32"/>
    <d v="2025-06-09T00:00:00"/>
    <n v="15"/>
    <x v="23"/>
    <x v="0"/>
    <x v="0"/>
    <n v="86"/>
    <n v="0"/>
    <s v=""/>
  </r>
  <r>
    <s v="FB001154"/>
    <x v="5"/>
    <x v="4"/>
    <x v="1"/>
    <s v="M"/>
    <x v="0"/>
    <n v="67.63"/>
    <n v="0"/>
    <n v="67.63"/>
    <d v="2025-08-06T00:00:00"/>
    <n v="9"/>
    <x v="52"/>
    <x v="0"/>
    <x v="0"/>
    <n v="28"/>
    <n v="0"/>
    <s v=""/>
  </r>
  <r>
    <s v="FB001155"/>
    <x v="0"/>
    <x v="1"/>
    <x v="3"/>
    <s v="XS"/>
    <x v="9"/>
    <n v="221.94"/>
    <n v="0"/>
    <n v="221.94"/>
    <d v="2025-08-06T00:00:00"/>
    <n v="35"/>
    <x v="25"/>
    <x v="0"/>
    <x v="0"/>
    <n v="28"/>
    <n v="0"/>
    <s v=""/>
  </r>
  <r>
    <s v="FB001156"/>
    <x v="4"/>
    <x v="0"/>
    <x v="2"/>
    <s v="XS"/>
    <x v="1"/>
    <n v="118.77"/>
    <n v="8.4"/>
    <n v="108.79"/>
    <d v="2025-08-06T00:00:00"/>
    <n v="30"/>
    <x v="14"/>
    <x v="1"/>
    <x v="6"/>
    <n v="28"/>
    <n v="252"/>
    <n v="1"/>
  </r>
  <r>
    <s v="FB001157"/>
    <x v="1"/>
    <x v="7"/>
    <x v="2"/>
    <s v="XS"/>
    <x v="6"/>
    <n v="100.17"/>
    <n v="0"/>
    <n v="100.17"/>
    <d v="2025-08-06T00:00:00"/>
    <n v="18"/>
    <x v="19"/>
    <x v="0"/>
    <x v="0"/>
    <n v="28"/>
    <n v="0"/>
    <s v=""/>
  </r>
  <r>
    <s v="FB001158"/>
    <x v="2"/>
    <x v="2"/>
    <x v="3"/>
    <m/>
    <x v="3"/>
    <n v="18.45"/>
    <n v="0"/>
    <n v="18.45"/>
    <d v="2025-08-06T00:00:00"/>
    <n v="39"/>
    <x v="81"/>
    <x v="0"/>
    <x v="0"/>
    <n v="28"/>
    <n v="0"/>
    <s v=""/>
  </r>
  <r>
    <s v="FB001159"/>
    <x v="2"/>
    <x v="6"/>
    <x v="3"/>
    <m/>
    <x v="9"/>
    <n v="45.56"/>
    <n v="13.5"/>
    <n v="39.409999999999997"/>
    <d v="2025-08-06T00:00:00"/>
    <n v="40"/>
    <x v="53"/>
    <x v="0"/>
    <x v="0"/>
    <n v="28"/>
    <n v="540"/>
    <s v=""/>
  </r>
  <r>
    <s v="FB001160"/>
    <x v="1"/>
    <x v="1"/>
    <x v="0"/>
    <s v="S"/>
    <x v="9"/>
    <n v="62.21"/>
    <n v="0"/>
    <n v="62.21"/>
    <d v="2025-07-23T00:00:00"/>
    <n v="38"/>
    <x v="3"/>
    <x v="0"/>
    <x v="0"/>
    <n v="42"/>
    <n v="0"/>
    <s v=""/>
  </r>
  <r>
    <s v="FB001161"/>
    <x v="2"/>
    <x v="7"/>
    <x v="1"/>
    <m/>
    <x v="5"/>
    <n v="37.020000000000003"/>
    <n v="0"/>
    <n v="37.020000000000003"/>
    <d v="2025-08-06T00:00:00"/>
    <n v="12"/>
    <x v="2"/>
    <x v="0"/>
    <x v="0"/>
    <n v="28"/>
    <n v="0"/>
    <s v=""/>
  </r>
  <r>
    <s v="FB001162"/>
    <x v="5"/>
    <x v="0"/>
    <x v="3"/>
    <s v="XL"/>
    <x v="7"/>
    <n v="51.86"/>
    <n v="39"/>
    <n v="31.63"/>
    <d v="2025-08-06T00:00:00"/>
    <n v="40"/>
    <x v="13"/>
    <x v="0"/>
    <x v="0"/>
    <n v="28"/>
    <n v="1560"/>
    <s v=""/>
  </r>
  <r>
    <s v="FB001163"/>
    <x v="5"/>
    <x v="0"/>
    <x v="0"/>
    <s v="XS"/>
    <x v="9"/>
    <n v="76.239999999999995"/>
    <n v="0"/>
    <n v="76.239999999999995"/>
    <d v="2025-01-07T00:00:00"/>
    <n v="14"/>
    <x v="32"/>
    <x v="0"/>
    <x v="0"/>
    <n v="239"/>
    <n v="0"/>
    <s v=""/>
  </r>
  <r>
    <s v="FB001164"/>
    <x v="2"/>
    <x v="0"/>
    <x v="2"/>
    <m/>
    <x v="4"/>
    <n v="74.17"/>
    <n v="0"/>
    <n v="74.17"/>
    <d v="2025-08-06T00:00:00"/>
    <n v="24"/>
    <x v="12"/>
    <x v="0"/>
    <x v="0"/>
    <n v="28"/>
    <n v="0"/>
    <s v=""/>
  </r>
  <r>
    <s v="FB001165"/>
    <x v="4"/>
    <x v="7"/>
    <x v="0"/>
    <s v="L"/>
    <x v="7"/>
    <n v="75.989999999999995"/>
    <n v="0"/>
    <n v="75.989999999999995"/>
    <d v="2025-02-18T00:00:00"/>
    <n v="19"/>
    <x v="12"/>
    <x v="1"/>
    <x v="2"/>
    <n v="197"/>
    <n v="0"/>
    <n v="1"/>
  </r>
  <r>
    <s v="FB001166"/>
    <x v="4"/>
    <x v="4"/>
    <x v="1"/>
    <s v="XS"/>
    <x v="8"/>
    <n v="62.33"/>
    <n v="49.4"/>
    <n v="31.54"/>
    <d v="2025-08-06T00:00:00"/>
    <n v="46"/>
    <x v="15"/>
    <x v="0"/>
    <x v="0"/>
    <n v="28"/>
    <n v="2272.4"/>
    <s v=""/>
  </r>
  <r>
    <s v="FB001167"/>
    <x v="4"/>
    <x v="3"/>
    <x v="1"/>
    <s v="XXL"/>
    <x v="0"/>
    <n v="93.59"/>
    <n v="0"/>
    <n v="93.59"/>
    <d v="2025-08-06T00:00:00"/>
    <n v="38"/>
    <x v="42"/>
    <x v="0"/>
    <x v="0"/>
    <n v="28"/>
    <n v="0"/>
    <s v=""/>
  </r>
  <r>
    <s v="FB001168"/>
    <x v="1"/>
    <x v="7"/>
    <x v="2"/>
    <m/>
    <x v="5"/>
    <n v="72.83"/>
    <n v="35.700000000000003"/>
    <n v="46.83"/>
    <d v="2025-08-06T00:00:00"/>
    <n v="11"/>
    <x v="47"/>
    <x v="0"/>
    <x v="0"/>
    <n v="28"/>
    <n v="392.70000000000005"/>
    <s v=""/>
  </r>
  <r>
    <s v="FB001169"/>
    <x v="0"/>
    <x v="1"/>
    <x v="1"/>
    <s v="XXL"/>
    <x v="4"/>
    <n v="134.59"/>
    <n v="33.6"/>
    <n v="89.37"/>
    <d v="2025-08-06T00:00:00"/>
    <n v="42"/>
    <x v="5"/>
    <x v="0"/>
    <x v="0"/>
    <n v="28"/>
    <n v="1411.2"/>
    <s v=""/>
  </r>
  <r>
    <s v="FB001170"/>
    <x v="4"/>
    <x v="0"/>
    <x v="0"/>
    <m/>
    <x v="7"/>
    <n v="71.599999999999994"/>
    <n v="41.9"/>
    <n v="41.6"/>
    <d v="2025-04-12T00:00:00"/>
    <n v="16"/>
    <x v="32"/>
    <x v="0"/>
    <x v="0"/>
    <n v="144"/>
    <n v="670.4"/>
    <s v=""/>
  </r>
  <r>
    <s v="FB001171"/>
    <x v="3"/>
    <x v="5"/>
    <x v="3"/>
    <s v="XL"/>
    <x v="0"/>
    <n v="62.35"/>
    <n v="53.5"/>
    <n v="28.99"/>
    <d v="2025-08-06T00:00:00"/>
    <n v="1"/>
    <x v="16"/>
    <x v="0"/>
    <x v="0"/>
    <n v="28"/>
    <n v="53.5"/>
    <s v=""/>
  </r>
  <r>
    <s v="FB001172"/>
    <x v="0"/>
    <x v="5"/>
    <x v="0"/>
    <s v="XS"/>
    <x v="8"/>
    <n v="80.55"/>
    <n v="43.7"/>
    <n v="45.35"/>
    <d v="2024-10-21T00:00:00"/>
    <n v="41"/>
    <x v="51"/>
    <x v="1"/>
    <x v="5"/>
    <n v="317"/>
    <n v="1791.7"/>
    <n v="1"/>
  </r>
  <r>
    <s v="FB001173"/>
    <x v="3"/>
    <x v="2"/>
    <x v="1"/>
    <s v="M"/>
    <x v="7"/>
    <n v="171.48"/>
    <n v="0"/>
    <n v="171.48"/>
    <d v="2025-08-06T00:00:00"/>
    <n v="15"/>
    <x v="13"/>
    <x v="0"/>
    <x v="0"/>
    <n v="28"/>
    <n v="0"/>
    <s v=""/>
  </r>
  <r>
    <s v="FB001174"/>
    <x v="1"/>
    <x v="5"/>
    <x v="0"/>
    <s v="XL"/>
    <x v="8"/>
    <n v="30.81"/>
    <n v="15.7"/>
    <n v="25.97"/>
    <d v="2024-09-19T00:00:00"/>
    <n v="4"/>
    <x v="68"/>
    <x v="0"/>
    <x v="0"/>
    <n v="349"/>
    <n v="62.8"/>
    <s v=""/>
  </r>
  <r>
    <s v="FB001175"/>
    <x v="5"/>
    <x v="4"/>
    <x v="3"/>
    <s v="L"/>
    <x v="5"/>
    <n v="97.14"/>
    <n v="0"/>
    <n v="97.14"/>
    <d v="2025-08-06T00:00:00"/>
    <n v="20"/>
    <x v="16"/>
    <x v="0"/>
    <x v="0"/>
    <n v="28"/>
    <n v="0"/>
    <s v=""/>
  </r>
  <r>
    <s v="FB001176"/>
    <x v="3"/>
    <x v="7"/>
    <x v="2"/>
    <s v="S"/>
    <x v="3"/>
    <n v="128.27000000000001"/>
    <n v="0"/>
    <n v="128.27000000000001"/>
    <d v="2025-08-06T00:00:00"/>
    <n v="28"/>
    <x v="63"/>
    <x v="0"/>
    <x v="0"/>
    <n v="28"/>
    <n v="0"/>
    <s v=""/>
  </r>
  <r>
    <s v="FB001177"/>
    <x v="5"/>
    <x v="0"/>
    <x v="1"/>
    <s v="XL"/>
    <x v="6"/>
    <n v="174.86"/>
    <n v="0"/>
    <n v="174.86"/>
    <d v="2025-08-06T00:00:00"/>
    <n v="43"/>
    <x v="14"/>
    <x v="0"/>
    <x v="0"/>
    <n v="28"/>
    <n v="0"/>
    <s v=""/>
  </r>
  <r>
    <s v="FB001178"/>
    <x v="5"/>
    <x v="2"/>
    <x v="1"/>
    <s v="XL"/>
    <x v="3"/>
    <n v="100.03"/>
    <n v="0"/>
    <n v="100.03"/>
    <d v="2025-08-06T00:00:00"/>
    <n v="36"/>
    <x v="42"/>
    <x v="1"/>
    <x v="4"/>
    <n v="28"/>
    <n v="0"/>
    <n v="1"/>
  </r>
  <r>
    <s v="FB001179"/>
    <x v="5"/>
    <x v="0"/>
    <x v="1"/>
    <s v="S"/>
    <x v="9"/>
    <n v="49.89"/>
    <n v="0"/>
    <n v="49.89"/>
    <d v="2025-08-06T00:00:00"/>
    <n v="0"/>
    <x v="15"/>
    <x v="1"/>
    <x v="6"/>
    <n v="28"/>
    <n v="0"/>
    <n v="1"/>
  </r>
  <r>
    <s v="FB001180"/>
    <x v="3"/>
    <x v="4"/>
    <x v="2"/>
    <s v="XL"/>
    <x v="10"/>
    <n v="170.43"/>
    <n v="0"/>
    <n v="170.43"/>
    <d v="2025-08-06T00:00:00"/>
    <n v="22"/>
    <x v="76"/>
    <x v="0"/>
    <x v="0"/>
    <n v="28"/>
    <n v="0"/>
    <s v=""/>
  </r>
  <r>
    <s v="FB001181"/>
    <x v="0"/>
    <x v="6"/>
    <x v="3"/>
    <s v="XS"/>
    <x v="8"/>
    <n v="186.78"/>
    <n v="0"/>
    <n v="186.78"/>
    <d v="2025-08-06T00:00:00"/>
    <n v="22"/>
    <x v="5"/>
    <x v="0"/>
    <x v="0"/>
    <n v="28"/>
    <n v="0"/>
    <s v=""/>
  </r>
  <r>
    <s v="FB001182"/>
    <x v="2"/>
    <x v="7"/>
    <x v="2"/>
    <m/>
    <x v="8"/>
    <n v="63.98"/>
    <n v="0"/>
    <n v="63.98"/>
    <d v="2025-08-06T00:00:00"/>
    <n v="36"/>
    <x v="12"/>
    <x v="0"/>
    <x v="0"/>
    <n v="28"/>
    <n v="0"/>
    <s v=""/>
  </r>
  <r>
    <s v="FB001183"/>
    <x v="0"/>
    <x v="7"/>
    <x v="2"/>
    <s v="XS"/>
    <x v="8"/>
    <n v="225.64"/>
    <n v="0"/>
    <n v="225.64"/>
    <d v="2025-08-06T00:00:00"/>
    <n v="31"/>
    <x v="49"/>
    <x v="0"/>
    <x v="0"/>
    <n v="28"/>
    <n v="0"/>
    <s v=""/>
  </r>
  <r>
    <s v="FB001184"/>
    <x v="1"/>
    <x v="3"/>
    <x v="2"/>
    <s v="XS"/>
    <x v="3"/>
    <n v="115.29"/>
    <n v="13.9"/>
    <n v="99.26"/>
    <d v="2025-08-06T00:00:00"/>
    <n v="37"/>
    <x v="60"/>
    <x v="0"/>
    <x v="0"/>
    <n v="28"/>
    <n v="514.30000000000007"/>
    <s v=""/>
  </r>
  <r>
    <s v="FB001185"/>
    <x v="4"/>
    <x v="3"/>
    <x v="2"/>
    <s v="XS"/>
    <x v="3"/>
    <n v="92.59"/>
    <n v="0"/>
    <n v="92.59"/>
    <d v="2025-08-06T00:00:00"/>
    <n v="39"/>
    <x v="39"/>
    <x v="0"/>
    <x v="0"/>
    <n v="28"/>
    <n v="0"/>
    <s v=""/>
  </r>
  <r>
    <s v="FB001186"/>
    <x v="2"/>
    <x v="1"/>
    <x v="0"/>
    <m/>
    <x v="7"/>
    <n v="67.650000000000006"/>
    <n v="26.2"/>
    <n v="49.93"/>
    <d v="2025-05-28T00:00:00"/>
    <n v="23"/>
    <x v="12"/>
    <x v="0"/>
    <x v="0"/>
    <n v="98"/>
    <n v="602.6"/>
    <s v=""/>
  </r>
  <r>
    <s v="FB001187"/>
    <x v="0"/>
    <x v="5"/>
    <x v="0"/>
    <s v="L"/>
    <x v="3"/>
    <n v="128.91999999999999"/>
    <n v="0"/>
    <n v="128.91999999999999"/>
    <d v="2025-07-10T00:00:00"/>
    <n v="40"/>
    <x v="25"/>
    <x v="0"/>
    <x v="0"/>
    <n v="55"/>
    <n v="0"/>
    <s v=""/>
  </r>
  <r>
    <s v="FB001188"/>
    <x v="2"/>
    <x v="2"/>
    <x v="2"/>
    <m/>
    <x v="0"/>
    <n v="16.510000000000002"/>
    <n v="16.8"/>
    <n v="13.74"/>
    <d v="2025-08-06T00:00:00"/>
    <n v="47"/>
    <x v="19"/>
    <x v="0"/>
    <x v="0"/>
    <n v="28"/>
    <n v="789.6"/>
    <s v=""/>
  </r>
  <r>
    <s v="FB001189"/>
    <x v="3"/>
    <x v="2"/>
    <x v="1"/>
    <m/>
    <x v="4"/>
    <n v="173.66"/>
    <n v="42.7"/>
    <n v="99.51"/>
    <d v="2025-08-06T00:00:00"/>
    <n v="1"/>
    <x v="47"/>
    <x v="0"/>
    <x v="0"/>
    <n v="28"/>
    <n v="42.7"/>
    <s v=""/>
  </r>
  <r>
    <s v="FB001190"/>
    <x v="1"/>
    <x v="4"/>
    <x v="0"/>
    <s v="S"/>
    <x v="2"/>
    <n v="71.489999999999995"/>
    <n v="20.9"/>
    <n v="56.55"/>
    <d v="2025-01-12T00:00:00"/>
    <n v="33"/>
    <x v="49"/>
    <x v="0"/>
    <x v="0"/>
    <n v="234"/>
    <n v="689.69999999999993"/>
    <s v=""/>
  </r>
  <r>
    <s v="FB001191"/>
    <x v="0"/>
    <x v="1"/>
    <x v="2"/>
    <s v="XXL"/>
    <x v="4"/>
    <n v="230.81"/>
    <n v="24.3"/>
    <n v="174.72"/>
    <d v="2025-08-06T00:00:00"/>
    <n v="26"/>
    <x v="7"/>
    <x v="1"/>
    <x v="2"/>
    <n v="28"/>
    <n v="631.80000000000007"/>
    <n v="1"/>
  </r>
  <r>
    <s v="FB001192"/>
    <x v="3"/>
    <x v="4"/>
    <x v="0"/>
    <s v="XS"/>
    <x v="6"/>
    <n v="101"/>
    <n v="58.6"/>
    <n v="41.81"/>
    <d v="2025-07-04T00:00:00"/>
    <n v="44"/>
    <x v="19"/>
    <x v="0"/>
    <x v="0"/>
    <n v="61"/>
    <n v="2578.4"/>
    <s v=""/>
  </r>
  <r>
    <s v="FB001193"/>
    <x v="0"/>
    <x v="3"/>
    <x v="1"/>
    <s v="XXL"/>
    <x v="10"/>
    <n v="116.37"/>
    <n v="52.6"/>
    <n v="55.16"/>
    <d v="2025-08-06T00:00:00"/>
    <n v="43"/>
    <x v="13"/>
    <x v="0"/>
    <x v="0"/>
    <n v="28"/>
    <n v="2261.8000000000002"/>
    <s v=""/>
  </r>
  <r>
    <s v="FB001194"/>
    <x v="3"/>
    <x v="4"/>
    <x v="0"/>
    <s v="L"/>
    <x v="7"/>
    <n v="150.28"/>
    <n v="8.3000000000000007"/>
    <n v="137.81"/>
    <d v="2025-01-22T00:00:00"/>
    <n v="48"/>
    <x v="5"/>
    <x v="0"/>
    <x v="0"/>
    <n v="224"/>
    <n v="398.40000000000003"/>
    <s v=""/>
  </r>
  <r>
    <s v="FB001195"/>
    <x v="0"/>
    <x v="0"/>
    <x v="1"/>
    <s v="XL"/>
    <x v="4"/>
    <n v="107.81"/>
    <n v="0"/>
    <n v="107.81"/>
    <d v="2025-08-06T00:00:00"/>
    <n v="15"/>
    <x v="67"/>
    <x v="0"/>
    <x v="0"/>
    <n v="28"/>
    <n v="0"/>
    <s v=""/>
  </r>
  <r>
    <s v="FB001196"/>
    <x v="5"/>
    <x v="0"/>
    <x v="0"/>
    <s v="L"/>
    <x v="8"/>
    <n v="61.24"/>
    <n v="0"/>
    <n v="61.24"/>
    <d v="2025-04-05T00:00:00"/>
    <n v="3"/>
    <x v="75"/>
    <x v="0"/>
    <x v="0"/>
    <n v="151"/>
    <n v="0"/>
    <s v=""/>
  </r>
  <r>
    <s v="FB001197"/>
    <x v="2"/>
    <x v="0"/>
    <x v="1"/>
    <m/>
    <x v="6"/>
    <n v="34.04"/>
    <n v="0"/>
    <n v="34.04"/>
    <d v="2025-08-06T00:00:00"/>
    <n v="3"/>
    <x v="42"/>
    <x v="0"/>
    <x v="0"/>
    <n v="28"/>
    <n v="0"/>
    <s v=""/>
  </r>
  <r>
    <s v="FB001198"/>
    <x v="5"/>
    <x v="6"/>
    <x v="3"/>
    <s v="S"/>
    <x v="10"/>
    <n v="168.16"/>
    <n v="45.9"/>
    <n v="90.97"/>
    <d v="2025-08-06T00:00:00"/>
    <n v="44"/>
    <x v="25"/>
    <x v="0"/>
    <x v="0"/>
    <n v="28"/>
    <n v="2019.6"/>
    <s v=""/>
  </r>
  <r>
    <s v="FB001199"/>
    <x v="1"/>
    <x v="5"/>
    <x v="2"/>
    <s v="M"/>
    <x v="0"/>
    <n v="74.069999999999993"/>
    <n v="0"/>
    <n v="74.069999999999993"/>
    <d v="2025-08-06T00:00:00"/>
    <n v="47"/>
    <x v="40"/>
    <x v="0"/>
    <x v="0"/>
    <n v="28"/>
    <n v="0"/>
    <s v=""/>
  </r>
  <r>
    <s v="FB001200"/>
    <x v="1"/>
    <x v="7"/>
    <x v="1"/>
    <s v="XXL"/>
    <x v="10"/>
    <n v="84.75"/>
    <n v="0"/>
    <n v="84.75"/>
    <d v="2025-08-06T00:00:00"/>
    <n v="7"/>
    <x v="1"/>
    <x v="0"/>
    <x v="0"/>
    <n v="28"/>
    <n v="0"/>
    <s v=""/>
  </r>
  <r>
    <s v="FB001201"/>
    <x v="3"/>
    <x v="3"/>
    <x v="3"/>
    <s v="M"/>
    <x v="0"/>
    <n v="187.47"/>
    <n v="9.6"/>
    <n v="169.47"/>
    <d v="2025-08-06T00:00:00"/>
    <n v="28"/>
    <x v="30"/>
    <x v="0"/>
    <x v="0"/>
    <n v="28"/>
    <n v="268.8"/>
    <s v=""/>
  </r>
  <r>
    <s v="FB001202"/>
    <x v="2"/>
    <x v="1"/>
    <x v="0"/>
    <m/>
    <x v="6"/>
    <n v="45.81"/>
    <n v="14.1"/>
    <n v="39.35"/>
    <d v="2025-04-14T00:00:00"/>
    <n v="29"/>
    <x v="55"/>
    <x v="0"/>
    <x v="0"/>
    <n v="142"/>
    <n v="408.9"/>
    <s v=""/>
  </r>
  <r>
    <s v="FB001203"/>
    <x v="0"/>
    <x v="2"/>
    <x v="2"/>
    <s v="XL"/>
    <x v="10"/>
    <n v="87.09"/>
    <n v="0"/>
    <n v="87.09"/>
    <d v="2025-08-06T00:00:00"/>
    <n v="8"/>
    <x v="32"/>
    <x v="0"/>
    <x v="0"/>
    <n v="28"/>
    <n v="0"/>
    <s v=""/>
  </r>
  <r>
    <s v="FB001204"/>
    <x v="0"/>
    <x v="4"/>
    <x v="3"/>
    <s v="XS"/>
    <x v="10"/>
    <n v="232.5"/>
    <n v="56.8"/>
    <n v="100.44"/>
    <d v="2025-08-06T00:00:00"/>
    <n v="23"/>
    <x v="5"/>
    <x v="1"/>
    <x v="2"/>
    <n v="28"/>
    <n v="1306.3999999999999"/>
    <n v="1"/>
  </r>
  <r>
    <s v="FB001205"/>
    <x v="3"/>
    <x v="5"/>
    <x v="0"/>
    <s v="XS"/>
    <x v="9"/>
    <n v="184.87"/>
    <n v="0"/>
    <n v="184.87"/>
    <d v="2024-09-28T00:00:00"/>
    <n v="32"/>
    <x v="34"/>
    <x v="0"/>
    <x v="0"/>
    <n v="340"/>
    <n v="0"/>
    <s v=""/>
  </r>
  <r>
    <s v="FB001206"/>
    <x v="1"/>
    <x v="6"/>
    <x v="2"/>
    <s v="XS"/>
    <x v="4"/>
    <n v="31.36"/>
    <n v="0"/>
    <n v="31.36"/>
    <d v="2025-08-06T00:00:00"/>
    <n v="50"/>
    <x v="10"/>
    <x v="0"/>
    <x v="0"/>
    <n v="28"/>
    <n v="0"/>
    <s v=""/>
  </r>
  <r>
    <s v="FB001207"/>
    <x v="2"/>
    <x v="4"/>
    <x v="1"/>
    <m/>
    <x v="8"/>
    <n v="62.26"/>
    <n v="24.6"/>
    <n v="46.94"/>
    <d v="2025-08-06T00:00:00"/>
    <n v="33"/>
    <x v="15"/>
    <x v="0"/>
    <x v="0"/>
    <n v="28"/>
    <n v="811.80000000000007"/>
    <s v=""/>
  </r>
  <r>
    <s v="FB001208"/>
    <x v="2"/>
    <x v="3"/>
    <x v="3"/>
    <m/>
    <x v="8"/>
    <n v="64.819999999999993"/>
    <n v="42.2"/>
    <n v="37.47"/>
    <d v="2025-08-06T00:00:00"/>
    <n v="26"/>
    <x v="49"/>
    <x v="0"/>
    <x v="0"/>
    <n v="28"/>
    <n v="1097.2"/>
    <s v=""/>
  </r>
  <r>
    <s v="FB001209"/>
    <x v="2"/>
    <x v="0"/>
    <x v="0"/>
    <m/>
    <x v="5"/>
    <n v="15.92"/>
    <n v="0"/>
    <n v="15.92"/>
    <d v="2024-09-06T00:00:00"/>
    <n v="7"/>
    <x v="16"/>
    <x v="0"/>
    <x v="0"/>
    <n v="362"/>
    <n v="0"/>
    <s v=""/>
  </r>
  <r>
    <s v="FB001210"/>
    <x v="0"/>
    <x v="4"/>
    <x v="0"/>
    <s v="M"/>
    <x v="9"/>
    <n v="180.83"/>
    <n v="0"/>
    <n v="180.83"/>
    <d v="2024-09-02T00:00:00"/>
    <n v="20"/>
    <x v="66"/>
    <x v="0"/>
    <x v="0"/>
    <n v="366"/>
    <n v="0"/>
    <s v=""/>
  </r>
  <r>
    <s v="FB001211"/>
    <x v="3"/>
    <x v="7"/>
    <x v="3"/>
    <s v="L"/>
    <x v="10"/>
    <n v="73.81"/>
    <n v="0"/>
    <n v="73.81"/>
    <d v="2025-08-06T00:00:00"/>
    <n v="44"/>
    <x v="49"/>
    <x v="0"/>
    <x v="0"/>
    <n v="28"/>
    <n v="0"/>
    <s v=""/>
  </r>
  <r>
    <s v="FB001212"/>
    <x v="3"/>
    <x v="5"/>
    <x v="3"/>
    <s v="XXL"/>
    <x v="7"/>
    <n v="127.52"/>
    <n v="0"/>
    <n v="127.52"/>
    <d v="2025-08-06T00:00:00"/>
    <n v="0"/>
    <x v="10"/>
    <x v="0"/>
    <x v="0"/>
    <n v="28"/>
    <n v="0"/>
    <s v=""/>
  </r>
  <r>
    <s v="FB001213"/>
    <x v="4"/>
    <x v="4"/>
    <x v="2"/>
    <m/>
    <x v="10"/>
    <n v="52.08"/>
    <n v="0"/>
    <n v="52.08"/>
    <d v="2025-08-06T00:00:00"/>
    <n v="12"/>
    <x v="48"/>
    <x v="0"/>
    <x v="0"/>
    <n v="28"/>
    <n v="0"/>
    <s v=""/>
  </r>
  <r>
    <s v="FB001214"/>
    <x v="4"/>
    <x v="7"/>
    <x v="1"/>
    <s v="XS"/>
    <x v="0"/>
    <n v="32.83"/>
    <n v="23"/>
    <n v="25.28"/>
    <d v="2025-08-06T00:00:00"/>
    <n v="24"/>
    <x v="21"/>
    <x v="0"/>
    <x v="0"/>
    <n v="28"/>
    <n v="552"/>
    <s v=""/>
  </r>
  <r>
    <s v="FB001215"/>
    <x v="1"/>
    <x v="2"/>
    <x v="1"/>
    <s v="S"/>
    <x v="9"/>
    <n v="108.92"/>
    <n v="0"/>
    <n v="108.92"/>
    <d v="2025-08-06T00:00:00"/>
    <n v="6"/>
    <x v="34"/>
    <x v="0"/>
    <x v="0"/>
    <n v="28"/>
    <n v="0"/>
    <s v=""/>
  </r>
  <r>
    <s v="FB001216"/>
    <x v="3"/>
    <x v="7"/>
    <x v="1"/>
    <m/>
    <x v="8"/>
    <n v="85.83"/>
    <n v="47.5"/>
    <n v="45.06"/>
    <d v="2025-08-06T00:00:00"/>
    <n v="8"/>
    <x v="21"/>
    <x v="0"/>
    <x v="0"/>
    <n v="28"/>
    <n v="380"/>
    <s v=""/>
  </r>
  <r>
    <s v="FB001217"/>
    <x v="2"/>
    <x v="0"/>
    <x v="0"/>
    <m/>
    <x v="5"/>
    <n v="62.02"/>
    <n v="0"/>
    <n v="62.02"/>
    <d v="2025-04-25T00:00:00"/>
    <n v="3"/>
    <x v="17"/>
    <x v="0"/>
    <x v="0"/>
    <n v="131"/>
    <n v="0"/>
    <s v=""/>
  </r>
  <r>
    <s v="FB001218"/>
    <x v="3"/>
    <x v="4"/>
    <x v="3"/>
    <s v="XL"/>
    <x v="2"/>
    <n v="127.31"/>
    <n v="5.4"/>
    <n v="120.44"/>
    <d v="2025-08-06T00:00:00"/>
    <n v="34"/>
    <x v="1"/>
    <x v="0"/>
    <x v="0"/>
    <n v="28"/>
    <n v="183.60000000000002"/>
    <s v=""/>
  </r>
  <r>
    <s v="FB001219"/>
    <x v="1"/>
    <x v="5"/>
    <x v="2"/>
    <m/>
    <x v="0"/>
    <n v="35.74"/>
    <n v="0"/>
    <n v="35.74"/>
    <d v="2025-08-06T00:00:00"/>
    <n v="33"/>
    <x v="68"/>
    <x v="1"/>
    <x v="1"/>
    <n v="28"/>
    <n v="0"/>
    <n v="1"/>
  </r>
  <r>
    <s v="FB001220"/>
    <x v="2"/>
    <x v="4"/>
    <x v="3"/>
    <m/>
    <x v="4"/>
    <n v="69.62"/>
    <n v="27.9"/>
    <n v="50.2"/>
    <d v="2025-08-06T00:00:00"/>
    <n v="5"/>
    <x v="21"/>
    <x v="0"/>
    <x v="0"/>
    <n v="28"/>
    <n v="139.5"/>
    <s v=""/>
  </r>
  <r>
    <s v="FB001221"/>
    <x v="1"/>
    <x v="0"/>
    <x v="1"/>
    <s v="XXL"/>
    <x v="2"/>
    <n v="92.01"/>
    <n v="28.8"/>
    <n v="65.510000000000005"/>
    <d v="2025-08-06T00:00:00"/>
    <n v="37"/>
    <x v="42"/>
    <x v="0"/>
    <x v="0"/>
    <n v="28"/>
    <n v="1065.6000000000001"/>
    <s v=""/>
  </r>
  <r>
    <s v="FB001222"/>
    <x v="3"/>
    <x v="3"/>
    <x v="2"/>
    <s v="M"/>
    <x v="2"/>
    <n v="110.1"/>
    <n v="0"/>
    <n v="110.1"/>
    <d v="2025-08-06T00:00:00"/>
    <n v="13"/>
    <x v="20"/>
    <x v="1"/>
    <x v="5"/>
    <n v="28"/>
    <n v="0"/>
    <n v="1"/>
  </r>
  <r>
    <s v="FB001223"/>
    <x v="4"/>
    <x v="0"/>
    <x v="2"/>
    <s v="XXL"/>
    <x v="0"/>
    <n v="109.05"/>
    <n v="0"/>
    <n v="109.05"/>
    <d v="2025-08-06T00:00:00"/>
    <n v="13"/>
    <x v="17"/>
    <x v="0"/>
    <x v="0"/>
    <n v="28"/>
    <n v="0"/>
    <s v=""/>
  </r>
  <r>
    <s v="FB001224"/>
    <x v="2"/>
    <x v="7"/>
    <x v="1"/>
    <m/>
    <x v="7"/>
    <n v="67.459999999999994"/>
    <n v="0"/>
    <n v="67.459999999999994"/>
    <d v="2025-08-06T00:00:00"/>
    <n v="28"/>
    <x v="40"/>
    <x v="0"/>
    <x v="0"/>
    <n v="28"/>
    <n v="0"/>
    <s v=""/>
  </r>
  <r>
    <s v="FB001225"/>
    <x v="3"/>
    <x v="5"/>
    <x v="1"/>
    <s v="M"/>
    <x v="3"/>
    <n v="110.11"/>
    <n v="10.199999999999999"/>
    <n v="98.88"/>
    <d v="2025-08-06T00:00:00"/>
    <n v="47"/>
    <x v="44"/>
    <x v="0"/>
    <x v="0"/>
    <n v="28"/>
    <n v="479.4"/>
    <s v=""/>
  </r>
  <r>
    <s v="FB001226"/>
    <x v="3"/>
    <x v="2"/>
    <x v="3"/>
    <s v="XL"/>
    <x v="3"/>
    <n v="162.5"/>
    <n v="0"/>
    <n v="162.5"/>
    <d v="2025-08-06T00:00:00"/>
    <n v="45"/>
    <x v="74"/>
    <x v="0"/>
    <x v="0"/>
    <n v="28"/>
    <n v="0"/>
    <s v=""/>
  </r>
  <r>
    <s v="FB001227"/>
    <x v="2"/>
    <x v="1"/>
    <x v="3"/>
    <m/>
    <x v="2"/>
    <n v="23.8"/>
    <n v="8.3000000000000007"/>
    <n v="21.82"/>
    <d v="2025-08-06T00:00:00"/>
    <n v="0"/>
    <x v="15"/>
    <x v="0"/>
    <x v="0"/>
    <n v="28"/>
    <n v="0"/>
    <s v=""/>
  </r>
  <r>
    <s v="FB001228"/>
    <x v="4"/>
    <x v="2"/>
    <x v="2"/>
    <s v="XS"/>
    <x v="10"/>
    <n v="115.89"/>
    <n v="0"/>
    <n v="115.89"/>
    <d v="2025-08-06T00:00:00"/>
    <n v="34"/>
    <x v="5"/>
    <x v="0"/>
    <x v="0"/>
    <n v="28"/>
    <n v="0"/>
    <s v=""/>
  </r>
  <r>
    <s v="FB001229"/>
    <x v="0"/>
    <x v="4"/>
    <x v="0"/>
    <s v="M"/>
    <x v="0"/>
    <n v="139.19999999999999"/>
    <n v="42.5"/>
    <n v="80.040000000000006"/>
    <d v="2024-10-02T00:00:00"/>
    <n v="27"/>
    <x v="5"/>
    <x v="0"/>
    <x v="0"/>
    <n v="336"/>
    <n v="1147.5"/>
    <s v=""/>
  </r>
  <r>
    <s v="FB001230"/>
    <x v="5"/>
    <x v="7"/>
    <x v="2"/>
    <s v="S"/>
    <x v="8"/>
    <n v="120.42"/>
    <n v="36.700000000000003"/>
    <n v="76.23"/>
    <d v="2025-08-06T00:00:00"/>
    <n v="46"/>
    <x v="13"/>
    <x v="0"/>
    <x v="0"/>
    <n v="28"/>
    <n v="1688.2"/>
    <s v=""/>
  </r>
  <r>
    <s v="FB001231"/>
    <x v="2"/>
    <x v="2"/>
    <x v="2"/>
    <m/>
    <x v="7"/>
    <n v="72.81"/>
    <n v="0"/>
    <n v="72.81"/>
    <d v="2025-08-06T00:00:00"/>
    <n v="4"/>
    <x v="2"/>
    <x v="0"/>
    <x v="0"/>
    <n v="28"/>
    <n v="0"/>
    <s v=""/>
  </r>
  <r>
    <s v="FB001232"/>
    <x v="2"/>
    <x v="0"/>
    <x v="0"/>
    <m/>
    <x v="10"/>
    <n v="29.75"/>
    <n v="0"/>
    <n v="29.75"/>
    <d v="2025-02-07T00:00:00"/>
    <n v="37"/>
    <x v="38"/>
    <x v="0"/>
    <x v="0"/>
    <n v="208"/>
    <n v="0"/>
    <s v=""/>
  </r>
  <r>
    <s v="FB001233"/>
    <x v="1"/>
    <x v="6"/>
    <x v="3"/>
    <s v="XL"/>
    <x v="2"/>
    <n v="33.630000000000003"/>
    <n v="0"/>
    <n v="33.630000000000003"/>
    <d v="2025-08-06T00:00:00"/>
    <n v="13"/>
    <x v="52"/>
    <x v="0"/>
    <x v="0"/>
    <n v="28"/>
    <n v="0"/>
    <s v=""/>
  </r>
  <r>
    <s v="FB001234"/>
    <x v="0"/>
    <x v="2"/>
    <x v="2"/>
    <s v="S"/>
    <x v="10"/>
    <n v="101.93"/>
    <n v="0"/>
    <n v="101.93"/>
    <d v="2025-08-06T00:00:00"/>
    <n v="31"/>
    <x v="79"/>
    <x v="0"/>
    <x v="0"/>
    <n v="28"/>
    <n v="0"/>
    <s v=""/>
  </r>
  <r>
    <s v="FB001235"/>
    <x v="2"/>
    <x v="3"/>
    <x v="1"/>
    <m/>
    <x v="3"/>
    <n v="41.43"/>
    <n v="0"/>
    <n v="41.43"/>
    <d v="2025-08-06T00:00:00"/>
    <n v="10"/>
    <x v="72"/>
    <x v="0"/>
    <x v="0"/>
    <n v="28"/>
    <n v="0"/>
    <s v=""/>
  </r>
  <r>
    <s v="FB001236"/>
    <x v="0"/>
    <x v="5"/>
    <x v="0"/>
    <s v="L"/>
    <x v="6"/>
    <n v="126.14"/>
    <n v="0"/>
    <n v="126.14"/>
    <d v="2025-05-18T00:00:00"/>
    <n v="24"/>
    <x v="20"/>
    <x v="0"/>
    <x v="0"/>
    <n v="108"/>
    <n v="0"/>
    <s v=""/>
  </r>
  <r>
    <s v="FB001237"/>
    <x v="4"/>
    <x v="0"/>
    <x v="0"/>
    <s v="M"/>
    <x v="9"/>
    <n v="96.76"/>
    <n v="0"/>
    <n v="96.76"/>
    <d v="2025-02-26T00:00:00"/>
    <n v="6"/>
    <x v="65"/>
    <x v="0"/>
    <x v="0"/>
    <n v="189"/>
    <n v="0"/>
    <s v=""/>
  </r>
  <r>
    <s v="FB001238"/>
    <x v="1"/>
    <x v="3"/>
    <x v="1"/>
    <s v="XS"/>
    <x v="8"/>
    <n v="114.32"/>
    <n v="0"/>
    <n v="114.32"/>
    <d v="2025-08-06T00:00:00"/>
    <n v="27"/>
    <x v="64"/>
    <x v="0"/>
    <x v="0"/>
    <n v="28"/>
    <n v="0"/>
    <s v=""/>
  </r>
  <r>
    <s v="FB001239"/>
    <x v="3"/>
    <x v="4"/>
    <x v="0"/>
    <s v="S"/>
    <x v="9"/>
    <n v="102.46"/>
    <n v="0"/>
    <n v="102.46"/>
    <d v="2024-12-17T00:00:00"/>
    <n v="20"/>
    <x v="17"/>
    <x v="1"/>
    <x v="4"/>
    <n v="260"/>
    <n v="0"/>
    <n v="1"/>
  </r>
  <r>
    <s v="FB001240"/>
    <x v="4"/>
    <x v="1"/>
    <x v="3"/>
    <s v="L"/>
    <x v="1"/>
    <n v="95.7"/>
    <n v="15"/>
    <n v="81.34"/>
    <d v="2025-08-06T00:00:00"/>
    <n v="9"/>
    <x v="26"/>
    <x v="0"/>
    <x v="0"/>
    <n v="28"/>
    <n v="135"/>
    <s v=""/>
  </r>
  <r>
    <s v="FB001241"/>
    <x v="4"/>
    <x v="4"/>
    <x v="1"/>
    <s v="M"/>
    <x v="5"/>
    <n v="55.49"/>
    <n v="0"/>
    <n v="55.49"/>
    <d v="2025-08-06T00:00:00"/>
    <n v="25"/>
    <x v="14"/>
    <x v="0"/>
    <x v="0"/>
    <n v="28"/>
    <n v="0"/>
    <s v=""/>
  </r>
  <r>
    <s v="FB001242"/>
    <x v="2"/>
    <x v="5"/>
    <x v="1"/>
    <m/>
    <x v="3"/>
    <n v="30.58"/>
    <n v="9.8000000000000007"/>
    <n v="27.58"/>
    <d v="2025-08-06T00:00:00"/>
    <n v="34"/>
    <x v="10"/>
    <x v="0"/>
    <x v="0"/>
    <n v="28"/>
    <n v="333.20000000000005"/>
    <s v=""/>
  </r>
  <r>
    <s v="FB001243"/>
    <x v="4"/>
    <x v="3"/>
    <x v="2"/>
    <s v="S"/>
    <x v="0"/>
    <n v="116.58"/>
    <n v="0"/>
    <n v="116.58"/>
    <d v="2025-08-06T00:00:00"/>
    <n v="47"/>
    <x v="19"/>
    <x v="0"/>
    <x v="0"/>
    <n v="28"/>
    <n v="0"/>
    <s v=""/>
  </r>
  <r>
    <s v="FB001244"/>
    <x v="5"/>
    <x v="0"/>
    <x v="1"/>
    <s v="XL"/>
    <x v="8"/>
    <n v="79.180000000000007"/>
    <n v="21.1"/>
    <n v="62.47"/>
    <d v="2025-08-06T00:00:00"/>
    <n v="36"/>
    <x v="25"/>
    <x v="1"/>
    <x v="5"/>
    <n v="28"/>
    <n v="759.6"/>
    <n v="1"/>
  </r>
  <r>
    <s v="FB001245"/>
    <x v="5"/>
    <x v="7"/>
    <x v="3"/>
    <m/>
    <x v="8"/>
    <n v="88.71"/>
    <n v="0"/>
    <n v="88.71"/>
    <d v="2025-08-06T00:00:00"/>
    <n v="3"/>
    <x v="15"/>
    <x v="0"/>
    <x v="0"/>
    <n v="28"/>
    <n v="0"/>
    <s v=""/>
  </r>
  <r>
    <s v="FB001246"/>
    <x v="5"/>
    <x v="2"/>
    <x v="0"/>
    <s v="XXL"/>
    <x v="9"/>
    <n v="150.58000000000001"/>
    <n v="0"/>
    <n v="150.58000000000001"/>
    <d v="2024-12-19T00:00:00"/>
    <n v="38"/>
    <x v="54"/>
    <x v="0"/>
    <x v="0"/>
    <n v="258"/>
    <n v="0"/>
    <s v=""/>
  </r>
  <r>
    <s v="FB001247"/>
    <x v="5"/>
    <x v="1"/>
    <x v="3"/>
    <s v="XXL"/>
    <x v="3"/>
    <n v="179.9"/>
    <n v="9.3000000000000007"/>
    <n v="163.16999999999999"/>
    <d v="2025-08-06T00:00:00"/>
    <n v="34"/>
    <x v="54"/>
    <x v="0"/>
    <x v="0"/>
    <n v="28"/>
    <n v="316.20000000000005"/>
    <s v=""/>
  </r>
  <r>
    <s v="FB001248"/>
    <x v="0"/>
    <x v="7"/>
    <x v="0"/>
    <s v="XL"/>
    <x v="0"/>
    <n v="135.30000000000001"/>
    <n v="0"/>
    <n v="135.30000000000001"/>
    <d v="2025-02-16T00:00:00"/>
    <n v="19"/>
    <x v="14"/>
    <x v="0"/>
    <x v="0"/>
    <n v="199"/>
    <n v="0"/>
    <s v=""/>
  </r>
  <r>
    <s v="FB001249"/>
    <x v="3"/>
    <x v="1"/>
    <x v="2"/>
    <s v="XXL"/>
    <x v="2"/>
    <n v="146.43"/>
    <n v="0"/>
    <n v="146.43"/>
    <d v="2025-08-06T00:00:00"/>
    <n v="7"/>
    <x v="1"/>
    <x v="0"/>
    <x v="0"/>
    <n v="28"/>
    <n v="0"/>
    <s v=""/>
  </r>
  <r>
    <s v="FB001250"/>
    <x v="0"/>
    <x v="7"/>
    <x v="1"/>
    <s v="M"/>
    <x v="6"/>
    <n v="160.27000000000001"/>
    <n v="0"/>
    <n v="160.27000000000001"/>
    <d v="2025-08-06T00:00:00"/>
    <n v="11"/>
    <x v="66"/>
    <x v="0"/>
    <x v="0"/>
    <n v="28"/>
    <n v="0"/>
    <s v=""/>
  </r>
  <r>
    <s v="FB001251"/>
    <x v="3"/>
    <x v="3"/>
    <x v="1"/>
    <s v="M"/>
    <x v="4"/>
    <n v="169.87"/>
    <n v="8.8000000000000007"/>
    <n v="154.91999999999999"/>
    <d v="2025-08-06T00:00:00"/>
    <n v="36"/>
    <x v="54"/>
    <x v="0"/>
    <x v="0"/>
    <n v="28"/>
    <n v="316.8"/>
    <s v=""/>
  </r>
  <r>
    <s v="FB001252"/>
    <x v="3"/>
    <x v="5"/>
    <x v="3"/>
    <m/>
    <x v="4"/>
    <n v="137.33000000000001"/>
    <n v="0"/>
    <n v="137.33000000000001"/>
    <d v="2025-08-06T00:00:00"/>
    <n v="35"/>
    <x v="14"/>
    <x v="0"/>
    <x v="0"/>
    <n v="28"/>
    <n v="0"/>
    <s v=""/>
  </r>
  <r>
    <s v="FB001253"/>
    <x v="4"/>
    <x v="7"/>
    <x v="3"/>
    <s v="XXL"/>
    <x v="0"/>
    <n v="38.18"/>
    <n v="0"/>
    <n v="38.18"/>
    <d v="2025-08-06T00:00:00"/>
    <n v="38"/>
    <x v="77"/>
    <x v="0"/>
    <x v="0"/>
    <n v="28"/>
    <n v="0"/>
    <s v=""/>
  </r>
  <r>
    <s v="FB001254"/>
    <x v="1"/>
    <x v="0"/>
    <x v="3"/>
    <s v="XXL"/>
    <x v="5"/>
    <n v="40.619999999999997"/>
    <n v="20.100000000000001"/>
    <n v="32.46"/>
    <d v="2025-08-06T00:00:00"/>
    <n v="7"/>
    <x v="69"/>
    <x v="0"/>
    <x v="0"/>
    <n v="28"/>
    <n v="140.70000000000002"/>
    <s v=""/>
  </r>
  <r>
    <s v="FB001255"/>
    <x v="4"/>
    <x v="4"/>
    <x v="1"/>
    <s v="XS"/>
    <x v="2"/>
    <n v="56.4"/>
    <n v="23.3"/>
    <n v="43.26"/>
    <d v="2025-08-06T00:00:00"/>
    <n v="35"/>
    <x v="48"/>
    <x v="0"/>
    <x v="0"/>
    <n v="28"/>
    <n v="815.5"/>
    <s v=""/>
  </r>
  <r>
    <s v="FB001256"/>
    <x v="2"/>
    <x v="7"/>
    <x v="3"/>
    <m/>
    <x v="6"/>
    <n v="19.559999999999999"/>
    <n v="0"/>
    <n v="19.559999999999999"/>
    <d v="2025-08-06T00:00:00"/>
    <n v="13"/>
    <x v="47"/>
    <x v="0"/>
    <x v="0"/>
    <n v="28"/>
    <n v="0"/>
    <s v=""/>
  </r>
  <r>
    <s v="FB001257"/>
    <x v="3"/>
    <x v="4"/>
    <x v="1"/>
    <s v="L"/>
    <x v="3"/>
    <n v="155.66"/>
    <n v="0"/>
    <n v="155.66"/>
    <d v="2025-08-06T00:00:00"/>
    <n v="3"/>
    <x v="30"/>
    <x v="0"/>
    <x v="0"/>
    <n v="28"/>
    <n v="0"/>
    <s v=""/>
  </r>
  <r>
    <s v="FB001258"/>
    <x v="1"/>
    <x v="0"/>
    <x v="3"/>
    <s v="S"/>
    <x v="9"/>
    <n v="106.2"/>
    <n v="0"/>
    <n v="106.2"/>
    <d v="2025-08-06T00:00:00"/>
    <n v="10"/>
    <x v="21"/>
    <x v="0"/>
    <x v="0"/>
    <n v="28"/>
    <n v="0"/>
    <s v=""/>
  </r>
  <r>
    <s v="FB001259"/>
    <x v="0"/>
    <x v="5"/>
    <x v="2"/>
    <s v="XXL"/>
    <x v="8"/>
    <n v="158.31"/>
    <n v="0"/>
    <n v="158.31"/>
    <d v="2025-08-06T00:00:00"/>
    <n v="7"/>
    <x v="64"/>
    <x v="0"/>
    <x v="0"/>
    <n v="28"/>
    <n v="0"/>
    <s v=""/>
  </r>
  <r>
    <s v="FB001260"/>
    <x v="5"/>
    <x v="3"/>
    <x v="0"/>
    <s v="XL"/>
    <x v="1"/>
    <n v="102.3"/>
    <n v="42.2"/>
    <n v="59.13"/>
    <d v="2025-05-30T00:00:00"/>
    <n v="43"/>
    <x v="49"/>
    <x v="0"/>
    <x v="0"/>
    <n v="96"/>
    <n v="1814.6000000000001"/>
    <s v=""/>
  </r>
  <r>
    <s v="FB001261"/>
    <x v="2"/>
    <x v="6"/>
    <x v="2"/>
    <m/>
    <x v="8"/>
    <n v="53.46"/>
    <n v="58"/>
    <n v="22.45"/>
    <d v="2025-08-06T00:00:00"/>
    <n v="6"/>
    <x v="36"/>
    <x v="0"/>
    <x v="0"/>
    <n v="28"/>
    <n v="348"/>
    <s v=""/>
  </r>
  <r>
    <s v="FB001262"/>
    <x v="5"/>
    <x v="1"/>
    <x v="3"/>
    <s v="XS"/>
    <x v="5"/>
    <n v="101.78"/>
    <n v="22.9"/>
    <n v="78.47"/>
    <d v="2025-08-06T00:00:00"/>
    <n v="5"/>
    <x v="19"/>
    <x v="1"/>
    <x v="3"/>
    <n v="28"/>
    <n v="114.5"/>
    <n v="1"/>
  </r>
  <r>
    <s v="FB001263"/>
    <x v="0"/>
    <x v="2"/>
    <x v="3"/>
    <s v="M"/>
    <x v="4"/>
    <n v="112.28"/>
    <n v="0"/>
    <n v="112.28"/>
    <d v="2025-08-06T00:00:00"/>
    <n v="41"/>
    <x v="16"/>
    <x v="0"/>
    <x v="0"/>
    <n v="28"/>
    <n v="0"/>
    <s v=""/>
  </r>
  <r>
    <s v="FB001264"/>
    <x v="2"/>
    <x v="2"/>
    <x v="1"/>
    <m/>
    <x v="1"/>
    <n v="47.51"/>
    <n v="0"/>
    <n v="47.51"/>
    <d v="2025-08-06T00:00:00"/>
    <n v="39"/>
    <x v="9"/>
    <x v="0"/>
    <x v="0"/>
    <n v="28"/>
    <n v="0"/>
    <s v=""/>
  </r>
  <r>
    <s v="FB001265"/>
    <x v="1"/>
    <x v="1"/>
    <x v="1"/>
    <s v="XXL"/>
    <x v="7"/>
    <n v="80.39"/>
    <n v="0"/>
    <n v="80.39"/>
    <d v="2025-08-06T00:00:00"/>
    <n v="24"/>
    <x v="29"/>
    <x v="0"/>
    <x v="0"/>
    <n v="28"/>
    <n v="0"/>
    <s v=""/>
  </r>
  <r>
    <s v="FB001266"/>
    <x v="4"/>
    <x v="3"/>
    <x v="1"/>
    <s v="L"/>
    <x v="0"/>
    <n v="64.75"/>
    <n v="26.4"/>
    <n v="47.66"/>
    <d v="2025-08-06T00:00:00"/>
    <n v="7"/>
    <x v="5"/>
    <x v="1"/>
    <x v="6"/>
    <n v="28"/>
    <n v="184.79999999999998"/>
    <n v="1"/>
  </r>
  <r>
    <s v="FB001267"/>
    <x v="0"/>
    <x v="0"/>
    <x v="1"/>
    <s v="L"/>
    <x v="0"/>
    <n v="129.86000000000001"/>
    <n v="0"/>
    <n v="129.86000000000001"/>
    <d v="2025-08-06T00:00:00"/>
    <n v="41"/>
    <x v="12"/>
    <x v="0"/>
    <x v="0"/>
    <n v="28"/>
    <n v="0"/>
    <s v=""/>
  </r>
  <r>
    <s v="FB001268"/>
    <x v="4"/>
    <x v="2"/>
    <x v="0"/>
    <s v="L"/>
    <x v="6"/>
    <n v="32.74"/>
    <n v="0"/>
    <n v="32.74"/>
    <d v="2024-08-12T00:00:00"/>
    <n v="23"/>
    <x v="30"/>
    <x v="1"/>
    <x v="3"/>
    <n v="387"/>
    <n v="0"/>
    <n v="1"/>
  </r>
  <r>
    <s v="FB001269"/>
    <x v="4"/>
    <x v="1"/>
    <x v="0"/>
    <s v="L"/>
    <x v="5"/>
    <n v="79.27"/>
    <n v="0"/>
    <n v="79.27"/>
    <d v="2025-05-11T00:00:00"/>
    <n v="13"/>
    <x v="15"/>
    <x v="0"/>
    <x v="0"/>
    <n v="115"/>
    <n v="0"/>
    <s v=""/>
  </r>
  <r>
    <s v="FB001270"/>
    <x v="1"/>
    <x v="7"/>
    <x v="0"/>
    <s v="S"/>
    <x v="7"/>
    <n v="119.38"/>
    <n v="0"/>
    <n v="119.38"/>
    <d v="2025-02-20T00:00:00"/>
    <n v="18"/>
    <x v="9"/>
    <x v="0"/>
    <x v="0"/>
    <n v="195"/>
    <n v="0"/>
    <s v=""/>
  </r>
  <r>
    <s v="FB001271"/>
    <x v="5"/>
    <x v="4"/>
    <x v="1"/>
    <s v="S"/>
    <x v="3"/>
    <n v="66.17"/>
    <n v="0"/>
    <n v="66.17"/>
    <d v="2025-08-06T00:00:00"/>
    <n v="1"/>
    <x v="87"/>
    <x v="0"/>
    <x v="0"/>
    <n v="28"/>
    <n v="0"/>
    <s v=""/>
  </r>
  <r>
    <s v="FB001272"/>
    <x v="2"/>
    <x v="4"/>
    <x v="2"/>
    <m/>
    <x v="9"/>
    <n v="68.3"/>
    <n v="8"/>
    <n v="62.84"/>
    <d v="2025-08-06T00:00:00"/>
    <n v="18"/>
    <x v="47"/>
    <x v="0"/>
    <x v="0"/>
    <n v="28"/>
    <n v="144"/>
    <s v=""/>
  </r>
  <r>
    <s v="FB001273"/>
    <x v="0"/>
    <x v="3"/>
    <x v="2"/>
    <s v="L"/>
    <x v="9"/>
    <n v="209.66"/>
    <n v="0"/>
    <n v="209.66"/>
    <d v="2025-08-06T00:00:00"/>
    <n v="30"/>
    <x v="54"/>
    <x v="0"/>
    <x v="0"/>
    <n v="28"/>
    <n v="0"/>
    <s v=""/>
  </r>
  <r>
    <s v="FB001274"/>
    <x v="3"/>
    <x v="1"/>
    <x v="3"/>
    <s v="XS"/>
    <x v="5"/>
    <n v="154.82"/>
    <n v="0"/>
    <n v="154.82"/>
    <d v="2025-08-06T00:00:00"/>
    <n v="31"/>
    <x v="57"/>
    <x v="0"/>
    <x v="0"/>
    <n v="28"/>
    <n v="0"/>
    <s v=""/>
  </r>
  <r>
    <s v="FB001275"/>
    <x v="4"/>
    <x v="4"/>
    <x v="1"/>
    <s v="S"/>
    <x v="4"/>
    <n v="37.53"/>
    <n v="0"/>
    <n v="37.53"/>
    <d v="2025-08-06T00:00:00"/>
    <n v="8"/>
    <x v="0"/>
    <x v="1"/>
    <x v="5"/>
    <n v="28"/>
    <n v="0"/>
    <n v="1"/>
  </r>
  <r>
    <s v="FB001276"/>
    <x v="3"/>
    <x v="0"/>
    <x v="3"/>
    <s v="XS"/>
    <x v="2"/>
    <n v="140.28"/>
    <n v="0"/>
    <n v="140.28"/>
    <d v="2025-08-06T00:00:00"/>
    <n v="10"/>
    <x v="42"/>
    <x v="0"/>
    <x v="0"/>
    <n v="28"/>
    <n v="0"/>
    <s v=""/>
  </r>
  <r>
    <s v="FB001277"/>
    <x v="3"/>
    <x v="1"/>
    <x v="3"/>
    <s v="XS"/>
    <x v="3"/>
    <n v="171.07"/>
    <n v="0"/>
    <n v="171.07"/>
    <d v="2025-08-06T00:00:00"/>
    <n v="25"/>
    <x v="0"/>
    <x v="0"/>
    <x v="0"/>
    <n v="28"/>
    <n v="0"/>
    <s v=""/>
  </r>
  <r>
    <s v="FB001278"/>
    <x v="1"/>
    <x v="0"/>
    <x v="3"/>
    <s v="M"/>
    <x v="9"/>
    <n v="77.87"/>
    <n v="0"/>
    <n v="77.87"/>
    <d v="2025-08-06T00:00:00"/>
    <n v="4"/>
    <x v="67"/>
    <x v="0"/>
    <x v="0"/>
    <n v="28"/>
    <n v="0"/>
    <s v=""/>
  </r>
  <r>
    <s v="FB001279"/>
    <x v="1"/>
    <x v="4"/>
    <x v="0"/>
    <s v="XL"/>
    <x v="8"/>
    <n v="80.540000000000006"/>
    <n v="0"/>
    <n v="80.540000000000006"/>
    <d v="2024-12-10T00:00:00"/>
    <n v="50"/>
    <x v="54"/>
    <x v="0"/>
    <x v="0"/>
    <n v="267"/>
    <n v="0"/>
    <s v=""/>
  </r>
  <r>
    <s v="FB001280"/>
    <x v="4"/>
    <x v="1"/>
    <x v="3"/>
    <s v="S"/>
    <x v="3"/>
    <n v="48.68"/>
    <n v="41.7"/>
    <n v="28.38"/>
    <d v="2025-08-06T00:00:00"/>
    <n v="20"/>
    <x v="49"/>
    <x v="1"/>
    <x v="3"/>
    <n v="28"/>
    <n v="834"/>
    <n v="1"/>
  </r>
  <r>
    <s v="FB001281"/>
    <x v="3"/>
    <x v="5"/>
    <x v="1"/>
    <s v="XS"/>
    <x v="9"/>
    <n v="137.83000000000001"/>
    <n v="0"/>
    <n v="137.83000000000001"/>
    <d v="2025-08-06T00:00:00"/>
    <n v="32"/>
    <x v="10"/>
    <x v="1"/>
    <x v="5"/>
    <n v="28"/>
    <n v="0"/>
    <n v="1"/>
  </r>
  <r>
    <s v="FB001282"/>
    <x v="4"/>
    <x v="0"/>
    <x v="2"/>
    <s v="XXL"/>
    <x v="10"/>
    <n v="96.88"/>
    <n v="44.8"/>
    <n v="53.48"/>
    <d v="2025-08-06T00:00:00"/>
    <n v="15"/>
    <x v="49"/>
    <x v="0"/>
    <x v="0"/>
    <n v="28"/>
    <n v="672"/>
    <s v=""/>
  </r>
  <r>
    <s v="FB001283"/>
    <x v="1"/>
    <x v="4"/>
    <x v="0"/>
    <s v="XL"/>
    <x v="5"/>
    <n v="46.44"/>
    <n v="36.799999999999997"/>
    <n v="29.35"/>
    <d v="2025-03-11T00:00:00"/>
    <n v="19"/>
    <x v="42"/>
    <x v="0"/>
    <x v="0"/>
    <n v="176"/>
    <n v="699.19999999999993"/>
    <s v=""/>
  </r>
  <r>
    <s v="FB001284"/>
    <x v="4"/>
    <x v="6"/>
    <x v="1"/>
    <s v="L"/>
    <x v="10"/>
    <n v="86.4"/>
    <n v="0"/>
    <n v="86.4"/>
    <d v="2025-08-06T00:00:00"/>
    <n v="26"/>
    <x v="17"/>
    <x v="0"/>
    <x v="0"/>
    <n v="28"/>
    <n v="0"/>
    <s v=""/>
  </r>
  <r>
    <s v="FB001285"/>
    <x v="4"/>
    <x v="3"/>
    <x v="2"/>
    <s v="XXL"/>
    <x v="6"/>
    <n v="113.83"/>
    <n v="51.6"/>
    <n v="55.09"/>
    <d v="2025-08-06T00:00:00"/>
    <n v="12"/>
    <x v="5"/>
    <x v="0"/>
    <x v="0"/>
    <n v="28"/>
    <n v="619.20000000000005"/>
    <s v=""/>
  </r>
  <r>
    <s v="FB001286"/>
    <x v="4"/>
    <x v="0"/>
    <x v="3"/>
    <s v="XS"/>
    <x v="9"/>
    <n v="64.680000000000007"/>
    <n v="42.9"/>
    <n v="36.93"/>
    <d v="2025-08-06T00:00:00"/>
    <n v="36"/>
    <x v="65"/>
    <x v="0"/>
    <x v="0"/>
    <n v="28"/>
    <n v="1544.3999999999999"/>
    <s v=""/>
  </r>
  <r>
    <s v="FB001287"/>
    <x v="3"/>
    <x v="7"/>
    <x v="2"/>
    <m/>
    <x v="7"/>
    <n v="123.23"/>
    <n v="0"/>
    <n v="123.23"/>
    <d v="2025-08-06T00:00:00"/>
    <n v="40"/>
    <x v="2"/>
    <x v="0"/>
    <x v="0"/>
    <n v="28"/>
    <n v="0"/>
    <s v=""/>
  </r>
  <r>
    <s v="FB001288"/>
    <x v="2"/>
    <x v="5"/>
    <x v="1"/>
    <m/>
    <x v="0"/>
    <n v="69.69"/>
    <n v="0"/>
    <n v="69.69"/>
    <d v="2025-08-06T00:00:00"/>
    <n v="35"/>
    <x v="0"/>
    <x v="0"/>
    <x v="0"/>
    <n v="28"/>
    <n v="0"/>
    <s v=""/>
  </r>
  <r>
    <s v="FB001289"/>
    <x v="2"/>
    <x v="2"/>
    <x v="1"/>
    <m/>
    <x v="6"/>
    <n v="46.15"/>
    <n v="24.4"/>
    <n v="34.89"/>
    <d v="2025-08-06T00:00:00"/>
    <n v="31"/>
    <x v="9"/>
    <x v="1"/>
    <x v="2"/>
    <n v="28"/>
    <n v="756.4"/>
    <n v="1"/>
  </r>
  <r>
    <s v="FB001290"/>
    <x v="0"/>
    <x v="4"/>
    <x v="3"/>
    <s v="XS"/>
    <x v="8"/>
    <n v="229.8"/>
    <n v="0"/>
    <n v="229.8"/>
    <d v="2025-08-06T00:00:00"/>
    <n v="46"/>
    <x v="20"/>
    <x v="0"/>
    <x v="0"/>
    <n v="28"/>
    <n v="0"/>
    <s v=""/>
  </r>
  <r>
    <s v="FB001291"/>
    <x v="0"/>
    <x v="1"/>
    <x v="2"/>
    <s v="XS"/>
    <x v="9"/>
    <n v="179.44"/>
    <n v="19.600000000000001"/>
    <n v="144.27000000000001"/>
    <d v="2025-08-06T00:00:00"/>
    <n v="42"/>
    <x v="0"/>
    <x v="0"/>
    <x v="0"/>
    <n v="28"/>
    <n v="823.2"/>
    <s v=""/>
  </r>
  <r>
    <s v="FB001292"/>
    <x v="3"/>
    <x v="2"/>
    <x v="2"/>
    <s v="L"/>
    <x v="6"/>
    <n v="80.959999999999994"/>
    <n v="56.3"/>
    <n v="35.380000000000003"/>
    <d v="2025-08-06T00:00:00"/>
    <n v="41"/>
    <x v="81"/>
    <x v="1"/>
    <x v="5"/>
    <n v="28"/>
    <n v="2308.2999999999997"/>
    <n v="1"/>
  </r>
  <r>
    <s v="FB001293"/>
    <x v="4"/>
    <x v="1"/>
    <x v="2"/>
    <s v="L"/>
    <x v="6"/>
    <n v="62.3"/>
    <n v="19.2"/>
    <n v="50.34"/>
    <d v="2025-08-06T00:00:00"/>
    <n v="9"/>
    <x v="1"/>
    <x v="0"/>
    <x v="0"/>
    <n v="28"/>
    <n v="172.79999999999998"/>
    <s v=""/>
  </r>
  <r>
    <s v="FB001294"/>
    <x v="2"/>
    <x v="1"/>
    <x v="2"/>
    <m/>
    <x v="7"/>
    <n v="58.83"/>
    <n v="12.5"/>
    <n v="51.48"/>
    <d v="2025-08-06T00:00:00"/>
    <n v="3"/>
    <x v="25"/>
    <x v="0"/>
    <x v="0"/>
    <n v="28"/>
    <n v="37.5"/>
    <s v=""/>
  </r>
  <r>
    <s v="FB001295"/>
    <x v="1"/>
    <x v="4"/>
    <x v="3"/>
    <s v="XXL"/>
    <x v="8"/>
    <n v="119.04"/>
    <n v="1.7"/>
    <n v="117.02"/>
    <d v="2025-08-06T00:00:00"/>
    <n v="34"/>
    <x v="16"/>
    <x v="0"/>
    <x v="0"/>
    <n v="28"/>
    <n v="57.8"/>
    <s v=""/>
  </r>
  <r>
    <s v="FB001296"/>
    <x v="0"/>
    <x v="0"/>
    <x v="3"/>
    <s v="S"/>
    <x v="8"/>
    <n v="80.540000000000006"/>
    <n v="0"/>
    <n v="80.540000000000006"/>
    <d v="2025-08-06T00:00:00"/>
    <n v="3"/>
    <x v="34"/>
    <x v="1"/>
    <x v="2"/>
    <n v="28"/>
    <n v="0"/>
    <n v="1"/>
  </r>
  <r>
    <s v="FB001297"/>
    <x v="4"/>
    <x v="2"/>
    <x v="1"/>
    <s v="XS"/>
    <x v="2"/>
    <n v="47.32"/>
    <n v="25.7"/>
    <n v="35.159999999999997"/>
    <d v="2025-08-06T00:00:00"/>
    <n v="2"/>
    <x v="53"/>
    <x v="0"/>
    <x v="0"/>
    <n v="28"/>
    <n v="51.4"/>
    <s v=""/>
  </r>
  <r>
    <s v="FB001298"/>
    <x v="3"/>
    <x v="6"/>
    <x v="1"/>
    <s v="XL"/>
    <x v="1"/>
    <n v="104.57"/>
    <n v="27.4"/>
    <n v="75.92"/>
    <d v="2025-08-06T00:00:00"/>
    <n v="7"/>
    <x v="50"/>
    <x v="1"/>
    <x v="4"/>
    <n v="28"/>
    <n v="191.79999999999998"/>
    <n v="1"/>
  </r>
  <r>
    <s v="FB001299"/>
    <x v="2"/>
    <x v="0"/>
    <x v="1"/>
    <m/>
    <x v="5"/>
    <n v="38.369999999999997"/>
    <n v="23.3"/>
    <n v="29.43"/>
    <d v="2025-08-06T00:00:00"/>
    <n v="22"/>
    <x v="40"/>
    <x v="0"/>
    <x v="0"/>
    <n v="28"/>
    <n v="512.6"/>
    <s v=""/>
  </r>
  <r>
    <s v="FB001300"/>
    <x v="0"/>
    <x v="4"/>
    <x v="1"/>
    <m/>
    <x v="0"/>
    <n v="86.3"/>
    <n v="0"/>
    <n v="86.3"/>
    <d v="2025-08-06T00:00:00"/>
    <n v="33"/>
    <x v="38"/>
    <x v="0"/>
    <x v="0"/>
    <n v="28"/>
    <n v="0"/>
    <s v=""/>
  </r>
  <r>
    <s v="FB001301"/>
    <x v="2"/>
    <x v="3"/>
    <x v="1"/>
    <m/>
    <x v="9"/>
    <n v="64.89"/>
    <n v="4.2"/>
    <n v="62.16"/>
    <d v="2025-08-06T00:00:00"/>
    <n v="40"/>
    <x v="40"/>
    <x v="0"/>
    <x v="0"/>
    <n v="28"/>
    <n v="168"/>
    <s v=""/>
  </r>
  <r>
    <s v="FB001302"/>
    <x v="2"/>
    <x v="3"/>
    <x v="2"/>
    <m/>
    <x v="8"/>
    <n v="53.64"/>
    <n v="0"/>
    <n v="53.64"/>
    <d v="2025-08-06T00:00:00"/>
    <n v="18"/>
    <x v="39"/>
    <x v="0"/>
    <x v="0"/>
    <n v="28"/>
    <n v="0"/>
    <s v=""/>
  </r>
  <r>
    <s v="FB001303"/>
    <x v="5"/>
    <x v="3"/>
    <x v="3"/>
    <s v="XXL"/>
    <x v="1"/>
    <n v="113.81"/>
    <n v="9.1999999999999993"/>
    <n v="103.34"/>
    <d v="2025-08-06T00:00:00"/>
    <n v="11"/>
    <x v="13"/>
    <x v="0"/>
    <x v="0"/>
    <n v="28"/>
    <n v="101.19999999999999"/>
    <s v=""/>
  </r>
  <r>
    <s v="FB001304"/>
    <x v="1"/>
    <x v="5"/>
    <x v="3"/>
    <s v="XXL"/>
    <x v="7"/>
    <n v="40.119999999999997"/>
    <n v="27.7"/>
    <n v="29.01"/>
    <d v="2025-08-06T00:00:00"/>
    <n v="29"/>
    <x v="12"/>
    <x v="1"/>
    <x v="2"/>
    <n v="28"/>
    <n v="803.3"/>
    <n v="1"/>
  </r>
  <r>
    <s v="FB001305"/>
    <x v="1"/>
    <x v="6"/>
    <x v="1"/>
    <s v="M"/>
    <x v="2"/>
    <n v="49.64"/>
    <n v="30.9"/>
    <n v="34.299999999999997"/>
    <d v="2025-08-06T00:00:00"/>
    <n v="21"/>
    <x v="66"/>
    <x v="0"/>
    <x v="0"/>
    <n v="28"/>
    <n v="648.9"/>
    <s v=""/>
  </r>
  <r>
    <s v="FB001306"/>
    <x v="4"/>
    <x v="7"/>
    <x v="3"/>
    <s v="L"/>
    <x v="10"/>
    <n v="117.64"/>
    <n v="54.2"/>
    <n v="53.88"/>
    <d v="2025-08-06T00:00:00"/>
    <n v="25"/>
    <x v="14"/>
    <x v="1"/>
    <x v="6"/>
    <n v="28"/>
    <n v="1355"/>
    <n v="1"/>
  </r>
  <r>
    <s v="FB001307"/>
    <x v="2"/>
    <x v="3"/>
    <x v="3"/>
    <m/>
    <x v="0"/>
    <n v="69.78"/>
    <n v="3.7"/>
    <n v="67.2"/>
    <d v="2025-08-06T00:00:00"/>
    <n v="14"/>
    <x v="53"/>
    <x v="0"/>
    <x v="0"/>
    <n v="28"/>
    <n v="51.800000000000004"/>
    <s v=""/>
  </r>
  <r>
    <s v="FB001308"/>
    <x v="2"/>
    <x v="7"/>
    <x v="0"/>
    <m/>
    <x v="3"/>
    <n v="29.91"/>
    <n v="18.399999999999999"/>
    <n v="24.41"/>
    <d v="2025-03-03T00:00:00"/>
    <n v="10"/>
    <x v="26"/>
    <x v="0"/>
    <x v="0"/>
    <n v="184"/>
    <n v="184"/>
    <s v=""/>
  </r>
  <r>
    <s v="FB001309"/>
    <x v="3"/>
    <x v="4"/>
    <x v="2"/>
    <s v="XL"/>
    <x v="2"/>
    <n v="187.11"/>
    <n v="43.3"/>
    <n v="106.09"/>
    <d v="2025-08-06T00:00:00"/>
    <n v="26"/>
    <x v="0"/>
    <x v="0"/>
    <x v="0"/>
    <n v="28"/>
    <n v="1125.8"/>
    <s v=""/>
  </r>
  <r>
    <s v="FB001310"/>
    <x v="2"/>
    <x v="5"/>
    <x v="3"/>
    <m/>
    <x v="7"/>
    <n v="40.04"/>
    <n v="15.8"/>
    <n v="33.71"/>
    <d v="2025-08-06T00:00:00"/>
    <n v="31"/>
    <x v="34"/>
    <x v="0"/>
    <x v="0"/>
    <n v="28"/>
    <n v="489.8"/>
    <s v=""/>
  </r>
  <r>
    <s v="FB001311"/>
    <x v="5"/>
    <x v="3"/>
    <x v="0"/>
    <s v="XS"/>
    <x v="7"/>
    <n v="113.44"/>
    <n v="23.4"/>
    <n v="86.9"/>
    <d v="2025-03-07T00:00:00"/>
    <n v="1"/>
    <x v="88"/>
    <x v="0"/>
    <x v="0"/>
    <n v="180"/>
    <n v="23.4"/>
    <s v=""/>
  </r>
  <r>
    <s v="FB001312"/>
    <x v="4"/>
    <x v="0"/>
    <x v="0"/>
    <s v="S"/>
    <x v="4"/>
    <n v="119.84"/>
    <n v="0"/>
    <n v="119.84"/>
    <d v="2024-09-27T00:00:00"/>
    <n v="47"/>
    <x v="40"/>
    <x v="0"/>
    <x v="0"/>
    <n v="341"/>
    <n v="0"/>
    <s v=""/>
  </r>
  <r>
    <s v="FB001313"/>
    <x v="3"/>
    <x v="1"/>
    <x v="2"/>
    <s v="XXL"/>
    <x v="10"/>
    <n v="167.27"/>
    <n v="0"/>
    <n v="167.27"/>
    <d v="2025-08-06T00:00:00"/>
    <n v="9"/>
    <x v="30"/>
    <x v="0"/>
    <x v="0"/>
    <n v="28"/>
    <n v="0"/>
    <s v=""/>
  </r>
  <r>
    <s v="FB001314"/>
    <x v="5"/>
    <x v="2"/>
    <x v="0"/>
    <s v="XL"/>
    <x v="5"/>
    <n v="148"/>
    <n v="1.1000000000000001"/>
    <n v="146.37"/>
    <d v="2025-02-23T00:00:00"/>
    <n v="43"/>
    <x v="66"/>
    <x v="0"/>
    <x v="0"/>
    <n v="192"/>
    <n v="47.300000000000004"/>
    <s v=""/>
  </r>
  <r>
    <s v="FB001315"/>
    <x v="4"/>
    <x v="4"/>
    <x v="1"/>
    <s v="XXL"/>
    <x v="0"/>
    <n v="65.34"/>
    <n v="49.8"/>
    <n v="32.799999999999997"/>
    <d v="2025-08-06T00:00:00"/>
    <n v="9"/>
    <x v="48"/>
    <x v="0"/>
    <x v="0"/>
    <n v="28"/>
    <n v="448.2"/>
    <s v=""/>
  </r>
  <r>
    <s v="FB001316"/>
    <x v="3"/>
    <x v="2"/>
    <x v="0"/>
    <s v="M"/>
    <x v="6"/>
    <n v="84.57"/>
    <n v="5.4"/>
    <n v="80"/>
    <d v="2025-07-17T00:00:00"/>
    <n v="33"/>
    <x v="74"/>
    <x v="0"/>
    <x v="0"/>
    <n v="48"/>
    <n v="178.20000000000002"/>
    <s v=""/>
  </r>
  <r>
    <s v="FB001317"/>
    <x v="4"/>
    <x v="6"/>
    <x v="3"/>
    <s v="XS"/>
    <x v="4"/>
    <n v="52.6"/>
    <n v="0"/>
    <n v="52.6"/>
    <d v="2025-08-06T00:00:00"/>
    <n v="35"/>
    <x v="19"/>
    <x v="1"/>
    <x v="1"/>
    <n v="28"/>
    <n v="0"/>
    <n v="1"/>
  </r>
  <r>
    <s v="FB001318"/>
    <x v="3"/>
    <x v="1"/>
    <x v="3"/>
    <s v="L"/>
    <x v="6"/>
    <n v="106.37"/>
    <n v="0"/>
    <n v="106.37"/>
    <d v="2025-08-06T00:00:00"/>
    <n v="30"/>
    <x v="21"/>
    <x v="0"/>
    <x v="0"/>
    <n v="28"/>
    <n v="0"/>
    <s v=""/>
  </r>
  <r>
    <s v="FB001319"/>
    <x v="1"/>
    <x v="6"/>
    <x v="3"/>
    <s v="XXL"/>
    <x v="2"/>
    <n v="96.77"/>
    <n v="40.4"/>
    <n v="57.67"/>
    <d v="2025-08-06T00:00:00"/>
    <n v="31"/>
    <x v="35"/>
    <x v="0"/>
    <x v="0"/>
    <n v="28"/>
    <n v="1252.3999999999999"/>
    <s v=""/>
  </r>
  <r>
    <s v="FB001320"/>
    <x v="0"/>
    <x v="2"/>
    <x v="0"/>
    <s v="L"/>
    <x v="10"/>
    <n v="99.02"/>
    <n v="0"/>
    <n v="99.02"/>
    <d v="2024-10-16T00:00:00"/>
    <n v="21"/>
    <x v="19"/>
    <x v="0"/>
    <x v="0"/>
    <n v="322"/>
    <n v="0"/>
    <s v=""/>
  </r>
  <r>
    <s v="FB001321"/>
    <x v="2"/>
    <x v="0"/>
    <x v="0"/>
    <m/>
    <x v="9"/>
    <n v="68.89"/>
    <n v="36.9"/>
    <n v="43.47"/>
    <d v="2024-12-05T00:00:00"/>
    <n v="9"/>
    <x v="34"/>
    <x v="0"/>
    <x v="0"/>
    <n v="272"/>
    <n v="332.09999999999997"/>
    <s v=""/>
  </r>
  <r>
    <s v="FB001322"/>
    <x v="5"/>
    <x v="4"/>
    <x v="0"/>
    <s v="S"/>
    <x v="1"/>
    <n v="63.91"/>
    <n v="3.5"/>
    <n v="61.67"/>
    <d v="2025-05-19T00:00:00"/>
    <n v="14"/>
    <x v="54"/>
    <x v="0"/>
    <x v="0"/>
    <n v="107"/>
    <n v="49"/>
    <s v=""/>
  </r>
  <r>
    <s v="FB001323"/>
    <x v="3"/>
    <x v="3"/>
    <x v="2"/>
    <s v="S"/>
    <x v="8"/>
    <n v="116.38"/>
    <n v="11.4"/>
    <n v="103.11"/>
    <d v="2025-08-06T00:00:00"/>
    <n v="15"/>
    <x v="41"/>
    <x v="0"/>
    <x v="0"/>
    <n v="28"/>
    <n v="171"/>
    <s v=""/>
  </r>
  <r>
    <s v="FB001324"/>
    <x v="4"/>
    <x v="1"/>
    <x v="2"/>
    <s v="XS"/>
    <x v="6"/>
    <n v="71.739999999999995"/>
    <n v="0"/>
    <n v="71.739999999999995"/>
    <d v="2025-08-06T00:00:00"/>
    <n v="16"/>
    <x v="56"/>
    <x v="0"/>
    <x v="0"/>
    <n v="28"/>
    <n v="0"/>
    <s v=""/>
  </r>
  <r>
    <s v="FB001325"/>
    <x v="4"/>
    <x v="7"/>
    <x v="1"/>
    <s v="M"/>
    <x v="7"/>
    <n v="91.11"/>
    <n v="0"/>
    <n v="91.11"/>
    <d v="2025-08-06T00:00:00"/>
    <n v="38"/>
    <x v="31"/>
    <x v="0"/>
    <x v="0"/>
    <n v="28"/>
    <n v="0"/>
    <s v=""/>
  </r>
  <r>
    <s v="FB001326"/>
    <x v="2"/>
    <x v="0"/>
    <x v="3"/>
    <m/>
    <x v="3"/>
    <n v="46.07"/>
    <n v="0"/>
    <n v="46.07"/>
    <d v="2025-08-06T00:00:00"/>
    <n v="25"/>
    <x v="1"/>
    <x v="0"/>
    <x v="0"/>
    <n v="28"/>
    <n v="0"/>
    <s v=""/>
  </r>
  <r>
    <s v="FB001327"/>
    <x v="5"/>
    <x v="3"/>
    <x v="2"/>
    <s v="S"/>
    <x v="6"/>
    <n v="156.27000000000001"/>
    <n v="0"/>
    <n v="156.27000000000001"/>
    <d v="2025-08-06T00:00:00"/>
    <n v="43"/>
    <x v="88"/>
    <x v="0"/>
    <x v="0"/>
    <n v="28"/>
    <n v="0"/>
    <s v=""/>
  </r>
  <r>
    <s v="FB001328"/>
    <x v="1"/>
    <x v="3"/>
    <x v="2"/>
    <s v="XS"/>
    <x v="1"/>
    <n v="56.35"/>
    <n v="0"/>
    <n v="56.35"/>
    <d v="2025-08-06T00:00:00"/>
    <n v="31"/>
    <x v="25"/>
    <x v="0"/>
    <x v="0"/>
    <n v="28"/>
    <n v="0"/>
    <s v=""/>
  </r>
  <r>
    <s v="FB001329"/>
    <x v="4"/>
    <x v="0"/>
    <x v="1"/>
    <s v="XS"/>
    <x v="9"/>
    <n v="118.21"/>
    <n v="23.1"/>
    <n v="90.9"/>
    <d v="2025-08-06T00:00:00"/>
    <n v="15"/>
    <x v="64"/>
    <x v="0"/>
    <x v="0"/>
    <n v="28"/>
    <n v="346.5"/>
    <s v=""/>
  </r>
  <r>
    <s v="FB001330"/>
    <x v="1"/>
    <x v="6"/>
    <x v="2"/>
    <s v="XS"/>
    <x v="7"/>
    <n v="25.86"/>
    <n v="0"/>
    <n v="25.86"/>
    <d v="2025-08-06T00:00:00"/>
    <n v="46"/>
    <x v="25"/>
    <x v="0"/>
    <x v="0"/>
    <n v="28"/>
    <n v="0"/>
    <s v=""/>
  </r>
  <r>
    <s v="FB001331"/>
    <x v="1"/>
    <x v="4"/>
    <x v="2"/>
    <s v="S"/>
    <x v="6"/>
    <n v="91.67"/>
    <n v="23.7"/>
    <n v="69.94"/>
    <d v="2025-08-06T00:00:00"/>
    <n v="3"/>
    <x v="17"/>
    <x v="0"/>
    <x v="0"/>
    <n v="28"/>
    <n v="71.099999999999994"/>
    <s v=""/>
  </r>
  <r>
    <s v="FB001332"/>
    <x v="4"/>
    <x v="1"/>
    <x v="2"/>
    <s v="L"/>
    <x v="5"/>
    <n v="25.29"/>
    <n v="7.9"/>
    <n v="23.29"/>
    <d v="2025-08-06T00:00:00"/>
    <n v="39"/>
    <x v="12"/>
    <x v="0"/>
    <x v="0"/>
    <n v="28"/>
    <n v="308.10000000000002"/>
    <s v=""/>
  </r>
  <r>
    <s v="FB001333"/>
    <x v="2"/>
    <x v="4"/>
    <x v="1"/>
    <m/>
    <x v="8"/>
    <n v="51.61"/>
    <n v="32.200000000000003"/>
    <n v="34.99"/>
    <d v="2025-08-06T00:00:00"/>
    <n v="34"/>
    <x v="51"/>
    <x v="0"/>
    <x v="0"/>
    <n v="28"/>
    <n v="1094.8000000000002"/>
    <s v=""/>
  </r>
  <r>
    <s v="FB001334"/>
    <x v="0"/>
    <x v="2"/>
    <x v="3"/>
    <s v="XL"/>
    <x v="2"/>
    <n v="143.61000000000001"/>
    <n v="24.6"/>
    <n v="108.28"/>
    <d v="2025-08-06T00:00:00"/>
    <n v="50"/>
    <x v="16"/>
    <x v="0"/>
    <x v="0"/>
    <n v="28"/>
    <n v="1230"/>
    <s v=""/>
  </r>
  <r>
    <s v="FB001335"/>
    <x v="4"/>
    <x v="6"/>
    <x v="3"/>
    <s v="L"/>
    <x v="0"/>
    <n v="45.48"/>
    <n v="0"/>
    <n v="45.48"/>
    <d v="2025-08-06T00:00:00"/>
    <n v="29"/>
    <x v="39"/>
    <x v="0"/>
    <x v="0"/>
    <n v="28"/>
    <n v="0"/>
    <s v=""/>
  </r>
  <r>
    <s v="FB001336"/>
    <x v="3"/>
    <x v="0"/>
    <x v="3"/>
    <m/>
    <x v="3"/>
    <n v="177.79"/>
    <n v="10.7"/>
    <n v="158.77000000000001"/>
    <d v="2025-08-06T00:00:00"/>
    <n v="37"/>
    <x v="27"/>
    <x v="0"/>
    <x v="0"/>
    <n v="28"/>
    <n v="395.9"/>
    <s v=""/>
  </r>
  <r>
    <s v="FB001337"/>
    <x v="0"/>
    <x v="6"/>
    <x v="2"/>
    <s v="XS"/>
    <x v="9"/>
    <n v="145.1"/>
    <n v="34.200000000000003"/>
    <n v="95.48"/>
    <d v="2025-08-06T00:00:00"/>
    <n v="14"/>
    <x v="37"/>
    <x v="0"/>
    <x v="0"/>
    <n v="28"/>
    <n v="478.80000000000007"/>
    <s v=""/>
  </r>
  <r>
    <s v="FB001338"/>
    <x v="3"/>
    <x v="5"/>
    <x v="3"/>
    <s v="XXL"/>
    <x v="8"/>
    <n v="190.78"/>
    <n v="0"/>
    <n v="190.78"/>
    <d v="2025-08-06T00:00:00"/>
    <n v="39"/>
    <x v="17"/>
    <x v="0"/>
    <x v="0"/>
    <n v="28"/>
    <n v="0"/>
    <s v=""/>
  </r>
  <r>
    <s v="FB001339"/>
    <x v="2"/>
    <x v="7"/>
    <x v="2"/>
    <m/>
    <x v="5"/>
    <n v="44.73"/>
    <n v="0"/>
    <n v="44.73"/>
    <d v="2025-08-06T00:00:00"/>
    <n v="25"/>
    <x v="21"/>
    <x v="0"/>
    <x v="0"/>
    <n v="28"/>
    <n v="0"/>
    <s v=""/>
  </r>
  <r>
    <s v="FB001340"/>
    <x v="3"/>
    <x v="2"/>
    <x v="1"/>
    <s v="XXL"/>
    <x v="3"/>
    <n v="65.48"/>
    <n v="0"/>
    <n v="65.48"/>
    <d v="2025-08-06T00:00:00"/>
    <n v="7"/>
    <x v="14"/>
    <x v="0"/>
    <x v="0"/>
    <n v="28"/>
    <n v="0"/>
    <s v=""/>
  </r>
  <r>
    <s v="FB001341"/>
    <x v="3"/>
    <x v="6"/>
    <x v="0"/>
    <s v="XS"/>
    <x v="9"/>
    <n v="86.1"/>
    <n v="0"/>
    <n v="86.1"/>
    <d v="2024-12-27T00:00:00"/>
    <n v="4"/>
    <x v="13"/>
    <x v="0"/>
    <x v="0"/>
    <n v="250"/>
    <n v="0"/>
    <s v=""/>
  </r>
  <r>
    <s v="FB001342"/>
    <x v="4"/>
    <x v="1"/>
    <x v="1"/>
    <s v="XS"/>
    <x v="6"/>
    <n v="100.14"/>
    <n v="0"/>
    <n v="100.14"/>
    <d v="2025-08-06T00:00:00"/>
    <n v="48"/>
    <x v="36"/>
    <x v="0"/>
    <x v="0"/>
    <n v="28"/>
    <n v="0"/>
    <s v=""/>
  </r>
  <r>
    <s v="FB001343"/>
    <x v="0"/>
    <x v="2"/>
    <x v="1"/>
    <m/>
    <x v="0"/>
    <n v="203.4"/>
    <n v="0"/>
    <n v="203.4"/>
    <d v="2025-08-06T00:00:00"/>
    <n v="18"/>
    <x v="34"/>
    <x v="0"/>
    <x v="0"/>
    <n v="28"/>
    <n v="0"/>
    <s v=""/>
  </r>
  <r>
    <s v="FB001344"/>
    <x v="1"/>
    <x v="6"/>
    <x v="1"/>
    <s v="XS"/>
    <x v="3"/>
    <n v="95.22"/>
    <n v="24.4"/>
    <n v="71.989999999999995"/>
    <d v="2025-08-06T00:00:00"/>
    <n v="26"/>
    <x v="39"/>
    <x v="0"/>
    <x v="0"/>
    <n v="28"/>
    <n v="634.4"/>
    <s v=""/>
  </r>
  <r>
    <s v="FB001345"/>
    <x v="5"/>
    <x v="4"/>
    <x v="2"/>
    <s v="XL"/>
    <x v="0"/>
    <n v="173.88"/>
    <n v="31.6"/>
    <n v="118.93"/>
    <d v="2025-08-06T00:00:00"/>
    <n v="5"/>
    <x v="53"/>
    <x v="0"/>
    <x v="0"/>
    <n v="28"/>
    <n v="158"/>
    <s v=""/>
  </r>
  <r>
    <s v="FB001346"/>
    <x v="5"/>
    <x v="4"/>
    <x v="1"/>
    <s v="L"/>
    <x v="7"/>
    <n v="160.05000000000001"/>
    <n v="0"/>
    <n v="160.05000000000001"/>
    <d v="2025-08-06T00:00:00"/>
    <n v="23"/>
    <x v="30"/>
    <x v="0"/>
    <x v="0"/>
    <n v="28"/>
    <n v="0"/>
    <s v=""/>
  </r>
  <r>
    <s v="FB001347"/>
    <x v="1"/>
    <x v="7"/>
    <x v="1"/>
    <s v="XS"/>
    <x v="5"/>
    <n v="59.53"/>
    <n v="0"/>
    <n v="59.53"/>
    <d v="2025-08-06T00:00:00"/>
    <n v="28"/>
    <x v="25"/>
    <x v="0"/>
    <x v="0"/>
    <n v="28"/>
    <n v="0"/>
    <s v=""/>
  </r>
  <r>
    <s v="FB001348"/>
    <x v="5"/>
    <x v="3"/>
    <x v="2"/>
    <s v="XS"/>
    <x v="5"/>
    <n v="155.32"/>
    <n v="0"/>
    <n v="155.32"/>
    <d v="2025-08-06T00:00:00"/>
    <n v="19"/>
    <x v="16"/>
    <x v="0"/>
    <x v="0"/>
    <n v="28"/>
    <n v="0"/>
    <s v=""/>
  </r>
  <r>
    <s v="FB001349"/>
    <x v="4"/>
    <x v="7"/>
    <x v="0"/>
    <s v="XL"/>
    <x v="2"/>
    <n v="29.65"/>
    <n v="41"/>
    <n v="17.489999999999998"/>
    <d v="2024-08-26T00:00:00"/>
    <n v="21"/>
    <x v="35"/>
    <x v="1"/>
    <x v="4"/>
    <n v="373"/>
    <n v="861"/>
    <n v="1"/>
  </r>
  <r>
    <s v="FB001350"/>
    <x v="0"/>
    <x v="3"/>
    <x v="1"/>
    <s v="XXL"/>
    <x v="10"/>
    <n v="237.53"/>
    <n v="23.2"/>
    <n v="182.42"/>
    <d v="2025-08-06T00:00:00"/>
    <n v="23"/>
    <x v="81"/>
    <x v="0"/>
    <x v="0"/>
    <n v="28"/>
    <n v="533.6"/>
    <s v=""/>
  </r>
  <r>
    <s v="FB001351"/>
    <x v="0"/>
    <x v="5"/>
    <x v="3"/>
    <s v="M"/>
    <x v="1"/>
    <n v="81.67"/>
    <n v="0"/>
    <n v="81.67"/>
    <d v="2025-08-06T00:00:00"/>
    <n v="34"/>
    <x v="47"/>
    <x v="1"/>
    <x v="3"/>
    <n v="28"/>
    <n v="0"/>
    <n v="1"/>
  </r>
  <r>
    <s v="FB001352"/>
    <x v="4"/>
    <x v="2"/>
    <x v="0"/>
    <s v="M"/>
    <x v="7"/>
    <n v="37.07"/>
    <n v="0"/>
    <n v="37.07"/>
    <d v="2025-05-01T00:00:00"/>
    <n v="13"/>
    <x v="28"/>
    <x v="0"/>
    <x v="0"/>
    <n v="125"/>
    <n v="0"/>
    <s v=""/>
  </r>
  <r>
    <s v="FB001353"/>
    <x v="1"/>
    <x v="1"/>
    <x v="2"/>
    <s v="XXL"/>
    <x v="9"/>
    <n v="80.97"/>
    <n v="0"/>
    <n v="80.97"/>
    <d v="2025-08-06T00:00:00"/>
    <n v="13"/>
    <x v="29"/>
    <x v="0"/>
    <x v="0"/>
    <n v="28"/>
    <n v="0"/>
    <s v=""/>
  </r>
  <r>
    <s v="FB001354"/>
    <x v="2"/>
    <x v="0"/>
    <x v="0"/>
    <m/>
    <x v="4"/>
    <n v="77.680000000000007"/>
    <n v="29.9"/>
    <n v="54.45"/>
    <d v="2025-07-24T00:00:00"/>
    <n v="33"/>
    <x v="30"/>
    <x v="1"/>
    <x v="3"/>
    <n v="41"/>
    <n v="986.69999999999993"/>
    <n v="1"/>
  </r>
  <r>
    <s v="FB001355"/>
    <x v="1"/>
    <x v="2"/>
    <x v="3"/>
    <s v="XXL"/>
    <x v="6"/>
    <n v="117.58"/>
    <n v="1"/>
    <n v="116.4"/>
    <d v="2025-08-06T00:00:00"/>
    <n v="27"/>
    <x v="31"/>
    <x v="0"/>
    <x v="0"/>
    <n v="28"/>
    <n v="27"/>
    <s v=""/>
  </r>
  <r>
    <s v="FB001356"/>
    <x v="0"/>
    <x v="3"/>
    <x v="2"/>
    <s v="XL"/>
    <x v="5"/>
    <n v="130.09"/>
    <n v="28.3"/>
    <n v="93.27"/>
    <d v="2025-08-06T00:00:00"/>
    <n v="41"/>
    <x v="39"/>
    <x v="0"/>
    <x v="0"/>
    <n v="28"/>
    <n v="1160.3"/>
    <s v=""/>
  </r>
  <r>
    <s v="FB001357"/>
    <x v="1"/>
    <x v="1"/>
    <x v="2"/>
    <s v="XS"/>
    <x v="9"/>
    <n v="63.69"/>
    <n v="0"/>
    <n v="63.69"/>
    <d v="2025-08-06T00:00:00"/>
    <n v="11"/>
    <x v="0"/>
    <x v="0"/>
    <x v="0"/>
    <n v="28"/>
    <n v="0"/>
    <s v=""/>
  </r>
  <r>
    <s v="FB001358"/>
    <x v="0"/>
    <x v="2"/>
    <x v="0"/>
    <s v="XL"/>
    <x v="0"/>
    <n v="135.02000000000001"/>
    <n v="0"/>
    <n v="135.02000000000001"/>
    <d v="2025-07-30T00:00:00"/>
    <n v="25"/>
    <x v="10"/>
    <x v="1"/>
    <x v="5"/>
    <n v="35"/>
    <n v="0"/>
    <n v="1"/>
  </r>
  <r>
    <s v="FB001359"/>
    <x v="2"/>
    <x v="4"/>
    <x v="1"/>
    <m/>
    <x v="7"/>
    <n v="45.37"/>
    <n v="0"/>
    <n v="45.37"/>
    <d v="2025-08-06T00:00:00"/>
    <n v="19"/>
    <x v="21"/>
    <x v="0"/>
    <x v="0"/>
    <n v="28"/>
    <n v="0"/>
    <s v=""/>
  </r>
  <r>
    <s v="FB001360"/>
    <x v="4"/>
    <x v="0"/>
    <x v="1"/>
    <s v="XL"/>
    <x v="10"/>
    <n v="51.17"/>
    <n v="8"/>
    <n v="47.08"/>
    <d v="2025-08-06T00:00:00"/>
    <n v="7"/>
    <x v="65"/>
    <x v="0"/>
    <x v="0"/>
    <n v="28"/>
    <n v="56"/>
    <s v=""/>
  </r>
  <r>
    <s v="FB001361"/>
    <x v="5"/>
    <x v="7"/>
    <x v="3"/>
    <s v="XXL"/>
    <x v="10"/>
    <n v="49.34"/>
    <n v="5.5"/>
    <n v="46.63"/>
    <d v="2025-08-06T00:00:00"/>
    <n v="10"/>
    <x v="2"/>
    <x v="0"/>
    <x v="0"/>
    <n v="28"/>
    <n v="55"/>
    <s v=""/>
  </r>
  <r>
    <s v="FB001362"/>
    <x v="3"/>
    <x v="1"/>
    <x v="0"/>
    <s v="S"/>
    <x v="6"/>
    <n v="119.78"/>
    <n v="0"/>
    <n v="119.78"/>
    <d v="2025-06-10T00:00:00"/>
    <n v="40"/>
    <x v="57"/>
    <x v="0"/>
    <x v="0"/>
    <n v="85"/>
    <n v="0"/>
    <s v=""/>
  </r>
  <r>
    <s v="FB001363"/>
    <x v="1"/>
    <x v="2"/>
    <x v="0"/>
    <s v="S"/>
    <x v="4"/>
    <n v="77.3"/>
    <n v="35.1"/>
    <n v="50.17"/>
    <d v="2025-07-26T00:00:00"/>
    <n v="16"/>
    <x v="4"/>
    <x v="0"/>
    <x v="0"/>
    <n v="39"/>
    <n v="561.6"/>
    <s v=""/>
  </r>
  <r>
    <s v="FB001364"/>
    <x v="1"/>
    <x v="6"/>
    <x v="2"/>
    <s v="XS"/>
    <x v="0"/>
    <n v="72.69"/>
    <n v="0"/>
    <n v="72.69"/>
    <d v="2025-08-06T00:00:00"/>
    <n v="6"/>
    <x v="24"/>
    <x v="0"/>
    <x v="0"/>
    <n v="28"/>
    <n v="0"/>
    <s v=""/>
  </r>
  <r>
    <s v="FB001365"/>
    <x v="3"/>
    <x v="6"/>
    <x v="2"/>
    <s v="XL"/>
    <x v="10"/>
    <n v="117.57"/>
    <n v="0"/>
    <n v="117.57"/>
    <d v="2025-08-06T00:00:00"/>
    <n v="30"/>
    <x v="51"/>
    <x v="0"/>
    <x v="0"/>
    <n v="28"/>
    <n v="0"/>
    <s v=""/>
  </r>
  <r>
    <s v="FB001366"/>
    <x v="0"/>
    <x v="7"/>
    <x v="0"/>
    <s v="S"/>
    <x v="6"/>
    <n v="161.25"/>
    <n v="48.4"/>
    <n v="83.2"/>
    <d v="2024-11-11T00:00:00"/>
    <n v="32"/>
    <x v="61"/>
    <x v="0"/>
    <x v="0"/>
    <n v="296"/>
    <n v="1548.8"/>
    <s v=""/>
  </r>
  <r>
    <s v="FB001367"/>
    <x v="3"/>
    <x v="5"/>
    <x v="2"/>
    <s v="S"/>
    <x v="9"/>
    <n v="158.01"/>
    <n v="0"/>
    <n v="158.01"/>
    <d v="2025-08-06T00:00:00"/>
    <n v="19"/>
    <x v="3"/>
    <x v="0"/>
    <x v="0"/>
    <n v="28"/>
    <n v="0"/>
    <s v=""/>
  </r>
  <r>
    <s v="FB001368"/>
    <x v="1"/>
    <x v="5"/>
    <x v="3"/>
    <s v="L"/>
    <x v="5"/>
    <n v="60.92"/>
    <n v="0"/>
    <n v="60.92"/>
    <d v="2025-08-06T00:00:00"/>
    <n v="25"/>
    <x v="68"/>
    <x v="1"/>
    <x v="4"/>
    <n v="28"/>
    <n v="0"/>
    <n v="1"/>
  </r>
  <r>
    <s v="FB001369"/>
    <x v="3"/>
    <x v="4"/>
    <x v="3"/>
    <s v="XL"/>
    <x v="4"/>
    <n v="122.03"/>
    <n v="25.2"/>
    <n v="91.28"/>
    <d v="2025-08-06T00:00:00"/>
    <n v="21"/>
    <x v="52"/>
    <x v="0"/>
    <x v="0"/>
    <n v="28"/>
    <n v="529.19999999999993"/>
    <s v=""/>
  </r>
  <r>
    <s v="FB001370"/>
    <x v="3"/>
    <x v="3"/>
    <x v="0"/>
    <s v="S"/>
    <x v="10"/>
    <n v="109.15"/>
    <n v="0"/>
    <n v="109.15"/>
    <d v="2024-11-11T00:00:00"/>
    <n v="11"/>
    <x v="41"/>
    <x v="0"/>
    <x v="0"/>
    <n v="296"/>
    <n v="0"/>
    <s v=""/>
  </r>
  <r>
    <s v="FB001371"/>
    <x v="4"/>
    <x v="5"/>
    <x v="2"/>
    <s v="M"/>
    <x v="7"/>
    <n v="60.97"/>
    <n v="0"/>
    <n v="60.97"/>
    <d v="2025-08-06T00:00:00"/>
    <n v="29"/>
    <x v="35"/>
    <x v="0"/>
    <x v="0"/>
    <n v="28"/>
    <n v="0"/>
    <s v=""/>
  </r>
  <r>
    <s v="FB001372"/>
    <x v="2"/>
    <x v="1"/>
    <x v="3"/>
    <m/>
    <x v="1"/>
    <n v="64.87"/>
    <n v="35.299999999999997"/>
    <n v="41.97"/>
    <d v="2025-08-06T00:00:00"/>
    <n v="12"/>
    <x v="36"/>
    <x v="1"/>
    <x v="2"/>
    <n v="28"/>
    <n v="423.59999999999997"/>
    <n v="1"/>
  </r>
  <r>
    <s v="FB001373"/>
    <x v="3"/>
    <x v="3"/>
    <x v="2"/>
    <s v="S"/>
    <x v="1"/>
    <n v="151.35"/>
    <n v="0"/>
    <n v="151.35"/>
    <d v="2025-08-06T00:00:00"/>
    <n v="18"/>
    <x v="41"/>
    <x v="0"/>
    <x v="0"/>
    <n v="28"/>
    <n v="0"/>
    <s v=""/>
  </r>
  <r>
    <s v="FB001374"/>
    <x v="2"/>
    <x v="6"/>
    <x v="1"/>
    <m/>
    <x v="5"/>
    <n v="72.900000000000006"/>
    <n v="44"/>
    <n v="40.82"/>
    <d v="2025-08-06T00:00:00"/>
    <n v="25"/>
    <x v="0"/>
    <x v="0"/>
    <x v="0"/>
    <n v="28"/>
    <n v="1100"/>
    <s v=""/>
  </r>
  <r>
    <s v="FB001375"/>
    <x v="2"/>
    <x v="6"/>
    <x v="1"/>
    <m/>
    <x v="9"/>
    <n v="79.48"/>
    <n v="0"/>
    <n v="79.48"/>
    <d v="2025-08-06T00:00:00"/>
    <n v="2"/>
    <x v="31"/>
    <x v="0"/>
    <x v="0"/>
    <n v="28"/>
    <n v="0"/>
    <s v=""/>
  </r>
  <r>
    <s v="FB001376"/>
    <x v="3"/>
    <x v="3"/>
    <x v="2"/>
    <s v="M"/>
    <x v="7"/>
    <n v="122.77"/>
    <n v="59.8"/>
    <n v="49.35"/>
    <d v="2025-08-06T00:00:00"/>
    <n v="33"/>
    <x v="30"/>
    <x v="0"/>
    <x v="0"/>
    <n v="28"/>
    <n v="1973.3999999999999"/>
    <s v=""/>
  </r>
  <r>
    <s v="FB001377"/>
    <x v="4"/>
    <x v="7"/>
    <x v="3"/>
    <s v="XL"/>
    <x v="2"/>
    <n v="79.61"/>
    <n v="0"/>
    <n v="79.61"/>
    <d v="2025-08-06T00:00:00"/>
    <n v="29"/>
    <x v="17"/>
    <x v="0"/>
    <x v="0"/>
    <n v="28"/>
    <n v="0"/>
    <s v=""/>
  </r>
  <r>
    <s v="FB001378"/>
    <x v="4"/>
    <x v="1"/>
    <x v="1"/>
    <s v="L"/>
    <x v="3"/>
    <n v="60.13"/>
    <n v="0"/>
    <n v="60.13"/>
    <d v="2025-08-06T00:00:00"/>
    <n v="27"/>
    <x v="56"/>
    <x v="0"/>
    <x v="0"/>
    <n v="28"/>
    <n v="0"/>
    <s v=""/>
  </r>
  <r>
    <s v="FB001379"/>
    <x v="2"/>
    <x v="6"/>
    <x v="1"/>
    <m/>
    <x v="4"/>
    <n v="72.260000000000005"/>
    <n v="41"/>
    <n v="42.63"/>
    <d v="2025-08-06T00:00:00"/>
    <n v="43"/>
    <x v="15"/>
    <x v="0"/>
    <x v="0"/>
    <n v="28"/>
    <n v="1763"/>
    <s v=""/>
  </r>
  <r>
    <s v="FB001380"/>
    <x v="4"/>
    <x v="3"/>
    <x v="3"/>
    <s v="XL"/>
    <x v="6"/>
    <n v="66.38"/>
    <n v="17"/>
    <n v="55.1"/>
    <d v="2025-08-06T00:00:00"/>
    <n v="24"/>
    <x v="26"/>
    <x v="1"/>
    <x v="2"/>
    <n v="28"/>
    <n v="408"/>
    <n v="1"/>
  </r>
  <r>
    <s v="FB001381"/>
    <x v="0"/>
    <x v="5"/>
    <x v="0"/>
    <s v="XS"/>
    <x v="7"/>
    <n v="100.27"/>
    <n v="0"/>
    <n v="100.27"/>
    <d v="2025-03-03T00:00:00"/>
    <n v="37"/>
    <x v="47"/>
    <x v="0"/>
    <x v="0"/>
    <n v="184"/>
    <n v="0"/>
    <s v=""/>
  </r>
  <r>
    <s v="FB001382"/>
    <x v="5"/>
    <x v="0"/>
    <x v="3"/>
    <s v="S"/>
    <x v="7"/>
    <n v="116.09"/>
    <n v="52.8"/>
    <n v="54.79"/>
    <d v="2025-08-06T00:00:00"/>
    <n v="22"/>
    <x v="75"/>
    <x v="0"/>
    <x v="0"/>
    <n v="28"/>
    <n v="1161.5999999999999"/>
    <s v=""/>
  </r>
  <r>
    <s v="FB001383"/>
    <x v="0"/>
    <x v="3"/>
    <x v="2"/>
    <s v="S"/>
    <x v="3"/>
    <n v="80.709999999999994"/>
    <n v="0.9"/>
    <n v="79.98"/>
    <d v="2025-08-06T00:00:00"/>
    <n v="11"/>
    <x v="21"/>
    <x v="0"/>
    <x v="0"/>
    <n v="28"/>
    <n v="9.9"/>
    <s v=""/>
  </r>
  <r>
    <s v="FB001384"/>
    <x v="5"/>
    <x v="2"/>
    <x v="3"/>
    <s v="M"/>
    <x v="5"/>
    <n v="175.11"/>
    <n v="0"/>
    <n v="175.11"/>
    <d v="2025-08-06T00:00:00"/>
    <n v="39"/>
    <x v="5"/>
    <x v="0"/>
    <x v="0"/>
    <n v="28"/>
    <n v="0"/>
    <s v=""/>
  </r>
  <r>
    <s v="FB001385"/>
    <x v="5"/>
    <x v="3"/>
    <x v="2"/>
    <s v="XS"/>
    <x v="10"/>
    <n v="122.35"/>
    <n v="37"/>
    <n v="77.08"/>
    <d v="2025-08-06T00:00:00"/>
    <n v="25"/>
    <x v="88"/>
    <x v="0"/>
    <x v="0"/>
    <n v="28"/>
    <n v="925"/>
    <s v=""/>
  </r>
  <r>
    <s v="FB001386"/>
    <x v="3"/>
    <x v="1"/>
    <x v="1"/>
    <s v="S"/>
    <x v="5"/>
    <n v="127.99"/>
    <n v="0"/>
    <n v="127.99"/>
    <d v="2025-08-06T00:00:00"/>
    <n v="14"/>
    <x v="67"/>
    <x v="0"/>
    <x v="0"/>
    <n v="28"/>
    <n v="0"/>
    <s v=""/>
  </r>
  <r>
    <s v="FB001387"/>
    <x v="4"/>
    <x v="0"/>
    <x v="3"/>
    <s v="S"/>
    <x v="10"/>
    <n v="101.07"/>
    <n v="4.5999999999999996"/>
    <n v="96.42"/>
    <d v="2025-08-06T00:00:00"/>
    <n v="19"/>
    <x v="52"/>
    <x v="0"/>
    <x v="0"/>
    <n v="28"/>
    <n v="87.399999999999991"/>
    <s v=""/>
  </r>
  <r>
    <s v="FB001388"/>
    <x v="4"/>
    <x v="7"/>
    <x v="1"/>
    <s v="L"/>
    <x v="10"/>
    <n v="41.83"/>
    <n v="44.1"/>
    <n v="23.38"/>
    <d v="2025-08-06T00:00:00"/>
    <n v="6"/>
    <x v="13"/>
    <x v="0"/>
    <x v="0"/>
    <n v="28"/>
    <n v="264.60000000000002"/>
    <s v=""/>
  </r>
  <r>
    <s v="FB001389"/>
    <x v="3"/>
    <x v="4"/>
    <x v="0"/>
    <s v="M"/>
    <x v="6"/>
    <n v="147.52000000000001"/>
    <n v="0"/>
    <n v="147.52000000000001"/>
    <d v="2025-01-08T00:00:00"/>
    <n v="41"/>
    <x v="30"/>
    <x v="0"/>
    <x v="0"/>
    <n v="238"/>
    <n v="0"/>
    <s v=""/>
  </r>
  <r>
    <s v="FB001390"/>
    <x v="1"/>
    <x v="2"/>
    <x v="2"/>
    <s v="S"/>
    <x v="4"/>
    <n v="85.94"/>
    <n v="0"/>
    <n v="85.94"/>
    <d v="2025-08-06T00:00:00"/>
    <n v="49"/>
    <x v="25"/>
    <x v="0"/>
    <x v="0"/>
    <n v="28"/>
    <n v="0"/>
    <s v=""/>
  </r>
  <r>
    <s v="FB001391"/>
    <x v="5"/>
    <x v="6"/>
    <x v="1"/>
    <s v="XXL"/>
    <x v="6"/>
    <n v="115.61"/>
    <n v="0"/>
    <n v="115.61"/>
    <d v="2025-08-06T00:00:00"/>
    <n v="35"/>
    <x v="34"/>
    <x v="0"/>
    <x v="0"/>
    <n v="28"/>
    <n v="0"/>
    <s v=""/>
  </r>
  <r>
    <s v="FB001392"/>
    <x v="0"/>
    <x v="5"/>
    <x v="1"/>
    <s v="XS"/>
    <x v="1"/>
    <n v="90.58"/>
    <n v="0"/>
    <n v="90.58"/>
    <d v="2025-08-06T00:00:00"/>
    <n v="1"/>
    <x v="50"/>
    <x v="0"/>
    <x v="0"/>
    <n v="28"/>
    <n v="0"/>
    <s v=""/>
  </r>
  <r>
    <s v="FB001393"/>
    <x v="1"/>
    <x v="6"/>
    <x v="0"/>
    <s v="S"/>
    <x v="0"/>
    <n v="64.84"/>
    <n v="0"/>
    <n v="64.84"/>
    <d v="2024-10-26T00:00:00"/>
    <n v="25"/>
    <x v="38"/>
    <x v="0"/>
    <x v="0"/>
    <n v="312"/>
    <n v="0"/>
    <s v=""/>
  </r>
  <r>
    <s v="FB001394"/>
    <x v="4"/>
    <x v="2"/>
    <x v="3"/>
    <s v="XS"/>
    <x v="2"/>
    <n v="37.270000000000003"/>
    <n v="0"/>
    <n v="37.270000000000003"/>
    <d v="2025-08-06T00:00:00"/>
    <n v="27"/>
    <x v="32"/>
    <x v="1"/>
    <x v="5"/>
    <n v="28"/>
    <n v="0"/>
    <n v="1"/>
  </r>
  <r>
    <s v="FB001395"/>
    <x v="1"/>
    <x v="6"/>
    <x v="3"/>
    <s v="XL"/>
    <x v="5"/>
    <n v="90.48"/>
    <n v="55.2"/>
    <n v="40.54"/>
    <d v="2025-08-06T00:00:00"/>
    <n v="26"/>
    <x v="0"/>
    <x v="0"/>
    <x v="0"/>
    <n v="28"/>
    <n v="1435.2"/>
    <s v=""/>
  </r>
  <r>
    <s v="FB001396"/>
    <x v="3"/>
    <x v="6"/>
    <x v="3"/>
    <s v="S"/>
    <x v="6"/>
    <n v="159.62"/>
    <n v="58.4"/>
    <n v="66.400000000000006"/>
    <d v="2025-08-06T00:00:00"/>
    <n v="45"/>
    <x v="21"/>
    <x v="0"/>
    <x v="0"/>
    <n v="28"/>
    <n v="2628"/>
    <s v=""/>
  </r>
  <r>
    <s v="FB001397"/>
    <x v="3"/>
    <x v="5"/>
    <x v="3"/>
    <s v="L"/>
    <x v="4"/>
    <n v="81.459999999999994"/>
    <n v="58.8"/>
    <n v="33.56"/>
    <d v="2025-08-06T00:00:00"/>
    <n v="37"/>
    <x v="14"/>
    <x v="0"/>
    <x v="0"/>
    <n v="28"/>
    <n v="2175.6"/>
    <s v=""/>
  </r>
  <r>
    <s v="FB001398"/>
    <x v="3"/>
    <x v="7"/>
    <x v="1"/>
    <s v="XS"/>
    <x v="3"/>
    <n v="93.63"/>
    <n v="0"/>
    <n v="93.63"/>
    <d v="2025-08-06T00:00:00"/>
    <n v="47"/>
    <x v="16"/>
    <x v="0"/>
    <x v="0"/>
    <n v="28"/>
    <n v="0"/>
    <s v=""/>
  </r>
  <r>
    <s v="FB001399"/>
    <x v="1"/>
    <x v="5"/>
    <x v="3"/>
    <s v="M"/>
    <x v="10"/>
    <n v="95.55"/>
    <n v="0"/>
    <n v="95.55"/>
    <d v="2025-08-06T00:00:00"/>
    <n v="25"/>
    <x v="52"/>
    <x v="0"/>
    <x v="0"/>
    <n v="28"/>
    <n v="0"/>
    <s v=""/>
  </r>
  <r>
    <s v="FB001400"/>
    <x v="0"/>
    <x v="0"/>
    <x v="1"/>
    <s v="M"/>
    <x v="3"/>
    <n v="146.44999999999999"/>
    <n v="0"/>
    <n v="146.44999999999999"/>
    <d v="2025-08-06T00:00:00"/>
    <n v="45"/>
    <x v="10"/>
    <x v="0"/>
    <x v="0"/>
    <n v="28"/>
    <n v="0"/>
    <s v=""/>
  </r>
  <r>
    <s v="FB001401"/>
    <x v="3"/>
    <x v="2"/>
    <x v="0"/>
    <s v="M"/>
    <x v="5"/>
    <n v="96.9"/>
    <n v="0"/>
    <n v="96.9"/>
    <d v="2025-02-03T00:00:00"/>
    <n v="24"/>
    <x v="2"/>
    <x v="0"/>
    <x v="0"/>
    <n v="212"/>
    <n v="0"/>
    <s v=""/>
  </r>
  <r>
    <s v="FB001402"/>
    <x v="1"/>
    <x v="2"/>
    <x v="2"/>
    <s v="XXL"/>
    <x v="10"/>
    <n v="71.83"/>
    <n v="0"/>
    <n v="71.83"/>
    <d v="2025-08-06T00:00:00"/>
    <n v="46"/>
    <x v="35"/>
    <x v="0"/>
    <x v="0"/>
    <n v="28"/>
    <n v="0"/>
    <s v=""/>
  </r>
  <r>
    <s v="FB001403"/>
    <x v="1"/>
    <x v="4"/>
    <x v="3"/>
    <s v="L"/>
    <x v="8"/>
    <n v="29.17"/>
    <n v="0"/>
    <n v="29.17"/>
    <d v="2025-08-06T00:00:00"/>
    <n v="17"/>
    <x v="6"/>
    <x v="0"/>
    <x v="0"/>
    <n v="28"/>
    <n v="0"/>
    <s v=""/>
  </r>
  <r>
    <s v="FB001404"/>
    <x v="1"/>
    <x v="4"/>
    <x v="0"/>
    <s v="S"/>
    <x v="6"/>
    <n v="31.3"/>
    <n v="43.6"/>
    <n v="17.649999999999999"/>
    <d v="2025-03-06T00:00:00"/>
    <n v="21"/>
    <x v="9"/>
    <x v="0"/>
    <x v="0"/>
    <n v="181"/>
    <n v="915.6"/>
    <s v=""/>
  </r>
  <r>
    <s v="FB001405"/>
    <x v="2"/>
    <x v="0"/>
    <x v="2"/>
    <m/>
    <x v="6"/>
    <n v="73.569999999999993"/>
    <n v="0"/>
    <n v="73.569999999999993"/>
    <d v="2025-08-06T00:00:00"/>
    <n v="22"/>
    <x v="21"/>
    <x v="0"/>
    <x v="0"/>
    <n v="28"/>
    <n v="0"/>
    <s v=""/>
  </r>
  <r>
    <s v="FB001406"/>
    <x v="3"/>
    <x v="3"/>
    <x v="3"/>
    <m/>
    <x v="1"/>
    <n v="75.95"/>
    <n v="0"/>
    <n v="75.95"/>
    <d v="2025-08-06T00:00:00"/>
    <n v="14"/>
    <x v="41"/>
    <x v="0"/>
    <x v="0"/>
    <n v="28"/>
    <n v="0"/>
    <s v=""/>
  </r>
  <r>
    <s v="FB001407"/>
    <x v="2"/>
    <x v="4"/>
    <x v="0"/>
    <m/>
    <x v="6"/>
    <n v="79.040000000000006"/>
    <n v="0"/>
    <n v="79.040000000000006"/>
    <d v="2024-10-03T00:00:00"/>
    <n v="28"/>
    <x v="52"/>
    <x v="0"/>
    <x v="0"/>
    <n v="335"/>
    <n v="0"/>
    <s v=""/>
  </r>
  <r>
    <s v="FB001408"/>
    <x v="1"/>
    <x v="3"/>
    <x v="2"/>
    <s v="L"/>
    <x v="3"/>
    <n v="26.85"/>
    <n v="0"/>
    <n v="26.85"/>
    <d v="2025-08-06T00:00:00"/>
    <n v="26"/>
    <x v="60"/>
    <x v="0"/>
    <x v="0"/>
    <n v="28"/>
    <n v="0"/>
    <s v=""/>
  </r>
  <r>
    <s v="FB001409"/>
    <x v="5"/>
    <x v="5"/>
    <x v="0"/>
    <s v="L"/>
    <x v="4"/>
    <n v="126.21"/>
    <n v="29.2"/>
    <n v="89.36"/>
    <d v="2024-08-15T00:00:00"/>
    <n v="25"/>
    <x v="21"/>
    <x v="0"/>
    <x v="0"/>
    <n v="384"/>
    <n v="730"/>
    <s v=""/>
  </r>
  <r>
    <s v="FB001410"/>
    <x v="3"/>
    <x v="3"/>
    <x v="2"/>
    <s v="S"/>
    <x v="8"/>
    <n v="71.459999999999994"/>
    <n v="0"/>
    <n v="71.459999999999994"/>
    <d v="2025-08-06T00:00:00"/>
    <n v="2"/>
    <x v="47"/>
    <x v="0"/>
    <x v="0"/>
    <n v="28"/>
    <n v="0"/>
    <s v=""/>
  </r>
  <r>
    <s v="FB001411"/>
    <x v="5"/>
    <x v="3"/>
    <x v="1"/>
    <s v="M"/>
    <x v="7"/>
    <n v="65.069999999999993"/>
    <n v="14.8"/>
    <n v="55.44"/>
    <d v="2025-08-06T00:00:00"/>
    <n v="21"/>
    <x v="88"/>
    <x v="0"/>
    <x v="0"/>
    <n v="28"/>
    <n v="310.8"/>
    <s v=""/>
  </r>
  <r>
    <s v="FB001412"/>
    <x v="4"/>
    <x v="3"/>
    <x v="2"/>
    <s v="XL"/>
    <x v="1"/>
    <n v="28.11"/>
    <n v="20.9"/>
    <n v="22.24"/>
    <d v="2025-08-06T00:00:00"/>
    <n v="6"/>
    <x v="39"/>
    <x v="0"/>
    <x v="0"/>
    <n v="28"/>
    <n v="125.39999999999999"/>
    <s v=""/>
  </r>
  <r>
    <s v="FB001413"/>
    <x v="1"/>
    <x v="4"/>
    <x v="0"/>
    <s v="L"/>
    <x v="6"/>
    <n v="29.12"/>
    <n v="0"/>
    <n v="29.12"/>
    <d v="2025-03-25T00:00:00"/>
    <n v="14"/>
    <x v="67"/>
    <x v="0"/>
    <x v="0"/>
    <n v="162"/>
    <n v="0"/>
    <s v=""/>
  </r>
  <r>
    <s v="FB001414"/>
    <x v="2"/>
    <x v="7"/>
    <x v="1"/>
    <m/>
    <x v="2"/>
    <n v="57.1"/>
    <n v="0"/>
    <n v="57.1"/>
    <d v="2025-08-06T00:00:00"/>
    <n v="28"/>
    <x v="85"/>
    <x v="1"/>
    <x v="6"/>
    <n v="28"/>
    <n v="0"/>
    <n v="1"/>
  </r>
  <r>
    <s v="FB001415"/>
    <x v="0"/>
    <x v="1"/>
    <x v="0"/>
    <s v="M"/>
    <x v="2"/>
    <n v="248.05"/>
    <n v="0"/>
    <n v="248.05"/>
    <d v="2025-04-29T00:00:00"/>
    <n v="17"/>
    <x v="14"/>
    <x v="0"/>
    <x v="0"/>
    <n v="127"/>
    <n v="0"/>
    <s v=""/>
  </r>
  <r>
    <s v="FB001416"/>
    <x v="4"/>
    <x v="0"/>
    <x v="2"/>
    <s v="S"/>
    <x v="4"/>
    <n v="108.59"/>
    <n v="40.6"/>
    <n v="64.5"/>
    <d v="2025-08-06T00:00:00"/>
    <n v="9"/>
    <x v="49"/>
    <x v="0"/>
    <x v="0"/>
    <n v="28"/>
    <n v="365.40000000000003"/>
    <s v=""/>
  </r>
  <r>
    <s v="FB001417"/>
    <x v="0"/>
    <x v="7"/>
    <x v="3"/>
    <s v="XL"/>
    <x v="7"/>
    <n v="124.13"/>
    <n v="0"/>
    <n v="124.13"/>
    <d v="2025-08-06T00:00:00"/>
    <n v="33"/>
    <x v="64"/>
    <x v="0"/>
    <x v="0"/>
    <n v="28"/>
    <n v="0"/>
    <s v=""/>
  </r>
  <r>
    <s v="FB001418"/>
    <x v="2"/>
    <x v="0"/>
    <x v="0"/>
    <m/>
    <x v="10"/>
    <n v="62.21"/>
    <n v="1.8"/>
    <n v="61.09"/>
    <d v="2024-11-03T00:00:00"/>
    <n v="4"/>
    <x v="39"/>
    <x v="0"/>
    <x v="0"/>
    <n v="304"/>
    <n v="7.2"/>
    <s v=""/>
  </r>
  <r>
    <s v="FB001419"/>
    <x v="4"/>
    <x v="1"/>
    <x v="2"/>
    <s v="M"/>
    <x v="4"/>
    <n v="48.27"/>
    <n v="0"/>
    <n v="48.27"/>
    <d v="2025-08-06T00:00:00"/>
    <n v="33"/>
    <x v="56"/>
    <x v="0"/>
    <x v="0"/>
    <n v="28"/>
    <n v="0"/>
    <s v=""/>
  </r>
  <r>
    <s v="FB001420"/>
    <x v="1"/>
    <x v="0"/>
    <x v="0"/>
    <s v="XL"/>
    <x v="5"/>
    <n v="88.77"/>
    <n v="0"/>
    <n v="88.77"/>
    <d v="2025-05-16T00:00:00"/>
    <n v="40"/>
    <x v="51"/>
    <x v="0"/>
    <x v="0"/>
    <n v="110"/>
    <n v="0"/>
    <s v=""/>
  </r>
  <r>
    <s v="FB001421"/>
    <x v="5"/>
    <x v="6"/>
    <x v="2"/>
    <s v="M"/>
    <x v="8"/>
    <n v="94.17"/>
    <n v="0"/>
    <n v="94.17"/>
    <d v="2025-08-06T00:00:00"/>
    <n v="2"/>
    <x v="70"/>
    <x v="0"/>
    <x v="0"/>
    <n v="28"/>
    <n v="0"/>
    <s v=""/>
  </r>
  <r>
    <s v="FB001422"/>
    <x v="2"/>
    <x v="7"/>
    <x v="2"/>
    <m/>
    <x v="2"/>
    <n v="30.44"/>
    <n v="0"/>
    <n v="30.44"/>
    <d v="2025-08-06T00:00:00"/>
    <n v="42"/>
    <x v="85"/>
    <x v="0"/>
    <x v="0"/>
    <n v="28"/>
    <n v="0"/>
    <s v=""/>
  </r>
  <r>
    <s v="FB001423"/>
    <x v="4"/>
    <x v="1"/>
    <x v="2"/>
    <s v="XS"/>
    <x v="9"/>
    <n v="114.29"/>
    <n v="0"/>
    <n v="114.29"/>
    <d v="2025-08-06T00:00:00"/>
    <n v="9"/>
    <x v="53"/>
    <x v="0"/>
    <x v="0"/>
    <n v="28"/>
    <n v="0"/>
    <s v=""/>
  </r>
  <r>
    <s v="FB001424"/>
    <x v="3"/>
    <x v="1"/>
    <x v="2"/>
    <s v="XL"/>
    <x v="4"/>
    <n v="105.01"/>
    <n v="25.8"/>
    <n v="77.92"/>
    <d v="2025-08-06T00:00:00"/>
    <n v="17"/>
    <x v="53"/>
    <x v="0"/>
    <x v="0"/>
    <n v="28"/>
    <n v="438.6"/>
    <s v=""/>
  </r>
  <r>
    <s v="FB001425"/>
    <x v="1"/>
    <x v="5"/>
    <x v="0"/>
    <s v="XL"/>
    <x v="5"/>
    <n v="38.56"/>
    <n v="0"/>
    <n v="38.56"/>
    <d v="2025-05-30T00:00:00"/>
    <n v="39"/>
    <x v="25"/>
    <x v="0"/>
    <x v="0"/>
    <n v="96"/>
    <n v="0"/>
    <s v=""/>
  </r>
  <r>
    <s v="FB001426"/>
    <x v="3"/>
    <x v="3"/>
    <x v="1"/>
    <s v="L"/>
    <x v="9"/>
    <n v="64.94"/>
    <n v="0"/>
    <n v="64.94"/>
    <d v="2025-08-06T00:00:00"/>
    <n v="32"/>
    <x v="35"/>
    <x v="0"/>
    <x v="0"/>
    <n v="28"/>
    <n v="0"/>
    <s v=""/>
  </r>
  <r>
    <s v="FB001427"/>
    <x v="4"/>
    <x v="3"/>
    <x v="1"/>
    <s v="S"/>
    <x v="6"/>
    <n v="63.74"/>
    <n v="56.8"/>
    <n v="27.54"/>
    <d v="2025-08-06T00:00:00"/>
    <n v="15"/>
    <x v="30"/>
    <x v="0"/>
    <x v="0"/>
    <n v="28"/>
    <n v="852"/>
    <s v=""/>
  </r>
  <r>
    <s v="FB001428"/>
    <x v="1"/>
    <x v="0"/>
    <x v="3"/>
    <s v="XL"/>
    <x v="1"/>
    <n v="67.23"/>
    <n v="11.1"/>
    <n v="59.77"/>
    <d v="2025-08-06T00:00:00"/>
    <n v="39"/>
    <x v="21"/>
    <x v="1"/>
    <x v="6"/>
    <n v="28"/>
    <n v="432.9"/>
    <n v="1"/>
  </r>
  <r>
    <s v="FB001429"/>
    <x v="2"/>
    <x v="4"/>
    <x v="0"/>
    <m/>
    <x v="5"/>
    <n v="27.2"/>
    <n v="40.4"/>
    <n v="16.21"/>
    <d v="2024-08-19T00:00:00"/>
    <n v="20"/>
    <x v="2"/>
    <x v="0"/>
    <x v="0"/>
    <n v="380"/>
    <n v="808"/>
    <s v=""/>
  </r>
  <r>
    <s v="FB001430"/>
    <x v="1"/>
    <x v="3"/>
    <x v="0"/>
    <s v="XL"/>
    <x v="10"/>
    <n v="75.84"/>
    <n v="0"/>
    <n v="75.84"/>
    <d v="2025-04-07T00:00:00"/>
    <n v="8"/>
    <x v="16"/>
    <x v="0"/>
    <x v="0"/>
    <n v="149"/>
    <n v="0"/>
    <s v=""/>
  </r>
  <r>
    <s v="FB001431"/>
    <x v="5"/>
    <x v="3"/>
    <x v="1"/>
    <s v="M"/>
    <x v="8"/>
    <n v="68.510000000000005"/>
    <n v="0"/>
    <n v="68.510000000000005"/>
    <d v="2025-08-06T00:00:00"/>
    <n v="1"/>
    <x v="3"/>
    <x v="0"/>
    <x v="0"/>
    <n v="28"/>
    <n v="0"/>
    <s v=""/>
  </r>
  <r>
    <s v="FB001432"/>
    <x v="2"/>
    <x v="3"/>
    <x v="3"/>
    <m/>
    <x v="9"/>
    <n v="25.49"/>
    <n v="0"/>
    <n v="25.49"/>
    <d v="2025-08-06T00:00:00"/>
    <n v="35"/>
    <x v="81"/>
    <x v="1"/>
    <x v="2"/>
    <n v="28"/>
    <n v="0"/>
    <n v="1"/>
  </r>
  <r>
    <s v="FB001433"/>
    <x v="1"/>
    <x v="5"/>
    <x v="2"/>
    <s v="XS"/>
    <x v="0"/>
    <n v="70.88"/>
    <n v="0"/>
    <n v="70.88"/>
    <d v="2025-08-06T00:00:00"/>
    <n v="5"/>
    <x v="39"/>
    <x v="0"/>
    <x v="0"/>
    <n v="28"/>
    <n v="0"/>
    <s v=""/>
  </r>
  <r>
    <s v="FB001434"/>
    <x v="3"/>
    <x v="4"/>
    <x v="3"/>
    <s v="XS"/>
    <x v="3"/>
    <n v="176.64"/>
    <n v="8.8000000000000007"/>
    <n v="161.1"/>
    <d v="2025-08-06T00:00:00"/>
    <n v="1"/>
    <x v="12"/>
    <x v="0"/>
    <x v="0"/>
    <n v="28"/>
    <n v="8.8000000000000007"/>
    <s v=""/>
  </r>
  <r>
    <s v="FB001435"/>
    <x v="5"/>
    <x v="5"/>
    <x v="1"/>
    <s v="L"/>
    <x v="0"/>
    <n v="50.76"/>
    <n v="0"/>
    <n v="50.76"/>
    <d v="2025-08-06T00:00:00"/>
    <n v="45"/>
    <x v="2"/>
    <x v="0"/>
    <x v="0"/>
    <n v="28"/>
    <n v="0"/>
    <s v=""/>
  </r>
  <r>
    <s v="FB001436"/>
    <x v="3"/>
    <x v="3"/>
    <x v="2"/>
    <s v="XL"/>
    <x v="1"/>
    <n v="155.85"/>
    <n v="0"/>
    <n v="155.85"/>
    <d v="2025-08-06T00:00:00"/>
    <n v="1"/>
    <x v="15"/>
    <x v="0"/>
    <x v="0"/>
    <n v="28"/>
    <n v="0"/>
    <s v=""/>
  </r>
  <r>
    <s v="FB001437"/>
    <x v="5"/>
    <x v="2"/>
    <x v="0"/>
    <s v="XL"/>
    <x v="5"/>
    <n v="48.04"/>
    <n v="0"/>
    <n v="48.04"/>
    <d v="2025-05-01T00:00:00"/>
    <n v="20"/>
    <x v="53"/>
    <x v="0"/>
    <x v="0"/>
    <n v="125"/>
    <n v="0"/>
    <s v=""/>
  </r>
  <r>
    <s v="FB001438"/>
    <x v="1"/>
    <x v="7"/>
    <x v="0"/>
    <s v="XS"/>
    <x v="8"/>
    <n v="44.79"/>
    <n v="0"/>
    <n v="44.79"/>
    <d v="2025-01-19T00:00:00"/>
    <n v="7"/>
    <x v="20"/>
    <x v="0"/>
    <x v="0"/>
    <n v="227"/>
    <n v="0"/>
    <s v=""/>
  </r>
  <r>
    <s v="FB001439"/>
    <x v="1"/>
    <x v="1"/>
    <x v="0"/>
    <s v="XS"/>
    <x v="5"/>
    <n v="76.95"/>
    <n v="0"/>
    <n v="76.95"/>
    <d v="2025-01-12T00:00:00"/>
    <n v="9"/>
    <x v="1"/>
    <x v="0"/>
    <x v="0"/>
    <n v="234"/>
    <n v="0"/>
    <s v=""/>
  </r>
  <r>
    <s v="FB001440"/>
    <x v="2"/>
    <x v="6"/>
    <x v="3"/>
    <m/>
    <x v="4"/>
    <n v="35.93"/>
    <n v="49.9"/>
    <n v="18"/>
    <d v="2025-08-06T00:00:00"/>
    <n v="26"/>
    <x v="30"/>
    <x v="0"/>
    <x v="0"/>
    <n v="28"/>
    <n v="1297.3999999999999"/>
    <s v=""/>
  </r>
  <r>
    <s v="FB001441"/>
    <x v="4"/>
    <x v="2"/>
    <x v="2"/>
    <s v="XL"/>
    <x v="0"/>
    <n v="49.97"/>
    <n v="0"/>
    <n v="49.97"/>
    <d v="2025-08-06T00:00:00"/>
    <n v="11"/>
    <x v="15"/>
    <x v="1"/>
    <x v="4"/>
    <n v="28"/>
    <n v="0"/>
    <n v="1"/>
  </r>
  <r>
    <s v="FB001442"/>
    <x v="0"/>
    <x v="4"/>
    <x v="3"/>
    <m/>
    <x v="2"/>
    <n v="169.69"/>
    <n v="0"/>
    <n v="169.69"/>
    <d v="2025-08-06T00:00:00"/>
    <n v="29"/>
    <x v="42"/>
    <x v="0"/>
    <x v="0"/>
    <n v="28"/>
    <n v="0"/>
    <s v=""/>
  </r>
  <r>
    <s v="FB001443"/>
    <x v="0"/>
    <x v="5"/>
    <x v="0"/>
    <m/>
    <x v="3"/>
    <n v="209.3"/>
    <n v="14.2"/>
    <n v="179.58"/>
    <d v="2025-03-05T00:00:00"/>
    <n v="29"/>
    <x v="46"/>
    <x v="0"/>
    <x v="0"/>
    <n v="182"/>
    <n v="411.79999999999995"/>
    <s v=""/>
  </r>
  <r>
    <s v="FB001444"/>
    <x v="1"/>
    <x v="6"/>
    <x v="3"/>
    <s v="XXL"/>
    <x v="1"/>
    <n v="110.81"/>
    <n v="0"/>
    <n v="110.81"/>
    <d v="2025-08-06T00:00:00"/>
    <n v="24"/>
    <x v="13"/>
    <x v="0"/>
    <x v="0"/>
    <n v="28"/>
    <n v="0"/>
    <s v=""/>
  </r>
  <r>
    <s v="FB001445"/>
    <x v="2"/>
    <x v="1"/>
    <x v="2"/>
    <m/>
    <x v="2"/>
    <n v="61.84"/>
    <n v="0"/>
    <n v="61.84"/>
    <d v="2025-08-06T00:00:00"/>
    <n v="0"/>
    <x v="52"/>
    <x v="1"/>
    <x v="6"/>
    <n v="28"/>
    <n v="0"/>
    <n v="1"/>
  </r>
  <r>
    <s v="FB001446"/>
    <x v="0"/>
    <x v="0"/>
    <x v="0"/>
    <s v="S"/>
    <x v="10"/>
    <n v="190.03"/>
    <n v="14.9"/>
    <n v="161.72"/>
    <d v="2025-07-24T00:00:00"/>
    <n v="35"/>
    <x v="16"/>
    <x v="0"/>
    <x v="0"/>
    <n v="41"/>
    <n v="521.5"/>
    <s v=""/>
  </r>
  <r>
    <s v="FB001447"/>
    <x v="4"/>
    <x v="2"/>
    <x v="2"/>
    <s v="XS"/>
    <x v="0"/>
    <n v="74.27"/>
    <n v="0"/>
    <n v="74.27"/>
    <d v="2025-08-06T00:00:00"/>
    <n v="6"/>
    <x v="49"/>
    <x v="0"/>
    <x v="0"/>
    <n v="28"/>
    <n v="0"/>
    <s v=""/>
  </r>
  <r>
    <s v="FB001448"/>
    <x v="0"/>
    <x v="0"/>
    <x v="2"/>
    <s v="XL"/>
    <x v="7"/>
    <n v="163.77000000000001"/>
    <n v="30.5"/>
    <n v="113.82"/>
    <d v="2025-08-06T00:00:00"/>
    <n v="10"/>
    <x v="59"/>
    <x v="0"/>
    <x v="0"/>
    <n v="28"/>
    <n v="305"/>
    <s v=""/>
  </r>
  <r>
    <s v="FB001449"/>
    <x v="2"/>
    <x v="3"/>
    <x v="1"/>
    <m/>
    <x v="9"/>
    <n v="42.28"/>
    <n v="0"/>
    <n v="42.28"/>
    <d v="2025-08-06T00:00:00"/>
    <n v="22"/>
    <x v="42"/>
    <x v="0"/>
    <x v="0"/>
    <n v="28"/>
    <n v="0"/>
    <s v=""/>
  </r>
  <r>
    <s v="FB001450"/>
    <x v="4"/>
    <x v="4"/>
    <x v="3"/>
    <s v="XS"/>
    <x v="8"/>
    <n v="52.92"/>
    <n v="0"/>
    <n v="52.92"/>
    <d v="2025-08-06T00:00:00"/>
    <n v="9"/>
    <x v="48"/>
    <x v="0"/>
    <x v="0"/>
    <n v="28"/>
    <n v="0"/>
    <s v=""/>
  </r>
  <r>
    <s v="FB001451"/>
    <x v="2"/>
    <x v="5"/>
    <x v="0"/>
    <m/>
    <x v="2"/>
    <n v="40.549999999999997"/>
    <n v="6.2"/>
    <n v="38.04"/>
    <d v="2024-09-09T00:00:00"/>
    <n v="26"/>
    <x v="17"/>
    <x v="1"/>
    <x v="6"/>
    <n v="359"/>
    <n v="161.20000000000002"/>
    <n v="1"/>
  </r>
  <r>
    <s v="FB001452"/>
    <x v="3"/>
    <x v="3"/>
    <x v="3"/>
    <s v="XXL"/>
    <x v="2"/>
    <n v="129.76"/>
    <n v="0"/>
    <n v="129.76"/>
    <d v="2025-08-06T00:00:00"/>
    <n v="39"/>
    <x v="5"/>
    <x v="0"/>
    <x v="0"/>
    <n v="28"/>
    <n v="0"/>
    <s v=""/>
  </r>
  <r>
    <s v="FB001453"/>
    <x v="1"/>
    <x v="5"/>
    <x v="2"/>
    <s v="XL"/>
    <x v="9"/>
    <n v="63.39"/>
    <n v="0"/>
    <n v="63.39"/>
    <d v="2025-08-06T00:00:00"/>
    <n v="50"/>
    <x v="1"/>
    <x v="0"/>
    <x v="0"/>
    <n v="28"/>
    <n v="0"/>
    <s v=""/>
  </r>
  <r>
    <s v="FB001454"/>
    <x v="3"/>
    <x v="4"/>
    <x v="2"/>
    <s v="S"/>
    <x v="8"/>
    <n v="191.94"/>
    <n v="1.3"/>
    <n v="189.44"/>
    <d v="2025-08-06T00:00:00"/>
    <n v="39"/>
    <x v="19"/>
    <x v="0"/>
    <x v="0"/>
    <n v="28"/>
    <n v="50.7"/>
    <s v=""/>
  </r>
  <r>
    <s v="FB001455"/>
    <x v="2"/>
    <x v="1"/>
    <x v="0"/>
    <m/>
    <x v="9"/>
    <n v="63.42"/>
    <n v="0"/>
    <n v="63.42"/>
    <d v="2024-11-12T00:00:00"/>
    <n v="19"/>
    <x v="5"/>
    <x v="1"/>
    <x v="1"/>
    <n v="295"/>
    <n v="0"/>
    <n v="1"/>
  </r>
  <r>
    <s v="FB001456"/>
    <x v="1"/>
    <x v="5"/>
    <x v="1"/>
    <s v="XXL"/>
    <x v="7"/>
    <n v="35.26"/>
    <n v="0"/>
    <n v="35.26"/>
    <d v="2025-08-06T00:00:00"/>
    <n v="47"/>
    <x v="39"/>
    <x v="0"/>
    <x v="0"/>
    <n v="28"/>
    <n v="0"/>
    <s v=""/>
  </r>
  <r>
    <s v="FB001457"/>
    <x v="2"/>
    <x v="6"/>
    <x v="0"/>
    <m/>
    <x v="6"/>
    <n v="44.5"/>
    <n v="0"/>
    <n v="44.5"/>
    <d v="2025-06-13T00:00:00"/>
    <n v="36"/>
    <x v="20"/>
    <x v="0"/>
    <x v="0"/>
    <n v="82"/>
    <n v="0"/>
    <s v=""/>
  </r>
  <r>
    <s v="FB001458"/>
    <x v="3"/>
    <x v="0"/>
    <x v="0"/>
    <s v="XS"/>
    <x v="3"/>
    <n v="186.78"/>
    <n v="43.4"/>
    <n v="105.72"/>
    <d v="2024-10-03T00:00:00"/>
    <n v="42"/>
    <x v="1"/>
    <x v="1"/>
    <x v="3"/>
    <n v="335"/>
    <n v="1822.8"/>
    <n v="1"/>
  </r>
  <r>
    <s v="FB001459"/>
    <x v="1"/>
    <x v="4"/>
    <x v="3"/>
    <s v="L"/>
    <x v="2"/>
    <n v="116.71"/>
    <n v="55.4"/>
    <n v="52.05"/>
    <d v="2025-08-06T00:00:00"/>
    <n v="15"/>
    <x v="84"/>
    <x v="0"/>
    <x v="0"/>
    <n v="28"/>
    <n v="831"/>
    <s v=""/>
  </r>
  <r>
    <s v="FB001460"/>
    <x v="2"/>
    <x v="4"/>
    <x v="1"/>
    <m/>
    <x v="2"/>
    <n v="24.5"/>
    <n v="0"/>
    <n v="24.5"/>
    <d v="2025-08-06T00:00:00"/>
    <n v="7"/>
    <x v="73"/>
    <x v="0"/>
    <x v="0"/>
    <n v="28"/>
    <n v="0"/>
    <s v=""/>
  </r>
  <r>
    <s v="FB001461"/>
    <x v="2"/>
    <x v="6"/>
    <x v="1"/>
    <m/>
    <x v="8"/>
    <n v="23.2"/>
    <n v="0"/>
    <n v="23.2"/>
    <d v="2025-08-06T00:00:00"/>
    <n v="17"/>
    <x v="54"/>
    <x v="0"/>
    <x v="0"/>
    <n v="28"/>
    <n v="0"/>
    <s v=""/>
  </r>
  <r>
    <s v="FB001462"/>
    <x v="4"/>
    <x v="7"/>
    <x v="1"/>
    <s v="XL"/>
    <x v="6"/>
    <n v="73.8"/>
    <n v="0"/>
    <n v="73.8"/>
    <d v="2025-08-06T00:00:00"/>
    <n v="42"/>
    <x v="77"/>
    <x v="0"/>
    <x v="0"/>
    <n v="28"/>
    <n v="0"/>
    <s v=""/>
  </r>
  <r>
    <s v="FB001463"/>
    <x v="2"/>
    <x v="0"/>
    <x v="3"/>
    <m/>
    <x v="2"/>
    <n v="51.33"/>
    <n v="0"/>
    <n v="51.33"/>
    <d v="2025-08-06T00:00:00"/>
    <n v="25"/>
    <x v="19"/>
    <x v="0"/>
    <x v="0"/>
    <n v="28"/>
    <n v="0"/>
    <s v=""/>
  </r>
  <r>
    <s v="FB001464"/>
    <x v="4"/>
    <x v="4"/>
    <x v="1"/>
    <s v="XXL"/>
    <x v="6"/>
    <n v="80.209999999999994"/>
    <n v="0"/>
    <n v="80.209999999999994"/>
    <d v="2025-08-06T00:00:00"/>
    <n v="17"/>
    <x v="48"/>
    <x v="0"/>
    <x v="0"/>
    <n v="28"/>
    <n v="0"/>
    <s v=""/>
  </r>
  <r>
    <s v="FB001465"/>
    <x v="0"/>
    <x v="1"/>
    <x v="2"/>
    <s v="L"/>
    <x v="10"/>
    <n v="237.65"/>
    <n v="0"/>
    <n v="237.65"/>
    <d v="2025-08-06T00:00:00"/>
    <n v="3"/>
    <x v="10"/>
    <x v="0"/>
    <x v="0"/>
    <n v="28"/>
    <n v="0"/>
    <s v=""/>
  </r>
  <r>
    <s v="FB001466"/>
    <x v="4"/>
    <x v="2"/>
    <x v="0"/>
    <s v="S"/>
    <x v="10"/>
    <n v="96.35"/>
    <n v="0"/>
    <n v="96.35"/>
    <d v="2024-12-12T00:00:00"/>
    <n v="34"/>
    <x v="17"/>
    <x v="0"/>
    <x v="0"/>
    <n v="265"/>
    <n v="0"/>
    <s v=""/>
  </r>
  <r>
    <s v="FB001467"/>
    <x v="4"/>
    <x v="2"/>
    <x v="1"/>
    <s v="XL"/>
    <x v="3"/>
    <n v="91.92"/>
    <n v="0"/>
    <n v="91.92"/>
    <d v="2025-08-06T00:00:00"/>
    <n v="29"/>
    <x v="28"/>
    <x v="0"/>
    <x v="0"/>
    <n v="28"/>
    <n v="0"/>
    <s v=""/>
  </r>
  <r>
    <s v="FB001468"/>
    <x v="3"/>
    <x v="2"/>
    <x v="2"/>
    <s v="XXL"/>
    <x v="8"/>
    <n v="194.05"/>
    <n v="0"/>
    <n v="194.05"/>
    <d v="2025-08-06T00:00:00"/>
    <n v="7"/>
    <x v="49"/>
    <x v="0"/>
    <x v="0"/>
    <n v="28"/>
    <n v="0"/>
    <s v=""/>
  </r>
  <r>
    <s v="FB001469"/>
    <x v="0"/>
    <x v="6"/>
    <x v="3"/>
    <s v="S"/>
    <x v="0"/>
    <n v="166.88"/>
    <n v="0"/>
    <n v="166.88"/>
    <d v="2025-08-06T00:00:00"/>
    <n v="10"/>
    <x v="6"/>
    <x v="0"/>
    <x v="0"/>
    <n v="28"/>
    <n v="0"/>
    <s v=""/>
  </r>
  <r>
    <s v="FB001470"/>
    <x v="4"/>
    <x v="4"/>
    <x v="1"/>
    <s v="S"/>
    <x v="0"/>
    <n v="47.01"/>
    <n v="0"/>
    <n v="47.01"/>
    <d v="2025-08-06T00:00:00"/>
    <n v="17"/>
    <x v="6"/>
    <x v="0"/>
    <x v="0"/>
    <n v="28"/>
    <n v="0"/>
    <s v=""/>
  </r>
  <r>
    <s v="FB001471"/>
    <x v="3"/>
    <x v="2"/>
    <x v="1"/>
    <s v="XXL"/>
    <x v="1"/>
    <n v="119.91"/>
    <n v="20.3"/>
    <n v="95.57"/>
    <d v="2025-08-06T00:00:00"/>
    <n v="15"/>
    <x v="22"/>
    <x v="0"/>
    <x v="0"/>
    <n v="28"/>
    <n v="304.5"/>
    <s v=""/>
  </r>
  <r>
    <s v="FB001472"/>
    <x v="2"/>
    <x v="4"/>
    <x v="2"/>
    <m/>
    <x v="0"/>
    <n v="73.73"/>
    <n v="54.2"/>
    <n v="33.770000000000003"/>
    <d v="2025-08-06T00:00:00"/>
    <n v="37"/>
    <x v="16"/>
    <x v="0"/>
    <x v="0"/>
    <n v="28"/>
    <n v="2005.4"/>
    <s v=""/>
  </r>
  <r>
    <s v="FB001473"/>
    <x v="4"/>
    <x v="0"/>
    <x v="2"/>
    <s v="L"/>
    <x v="2"/>
    <n v="108.65"/>
    <n v="0"/>
    <n v="108.65"/>
    <d v="2025-08-06T00:00:00"/>
    <n v="26"/>
    <x v="13"/>
    <x v="0"/>
    <x v="0"/>
    <n v="28"/>
    <n v="0"/>
    <s v=""/>
  </r>
  <r>
    <s v="FB001474"/>
    <x v="3"/>
    <x v="3"/>
    <x v="3"/>
    <s v="L"/>
    <x v="0"/>
    <n v="186.53"/>
    <n v="0"/>
    <n v="186.53"/>
    <d v="2025-08-06T00:00:00"/>
    <n v="31"/>
    <x v="3"/>
    <x v="0"/>
    <x v="0"/>
    <n v="28"/>
    <n v="0"/>
    <s v=""/>
  </r>
  <r>
    <s v="FB001475"/>
    <x v="2"/>
    <x v="0"/>
    <x v="3"/>
    <m/>
    <x v="0"/>
    <n v="60.34"/>
    <n v="0"/>
    <n v="60.34"/>
    <d v="2025-08-06T00:00:00"/>
    <n v="13"/>
    <x v="78"/>
    <x v="0"/>
    <x v="0"/>
    <n v="28"/>
    <n v="0"/>
    <s v=""/>
  </r>
  <r>
    <s v="FB001476"/>
    <x v="2"/>
    <x v="3"/>
    <x v="1"/>
    <m/>
    <x v="8"/>
    <n v="61.16"/>
    <n v="0"/>
    <n v="61.16"/>
    <d v="2025-08-06T00:00:00"/>
    <n v="28"/>
    <x v="39"/>
    <x v="0"/>
    <x v="0"/>
    <n v="28"/>
    <n v="0"/>
    <s v=""/>
  </r>
  <r>
    <s v="FB001477"/>
    <x v="3"/>
    <x v="7"/>
    <x v="1"/>
    <s v="XL"/>
    <x v="6"/>
    <n v="168.85"/>
    <n v="35.299999999999997"/>
    <n v="109.25"/>
    <d v="2025-08-06T00:00:00"/>
    <n v="10"/>
    <x v="31"/>
    <x v="0"/>
    <x v="0"/>
    <n v="28"/>
    <n v="353"/>
    <s v=""/>
  </r>
  <r>
    <s v="FB001478"/>
    <x v="1"/>
    <x v="5"/>
    <x v="1"/>
    <s v="L"/>
    <x v="8"/>
    <n v="60.08"/>
    <n v="0"/>
    <n v="60.08"/>
    <d v="2025-08-06T00:00:00"/>
    <n v="26"/>
    <x v="68"/>
    <x v="0"/>
    <x v="0"/>
    <n v="28"/>
    <n v="0"/>
    <s v=""/>
  </r>
  <r>
    <s v="FB001479"/>
    <x v="2"/>
    <x v="6"/>
    <x v="3"/>
    <m/>
    <x v="10"/>
    <n v="39.39"/>
    <n v="29.8"/>
    <n v="27.65"/>
    <d v="2025-08-06T00:00:00"/>
    <n v="13"/>
    <x v="52"/>
    <x v="0"/>
    <x v="0"/>
    <n v="28"/>
    <n v="387.40000000000003"/>
    <s v=""/>
  </r>
  <r>
    <s v="FB001480"/>
    <x v="1"/>
    <x v="6"/>
    <x v="2"/>
    <s v="M"/>
    <x v="1"/>
    <n v="111.09"/>
    <n v="0"/>
    <n v="111.09"/>
    <d v="2025-08-06T00:00:00"/>
    <n v="24"/>
    <x v="81"/>
    <x v="0"/>
    <x v="0"/>
    <n v="28"/>
    <n v="0"/>
    <s v=""/>
  </r>
  <r>
    <s v="FB001481"/>
    <x v="5"/>
    <x v="2"/>
    <x v="3"/>
    <s v="M"/>
    <x v="6"/>
    <n v="133.51"/>
    <n v="0"/>
    <n v="133.51"/>
    <d v="2025-08-06T00:00:00"/>
    <n v="5"/>
    <x v="12"/>
    <x v="1"/>
    <x v="4"/>
    <n v="28"/>
    <n v="0"/>
    <n v="1"/>
  </r>
  <r>
    <s v="FB001482"/>
    <x v="5"/>
    <x v="7"/>
    <x v="3"/>
    <s v="XS"/>
    <x v="1"/>
    <n v="158.9"/>
    <n v="43.5"/>
    <n v="89.78"/>
    <d v="2025-08-06T00:00:00"/>
    <n v="46"/>
    <x v="43"/>
    <x v="0"/>
    <x v="0"/>
    <n v="28"/>
    <n v="2001"/>
    <s v=""/>
  </r>
  <r>
    <s v="FB001483"/>
    <x v="1"/>
    <x v="6"/>
    <x v="0"/>
    <s v="XS"/>
    <x v="10"/>
    <n v="65.27"/>
    <n v="19"/>
    <n v="52.87"/>
    <d v="2024-08-29T00:00:00"/>
    <n v="48"/>
    <x v="0"/>
    <x v="0"/>
    <x v="0"/>
    <n v="370"/>
    <n v="912"/>
    <s v=""/>
  </r>
  <r>
    <s v="FB001484"/>
    <x v="2"/>
    <x v="0"/>
    <x v="2"/>
    <m/>
    <x v="6"/>
    <n v="72.37"/>
    <n v="0"/>
    <n v="72.37"/>
    <d v="2025-08-06T00:00:00"/>
    <n v="24"/>
    <x v="5"/>
    <x v="0"/>
    <x v="0"/>
    <n v="28"/>
    <n v="0"/>
    <s v=""/>
  </r>
  <r>
    <s v="FB001485"/>
    <x v="5"/>
    <x v="2"/>
    <x v="2"/>
    <s v="XL"/>
    <x v="3"/>
    <n v="133.88"/>
    <n v="21.5"/>
    <n v="105.1"/>
    <d v="2025-08-06T00:00:00"/>
    <n v="42"/>
    <x v="47"/>
    <x v="0"/>
    <x v="0"/>
    <n v="28"/>
    <n v="903"/>
    <s v=""/>
  </r>
  <r>
    <s v="FB001486"/>
    <x v="1"/>
    <x v="0"/>
    <x v="0"/>
    <s v="XXL"/>
    <x v="9"/>
    <n v="74.3"/>
    <n v="0"/>
    <n v="74.3"/>
    <d v="2024-12-07T00:00:00"/>
    <n v="24"/>
    <x v="9"/>
    <x v="0"/>
    <x v="0"/>
    <n v="270"/>
    <n v="0"/>
    <s v=""/>
  </r>
  <r>
    <s v="FB001487"/>
    <x v="3"/>
    <x v="2"/>
    <x v="3"/>
    <s v="XL"/>
    <x v="7"/>
    <n v="192.74"/>
    <n v="47.5"/>
    <n v="101.19"/>
    <d v="2025-08-06T00:00:00"/>
    <n v="40"/>
    <x v="32"/>
    <x v="0"/>
    <x v="0"/>
    <n v="28"/>
    <n v="1900"/>
    <s v=""/>
  </r>
  <r>
    <s v="FB001488"/>
    <x v="2"/>
    <x v="1"/>
    <x v="3"/>
    <m/>
    <x v="0"/>
    <n v="79.02"/>
    <n v="2.5"/>
    <n v="77.040000000000006"/>
    <d v="2025-08-06T00:00:00"/>
    <n v="16"/>
    <x v="32"/>
    <x v="0"/>
    <x v="0"/>
    <n v="28"/>
    <n v="40"/>
    <s v=""/>
  </r>
  <r>
    <s v="FB001489"/>
    <x v="3"/>
    <x v="0"/>
    <x v="1"/>
    <s v="S"/>
    <x v="3"/>
    <n v="158.29"/>
    <n v="0"/>
    <n v="158.29"/>
    <d v="2025-08-06T00:00:00"/>
    <n v="5"/>
    <x v="6"/>
    <x v="0"/>
    <x v="0"/>
    <n v="28"/>
    <n v="0"/>
    <s v=""/>
  </r>
  <r>
    <s v="FB001490"/>
    <x v="1"/>
    <x v="5"/>
    <x v="1"/>
    <s v="L"/>
    <x v="3"/>
    <n v="69.33"/>
    <n v="0"/>
    <n v="69.33"/>
    <d v="2025-08-06T00:00:00"/>
    <n v="26"/>
    <x v="26"/>
    <x v="0"/>
    <x v="0"/>
    <n v="28"/>
    <n v="0"/>
    <s v=""/>
  </r>
  <r>
    <s v="FB001491"/>
    <x v="3"/>
    <x v="6"/>
    <x v="1"/>
    <s v="XS"/>
    <x v="10"/>
    <n v="86.89"/>
    <n v="19.5"/>
    <n v="69.95"/>
    <d v="2025-08-06T00:00:00"/>
    <n v="49"/>
    <x v="49"/>
    <x v="0"/>
    <x v="0"/>
    <n v="28"/>
    <n v="955.5"/>
    <s v=""/>
  </r>
  <r>
    <s v="FB001492"/>
    <x v="0"/>
    <x v="1"/>
    <x v="2"/>
    <s v="L"/>
    <x v="6"/>
    <n v="162.75"/>
    <n v="0"/>
    <n v="162.75"/>
    <d v="2025-08-06T00:00:00"/>
    <n v="13"/>
    <x v="51"/>
    <x v="0"/>
    <x v="0"/>
    <n v="28"/>
    <n v="0"/>
    <s v=""/>
  </r>
  <r>
    <s v="FB001493"/>
    <x v="3"/>
    <x v="4"/>
    <x v="3"/>
    <s v="M"/>
    <x v="5"/>
    <n v="70.28"/>
    <n v="0"/>
    <n v="70.28"/>
    <d v="2025-08-06T00:00:00"/>
    <n v="27"/>
    <x v="52"/>
    <x v="0"/>
    <x v="0"/>
    <n v="28"/>
    <n v="0"/>
    <s v=""/>
  </r>
  <r>
    <s v="FB001494"/>
    <x v="4"/>
    <x v="3"/>
    <x v="0"/>
    <s v="S"/>
    <x v="3"/>
    <n v="111.91"/>
    <n v="0"/>
    <n v="111.91"/>
    <d v="2025-07-22T00:00:00"/>
    <n v="28"/>
    <x v="34"/>
    <x v="0"/>
    <x v="0"/>
    <n v="43"/>
    <n v="0"/>
    <s v=""/>
  </r>
  <r>
    <s v="FB001495"/>
    <x v="0"/>
    <x v="5"/>
    <x v="2"/>
    <s v="S"/>
    <x v="9"/>
    <n v="143.76"/>
    <n v="0"/>
    <n v="143.76"/>
    <d v="2025-08-06T00:00:00"/>
    <n v="7"/>
    <x v="66"/>
    <x v="0"/>
    <x v="0"/>
    <n v="28"/>
    <n v="0"/>
    <s v=""/>
  </r>
  <r>
    <s v="FB001496"/>
    <x v="5"/>
    <x v="4"/>
    <x v="3"/>
    <s v="S"/>
    <x v="9"/>
    <n v="169.89"/>
    <n v="0"/>
    <n v="169.89"/>
    <d v="2025-08-06T00:00:00"/>
    <n v="17"/>
    <x v="49"/>
    <x v="0"/>
    <x v="0"/>
    <n v="28"/>
    <n v="0"/>
    <s v=""/>
  </r>
  <r>
    <s v="FB001497"/>
    <x v="3"/>
    <x v="0"/>
    <x v="1"/>
    <s v="XL"/>
    <x v="3"/>
    <n v="72.290000000000006"/>
    <n v="0"/>
    <n v="72.290000000000006"/>
    <d v="2025-08-06T00:00:00"/>
    <n v="0"/>
    <x v="27"/>
    <x v="0"/>
    <x v="0"/>
    <n v="28"/>
    <n v="0"/>
    <s v=""/>
  </r>
  <r>
    <s v="FB001498"/>
    <x v="0"/>
    <x v="7"/>
    <x v="1"/>
    <s v="XS"/>
    <x v="9"/>
    <n v="136.19999999999999"/>
    <n v="10.199999999999999"/>
    <n v="122.31"/>
    <d v="2025-08-06T00:00:00"/>
    <n v="10"/>
    <x v="20"/>
    <x v="0"/>
    <x v="0"/>
    <n v="28"/>
    <n v="102"/>
    <s v=""/>
  </r>
  <r>
    <s v="FB001499"/>
    <x v="1"/>
    <x v="7"/>
    <x v="3"/>
    <s v="S"/>
    <x v="0"/>
    <n v="92.5"/>
    <n v="0"/>
    <n v="92.5"/>
    <d v="2025-08-06T00:00:00"/>
    <n v="15"/>
    <x v="67"/>
    <x v="0"/>
    <x v="0"/>
    <n v="28"/>
    <n v="0"/>
    <s v=""/>
  </r>
  <r>
    <s v="FB001500"/>
    <x v="3"/>
    <x v="2"/>
    <x v="1"/>
    <s v="L"/>
    <x v="9"/>
    <n v="89.5"/>
    <n v="0"/>
    <n v="89.5"/>
    <d v="2025-08-06T00:00:00"/>
    <n v="5"/>
    <x v="35"/>
    <x v="0"/>
    <x v="0"/>
    <n v="28"/>
    <n v="0"/>
    <s v=""/>
  </r>
  <r>
    <s v="FB001501"/>
    <x v="0"/>
    <x v="4"/>
    <x v="0"/>
    <s v="L"/>
    <x v="7"/>
    <n v="161.51"/>
    <n v="0"/>
    <n v="161.51"/>
    <d v="2024-11-02T00:00:00"/>
    <n v="22"/>
    <x v="52"/>
    <x v="0"/>
    <x v="0"/>
    <n v="305"/>
    <n v="0"/>
    <s v=""/>
  </r>
  <r>
    <s v="FB001502"/>
    <x v="2"/>
    <x v="0"/>
    <x v="1"/>
    <m/>
    <x v="10"/>
    <n v="38.119999999999997"/>
    <n v="0"/>
    <n v="38.119999999999997"/>
    <d v="2025-08-06T00:00:00"/>
    <n v="18"/>
    <x v="9"/>
    <x v="1"/>
    <x v="3"/>
    <n v="28"/>
    <n v="0"/>
    <n v="1"/>
  </r>
  <r>
    <s v="FB001503"/>
    <x v="5"/>
    <x v="4"/>
    <x v="3"/>
    <s v="XS"/>
    <x v="9"/>
    <n v="100.08"/>
    <n v="0"/>
    <n v="100.08"/>
    <d v="2025-08-06T00:00:00"/>
    <n v="23"/>
    <x v="51"/>
    <x v="0"/>
    <x v="0"/>
    <n v="28"/>
    <n v="0"/>
    <s v=""/>
  </r>
  <r>
    <s v="FB001504"/>
    <x v="5"/>
    <x v="1"/>
    <x v="2"/>
    <s v="L"/>
    <x v="3"/>
    <n v="161.79"/>
    <n v="0"/>
    <n v="161.79"/>
    <d v="2025-08-06T00:00:00"/>
    <n v="44"/>
    <x v="38"/>
    <x v="0"/>
    <x v="0"/>
    <n v="28"/>
    <n v="0"/>
    <s v=""/>
  </r>
  <r>
    <s v="FB001505"/>
    <x v="4"/>
    <x v="5"/>
    <x v="2"/>
    <s v="XL"/>
    <x v="2"/>
    <n v="46.42"/>
    <n v="0"/>
    <n v="46.42"/>
    <d v="2025-08-06T00:00:00"/>
    <n v="2"/>
    <x v="17"/>
    <x v="1"/>
    <x v="5"/>
    <n v="28"/>
    <n v="0"/>
    <n v="1"/>
  </r>
  <r>
    <s v="FB001506"/>
    <x v="3"/>
    <x v="1"/>
    <x v="0"/>
    <s v="L"/>
    <x v="10"/>
    <n v="199.33"/>
    <n v="44.3"/>
    <n v="111.03"/>
    <d v="2024-11-20T00:00:00"/>
    <n v="19"/>
    <x v="34"/>
    <x v="0"/>
    <x v="0"/>
    <n v="287"/>
    <n v="841.69999999999993"/>
    <s v=""/>
  </r>
  <r>
    <s v="FB001507"/>
    <x v="4"/>
    <x v="7"/>
    <x v="3"/>
    <s v="XXL"/>
    <x v="2"/>
    <n v="25.77"/>
    <n v="0"/>
    <n v="25.77"/>
    <d v="2025-08-06T00:00:00"/>
    <n v="5"/>
    <x v="47"/>
    <x v="0"/>
    <x v="0"/>
    <n v="28"/>
    <n v="0"/>
    <s v=""/>
  </r>
  <r>
    <s v="FB001508"/>
    <x v="3"/>
    <x v="7"/>
    <x v="1"/>
    <s v="M"/>
    <x v="8"/>
    <n v="180.67"/>
    <n v="0"/>
    <n v="180.67"/>
    <d v="2025-08-06T00:00:00"/>
    <n v="31"/>
    <x v="9"/>
    <x v="0"/>
    <x v="0"/>
    <n v="28"/>
    <n v="0"/>
    <s v=""/>
  </r>
  <r>
    <s v="FB001509"/>
    <x v="3"/>
    <x v="7"/>
    <x v="0"/>
    <s v="L"/>
    <x v="6"/>
    <n v="198.13"/>
    <n v="46.1"/>
    <n v="106.79"/>
    <d v="2025-05-19T00:00:00"/>
    <n v="8"/>
    <x v="53"/>
    <x v="0"/>
    <x v="0"/>
    <n v="107"/>
    <n v="368.8"/>
    <s v=""/>
  </r>
  <r>
    <s v="FB001510"/>
    <x v="5"/>
    <x v="1"/>
    <x v="3"/>
    <m/>
    <x v="8"/>
    <n v="161.53"/>
    <n v="5.3"/>
    <n v="152.97"/>
    <d v="2025-08-06T00:00:00"/>
    <n v="33"/>
    <x v="17"/>
    <x v="0"/>
    <x v="0"/>
    <n v="28"/>
    <n v="174.9"/>
    <s v=""/>
  </r>
  <r>
    <s v="FB001511"/>
    <x v="4"/>
    <x v="0"/>
    <x v="0"/>
    <s v="M"/>
    <x v="4"/>
    <n v="25.97"/>
    <n v="0"/>
    <n v="25.97"/>
    <d v="2024-11-28T00:00:00"/>
    <n v="31"/>
    <x v="19"/>
    <x v="0"/>
    <x v="0"/>
    <n v="279"/>
    <n v="0"/>
    <s v=""/>
  </r>
  <r>
    <s v="FB001512"/>
    <x v="1"/>
    <x v="7"/>
    <x v="3"/>
    <s v="L"/>
    <x v="7"/>
    <n v="85"/>
    <n v="39.9"/>
    <n v="51.09"/>
    <d v="2025-08-06T00:00:00"/>
    <n v="44"/>
    <x v="0"/>
    <x v="0"/>
    <x v="0"/>
    <n v="28"/>
    <n v="1755.6"/>
    <s v=""/>
  </r>
  <r>
    <s v="FB001513"/>
    <x v="2"/>
    <x v="1"/>
    <x v="3"/>
    <m/>
    <x v="1"/>
    <n v="75.03"/>
    <n v="10.9"/>
    <n v="66.849999999999994"/>
    <d v="2025-08-06T00:00:00"/>
    <n v="12"/>
    <x v="19"/>
    <x v="0"/>
    <x v="0"/>
    <n v="28"/>
    <n v="130.80000000000001"/>
    <s v=""/>
  </r>
  <r>
    <s v="FB001514"/>
    <x v="2"/>
    <x v="5"/>
    <x v="1"/>
    <m/>
    <x v="7"/>
    <n v="33.880000000000003"/>
    <n v="0"/>
    <n v="33.880000000000003"/>
    <d v="2025-08-06T00:00:00"/>
    <n v="9"/>
    <x v="71"/>
    <x v="0"/>
    <x v="0"/>
    <n v="28"/>
    <n v="0"/>
    <s v=""/>
  </r>
  <r>
    <s v="FB001515"/>
    <x v="3"/>
    <x v="2"/>
    <x v="3"/>
    <s v="XS"/>
    <x v="9"/>
    <n v="142"/>
    <n v="12.3"/>
    <n v="124.53"/>
    <d v="2025-08-06T00:00:00"/>
    <n v="39"/>
    <x v="31"/>
    <x v="0"/>
    <x v="0"/>
    <n v="28"/>
    <n v="479.70000000000005"/>
    <s v=""/>
  </r>
  <r>
    <s v="FB001516"/>
    <x v="5"/>
    <x v="4"/>
    <x v="2"/>
    <s v="XL"/>
    <x v="6"/>
    <n v="125.46"/>
    <n v="0"/>
    <n v="125.46"/>
    <d v="2025-08-06T00:00:00"/>
    <n v="26"/>
    <x v="21"/>
    <x v="0"/>
    <x v="0"/>
    <n v="28"/>
    <n v="0"/>
    <s v=""/>
  </r>
  <r>
    <s v="FB001517"/>
    <x v="3"/>
    <x v="4"/>
    <x v="1"/>
    <s v="L"/>
    <x v="5"/>
    <n v="138.79"/>
    <n v="0"/>
    <n v="138.79"/>
    <d v="2025-08-06T00:00:00"/>
    <n v="16"/>
    <x v="76"/>
    <x v="1"/>
    <x v="2"/>
    <n v="28"/>
    <n v="0"/>
    <n v="1"/>
  </r>
  <r>
    <s v="FB001518"/>
    <x v="4"/>
    <x v="5"/>
    <x v="0"/>
    <s v="XL"/>
    <x v="1"/>
    <n v="81.81"/>
    <n v="37.9"/>
    <n v="50.8"/>
    <d v="2025-02-16T00:00:00"/>
    <n v="44"/>
    <x v="11"/>
    <x v="0"/>
    <x v="0"/>
    <n v="199"/>
    <n v="1667.6"/>
    <s v=""/>
  </r>
  <r>
    <s v="FB001519"/>
    <x v="2"/>
    <x v="1"/>
    <x v="2"/>
    <m/>
    <x v="10"/>
    <n v="78.260000000000005"/>
    <n v="47.3"/>
    <n v="41.24"/>
    <d v="2025-08-06T00:00:00"/>
    <n v="20"/>
    <x v="30"/>
    <x v="0"/>
    <x v="0"/>
    <n v="28"/>
    <n v="946"/>
    <s v=""/>
  </r>
  <r>
    <s v="FB001520"/>
    <x v="4"/>
    <x v="2"/>
    <x v="0"/>
    <s v="XL"/>
    <x v="8"/>
    <n v="119.33"/>
    <n v="16"/>
    <n v="100.24"/>
    <d v="2024-08-16T00:00:00"/>
    <n v="35"/>
    <x v="28"/>
    <x v="0"/>
    <x v="0"/>
    <n v="383"/>
    <n v="560"/>
    <s v=""/>
  </r>
  <r>
    <s v="FB001521"/>
    <x v="2"/>
    <x v="5"/>
    <x v="0"/>
    <m/>
    <x v="2"/>
    <n v="52.97"/>
    <n v="0"/>
    <n v="52.97"/>
    <d v="2025-07-26T00:00:00"/>
    <n v="36"/>
    <x v="14"/>
    <x v="0"/>
    <x v="0"/>
    <n v="39"/>
    <n v="0"/>
    <s v=""/>
  </r>
  <r>
    <s v="FB001522"/>
    <x v="2"/>
    <x v="3"/>
    <x v="1"/>
    <m/>
    <x v="5"/>
    <n v="69.48"/>
    <n v="0"/>
    <n v="69.48"/>
    <d v="2025-08-06T00:00:00"/>
    <n v="17"/>
    <x v="10"/>
    <x v="0"/>
    <x v="0"/>
    <n v="28"/>
    <n v="0"/>
    <s v=""/>
  </r>
  <r>
    <s v="FB001523"/>
    <x v="0"/>
    <x v="2"/>
    <x v="3"/>
    <s v="L"/>
    <x v="4"/>
    <n v="177.82"/>
    <n v="0"/>
    <n v="177.82"/>
    <d v="2025-08-06T00:00:00"/>
    <n v="9"/>
    <x v="21"/>
    <x v="0"/>
    <x v="0"/>
    <n v="28"/>
    <n v="0"/>
    <s v=""/>
  </r>
  <r>
    <s v="FB001524"/>
    <x v="3"/>
    <x v="2"/>
    <x v="1"/>
    <s v="L"/>
    <x v="1"/>
    <n v="142.71"/>
    <n v="0"/>
    <n v="142.71"/>
    <d v="2025-08-06T00:00:00"/>
    <n v="28"/>
    <x v="50"/>
    <x v="0"/>
    <x v="0"/>
    <n v="28"/>
    <n v="0"/>
    <s v=""/>
  </r>
  <r>
    <s v="FB001525"/>
    <x v="4"/>
    <x v="0"/>
    <x v="0"/>
    <s v="XS"/>
    <x v="5"/>
    <n v="105.21"/>
    <n v="0"/>
    <n v="105.21"/>
    <d v="2024-11-02T00:00:00"/>
    <n v="41"/>
    <x v="26"/>
    <x v="0"/>
    <x v="0"/>
    <n v="305"/>
    <n v="0"/>
    <s v=""/>
  </r>
  <r>
    <s v="FB001526"/>
    <x v="2"/>
    <x v="7"/>
    <x v="2"/>
    <m/>
    <x v="4"/>
    <n v="65.09"/>
    <n v="49.8"/>
    <n v="32.68"/>
    <d v="2025-08-06T00:00:00"/>
    <n v="32"/>
    <x v="26"/>
    <x v="0"/>
    <x v="0"/>
    <n v="28"/>
    <n v="1593.6"/>
    <s v=""/>
  </r>
  <r>
    <s v="FB001527"/>
    <x v="0"/>
    <x v="1"/>
    <x v="1"/>
    <s v="M"/>
    <x v="8"/>
    <n v="167.39"/>
    <n v="0"/>
    <n v="167.39"/>
    <d v="2025-08-06T00:00:00"/>
    <n v="43"/>
    <x v="34"/>
    <x v="0"/>
    <x v="0"/>
    <n v="28"/>
    <n v="0"/>
    <s v=""/>
  </r>
  <r>
    <s v="FB001528"/>
    <x v="2"/>
    <x v="1"/>
    <x v="1"/>
    <m/>
    <x v="0"/>
    <n v="49.89"/>
    <n v="0"/>
    <n v="49.89"/>
    <d v="2025-08-06T00:00:00"/>
    <n v="32"/>
    <x v="13"/>
    <x v="0"/>
    <x v="0"/>
    <n v="28"/>
    <n v="0"/>
    <s v=""/>
  </r>
  <r>
    <s v="FB001529"/>
    <x v="0"/>
    <x v="2"/>
    <x v="2"/>
    <s v="S"/>
    <x v="3"/>
    <n v="218.06"/>
    <n v="0"/>
    <n v="218.06"/>
    <d v="2025-08-06T00:00:00"/>
    <n v="32"/>
    <x v="30"/>
    <x v="0"/>
    <x v="0"/>
    <n v="28"/>
    <n v="0"/>
    <s v=""/>
  </r>
  <r>
    <s v="FB001530"/>
    <x v="4"/>
    <x v="6"/>
    <x v="3"/>
    <s v="XS"/>
    <x v="3"/>
    <n v="66.64"/>
    <n v="21.8"/>
    <n v="52.11"/>
    <d v="2025-08-06T00:00:00"/>
    <n v="25"/>
    <x v="15"/>
    <x v="1"/>
    <x v="5"/>
    <n v="28"/>
    <n v="545"/>
    <n v="1"/>
  </r>
  <r>
    <s v="FB001531"/>
    <x v="0"/>
    <x v="5"/>
    <x v="2"/>
    <s v="S"/>
    <x v="4"/>
    <n v="124.69"/>
    <n v="40.9"/>
    <n v="73.69"/>
    <d v="2025-08-06T00:00:00"/>
    <n v="9"/>
    <x v="16"/>
    <x v="0"/>
    <x v="0"/>
    <n v="28"/>
    <n v="368.09999999999997"/>
    <s v=""/>
  </r>
  <r>
    <s v="FB001532"/>
    <x v="1"/>
    <x v="3"/>
    <x v="3"/>
    <s v="S"/>
    <x v="1"/>
    <n v="28.24"/>
    <n v="48.2"/>
    <n v="14.63"/>
    <d v="2025-08-06T00:00:00"/>
    <n v="20"/>
    <x v="35"/>
    <x v="0"/>
    <x v="0"/>
    <n v="28"/>
    <n v="964"/>
    <s v=""/>
  </r>
  <r>
    <s v="FB001533"/>
    <x v="2"/>
    <x v="0"/>
    <x v="3"/>
    <m/>
    <x v="9"/>
    <n v="76.39"/>
    <n v="53.9"/>
    <n v="35.22"/>
    <d v="2025-08-06T00:00:00"/>
    <n v="15"/>
    <x v="25"/>
    <x v="0"/>
    <x v="0"/>
    <n v="28"/>
    <n v="808.5"/>
    <s v=""/>
  </r>
  <r>
    <s v="FB001534"/>
    <x v="4"/>
    <x v="0"/>
    <x v="1"/>
    <s v="M"/>
    <x v="5"/>
    <n v="96.82"/>
    <n v="0"/>
    <n v="96.82"/>
    <d v="2025-08-06T00:00:00"/>
    <n v="0"/>
    <x v="21"/>
    <x v="0"/>
    <x v="0"/>
    <n v="28"/>
    <n v="0"/>
    <s v=""/>
  </r>
  <r>
    <s v="FB001535"/>
    <x v="3"/>
    <x v="2"/>
    <x v="2"/>
    <s v="XS"/>
    <x v="8"/>
    <n v="159.25"/>
    <n v="28.2"/>
    <n v="114.34"/>
    <d v="2025-08-06T00:00:00"/>
    <n v="1"/>
    <x v="74"/>
    <x v="1"/>
    <x v="6"/>
    <n v="28"/>
    <n v="28.2"/>
    <n v="1"/>
  </r>
  <r>
    <s v="FB001536"/>
    <x v="5"/>
    <x v="0"/>
    <x v="3"/>
    <s v="XXL"/>
    <x v="8"/>
    <n v="171.93"/>
    <n v="52.3"/>
    <n v="82.01"/>
    <d v="2025-08-06T00:00:00"/>
    <n v="28"/>
    <x v="81"/>
    <x v="0"/>
    <x v="0"/>
    <n v="28"/>
    <n v="1464.3999999999999"/>
    <s v=""/>
  </r>
  <r>
    <s v="FB001537"/>
    <x v="1"/>
    <x v="0"/>
    <x v="3"/>
    <s v="XS"/>
    <x v="10"/>
    <n v="85.25"/>
    <n v="0"/>
    <n v="85.25"/>
    <d v="2025-08-06T00:00:00"/>
    <n v="11"/>
    <x v="69"/>
    <x v="0"/>
    <x v="0"/>
    <n v="28"/>
    <n v="0"/>
    <s v=""/>
  </r>
  <r>
    <s v="FB001538"/>
    <x v="1"/>
    <x v="2"/>
    <x v="0"/>
    <s v="XXL"/>
    <x v="1"/>
    <n v="70.48"/>
    <n v="0"/>
    <n v="70.48"/>
    <d v="2024-11-27T00:00:00"/>
    <n v="22"/>
    <x v="19"/>
    <x v="0"/>
    <x v="0"/>
    <n v="280"/>
    <n v="0"/>
    <s v=""/>
  </r>
  <r>
    <s v="FB001539"/>
    <x v="0"/>
    <x v="2"/>
    <x v="0"/>
    <s v="S"/>
    <x v="10"/>
    <n v="203.02"/>
    <n v="0"/>
    <n v="203.02"/>
    <d v="2025-05-17T00:00:00"/>
    <n v="23"/>
    <x v="15"/>
    <x v="1"/>
    <x v="4"/>
    <n v="109"/>
    <n v="0"/>
    <n v="1"/>
  </r>
  <r>
    <s v="FB001540"/>
    <x v="5"/>
    <x v="5"/>
    <x v="2"/>
    <s v="XXL"/>
    <x v="1"/>
    <n v="115.39"/>
    <n v="11.2"/>
    <n v="102.47"/>
    <d v="2025-08-06T00:00:00"/>
    <n v="4"/>
    <x v="22"/>
    <x v="0"/>
    <x v="0"/>
    <n v="28"/>
    <n v="44.8"/>
    <s v=""/>
  </r>
  <r>
    <s v="FB001541"/>
    <x v="2"/>
    <x v="3"/>
    <x v="0"/>
    <m/>
    <x v="1"/>
    <n v="27.91"/>
    <n v="49.8"/>
    <n v="14.01"/>
    <d v="2025-02-13T00:00:00"/>
    <n v="12"/>
    <x v="3"/>
    <x v="0"/>
    <x v="0"/>
    <n v="202"/>
    <n v="597.59999999999991"/>
    <s v=""/>
  </r>
  <r>
    <s v="FB001542"/>
    <x v="2"/>
    <x v="4"/>
    <x v="1"/>
    <m/>
    <x v="8"/>
    <n v="79.69"/>
    <n v="0"/>
    <n v="79.69"/>
    <d v="2025-08-06T00:00:00"/>
    <n v="44"/>
    <x v="6"/>
    <x v="0"/>
    <x v="0"/>
    <n v="28"/>
    <n v="0"/>
    <s v=""/>
  </r>
  <r>
    <s v="FB001543"/>
    <x v="4"/>
    <x v="7"/>
    <x v="2"/>
    <s v="S"/>
    <x v="10"/>
    <n v="47.22"/>
    <n v="0"/>
    <n v="47.22"/>
    <d v="2025-08-06T00:00:00"/>
    <n v="19"/>
    <x v="42"/>
    <x v="0"/>
    <x v="0"/>
    <n v="28"/>
    <n v="0"/>
    <s v=""/>
  </r>
  <r>
    <s v="FB001544"/>
    <x v="3"/>
    <x v="4"/>
    <x v="2"/>
    <m/>
    <x v="10"/>
    <n v="172.27"/>
    <n v="14.9"/>
    <n v="146.6"/>
    <d v="2025-08-06T00:00:00"/>
    <n v="8"/>
    <x v="17"/>
    <x v="0"/>
    <x v="0"/>
    <n v="28"/>
    <n v="119.2"/>
    <s v=""/>
  </r>
  <r>
    <s v="FB001545"/>
    <x v="2"/>
    <x v="0"/>
    <x v="1"/>
    <m/>
    <x v="2"/>
    <n v="27.9"/>
    <n v="0"/>
    <n v="27.9"/>
    <d v="2025-08-06T00:00:00"/>
    <n v="27"/>
    <x v="0"/>
    <x v="1"/>
    <x v="5"/>
    <n v="28"/>
    <n v="0"/>
    <n v="1"/>
  </r>
  <r>
    <s v="FB001546"/>
    <x v="5"/>
    <x v="0"/>
    <x v="0"/>
    <s v="S"/>
    <x v="7"/>
    <n v="139.26"/>
    <n v="0"/>
    <n v="139.26"/>
    <d v="2025-01-02T00:00:00"/>
    <n v="32"/>
    <x v="10"/>
    <x v="0"/>
    <x v="0"/>
    <n v="244"/>
    <n v="0"/>
    <s v=""/>
  </r>
  <r>
    <s v="FB001547"/>
    <x v="2"/>
    <x v="5"/>
    <x v="3"/>
    <m/>
    <x v="4"/>
    <n v="30.47"/>
    <n v="0"/>
    <n v="30.47"/>
    <d v="2025-08-06T00:00:00"/>
    <n v="34"/>
    <x v="36"/>
    <x v="0"/>
    <x v="0"/>
    <n v="28"/>
    <n v="0"/>
    <s v=""/>
  </r>
  <r>
    <s v="FB001548"/>
    <x v="0"/>
    <x v="6"/>
    <x v="2"/>
    <s v="M"/>
    <x v="9"/>
    <n v="141.53"/>
    <n v="39.799999999999997"/>
    <n v="85.2"/>
    <d v="2025-08-06T00:00:00"/>
    <n v="47"/>
    <x v="15"/>
    <x v="0"/>
    <x v="0"/>
    <n v="28"/>
    <n v="1870.6"/>
    <s v=""/>
  </r>
  <r>
    <s v="FB001549"/>
    <x v="5"/>
    <x v="6"/>
    <x v="0"/>
    <s v="XL"/>
    <x v="4"/>
    <n v="47.45"/>
    <n v="24.4"/>
    <n v="35.869999999999997"/>
    <d v="2025-06-15T00:00:00"/>
    <n v="42"/>
    <x v="32"/>
    <x v="0"/>
    <x v="0"/>
    <n v="80"/>
    <n v="1024.8"/>
    <s v=""/>
  </r>
  <r>
    <s v="FB001550"/>
    <x v="4"/>
    <x v="6"/>
    <x v="1"/>
    <s v="XS"/>
    <x v="8"/>
    <n v="51.39"/>
    <n v="6.3"/>
    <n v="48.15"/>
    <d v="2025-08-06T00:00:00"/>
    <n v="46"/>
    <x v="58"/>
    <x v="0"/>
    <x v="0"/>
    <n v="28"/>
    <n v="289.8"/>
    <s v=""/>
  </r>
  <r>
    <s v="FB001551"/>
    <x v="1"/>
    <x v="6"/>
    <x v="0"/>
    <m/>
    <x v="3"/>
    <n v="74.13"/>
    <n v="0"/>
    <n v="74.13"/>
    <d v="2024-11-13T00:00:00"/>
    <n v="23"/>
    <x v="24"/>
    <x v="0"/>
    <x v="0"/>
    <n v="294"/>
    <n v="0"/>
    <s v=""/>
  </r>
  <r>
    <s v="FB001552"/>
    <x v="5"/>
    <x v="0"/>
    <x v="2"/>
    <s v="XL"/>
    <x v="9"/>
    <n v="156.13999999999999"/>
    <n v="5"/>
    <n v="148.33000000000001"/>
    <d v="2025-08-06T00:00:00"/>
    <n v="39"/>
    <x v="75"/>
    <x v="0"/>
    <x v="0"/>
    <n v="28"/>
    <n v="195"/>
    <s v=""/>
  </r>
  <r>
    <s v="FB001553"/>
    <x v="0"/>
    <x v="2"/>
    <x v="3"/>
    <s v="XS"/>
    <x v="6"/>
    <n v="105.3"/>
    <n v="0"/>
    <n v="105.3"/>
    <d v="2025-08-06T00:00:00"/>
    <n v="1"/>
    <x v="0"/>
    <x v="0"/>
    <x v="0"/>
    <n v="28"/>
    <n v="0"/>
    <s v=""/>
  </r>
  <r>
    <s v="FB001554"/>
    <x v="5"/>
    <x v="4"/>
    <x v="1"/>
    <s v="S"/>
    <x v="8"/>
    <n v="126.76"/>
    <n v="0"/>
    <n v="126.76"/>
    <d v="2025-08-06T00:00:00"/>
    <n v="24"/>
    <x v="81"/>
    <x v="0"/>
    <x v="0"/>
    <n v="28"/>
    <n v="0"/>
    <s v=""/>
  </r>
  <r>
    <s v="FB001555"/>
    <x v="1"/>
    <x v="6"/>
    <x v="1"/>
    <s v="L"/>
    <x v="8"/>
    <n v="35.409999999999997"/>
    <n v="0"/>
    <n v="35.409999999999997"/>
    <d v="2025-08-06T00:00:00"/>
    <n v="48"/>
    <x v="2"/>
    <x v="1"/>
    <x v="3"/>
    <n v="28"/>
    <n v="0"/>
    <n v="1"/>
  </r>
  <r>
    <s v="FB001556"/>
    <x v="0"/>
    <x v="5"/>
    <x v="1"/>
    <s v="M"/>
    <x v="3"/>
    <n v="80.040000000000006"/>
    <n v="0"/>
    <n v="80.040000000000006"/>
    <d v="2025-08-06T00:00:00"/>
    <n v="13"/>
    <x v="39"/>
    <x v="0"/>
    <x v="0"/>
    <n v="28"/>
    <n v="0"/>
    <s v=""/>
  </r>
  <r>
    <s v="FB001557"/>
    <x v="4"/>
    <x v="6"/>
    <x v="2"/>
    <m/>
    <x v="8"/>
    <n v="68.16"/>
    <n v="0"/>
    <n v="68.16"/>
    <d v="2025-08-06T00:00:00"/>
    <n v="34"/>
    <x v="67"/>
    <x v="0"/>
    <x v="0"/>
    <n v="28"/>
    <n v="0"/>
    <s v=""/>
  </r>
  <r>
    <s v="FB001558"/>
    <x v="5"/>
    <x v="5"/>
    <x v="2"/>
    <s v="XL"/>
    <x v="3"/>
    <n v="60.87"/>
    <n v="0"/>
    <n v="60.87"/>
    <d v="2025-08-06T00:00:00"/>
    <n v="35"/>
    <x v="62"/>
    <x v="0"/>
    <x v="0"/>
    <n v="28"/>
    <n v="0"/>
    <s v=""/>
  </r>
  <r>
    <s v="FB001559"/>
    <x v="1"/>
    <x v="4"/>
    <x v="0"/>
    <s v="L"/>
    <x v="10"/>
    <n v="59.8"/>
    <n v="0"/>
    <n v="59.8"/>
    <d v="2025-04-06T00:00:00"/>
    <n v="50"/>
    <x v="81"/>
    <x v="1"/>
    <x v="2"/>
    <n v="150"/>
    <n v="0"/>
    <n v="1"/>
  </r>
  <r>
    <s v="FB001560"/>
    <x v="2"/>
    <x v="6"/>
    <x v="2"/>
    <m/>
    <x v="2"/>
    <n v="75.83"/>
    <n v="0"/>
    <n v="75.83"/>
    <d v="2025-08-06T00:00:00"/>
    <n v="8"/>
    <x v="66"/>
    <x v="0"/>
    <x v="0"/>
    <n v="28"/>
    <n v="0"/>
    <s v=""/>
  </r>
  <r>
    <s v="FB001561"/>
    <x v="1"/>
    <x v="4"/>
    <x v="3"/>
    <s v="L"/>
    <x v="7"/>
    <n v="55.97"/>
    <n v="0"/>
    <n v="55.97"/>
    <d v="2025-08-06T00:00:00"/>
    <n v="30"/>
    <x v="84"/>
    <x v="0"/>
    <x v="0"/>
    <n v="28"/>
    <n v="0"/>
    <s v=""/>
  </r>
  <r>
    <s v="FB001562"/>
    <x v="3"/>
    <x v="6"/>
    <x v="1"/>
    <s v="XL"/>
    <x v="7"/>
    <n v="190.52"/>
    <n v="45.2"/>
    <n v="104.4"/>
    <d v="2025-08-06T00:00:00"/>
    <n v="2"/>
    <x v="21"/>
    <x v="0"/>
    <x v="0"/>
    <n v="28"/>
    <n v="90.4"/>
    <s v=""/>
  </r>
  <r>
    <s v="FB001563"/>
    <x v="4"/>
    <x v="0"/>
    <x v="3"/>
    <s v="M"/>
    <x v="1"/>
    <n v="89.19"/>
    <n v="10.3"/>
    <n v="80"/>
    <d v="2025-08-06T00:00:00"/>
    <n v="4"/>
    <x v="65"/>
    <x v="0"/>
    <x v="0"/>
    <n v="28"/>
    <n v="41.2"/>
    <s v=""/>
  </r>
  <r>
    <s v="FB001564"/>
    <x v="3"/>
    <x v="2"/>
    <x v="3"/>
    <m/>
    <x v="3"/>
    <n v="79.59"/>
    <n v="8.9"/>
    <n v="72.510000000000005"/>
    <d v="2025-08-06T00:00:00"/>
    <n v="16"/>
    <x v="14"/>
    <x v="1"/>
    <x v="6"/>
    <n v="28"/>
    <n v="142.4"/>
    <n v="1"/>
  </r>
  <r>
    <s v="FB001565"/>
    <x v="4"/>
    <x v="3"/>
    <x v="0"/>
    <s v="XXL"/>
    <x v="4"/>
    <n v="84.8"/>
    <n v="0"/>
    <n v="84.8"/>
    <d v="2025-07-08T00:00:00"/>
    <n v="46"/>
    <x v="14"/>
    <x v="0"/>
    <x v="0"/>
    <n v="57"/>
    <n v="0"/>
    <s v=""/>
  </r>
  <r>
    <s v="FB001566"/>
    <x v="4"/>
    <x v="7"/>
    <x v="2"/>
    <s v="M"/>
    <x v="2"/>
    <n v="69.209999999999994"/>
    <n v="0"/>
    <n v="69.209999999999994"/>
    <d v="2025-08-06T00:00:00"/>
    <n v="41"/>
    <x v="77"/>
    <x v="0"/>
    <x v="0"/>
    <n v="28"/>
    <n v="0"/>
    <s v=""/>
  </r>
  <r>
    <s v="FB001567"/>
    <x v="0"/>
    <x v="2"/>
    <x v="0"/>
    <s v="XS"/>
    <x v="8"/>
    <n v="229.17"/>
    <n v="0"/>
    <n v="229.17"/>
    <d v="2025-07-17T00:00:00"/>
    <n v="37"/>
    <x v="66"/>
    <x v="0"/>
    <x v="0"/>
    <n v="48"/>
    <n v="0"/>
    <s v=""/>
  </r>
  <r>
    <s v="FB001568"/>
    <x v="5"/>
    <x v="2"/>
    <x v="1"/>
    <s v="L"/>
    <x v="3"/>
    <n v="103.9"/>
    <n v="0"/>
    <n v="103.9"/>
    <d v="2025-08-06T00:00:00"/>
    <n v="40"/>
    <x v="9"/>
    <x v="0"/>
    <x v="0"/>
    <n v="28"/>
    <n v="0"/>
    <s v=""/>
  </r>
  <r>
    <s v="FB001569"/>
    <x v="0"/>
    <x v="0"/>
    <x v="0"/>
    <s v="XS"/>
    <x v="7"/>
    <n v="228.46"/>
    <n v="0"/>
    <n v="228.46"/>
    <d v="2025-02-07T00:00:00"/>
    <n v="7"/>
    <x v="1"/>
    <x v="1"/>
    <x v="4"/>
    <n v="208"/>
    <n v="0"/>
    <n v="1"/>
  </r>
  <r>
    <s v="FB001570"/>
    <x v="2"/>
    <x v="0"/>
    <x v="3"/>
    <m/>
    <x v="3"/>
    <n v="44.35"/>
    <n v="29.2"/>
    <n v="31.4"/>
    <d v="2025-08-06T00:00:00"/>
    <n v="20"/>
    <x v="26"/>
    <x v="0"/>
    <x v="0"/>
    <n v="28"/>
    <n v="584"/>
    <s v=""/>
  </r>
  <r>
    <s v="FB001571"/>
    <x v="4"/>
    <x v="1"/>
    <x v="0"/>
    <m/>
    <x v="4"/>
    <n v="28.76"/>
    <n v="54.7"/>
    <n v="13.03"/>
    <d v="2025-05-14T00:00:00"/>
    <n v="2"/>
    <x v="9"/>
    <x v="1"/>
    <x v="1"/>
    <n v="112"/>
    <n v="109.4"/>
    <n v="1"/>
  </r>
  <r>
    <s v="FB001572"/>
    <x v="0"/>
    <x v="3"/>
    <x v="0"/>
    <s v="XXL"/>
    <x v="0"/>
    <n v="158.34"/>
    <n v="36.6"/>
    <n v="100.39"/>
    <d v="2025-01-27T00:00:00"/>
    <n v="11"/>
    <x v="35"/>
    <x v="0"/>
    <x v="0"/>
    <n v="219"/>
    <n v="402.6"/>
    <s v=""/>
  </r>
  <r>
    <s v="FB001573"/>
    <x v="2"/>
    <x v="0"/>
    <x v="0"/>
    <m/>
    <x v="10"/>
    <n v="39.049999999999997"/>
    <n v="12"/>
    <n v="34.36"/>
    <d v="2024-09-30T00:00:00"/>
    <n v="0"/>
    <x v="47"/>
    <x v="0"/>
    <x v="0"/>
    <n v="338"/>
    <n v="0"/>
    <s v=""/>
  </r>
  <r>
    <s v="FB001574"/>
    <x v="1"/>
    <x v="5"/>
    <x v="0"/>
    <s v="S"/>
    <x v="5"/>
    <n v="52.46"/>
    <n v="12.2"/>
    <n v="46.06"/>
    <d v="2024-12-19T00:00:00"/>
    <n v="39"/>
    <x v="39"/>
    <x v="0"/>
    <x v="0"/>
    <n v="258"/>
    <n v="475.79999999999995"/>
    <s v=""/>
  </r>
  <r>
    <s v="FB001575"/>
    <x v="4"/>
    <x v="6"/>
    <x v="0"/>
    <s v="S"/>
    <x v="0"/>
    <n v="70.31"/>
    <n v="34.4"/>
    <n v="46.12"/>
    <d v="2025-01-24T00:00:00"/>
    <n v="28"/>
    <x v="47"/>
    <x v="0"/>
    <x v="0"/>
    <n v="222"/>
    <n v="963.19999999999993"/>
    <s v=""/>
  </r>
  <r>
    <s v="FB001576"/>
    <x v="0"/>
    <x v="7"/>
    <x v="3"/>
    <s v="S"/>
    <x v="7"/>
    <n v="123.27"/>
    <n v="0"/>
    <n v="123.27"/>
    <d v="2025-08-06T00:00:00"/>
    <n v="13"/>
    <x v="32"/>
    <x v="0"/>
    <x v="0"/>
    <n v="28"/>
    <n v="0"/>
    <s v=""/>
  </r>
  <r>
    <s v="FB001577"/>
    <x v="0"/>
    <x v="3"/>
    <x v="3"/>
    <s v="L"/>
    <x v="8"/>
    <n v="215.82"/>
    <n v="16.5"/>
    <n v="180.21"/>
    <d v="2025-08-06T00:00:00"/>
    <n v="9"/>
    <x v="13"/>
    <x v="0"/>
    <x v="0"/>
    <n v="28"/>
    <n v="148.5"/>
    <s v=""/>
  </r>
  <r>
    <s v="FB001578"/>
    <x v="0"/>
    <x v="6"/>
    <x v="3"/>
    <s v="XS"/>
    <x v="5"/>
    <n v="82.91"/>
    <n v="0.7"/>
    <n v="82.33"/>
    <d v="2025-08-06T00:00:00"/>
    <n v="24"/>
    <x v="37"/>
    <x v="1"/>
    <x v="3"/>
    <n v="28"/>
    <n v="16.799999999999997"/>
    <n v="1"/>
  </r>
  <r>
    <s v="FB001579"/>
    <x v="1"/>
    <x v="6"/>
    <x v="1"/>
    <s v="XL"/>
    <x v="9"/>
    <n v="33.46"/>
    <n v="0"/>
    <n v="33.46"/>
    <d v="2025-08-06T00:00:00"/>
    <n v="36"/>
    <x v="20"/>
    <x v="0"/>
    <x v="0"/>
    <n v="28"/>
    <n v="0"/>
    <s v=""/>
  </r>
  <r>
    <s v="FB001580"/>
    <x v="4"/>
    <x v="2"/>
    <x v="0"/>
    <s v="L"/>
    <x v="4"/>
    <n v="37.21"/>
    <n v="53.9"/>
    <n v="17.149999999999999"/>
    <d v="2025-06-27T00:00:00"/>
    <n v="48"/>
    <x v="22"/>
    <x v="0"/>
    <x v="0"/>
    <n v="68"/>
    <n v="2587.1999999999998"/>
    <s v=""/>
  </r>
  <r>
    <s v="FB001581"/>
    <x v="4"/>
    <x v="3"/>
    <x v="1"/>
    <m/>
    <x v="0"/>
    <n v="76.86"/>
    <n v="48.9"/>
    <n v="39.28"/>
    <d v="2025-08-06T00:00:00"/>
    <n v="5"/>
    <x v="19"/>
    <x v="0"/>
    <x v="0"/>
    <n v="28"/>
    <n v="244.5"/>
    <s v=""/>
  </r>
  <r>
    <s v="FB001582"/>
    <x v="0"/>
    <x v="4"/>
    <x v="1"/>
    <s v="S"/>
    <x v="7"/>
    <n v="208.57"/>
    <n v="0"/>
    <n v="208.57"/>
    <d v="2025-08-06T00:00:00"/>
    <n v="24"/>
    <x v="20"/>
    <x v="0"/>
    <x v="0"/>
    <n v="28"/>
    <n v="0"/>
    <s v=""/>
  </r>
  <r>
    <s v="FB001583"/>
    <x v="5"/>
    <x v="6"/>
    <x v="0"/>
    <s v="XL"/>
    <x v="0"/>
    <n v="131.69999999999999"/>
    <n v="15.8"/>
    <n v="110.89"/>
    <d v="2024-08-12T00:00:00"/>
    <n v="49"/>
    <x v="40"/>
    <x v="1"/>
    <x v="3"/>
    <n v="387"/>
    <n v="774.2"/>
    <n v="1"/>
  </r>
  <r>
    <s v="FB001584"/>
    <x v="4"/>
    <x v="3"/>
    <x v="3"/>
    <s v="XXL"/>
    <x v="5"/>
    <n v="117.21"/>
    <n v="0"/>
    <n v="117.21"/>
    <d v="2025-08-06T00:00:00"/>
    <n v="14"/>
    <x v="53"/>
    <x v="0"/>
    <x v="0"/>
    <n v="28"/>
    <n v="0"/>
    <s v=""/>
  </r>
  <r>
    <s v="FB001585"/>
    <x v="2"/>
    <x v="3"/>
    <x v="3"/>
    <m/>
    <x v="6"/>
    <n v="23.01"/>
    <n v="48.8"/>
    <n v="11.78"/>
    <d v="2025-08-06T00:00:00"/>
    <n v="13"/>
    <x v="20"/>
    <x v="0"/>
    <x v="0"/>
    <n v="28"/>
    <n v="634.4"/>
    <s v=""/>
  </r>
  <r>
    <s v="FB001586"/>
    <x v="2"/>
    <x v="7"/>
    <x v="3"/>
    <m/>
    <x v="0"/>
    <n v="47.6"/>
    <n v="0"/>
    <n v="47.6"/>
    <d v="2025-08-06T00:00:00"/>
    <n v="24"/>
    <x v="9"/>
    <x v="1"/>
    <x v="6"/>
    <n v="28"/>
    <n v="0"/>
    <n v="1"/>
  </r>
  <r>
    <s v="FB001587"/>
    <x v="4"/>
    <x v="0"/>
    <x v="2"/>
    <s v="L"/>
    <x v="1"/>
    <n v="33.22"/>
    <n v="38.4"/>
    <n v="20.46"/>
    <d v="2025-08-06T00:00:00"/>
    <n v="11"/>
    <x v="5"/>
    <x v="0"/>
    <x v="0"/>
    <n v="28"/>
    <n v="422.4"/>
    <s v=""/>
  </r>
  <r>
    <s v="FB001588"/>
    <x v="2"/>
    <x v="1"/>
    <x v="1"/>
    <m/>
    <x v="8"/>
    <n v="65.97"/>
    <n v="6.8"/>
    <n v="61.48"/>
    <d v="2025-08-06T00:00:00"/>
    <n v="41"/>
    <x v="2"/>
    <x v="0"/>
    <x v="0"/>
    <n v="28"/>
    <n v="278.8"/>
    <s v=""/>
  </r>
  <r>
    <s v="FB001589"/>
    <x v="1"/>
    <x v="4"/>
    <x v="0"/>
    <s v="L"/>
    <x v="6"/>
    <n v="47.25"/>
    <n v="29"/>
    <n v="33.549999999999997"/>
    <d v="2025-06-20T00:00:00"/>
    <n v="38"/>
    <x v="64"/>
    <x v="0"/>
    <x v="0"/>
    <n v="75"/>
    <n v="1102"/>
    <s v=""/>
  </r>
  <r>
    <s v="FB001590"/>
    <x v="1"/>
    <x v="7"/>
    <x v="0"/>
    <s v="XS"/>
    <x v="6"/>
    <n v="93.74"/>
    <n v="0"/>
    <n v="93.74"/>
    <d v="2024-12-27T00:00:00"/>
    <n v="39"/>
    <x v="30"/>
    <x v="0"/>
    <x v="0"/>
    <n v="250"/>
    <n v="0"/>
    <s v=""/>
  </r>
  <r>
    <s v="FB001591"/>
    <x v="4"/>
    <x v="7"/>
    <x v="3"/>
    <s v="XXL"/>
    <x v="3"/>
    <n v="31.57"/>
    <n v="0"/>
    <n v="31.57"/>
    <d v="2025-08-06T00:00:00"/>
    <n v="2"/>
    <x v="77"/>
    <x v="0"/>
    <x v="0"/>
    <n v="28"/>
    <n v="0"/>
    <s v=""/>
  </r>
  <r>
    <s v="FB001592"/>
    <x v="4"/>
    <x v="2"/>
    <x v="1"/>
    <s v="XXL"/>
    <x v="10"/>
    <n v="64.209999999999994"/>
    <n v="0"/>
    <n v="64.209999999999994"/>
    <d v="2025-08-06T00:00:00"/>
    <n v="3"/>
    <x v="32"/>
    <x v="0"/>
    <x v="0"/>
    <n v="28"/>
    <n v="0"/>
    <s v=""/>
  </r>
  <r>
    <s v="FB001593"/>
    <x v="2"/>
    <x v="2"/>
    <x v="1"/>
    <m/>
    <x v="6"/>
    <n v="56.13"/>
    <n v="8.1"/>
    <n v="51.58"/>
    <d v="2025-08-06T00:00:00"/>
    <n v="12"/>
    <x v="22"/>
    <x v="0"/>
    <x v="0"/>
    <n v="28"/>
    <n v="97.199999999999989"/>
    <s v=""/>
  </r>
  <r>
    <s v="FB001594"/>
    <x v="1"/>
    <x v="1"/>
    <x v="3"/>
    <s v="XXL"/>
    <x v="7"/>
    <n v="70.89"/>
    <n v="0"/>
    <n v="70.89"/>
    <d v="2025-08-06T00:00:00"/>
    <n v="14"/>
    <x v="52"/>
    <x v="1"/>
    <x v="2"/>
    <n v="28"/>
    <n v="0"/>
    <n v="1"/>
  </r>
  <r>
    <s v="FB001595"/>
    <x v="3"/>
    <x v="2"/>
    <x v="1"/>
    <s v="M"/>
    <x v="9"/>
    <n v="149.65"/>
    <n v="0"/>
    <n v="149.65"/>
    <d v="2025-08-06T00:00:00"/>
    <n v="26"/>
    <x v="22"/>
    <x v="0"/>
    <x v="0"/>
    <n v="28"/>
    <n v="0"/>
    <s v=""/>
  </r>
  <r>
    <s v="FB001596"/>
    <x v="3"/>
    <x v="0"/>
    <x v="0"/>
    <s v="S"/>
    <x v="3"/>
    <n v="83.17"/>
    <n v="0"/>
    <n v="83.17"/>
    <d v="2024-09-03T00:00:00"/>
    <n v="48"/>
    <x v="53"/>
    <x v="0"/>
    <x v="0"/>
    <n v="365"/>
    <n v="0"/>
    <s v=""/>
  </r>
  <r>
    <s v="FB001597"/>
    <x v="0"/>
    <x v="4"/>
    <x v="2"/>
    <s v="XL"/>
    <x v="5"/>
    <n v="121.56"/>
    <n v="0"/>
    <n v="121.56"/>
    <d v="2025-08-06T00:00:00"/>
    <n v="18"/>
    <x v="31"/>
    <x v="0"/>
    <x v="0"/>
    <n v="28"/>
    <n v="0"/>
    <s v=""/>
  </r>
  <r>
    <s v="FB001598"/>
    <x v="4"/>
    <x v="0"/>
    <x v="1"/>
    <s v="M"/>
    <x v="9"/>
    <n v="48.62"/>
    <n v="0"/>
    <n v="48.62"/>
    <d v="2025-08-06T00:00:00"/>
    <n v="3"/>
    <x v="65"/>
    <x v="1"/>
    <x v="3"/>
    <n v="28"/>
    <n v="0"/>
    <n v="1"/>
  </r>
  <r>
    <s v="FB001599"/>
    <x v="5"/>
    <x v="5"/>
    <x v="1"/>
    <s v="M"/>
    <x v="5"/>
    <n v="79.040000000000006"/>
    <n v="0"/>
    <n v="79.040000000000006"/>
    <d v="2025-08-06T00:00:00"/>
    <n v="4"/>
    <x v="16"/>
    <x v="0"/>
    <x v="0"/>
    <n v="28"/>
    <n v="0"/>
    <s v=""/>
  </r>
  <r>
    <s v="FB001600"/>
    <x v="0"/>
    <x v="3"/>
    <x v="0"/>
    <s v="XS"/>
    <x v="4"/>
    <n v="198.58"/>
    <n v="0"/>
    <n v="198.58"/>
    <d v="2025-01-24T00:00:00"/>
    <n v="46"/>
    <x v="45"/>
    <x v="0"/>
    <x v="0"/>
    <n v="222"/>
    <n v="0"/>
    <s v=""/>
  </r>
  <r>
    <s v="FB001601"/>
    <x v="0"/>
    <x v="2"/>
    <x v="3"/>
    <s v="M"/>
    <x v="6"/>
    <n v="109.82"/>
    <n v="0"/>
    <n v="109.82"/>
    <d v="2025-08-06T00:00:00"/>
    <n v="32"/>
    <x v="39"/>
    <x v="0"/>
    <x v="0"/>
    <n v="28"/>
    <n v="0"/>
    <s v=""/>
  </r>
  <r>
    <s v="FB001602"/>
    <x v="2"/>
    <x v="2"/>
    <x v="3"/>
    <m/>
    <x v="0"/>
    <n v="34.42"/>
    <n v="49.5"/>
    <n v="17.38"/>
    <d v="2025-08-06T00:00:00"/>
    <n v="26"/>
    <x v="81"/>
    <x v="0"/>
    <x v="0"/>
    <n v="28"/>
    <n v="1287"/>
    <s v=""/>
  </r>
  <r>
    <s v="FB001603"/>
    <x v="3"/>
    <x v="0"/>
    <x v="1"/>
    <m/>
    <x v="4"/>
    <n v="112.1"/>
    <n v="0"/>
    <n v="112.1"/>
    <d v="2025-08-06T00:00:00"/>
    <n v="5"/>
    <x v="66"/>
    <x v="1"/>
    <x v="1"/>
    <n v="28"/>
    <n v="0"/>
    <n v="1"/>
  </r>
  <r>
    <s v="FB001604"/>
    <x v="4"/>
    <x v="6"/>
    <x v="2"/>
    <s v="XS"/>
    <x v="3"/>
    <n v="25.07"/>
    <n v="0"/>
    <n v="25.07"/>
    <d v="2025-08-06T00:00:00"/>
    <n v="9"/>
    <x v="1"/>
    <x v="0"/>
    <x v="0"/>
    <n v="28"/>
    <n v="0"/>
    <s v=""/>
  </r>
  <r>
    <s v="FB001605"/>
    <x v="5"/>
    <x v="1"/>
    <x v="0"/>
    <s v="XL"/>
    <x v="6"/>
    <n v="170.38"/>
    <n v="0"/>
    <n v="170.38"/>
    <d v="2024-09-05T00:00:00"/>
    <n v="23"/>
    <x v="2"/>
    <x v="0"/>
    <x v="0"/>
    <n v="363"/>
    <n v="0"/>
    <s v=""/>
  </r>
  <r>
    <s v="FB001606"/>
    <x v="5"/>
    <x v="3"/>
    <x v="1"/>
    <s v="XXL"/>
    <x v="6"/>
    <n v="77.319999999999993"/>
    <n v="0"/>
    <n v="77.319999999999993"/>
    <d v="2025-08-06T00:00:00"/>
    <n v="30"/>
    <x v="81"/>
    <x v="1"/>
    <x v="1"/>
    <n v="28"/>
    <n v="0"/>
    <n v="1"/>
  </r>
  <r>
    <s v="FB001607"/>
    <x v="3"/>
    <x v="3"/>
    <x v="1"/>
    <s v="XS"/>
    <x v="2"/>
    <n v="111.88"/>
    <n v="0"/>
    <n v="111.88"/>
    <d v="2025-08-06T00:00:00"/>
    <n v="17"/>
    <x v="14"/>
    <x v="0"/>
    <x v="0"/>
    <n v="28"/>
    <n v="0"/>
    <s v=""/>
  </r>
  <r>
    <s v="FB001608"/>
    <x v="2"/>
    <x v="7"/>
    <x v="2"/>
    <m/>
    <x v="2"/>
    <n v="24.71"/>
    <n v="0"/>
    <n v="24.71"/>
    <d v="2025-08-06T00:00:00"/>
    <n v="37"/>
    <x v="85"/>
    <x v="0"/>
    <x v="0"/>
    <n v="28"/>
    <n v="0"/>
    <s v=""/>
  </r>
  <r>
    <s v="FB001609"/>
    <x v="1"/>
    <x v="1"/>
    <x v="0"/>
    <s v="XL"/>
    <x v="0"/>
    <n v="61.42"/>
    <n v="0"/>
    <n v="61.42"/>
    <d v="2024-08-22T00:00:00"/>
    <n v="41"/>
    <x v="15"/>
    <x v="0"/>
    <x v="0"/>
    <n v="377"/>
    <n v="0"/>
    <s v=""/>
  </r>
  <r>
    <s v="FB001610"/>
    <x v="2"/>
    <x v="6"/>
    <x v="2"/>
    <m/>
    <x v="5"/>
    <n v="60.48"/>
    <n v="7.3"/>
    <n v="56.06"/>
    <d v="2025-08-06T00:00:00"/>
    <n v="46"/>
    <x v="20"/>
    <x v="0"/>
    <x v="0"/>
    <n v="28"/>
    <n v="335.8"/>
    <s v=""/>
  </r>
  <r>
    <s v="FB001611"/>
    <x v="2"/>
    <x v="3"/>
    <x v="2"/>
    <m/>
    <x v="9"/>
    <n v="34.94"/>
    <n v="5.2"/>
    <n v="33.119999999999997"/>
    <d v="2025-08-06T00:00:00"/>
    <n v="18"/>
    <x v="72"/>
    <x v="0"/>
    <x v="0"/>
    <n v="28"/>
    <n v="93.600000000000009"/>
    <s v=""/>
  </r>
  <r>
    <s v="FB001612"/>
    <x v="4"/>
    <x v="2"/>
    <x v="0"/>
    <s v="XL"/>
    <x v="0"/>
    <n v="30.51"/>
    <n v="0"/>
    <n v="30.51"/>
    <d v="2025-01-14T00:00:00"/>
    <n v="17"/>
    <x v="19"/>
    <x v="0"/>
    <x v="0"/>
    <n v="232"/>
    <n v="0"/>
    <s v=""/>
  </r>
  <r>
    <s v="FB001613"/>
    <x v="5"/>
    <x v="2"/>
    <x v="1"/>
    <s v="XXL"/>
    <x v="8"/>
    <n v="65.540000000000006"/>
    <n v="40.299999999999997"/>
    <n v="39.130000000000003"/>
    <d v="2025-08-06T00:00:00"/>
    <n v="27"/>
    <x v="19"/>
    <x v="0"/>
    <x v="0"/>
    <n v="28"/>
    <n v="1088.0999999999999"/>
    <s v=""/>
  </r>
  <r>
    <s v="FB001614"/>
    <x v="3"/>
    <x v="7"/>
    <x v="3"/>
    <s v="S"/>
    <x v="7"/>
    <n v="114.37"/>
    <n v="43.2"/>
    <n v="64.959999999999994"/>
    <d v="2025-08-06T00:00:00"/>
    <n v="16"/>
    <x v="40"/>
    <x v="0"/>
    <x v="0"/>
    <n v="28"/>
    <n v="691.2"/>
    <s v=""/>
  </r>
  <r>
    <s v="FB001615"/>
    <x v="5"/>
    <x v="3"/>
    <x v="0"/>
    <s v="S"/>
    <x v="3"/>
    <n v="145.80000000000001"/>
    <n v="0"/>
    <n v="145.80000000000001"/>
    <d v="2024-09-27T00:00:00"/>
    <n v="13"/>
    <x v="30"/>
    <x v="0"/>
    <x v="0"/>
    <n v="341"/>
    <n v="0"/>
    <s v=""/>
  </r>
  <r>
    <s v="FB001616"/>
    <x v="3"/>
    <x v="0"/>
    <x v="3"/>
    <s v="S"/>
    <x v="0"/>
    <n v="121.43"/>
    <n v="44.1"/>
    <n v="67.88"/>
    <d v="2025-08-06T00:00:00"/>
    <n v="2"/>
    <x v="9"/>
    <x v="0"/>
    <x v="0"/>
    <n v="28"/>
    <n v="88.2"/>
    <s v=""/>
  </r>
  <r>
    <s v="FB001617"/>
    <x v="3"/>
    <x v="7"/>
    <x v="3"/>
    <s v="XXL"/>
    <x v="6"/>
    <n v="94.49"/>
    <n v="0"/>
    <n v="94.49"/>
    <d v="2025-08-06T00:00:00"/>
    <n v="30"/>
    <x v="25"/>
    <x v="0"/>
    <x v="0"/>
    <n v="28"/>
    <n v="0"/>
    <s v=""/>
  </r>
  <r>
    <s v="FB001618"/>
    <x v="0"/>
    <x v="7"/>
    <x v="2"/>
    <s v="M"/>
    <x v="9"/>
    <n v="218.64"/>
    <n v="0"/>
    <n v="218.64"/>
    <d v="2025-08-06T00:00:00"/>
    <n v="5"/>
    <x v="61"/>
    <x v="0"/>
    <x v="0"/>
    <n v="28"/>
    <n v="0"/>
    <s v=""/>
  </r>
  <r>
    <s v="FB001619"/>
    <x v="0"/>
    <x v="1"/>
    <x v="2"/>
    <s v="S"/>
    <x v="2"/>
    <n v="80.41"/>
    <n v="11.9"/>
    <n v="70.84"/>
    <d v="2025-08-06T00:00:00"/>
    <n v="35"/>
    <x v="25"/>
    <x v="0"/>
    <x v="0"/>
    <n v="28"/>
    <n v="416.5"/>
    <s v=""/>
  </r>
  <r>
    <s v="FB001620"/>
    <x v="3"/>
    <x v="6"/>
    <x v="1"/>
    <s v="XL"/>
    <x v="7"/>
    <n v="183.3"/>
    <n v="0"/>
    <n v="183.3"/>
    <d v="2025-08-06T00:00:00"/>
    <n v="7"/>
    <x v="66"/>
    <x v="0"/>
    <x v="0"/>
    <n v="28"/>
    <n v="0"/>
    <s v=""/>
  </r>
  <r>
    <s v="FB001621"/>
    <x v="0"/>
    <x v="1"/>
    <x v="2"/>
    <s v="XS"/>
    <x v="3"/>
    <n v="241.81"/>
    <n v="0"/>
    <n v="241.81"/>
    <d v="2025-08-06T00:00:00"/>
    <n v="38"/>
    <x v="15"/>
    <x v="0"/>
    <x v="0"/>
    <n v="28"/>
    <n v="0"/>
    <s v=""/>
  </r>
  <r>
    <s v="FB001622"/>
    <x v="0"/>
    <x v="3"/>
    <x v="0"/>
    <s v="XS"/>
    <x v="3"/>
    <n v="216.46"/>
    <n v="28.8"/>
    <n v="154.12"/>
    <d v="2024-08-12T00:00:00"/>
    <n v="43"/>
    <x v="49"/>
    <x v="0"/>
    <x v="0"/>
    <n v="387"/>
    <n v="1238.4000000000001"/>
    <s v=""/>
  </r>
  <r>
    <s v="FB001623"/>
    <x v="5"/>
    <x v="1"/>
    <x v="0"/>
    <s v="S"/>
    <x v="1"/>
    <n v="63.07"/>
    <n v="53.6"/>
    <n v="29.26"/>
    <d v="2025-05-20T00:00:00"/>
    <n v="4"/>
    <x v="25"/>
    <x v="1"/>
    <x v="1"/>
    <n v="106"/>
    <n v="214.4"/>
    <n v="1"/>
  </r>
  <r>
    <s v="FB001624"/>
    <x v="2"/>
    <x v="2"/>
    <x v="0"/>
    <m/>
    <x v="6"/>
    <n v="44.7"/>
    <n v="0"/>
    <n v="44.7"/>
    <d v="2025-03-17T00:00:00"/>
    <n v="29"/>
    <x v="53"/>
    <x v="0"/>
    <x v="0"/>
    <n v="170"/>
    <n v="0"/>
    <s v=""/>
  </r>
  <r>
    <s v="FB001625"/>
    <x v="1"/>
    <x v="0"/>
    <x v="2"/>
    <s v="XXL"/>
    <x v="3"/>
    <n v="28.23"/>
    <n v="40.299999999999997"/>
    <n v="16.850000000000001"/>
    <d v="2025-08-06T00:00:00"/>
    <n v="21"/>
    <x v="67"/>
    <x v="0"/>
    <x v="0"/>
    <n v="28"/>
    <n v="846.3"/>
    <s v=""/>
  </r>
  <r>
    <s v="FB001626"/>
    <x v="3"/>
    <x v="5"/>
    <x v="2"/>
    <s v="XXL"/>
    <x v="6"/>
    <n v="131.94"/>
    <n v="27.3"/>
    <n v="95.92"/>
    <d v="2025-08-06T00:00:00"/>
    <n v="6"/>
    <x v="32"/>
    <x v="1"/>
    <x v="3"/>
    <n v="28"/>
    <n v="163.80000000000001"/>
    <n v="1"/>
  </r>
  <r>
    <s v="FB001627"/>
    <x v="0"/>
    <x v="7"/>
    <x v="2"/>
    <s v="M"/>
    <x v="5"/>
    <n v="166.85"/>
    <n v="30.9"/>
    <n v="115.29"/>
    <d v="2025-08-06T00:00:00"/>
    <n v="14"/>
    <x v="36"/>
    <x v="1"/>
    <x v="5"/>
    <n v="28"/>
    <n v="432.59999999999997"/>
    <n v="1"/>
  </r>
  <r>
    <s v="FB001628"/>
    <x v="1"/>
    <x v="2"/>
    <x v="1"/>
    <s v="S"/>
    <x v="8"/>
    <n v="39.58"/>
    <n v="30.9"/>
    <n v="27.35"/>
    <d v="2025-08-06T00:00:00"/>
    <n v="17"/>
    <x v="1"/>
    <x v="0"/>
    <x v="0"/>
    <n v="28"/>
    <n v="525.29999999999995"/>
    <s v=""/>
  </r>
  <r>
    <s v="FB001629"/>
    <x v="0"/>
    <x v="1"/>
    <x v="3"/>
    <s v="M"/>
    <x v="5"/>
    <n v="89.55"/>
    <n v="58"/>
    <n v="37.61"/>
    <d v="2025-08-06T00:00:00"/>
    <n v="21"/>
    <x v="3"/>
    <x v="0"/>
    <x v="0"/>
    <n v="28"/>
    <n v="1218"/>
    <s v=""/>
  </r>
  <r>
    <s v="FB001630"/>
    <x v="0"/>
    <x v="3"/>
    <x v="2"/>
    <s v="M"/>
    <x v="9"/>
    <n v="138.55000000000001"/>
    <n v="0"/>
    <n v="138.55000000000001"/>
    <d v="2025-08-06T00:00:00"/>
    <n v="25"/>
    <x v="66"/>
    <x v="0"/>
    <x v="0"/>
    <n v="28"/>
    <n v="0"/>
    <s v=""/>
  </r>
  <r>
    <s v="FB001631"/>
    <x v="2"/>
    <x v="1"/>
    <x v="2"/>
    <m/>
    <x v="7"/>
    <n v="43.84"/>
    <n v="0"/>
    <n v="43.84"/>
    <d v="2025-08-06T00:00:00"/>
    <n v="28"/>
    <x v="32"/>
    <x v="0"/>
    <x v="0"/>
    <n v="28"/>
    <n v="0"/>
    <s v=""/>
  </r>
  <r>
    <s v="FB001632"/>
    <x v="1"/>
    <x v="7"/>
    <x v="2"/>
    <s v="XL"/>
    <x v="10"/>
    <n v="63.72"/>
    <n v="17.8"/>
    <n v="52.38"/>
    <d v="2025-08-06T00:00:00"/>
    <n v="45"/>
    <x v="13"/>
    <x v="0"/>
    <x v="0"/>
    <n v="28"/>
    <n v="801"/>
    <s v=""/>
  </r>
  <r>
    <s v="FB001633"/>
    <x v="2"/>
    <x v="0"/>
    <x v="0"/>
    <m/>
    <x v="0"/>
    <n v="74.61"/>
    <n v="0"/>
    <n v="74.61"/>
    <d v="2025-04-28T00:00:00"/>
    <n v="38"/>
    <x v="32"/>
    <x v="0"/>
    <x v="0"/>
    <n v="128"/>
    <n v="0"/>
    <s v=""/>
  </r>
  <r>
    <s v="FB001634"/>
    <x v="3"/>
    <x v="1"/>
    <x v="0"/>
    <s v="S"/>
    <x v="4"/>
    <n v="148.24"/>
    <n v="10.9"/>
    <n v="132.08000000000001"/>
    <d v="2024-08-27T00:00:00"/>
    <n v="44"/>
    <x v="49"/>
    <x v="0"/>
    <x v="0"/>
    <n v="372"/>
    <n v="479.6"/>
    <s v=""/>
  </r>
  <r>
    <s v="FB001635"/>
    <x v="1"/>
    <x v="6"/>
    <x v="0"/>
    <s v="XL"/>
    <x v="4"/>
    <n v="93.46"/>
    <n v="0"/>
    <n v="93.46"/>
    <d v="2025-02-12T00:00:00"/>
    <n v="20"/>
    <x v="81"/>
    <x v="0"/>
    <x v="0"/>
    <n v="203"/>
    <n v="0"/>
    <s v=""/>
  </r>
  <r>
    <s v="FB001636"/>
    <x v="0"/>
    <x v="1"/>
    <x v="3"/>
    <s v="XXL"/>
    <x v="0"/>
    <n v="245.31"/>
    <n v="44.1"/>
    <n v="137.13"/>
    <d v="2025-08-06T00:00:00"/>
    <n v="44"/>
    <x v="7"/>
    <x v="0"/>
    <x v="0"/>
    <n v="28"/>
    <n v="1940.4"/>
    <s v=""/>
  </r>
  <r>
    <s v="FB001637"/>
    <x v="1"/>
    <x v="2"/>
    <x v="0"/>
    <s v="XXL"/>
    <x v="0"/>
    <n v="43.38"/>
    <n v="45.9"/>
    <n v="23.47"/>
    <d v="2024-12-03T00:00:00"/>
    <n v="47"/>
    <x v="17"/>
    <x v="1"/>
    <x v="5"/>
    <n v="274"/>
    <n v="2157.2999999999997"/>
    <n v="1"/>
  </r>
  <r>
    <s v="FB001638"/>
    <x v="2"/>
    <x v="5"/>
    <x v="2"/>
    <m/>
    <x v="2"/>
    <n v="40.04"/>
    <n v="45.5"/>
    <n v="21.82"/>
    <d v="2025-08-06T00:00:00"/>
    <n v="50"/>
    <x v="81"/>
    <x v="0"/>
    <x v="0"/>
    <n v="28"/>
    <n v="2275"/>
    <s v=""/>
  </r>
  <r>
    <s v="FB001639"/>
    <x v="0"/>
    <x v="4"/>
    <x v="2"/>
    <s v="M"/>
    <x v="7"/>
    <n v="209.68"/>
    <n v="3.6"/>
    <n v="202.13"/>
    <d v="2025-08-06T00:00:00"/>
    <n v="18"/>
    <x v="16"/>
    <x v="0"/>
    <x v="0"/>
    <n v="28"/>
    <n v="64.8"/>
    <s v=""/>
  </r>
  <r>
    <s v="FB001640"/>
    <x v="2"/>
    <x v="3"/>
    <x v="1"/>
    <m/>
    <x v="10"/>
    <n v="38.08"/>
    <n v="0"/>
    <n v="38.08"/>
    <d v="2025-08-06T00:00:00"/>
    <n v="0"/>
    <x v="6"/>
    <x v="0"/>
    <x v="0"/>
    <n v="28"/>
    <n v="0"/>
    <s v=""/>
  </r>
  <r>
    <s v="FB001641"/>
    <x v="0"/>
    <x v="5"/>
    <x v="0"/>
    <s v="XXL"/>
    <x v="7"/>
    <n v="123.04"/>
    <n v="0"/>
    <n v="123.04"/>
    <d v="2025-04-05T00:00:00"/>
    <n v="13"/>
    <x v="19"/>
    <x v="0"/>
    <x v="0"/>
    <n v="151"/>
    <n v="0"/>
    <s v=""/>
  </r>
  <r>
    <s v="FB001642"/>
    <x v="2"/>
    <x v="1"/>
    <x v="3"/>
    <m/>
    <x v="1"/>
    <n v="39.94"/>
    <n v="0"/>
    <n v="39.94"/>
    <d v="2025-08-06T00:00:00"/>
    <n v="32"/>
    <x v="47"/>
    <x v="0"/>
    <x v="0"/>
    <n v="28"/>
    <n v="0"/>
    <s v=""/>
  </r>
  <r>
    <s v="FB001643"/>
    <x v="5"/>
    <x v="4"/>
    <x v="3"/>
    <s v="M"/>
    <x v="4"/>
    <n v="80.19"/>
    <n v="0"/>
    <n v="80.19"/>
    <d v="2025-08-06T00:00:00"/>
    <n v="43"/>
    <x v="22"/>
    <x v="0"/>
    <x v="0"/>
    <n v="28"/>
    <n v="0"/>
    <s v=""/>
  </r>
  <r>
    <s v="FB001644"/>
    <x v="1"/>
    <x v="1"/>
    <x v="0"/>
    <s v="XXL"/>
    <x v="9"/>
    <n v="35.03"/>
    <n v="10.1"/>
    <n v="31.49"/>
    <d v="2025-05-30T00:00:00"/>
    <n v="5"/>
    <x v="22"/>
    <x v="0"/>
    <x v="0"/>
    <n v="96"/>
    <n v="50.5"/>
    <s v=""/>
  </r>
  <r>
    <s v="FB001645"/>
    <x v="1"/>
    <x v="4"/>
    <x v="3"/>
    <s v="M"/>
    <x v="2"/>
    <n v="27.64"/>
    <n v="29"/>
    <n v="19.62"/>
    <d v="2025-08-06T00:00:00"/>
    <n v="19"/>
    <x v="50"/>
    <x v="0"/>
    <x v="0"/>
    <n v="28"/>
    <n v="551"/>
    <s v=""/>
  </r>
  <r>
    <s v="FB001646"/>
    <x v="0"/>
    <x v="3"/>
    <x v="0"/>
    <s v="M"/>
    <x v="8"/>
    <n v="187.63"/>
    <n v="0"/>
    <n v="187.63"/>
    <d v="2025-04-25T00:00:00"/>
    <n v="25"/>
    <x v="34"/>
    <x v="0"/>
    <x v="0"/>
    <n v="131"/>
    <n v="0"/>
    <s v=""/>
  </r>
  <r>
    <s v="FB001647"/>
    <x v="0"/>
    <x v="4"/>
    <x v="1"/>
    <s v="XXL"/>
    <x v="2"/>
    <n v="193.17"/>
    <n v="34.6"/>
    <n v="126.33"/>
    <d v="2025-08-06T00:00:00"/>
    <n v="26"/>
    <x v="8"/>
    <x v="0"/>
    <x v="0"/>
    <n v="28"/>
    <n v="899.6"/>
    <s v=""/>
  </r>
  <r>
    <s v="FB001648"/>
    <x v="3"/>
    <x v="2"/>
    <x v="0"/>
    <s v="M"/>
    <x v="2"/>
    <n v="157.78"/>
    <n v="40.200000000000003"/>
    <n v="94.35"/>
    <d v="2025-08-02T00:00:00"/>
    <n v="23"/>
    <x v="47"/>
    <x v="0"/>
    <x v="0"/>
    <n v="32"/>
    <n v="924.6"/>
    <s v=""/>
  </r>
  <r>
    <s v="FB001649"/>
    <x v="3"/>
    <x v="0"/>
    <x v="1"/>
    <s v="L"/>
    <x v="2"/>
    <n v="119.14"/>
    <n v="7.8"/>
    <n v="109.85"/>
    <d v="2025-08-06T00:00:00"/>
    <n v="20"/>
    <x v="47"/>
    <x v="0"/>
    <x v="0"/>
    <n v="28"/>
    <n v="156"/>
    <s v=""/>
  </r>
  <r>
    <s v="FB001650"/>
    <x v="5"/>
    <x v="7"/>
    <x v="1"/>
    <s v="M"/>
    <x v="3"/>
    <n v="150.08000000000001"/>
    <n v="4.8"/>
    <n v="142.88"/>
    <d v="2025-08-06T00:00:00"/>
    <n v="24"/>
    <x v="12"/>
    <x v="0"/>
    <x v="0"/>
    <n v="28"/>
    <n v="115.19999999999999"/>
    <s v=""/>
  </r>
  <r>
    <s v="FB001651"/>
    <x v="5"/>
    <x v="1"/>
    <x v="3"/>
    <s v="L"/>
    <x v="5"/>
    <n v="153.18"/>
    <n v="0"/>
    <n v="153.18"/>
    <d v="2025-08-06T00:00:00"/>
    <n v="26"/>
    <x v="21"/>
    <x v="0"/>
    <x v="0"/>
    <n v="28"/>
    <n v="0"/>
    <s v=""/>
  </r>
  <r>
    <s v="FB001652"/>
    <x v="1"/>
    <x v="2"/>
    <x v="1"/>
    <s v="S"/>
    <x v="1"/>
    <n v="118.69"/>
    <n v="47.7"/>
    <n v="62.07"/>
    <d v="2025-08-06T00:00:00"/>
    <n v="11"/>
    <x v="32"/>
    <x v="0"/>
    <x v="0"/>
    <n v="28"/>
    <n v="524.70000000000005"/>
    <s v=""/>
  </r>
  <r>
    <s v="FB001653"/>
    <x v="2"/>
    <x v="4"/>
    <x v="0"/>
    <m/>
    <x v="8"/>
    <n v="50.12"/>
    <n v="0"/>
    <n v="50.12"/>
    <d v="2025-03-09T00:00:00"/>
    <n v="27"/>
    <x v="13"/>
    <x v="0"/>
    <x v="0"/>
    <n v="178"/>
    <n v="0"/>
    <s v=""/>
  </r>
  <r>
    <s v="FB001654"/>
    <x v="5"/>
    <x v="6"/>
    <x v="0"/>
    <s v="XS"/>
    <x v="5"/>
    <n v="93.68"/>
    <n v="59.5"/>
    <n v="37.94"/>
    <d v="2025-04-24T00:00:00"/>
    <n v="21"/>
    <x v="70"/>
    <x v="0"/>
    <x v="0"/>
    <n v="132"/>
    <n v="1249.5"/>
    <s v=""/>
  </r>
  <r>
    <s v="FB001655"/>
    <x v="1"/>
    <x v="1"/>
    <x v="3"/>
    <s v="S"/>
    <x v="0"/>
    <n v="50.49"/>
    <n v="0"/>
    <n v="50.49"/>
    <d v="2025-08-06T00:00:00"/>
    <n v="30"/>
    <x v="16"/>
    <x v="0"/>
    <x v="0"/>
    <n v="28"/>
    <n v="0"/>
    <s v=""/>
  </r>
  <r>
    <s v="FB001656"/>
    <x v="3"/>
    <x v="3"/>
    <x v="3"/>
    <s v="XS"/>
    <x v="3"/>
    <n v="97.9"/>
    <n v="0"/>
    <n v="97.9"/>
    <d v="2025-08-06T00:00:00"/>
    <n v="29"/>
    <x v="49"/>
    <x v="0"/>
    <x v="0"/>
    <n v="28"/>
    <n v="0"/>
    <s v=""/>
  </r>
  <r>
    <s v="FB001657"/>
    <x v="1"/>
    <x v="1"/>
    <x v="3"/>
    <s v="S"/>
    <x v="4"/>
    <n v="69"/>
    <n v="0"/>
    <n v="69"/>
    <d v="2025-08-06T00:00:00"/>
    <n v="32"/>
    <x v="35"/>
    <x v="0"/>
    <x v="0"/>
    <n v="28"/>
    <n v="0"/>
    <s v=""/>
  </r>
  <r>
    <s v="FB001658"/>
    <x v="2"/>
    <x v="3"/>
    <x v="2"/>
    <m/>
    <x v="9"/>
    <n v="30.2"/>
    <n v="27.1"/>
    <n v="22.02"/>
    <d v="2025-08-06T00:00:00"/>
    <n v="15"/>
    <x v="72"/>
    <x v="0"/>
    <x v="0"/>
    <n v="28"/>
    <n v="406.5"/>
    <s v=""/>
  </r>
  <r>
    <s v="FB001659"/>
    <x v="1"/>
    <x v="2"/>
    <x v="1"/>
    <s v="L"/>
    <x v="7"/>
    <n v="84.92"/>
    <n v="59.1"/>
    <n v="34.729999999999997"/>
    <d v="2025-08-06T00:00:00"/>
    <n v="42"/>
    <x v="4"/>
    <x v="0"/>
    <x v="0"/>
    <n v="28"/>
    <n v="2482.2000000000003"/>
    <s v=""/>
  </r>
  <r>
    <s v="FB001660"/>
    <x v="1"/>
    <x v="7"/>
    <x v="2"/>
    <s v="XS"/>
    <x v="3"/>
    <n v="116.48"/>
    <n v="0"/>
    <n v="116.48"/>
    <d v="2025-08-06T00:00:00"/>
    <n v="3"/>
    <x v="25"/>
    <x v="0"/>
    <x v="0"/>
    <n v="28"/>
    <n v="0"/>
    <s v=""/>
  </r>
  <r>
    <s v="FB001661"/>
    <x v="1"/>
    <x v="4"/>
    <x v="3"/>
    <s v="XL"/>
    <x v="8"/>
    <n v="40.68"/>
    <n v="0"/>
    <n v="40.68"/>
    <d v="2025-08-06T00:00:00"/>
    <n v="41"/>
    <x v="21"/>
    <x v="1"/>
    <x v="5"/>
    <n v="28"/>
    <n v="0"/>
    <n v="1"/>
  </r>
  <r>
    <s v="FB001662"/>
    <x v="0"/>
    <x v="5"/>
    <x v="3"/>
    <s v="XL"/>
    <x v="2"/>
    <n v="118.92"/>
    <n v="0"/>
    <n v="118.92"/>
    <d v="2025-08-06T00:00:00"/>
    <n v="36"/>
    <x v="34"/>
    <x v="1"/>
    <x v="6"/>
    <n v="28"/>
    <n v="0"/>
    <n v="1"/>
  </r>
  <r>
    <s v="FB001663"/>
    <x v="4"/>
    <x v="5"/>
    <x v="3"/>
    <s v="XXL"/>
    <x v="2"/>
    <n v="26.86"/>
    <n v="0"/>
    <n v="26.86"/>
    <d v="2025-08-06T00:00:00"/>
    <n v="18"/>
    <x v="53"/>
    <x v="0"/>
    <x v="0"/>
    <n v="28"/>
    <n v="0"/>
    <s v=""/>
  </r>
  <r>
    <s v="FB001664"/>
    <x v="5"/>
    <x v="2"/>
    <x v="2"/>
    <s v="S"/>
    <x v="6"/>
    <n v="113.34"/>
    <n v="0"/>
    <n v="113.34"/>
    <d v="2025-08-06T00:00:00"/>
    <n v="13"/>
    <x v="82"/>
    <x v="0"/>
    <x v="0"/>
    <n v="28"/>
    <n v="0"/>
    <s v=""/>
  </r>
  <r>
    <s v="FB001665"/>
    <x v="1"/>
    <x v="6"/>
    <x v="3"/>
    <s v="L"/>
    <x v="2"/>
    <n v="40.520000000000003"/>
    <n v="8.9"/>
    <n v="36.909999999999997"/>
    <d v="2025-08-06T00:00:00"/>
    <n v="13"/>
    <x v="1"/>
    <x v="0"/>
    <x v="0"/>
    <n v="28"/>
    <n v="115.7"/>
    <s v=""/>
  </r>
  <r>
    <s v="FB001666"/>
    <x v="4"/>
    <x v="7"/>
    <x v="3"/>
    <s v="L"/>
    <x v="1"/>
    <n v="98.41"/>
    <n v="0"/>
    <n v="98.41"/>
    <d v="2025-08-06T00:00:00"/>
    <n v="7"/>
    <x v="14"/>
    <x v="0"/>
    <x v="0"/>
    <n v="28"/>
    <n v="0"/>
    <s v=""/>
  </r>
  <r>
    <s v="FB001667"/>
    <x v="4"/>
    <x v="7"/>
    <x v="1"/>
    <s v="XS"/>
    <x v="0"/>
    <n v="83.18"/>
    <n v="0"/>
    <n v="83.18"/>
    <d v="2025-08-06T00:00:00"/>
    <n v="17"/>
    <x v="12"/>
    <x v="1"/>
    <x v="2"/>
    <n v="28"/>
    <n v="0"/>
    <n v="1"/>
  </r>
  <r>
    <s v="FB001668"/>
    <x v="3"/>
    <x v="4"/>
    <x v="0"/>
    <s v="XXL"/>
    <x v="9"/>
    <n v="179.31"/>
    <n v="24.1"/>
    <n v="136.1"/>
    <d v="2025-07-13T00:00:00"/>
    <n v="0"/>
    <x v="47"/>
    <x v="0"/>
    <x v="0"/>
    <n v="52"/>
    <n v="0"/>
    <s v=""/>
  </r>
  <r>
    <s v="FB001669"/>
    <x v="1"/>
    <x v="0"/>
    <x v="0"/>
    <s v="XXL"/>
    <x v="6"/>
    <n v="47.88"/>
    <n v="0"/>
    <n v="47.88"/>
    <d v="2024-12-21T00:00:00"/>
    <n v="44"/>
    <x v="42"/>
    <x v="0"/>
    <x v="0"/>
    <n v="256"/>
    <n v="0"/>
    <s v=""/>
  </r>
  <r>
    <s v="FB001670"/>
    <x v="0"/>
    <x v="3"/>
    <x v="1"/>
    <s v="XL"/>
    <x v="8"/>
    <n v="89.26"/>
    <n v="0"/>
    <n v="89.26"/>
    <d v="2025-08-06T00:00:00"/>
    <n v="43"/>
    <x v="22"/>
    <x v="0"/>
    <x v="0"/>
    <n v="28"/>
    <n v="0"/>
    <s v=""/>
  </r>
  <r>
    <s v="FB001671"/>
    <x v="5"/>
    <x v="6"/>
    <x v="3"/>
    <s v="XXL"/>
    <x v="2"/>
    <n v="114.2"/>
    <n v="0"/>
    <n v="114.2"/>
    <d v="2025-08-06T00:00:00"/>
    <n v="15"/>
    <x v="70"/>
    <x v="0"/>
    <x v="0"/>
    <n v="28"/>
    <n v="0"/>
    <s v=""/>
  </r>
  <r>
    <s v="FB001672"/>
    <x v="3"/>
    <x v="6"/>
    <x v="3"/>
    <s v="L"/>
    <x v="6"/>
    <n v="169.5"/>
    <n v="59.7"/>
    <n v="68.31"/>
    <d v="2025-08-06T00:00:00"/>
    <n v="16"/>
    <x v="34"/>
    <x v="0"/>
    <x v="0"/>
    <n v="28"/>
    <n v="955.2"/>
    <s v=""/>
  </r>
  <r>
    <s v="FB001673"/>
    <x v="1"/>
    <x v="4"/>
    <x v="2"/>
    <s v="XS"/>
    <x v="3"/>
    <n v="77.989999999999995"/>
    <n v="0"/>
    <n v="77.989999999999995"/>
    <d v="2025-08-06T00:00:00"/>
    <n v="42"/>
    <x v="84"/>
    <x v="0"/>
    <x v="0"/>
    <n v="28"/>
    <n v="0"/>
    <s v=""/>
  </r>
  <r>
    <s v="FB001674"/>
    <x v="4"/>
    <x v="5"/>
    <x v="2"/>
    <m/>
    <x v="1"/>
    <n v="103.77"/>
    <n v="0"/>
    <n v="103.77"/>
    <d v="2025-08-06T00:00:00"/>
    <n v="12"/>
    <x v="9"/>
    <x v="0"/>
    <x v="0"/>
    <n v="28"/>
    <n v="0"/>
    <s v=""/>
  </r>
  <r>
    <s v="FB001675"/>
    <x v="2"/>
    <x v="7"/>
    <x v="2"/>
    <m/>
    <x v="2"/>
    <n v="42.96"/>
    <n v="0"/>
    <n v="42.96"/>
    <d v="2025-08-06T00:00:00"/>
    <n v="36"/>
    <x v="21"/>
    <x v="0"/>
    <x v="0"/>
    <n v="28"/>
    <n v="0"/>
    <s v=""/>
  </r>
  <r>
    <s v="FB001676"/>
    <x v="5"/>
    <x v="2"/>
    <x v="2"/>
    <m/>
    <x v="10"/>
    <n v="126.11"/>
    <n v="0"/>
    <n v="126.11"/>
    <d v="2025-08-06T00:00:00"/>
    <n v="16"/>
    <x v="15"/>
    <x v="0"/>
    <x v="0"/>
    <n v="28"/>
    <n v="0"/>
    <s v=""/>
  </r>
  <r>
    <s v="FB001677"/>
    <x v="2"/>
    <x v="2"/>
    <x v="3"/>
    <m/>
    <x v="7"/>
    <n v="43.83"/>
    <n v="0"/>
    <n v="43.83"/>
    <d v="2025-08-06T00:00:00"/>
    <n v="31"/>
    <x v="1"/>
    <x v="0"/>
    <x v="0"/>
    <n v="28"/>
    <n v="0"/>
    <s v=""/>
  </r>
  <r>
    <s v="FB001678"/>
    <x v="3"/>
    <x v="2"/>
    <x v="2"/>
    <s v="S"/>
    <x v="7"/>
    <n v="94.1"/>
    <n v="0"/>
    <n v="94.1"/>
    <d v="2025-08-06T00:00:00"/>
    <n v="24"/>
    <x v="40"/>
    <x v="0"/>
    <x v="0"/>
    <n v="28"/>
    <n v="0"/>
    <s v=""/>
  </r>
  <r>
    <s v="FB001679"/>
    <x v="3"/>
    <x v="0"/>
    <x v="2"/>
    <s v="M"/>
    <x v="0"/>
    <n v="151.27000000000001"/>
    <n v="0"/>
    <n v="151.27000000000001"/>
    <d v="2025-08-06T00:00:00"/>
    <n v="39"/>
    <x v="30"/>
    <x v="1"/>
    <x v="3"/>
    <n v="28"/>
    <n v="0"/>
    <n v="1"/>
  </r>
  <r>
    <s v="FB001680"/>
    <x v="2"/>
    <x v="6"/>
    <x v="0"/>
    <m/>
    <x v="8"/>
    <n v="61.47"/>
    <n v="0"/>
    <n v="61.47"/>
    <d v="2024-08-25T00:00:00"/>
    <n v="44"/>
    <x v="80"/>
    <x v="0"/>
    <x v="0"/>
    <n v="374"/>
    <n v="0"/>
    <s v=""/>
  </r>
  <r>
    <s v="FB001681"/>
    <x v="3"/>
    <x v="3"/>
    <x v="3"/>
    <s v="M"/>
    <x v="8"/>
    <n v="185.96"/>
    <n v="0"/>
    <n v="185.96"/>
    <d v="2025-08-06T00:00:00"/>
    <n v="35"/>
    <x v="49"/>
    <x v="0"/>
    <x v="0"/>
    <n v="28"/>
    <n v="0"/>
    <s v=""/>
  </r>
  <r>
    <s v="FB001682"/>
    <x v="5"/>
    <x v="6"/>
    <x v="2"/>
    <s v="M"/>
    <x v="0"/>
    <n v="113.05"/>
    <n v="0"/>
    <n v="113.05"/>
    <d v="2025-08-06T00:00:00"/>
    <n v="47"/>
    <x v="66"/>
    <x v="0"/>
    <x v="0"/>
    <n v="28"/>
    <n v="0"/>
    <s v=""/>
  </r>
  <r>
    <s v="FB001683"/>
    <x v="1"/>
    <x v="2"/>
    <x v="3"/>
    <s v="L"/>
    <x v="10"/>
    <n v="110.9"/>
    <n v="34.700000000000003"/>
    <n v="72.42"/>
    <d v="2025-08-06T00:00:00"/>
    <n v="2"/>
    <x v="1"/>
    <x v="0"/>
    <x v="0"/>
    <n v="28"/>
    <n v="69.400000000000006"/>
    <s v=""/>
  </r>
  <r>
    <s v="FB001684"/>
    <x v="1"/>
    <x v="1"/>
    <x v="3"/>
    <s v="XXL"/>
    <x v="3"/>
    <n v="29.04"/>
    <n v="0"/>
    <n v="29.04"/>
    <d v="2025-08-06T00:00:00"/>
    <n v="4"/>
    <x v="64"/>
    <x v="0"/>
    <x v="0"/>
    <n v="28"/>
    <n v="0"/>
    <s v=""/>
  </r>
  <r>
    <s v="FB001685"/>
    <x v="3"/>
    <x v="7"/>
    <x v="0"/>
    <s v="XL"/>
    <x v="4"/>
    <n v="164.48"/>
    <n v="51.5"/>
    <n v="79.77"/>
    <d v="2024-09-07T00:00:00"/>
    <n v="27"/>
    <x v="10"/>
    <x v="0"/>
    <x v="0"/>
    <n v="361"/>
    <n v="1390.5"/>
    <s v=""/>
  </r>
  <r>
    <s v="FB001686"/>
    <x v="4"/>
    <x v="2"/>
    <x v="1"/>
    <s v="L"/>
    <x v="3"/>
    <n v="52.51"/>
    <n v="49.4"/>
    <n v="26.57"/>
    <d v="2025-08-06T00:00:00"/>
    <n v="37"/>
    <x v="15"/>
    <x v="1"/>
    <x v="5"/>
    <n v="28"/>
    <n v="1827.8"/>
    <n v="1"/>
  </r>
  <r>
    <s v="FB001687"/>
    <x v="5"/>
    <x v="5"/>
    <x v="1"/>
    <s v="XXL"/>
    <x v="4"/>
    <n v="175.74"/>
    <n v="42.9"/>
    <n v="100.35"/>
    <d v="2025-08-06T00:00:00"/>
    <n v="48"/>
    <x v="62"/>
    <x v="1"/>
    <x v="5"/>
    <n v="28"/>
    <n v="2059.1999999999998"/>
    <n v="1"/>
  </r>
  <r>
    <s v="FB001688"/>
    <x v="1"/>
    <x v="5"/>
    <x v="0"/>
    <s v="XS"/>
    <x v="7"/>
    <n v="57.06"/>
    <n v="27.5"/>
    <n v="41.37"/>
    <d v="2024-12-25T00:00:00"/>
    <n v="43"/>
    <x v="34"/>
    <x v="0"/>
    <x v="0"/>
    <n v="252"/>
    <n v="1182.5"/>
    <s v=""/>
  </r>
  <r>
    <s v="FB001689"/>
    <x v="5"/>
    <x v="5"/>
    <x v="1"/>
    <s v="L"/>
    <x v="2"/>
    <n v="158.24"/>
    <n v="0"/>
    <n v="158.24"/>
    <d v="2025-08-06T00:00:00"/>
    <n v="41"/>
    <x v="47"/>
    <x v="0"/>
    <x v="0"/>
    <n v="28"/>
    <n v="0"/>
    <s v=""/>
  </r>
  <r>
    <s v="FB001690"/>
    <x v="0"/>
    <x v="3"/>
    <x v="2"/>
    <m/>
    <x v="1"/>
    <n v="153.46"/>
    <n v="0"/>
    <n v="153.46"/>
    <d v="2025-08-06T00:00:00"/>
    <n v="27"/>
    <x v="12"/>
    <x v="0"/>
    <x v="0"/>
    <n v="28"/>
    <n v="0"/>
    <s v=""/>
  </r>
  <r>
    <s v="FB001691"/>
    <x v="2"/>
    <x v="0"/>
    <x v="0"/>
    <m/>
    <x v="10"/>
    <n v="54.92"/>
    <n v="0"/>
    <n v="54.92"/>
    <d v="2025-04-12T00:00:00"/>
    <n v="44"/>
    <x v="47"/>
    <x v="0"/>
    <x v="0"/>
    <n v="144"/>
    <n v="0"/>
    <s v=""/>
  </r>
  <r>
    <s v="FB001692"/>
    <x v="2"/>
    <x v="1"/>
    <x v="0"/>
    <m/>
    <x v="9"/>
    <n v="32.200000000000003"/>
    <n v="19.2"/>
    <n v="26.02"/>
    <d v="2025-07-27T00:00:00"/>
    <n v="8"/>
    <x v="2"/>
    <x v="0"/>
    <x v="0"/>
    <n v="38"/>
    <n v="153.6"/>
    <s v=""/>
  </r>
  <r>
    <s v="FB001693"/>
    <x v="2"/>
    <x v="3"/>
    <x v="2"/>
    <m/>
    <x v="10"/>
    <n v="66.489999999999995"/>
    <n v="29.1"/>
    <n v="47.14"/>
    <d v="2025-08-06T00:00:00"/>
    <n v="37"/>
    <x v="49"/>
    <x v="0"/>
    <x v="0"/>
    <n v="28"/>
    <n v="1076.7"/>
    <s v=""/>
  </r>
  <r>
    <s v="FB001694"/>
    <x v="2"/>
    <x v="3"/>
    <x v="1"/>
    <m/>
    <x v="5"/>
    <n v="32.950000000000003"/>
    <n v="50.2"/>
    <n v="16.41"/>
    <d v="2025-08-06T00:00:00"/>
    <n v="46"/>
    <x v="72"/>
    <x v="0"/>
    <x v="0"/>
    <n v="28"/>
    <n v="2309.2000000000003"/>
    <s v=""/>
  </r>
  <r>
    <s v="FB001695"/>
    <x v="2"/>
    <x v="4"/>
    <x v="2"/>
    <m/>
    <x v="4"/>
    <n v="54.31"/>
    <n v="19.2"/>
    <n v="43.88"/>
    <d v="2025-08-06T00:00:00"/>
    <n v="19"/>
    <x v="34"/>
    <x v="0"/>
    <x v="0"/>
    <n v="28"/>
    <n v="364.8"/>
    <s v=""/>
  </r>
  <r>
    <s v="FB001696"/>
    <x v="2"/>
    <x v="2"/>
    <x v="3"/>
    <m/>
    <x v="8"/>
    <n v="19.68"/>
    <n v="0"/>
    <n v="19.68"/>
    <d v="2025-08-06T00:00:00"/>
    <n v="29"/>
    <x v="25"/>
    <x v="1"/>
    <x v="2"/>
    <n v="28"/>
    <n v="0"/>
    <n v="1"/>
  </r>
  <r>
    <s v="FB001697"/>
    <x v="1"/>
    <x v="0"/>
    <x v="0"/>
    <s v="XS"/>
    <x v="4"/>
    <n v="105.19"/>
    <n v="24.3"/>
    <n v="79.63"/>
    <d v="2025-06-14T00:00:00"/>
    <n v="47"/>
    <x v="64"/>
    <x v="0"/>
    <x v="0"/>
    <n v="81"/>
    <n v="1142.1000000000001"/>
    <s v=""/>
  </r>
  <r>
    <s v="FB001698"/>
    <x v="2"/>
    <x v="2"/>
    <x v="3"/>
    <m/>
    <x v="6"/>
    <n v="20.3"/>
    <n v="19.600000000000001"/>
    <n v="16.32"/>
    <d v="2025-08-06T00:00:00"/>
    <n v="47"/>
    <x v="5"/>
    <x v="1"/>
    <x v="5"/>
    <n v="28"/>
    <n v="921.2"/>
    <n v="1"/>
  </r>
  <r>
    <s v="FB001699"/>
    <x v="4"/>
    <x v="3"/>
    <x v="3"/>
    <s v="S"/>
    <x v="10"/>
    <n v="105.37"/>
    <n v="19.600000000000001"/>
    <n v="84.72"/>
    <d v="2025-08-06T00:00:00"/>
    <n v="39"/>
    <x v="2"/>
    <x v="0"/>
    <x v="0"/>
    <n v="28"/>
    <n v="764.40000000000009"/>
    <s v=""/>
  </r>
  <r>
    <s v="FB001700"/>
    <x v="5"/>
    <x v="5"/>
    <x v="1"/>
    <s v="XS"/>
    <x v="6"/>
    <n v="156.24"/>
    <n v="0"/>
    <n v="156.24"/>
    <d v="2025-08-06T00:00:00"/>
    <n v="15"/>
    <x v="64"/>
    <x v="0"/>
    <x v="0"/>
    <n v="28"/>
    <n v="0"/>
    <s v=""/>
  </r>
  <r>
    <s v="FB001701"/>
    <x v="3"/>
    <x v="3"/>
    <x v="1"/>
    <s v="XS"/>
    <x v="10"/>
    <n v="162.19"/>
    <n v="5.7"/>
    <n v="152.94999999999999"/>
    <d v="2025-08-06T00:00:00"/>
    <n v="39"/>
    <x v="40"/>
    <x v="0"/>
    <x v="0"/>
    <n v="28"/>
    <n v="222.3"/>
    <s v=""/>
  </r>
  <r>
    <s v="FB001702"/>
    <x v="1"/>
    <x v="4"/>
    <x v="0"/>
    <s v="M"/>
    <x v="7"/>
    <n v="75.790000000000006"/>
    <n v="7.1"/>
    <n v="70.41"/>
    <d v="2025-03-29T00:00:00"/>
    <n v="13"/>
    <x v="31"/>
    <x v="0"/>
    <x v="0"/>
    <n v="158"/>
    <n v="92.3"/>
    <s v=""/>
  </r>
  <r>
    <s v="FB001703"/>
    <x v="2"/>
    <x v="7"/>
    <x v="3"/>
    <m/>
    <x v="1"/>
    <n v="32.04"/>
    <n v="0"/>
    <n v="32.04"/>
    <d v="2025-08-06T00:00:00"/>
    <n v="41"/>
    <x v="34"/>
    <x v="0"/>
    <x v="0"/>
    <n v="28"/>
    <n v="0"/>
    <s v=""/>
  </r>
  <r>
    <s v="FB001704"/>
    <x v="1"/>
    <x v="6"/>
    <x v="2"/>
    <s v="M"/>
    <x v="2"/>
    <n v="27.65"/>
    <n v="31.8"/>
    <n v="18.86"/>
    <d v="2025-08-06T00:00:00"/>
    <n v="2"/>
    <x v="17"/>
    <x v="1"/>
    <x v="2"/>
    <n v="28"/>
    <n v="63.6"/>
    <n v="1"/>
  </r>
  <r>
    <s v="FB001705"/>
    <x v="4"/>
    <x v="2"/>
    <x v="0"/>
    <s v="M"/>
    <x v="9"/>
    <n v="31.54"/>
    <n v="0"/>
    <n v="31.54"/>
    <d v="2025-08-03T00:00:00"/>
    <n v="45"/>
    <x v="49"/>
    <x v="0"/>
    <x v="0"/>
    <n v="31"/>
    <n v="0"/>
    <s v=""/>
  </r>
  <r>
    <s v="FB001706"/>
    <x v="4"/>
    <x v="0"/>
    <x v="3"/>
    <s v="XXL"/>
    <x v="7"/>
    <n v="77.64"/>
    <n v="39.1"/>
    <n v="47.28"/>
    <d v="2025-08-06T00:00:00"/>
    <n v="19"/>
    <x v="3"/>
    <x v="0"/>
    <x v="0"/>
    <n v="28"/>
    <n v="742.9"/>
    <s v=""/>
  </r>
  <r>
    <s v="FB001707"/>
    <x v="5"/>
    <x v="4"/>
    <x v="1"/>
    <s v="XL"/>
    <x v="1"/>
    <n v="51.48"/>
    <n v="0"/>
    <n v="51.48"/>
    <d v="2025-08-06T00:00:00"/>
    <n v="10"/>
    <x v="50"/>
    <x v="0"/>
    <x v="0"/>
    <n v="28"/>
    <n v="0"/>
    <s v=""/>
  </r>
  <r>
    <s v="FB001708"/>
    <x v="0"/>
    <x v="0"/>
    <x v="2"/>
    <s v="M"/>
    <x v="1"/>
    <n v="108.58"/>
    <n v="0"/>
    <n v="108.58"/>
    <d v="2025-08-06T00:00:00"/>
    <n v="44"/>
    <x v="13"/>
    <x v="0"/>
    <x v="0"/>
    <n v="28"/>
    <n v="0"/>
    <s v=""/>
  </r>
  <r>
    <s v="FB001709"/>
    <x v="1"/>
    <x v="7"/>
    <x v="1"/>
    <s v="XXL"/>
    <x v="2"/>
    <n v="84.17"/>
    <n v="0"/>
    <n v="84.17"/>
    <d v="2025-08-06T00:00:00"/>
    <n v="20"/>
    <x v="17"/>
    <x v="0"/>
    <x v="0"/>
    <n v="28"/>
    <n v="0"/>
    <s v=""/>
  </r>
  <r>
    <s v="FB001710"/>
    <x v="4"/>
    <x v="3"/>
    <x v="0"/>
    <s v="L"/>
    <x v="1"/>
    <n v="76.45"/>
    <n v="0"/>
    <n v="76.45"/>
    <d v="2025-06-10T00:00:00"/>
    <n v="16"/>
    <x v="50"/>
    <x v="1"/>
    <x v="1"/>
    <n v="85"/>
    <n v="0"/>
    <n v="1"/>
  </r>
  <r>
    <s v="FB001711"/>
    <x v="2"/>
    <x v="1"/>
    <x v="0"/>
    <m/>
    <x v="4"/>
    <n v="50.31"/>
    <n v="0"/>
    <n v="50.31"/>
    <d v="2025-04-24T00:00:00"/>
    <n v="36"/>
    <x v="55"/>
    <x v="0"/>
    <x v="0"/>
    <n v="132"/>
    <n v="0"/>
    <s v=""/>
  </r>
  <r>
    <s v="FB001712"/>
    <x v="1"/>
    <x v="6"/>
    <x v="0"/>
    <s v="S"/>
    <x v="1"/>
    <n v="43.45"/>
    <n v="0"/>
    <n v="43.45"/>
    <d v="2025-07-17T00:00:00"/>
    <n v="30"/>
    <x v="39"/>
    <x v="0"/>
    <x v="0"/>
    <n v="48"/>
    <n v="0"/>
    <s v=""/>
  </r>
  <r>
    <s v="FB001713"/>
    <x v="5"/>
    <x v="1"/>
    <x v="2"/>
    <s v="XL"/>
    <x v="4"/>
    <n v="149.22"/>
    <n v="53.9"/>
    <n v="68.790000000000006"/>
    <d v="2025-08-06T00:00:00"/>
    <n v="41"/>
    <x v="81"/>
    <x v="0"/>
    <x v="0"/>
    <n v="28"/>
    <n v="2209.9"/>
    <s v=""/>
  </r>
  <r>
    <s v="FB001714"/>
    <x v="4"/>
    <x v="6"/>
    <x v="3"/>
    <s v="XS"/>
    <x v="4"/>
    <n v="48.24"/>
    <n v="31.7"/>
    <n v="32.950000000000003"/>
    <d v="2025-08-06T00:00:00"/>
    <n v="46"/>
    <x v="17"/>
    <x v="0"/>
    <x v="0"/>
    <n v="28"/>
    <n v="1458.2"/>
    <s v=""/>
  </r>
  <r>
    <s v="FB001715"/>
    <x v="4"/>
    <x v="4"/>
    <x v="3"/>
    <s v="S"/>
    <x v="10"/>
    <n v="66.27"/>
    <n v="21.7"/>
    <n v="51.89"/>
    <d v="2025-08-06T00:00:00"/>
    <n v="28"/>
    <x v="1"/>
    <x v="1"/>
    <x v="5"/>
    <n v="28"/>
    <n v="607.6"/>
    <n v="1"/>
  </r>
  <r>
    <s v="FB001716"/>
    <x v="3"/>
    <x v="4"/>
    <x v="2"/>
    <s v="XXL"/>
    <x v="8"/>
    <n v="82.65"/>
    <n v="0"/>
    <n v="82.65"/>
    <d v="2025-08-06T00:00:00"/>
    <n v="30"/>
    <x v="16"/>
    <x v="0"/>
    <x v="0"/>
    <n v="28"/>
    <n v="0"/>
    <s v=""/>
  </r>
  <r>
    <s v="FB001717"/>
    <x v="4"/>
    <x v="5"/>
    <x v="1"/>
    <s v="XXL"/>
    <x v="2"/>
    <n v="42.36"/>
    <n v="0"/>
    <n v="42.36"/>
    <d v="2025-08-06T00:00:00"/>
    <n v="37"/>
    <x v="40"/>
    <x v="0"/>
    <x v="0"/>
    <n v="28"/>
    <n v="0"/>
    <s v=""/>
  </r>
  <r>
    <s v="FB001718"/>
    <x v="4"/>
    <x v="5"/>
    <x v="3"/>
    <s v="M"/>
    <x v="0"/>
    <n v="109.36"/>
    <n v="0"/>
    <n v="109.36"/>
    <d v="2025-08-06T00:00:00"/>
    <n v="24"/>
    <x v="12"/>
    <x v="0"/>
    <x v="0"/>
    <n v="28"/>
    <n v="0"/>
    <s v=""/>
  </r>
  <r>
    <s v="FB001719"/>
    <x v="2"/>
    <x v="5"/>
    <x v="1"/>
    <m/>
    <x v="7"/>
    <n v="59.98"/>
    <n v="0"/>
    <n v="59.98"/>
    <d v="2025-08-06T00:00:00"/>
    <n v="28"/>
    <x v="81"/>
    <x v="0"/>
    <x v="0"/>
    <n v="28"/>
    <n v="0"/>
    <s v=""/>
  </r>
  <r>
    <s v="FB001720"/>
    <x v="5"/>
    <x v="6"/>
    <x v="0"/>
    <m/>
    <x v="9"/>
    <n v="111.81"/>
    <n v="0"/>
    <n v="111.81"/>
    <d v="2024-08-21T00:00:00"/>
    <n v="45"/>
    <x v="21"/>
    <x v="0"/>
    <x v="0"/>
    <n v="378"/>
    <n v="0"/>
    <s v=""/>
  </r>
  <r>
    <s v="FB001721"/>
    <x v="4"/>
    <x v="2"/>
    <x v="1"/>
    <s v="XXL"/>
    <x v="0"/>
    <n v="70.78"/>
    <n v="0"/>
    <n v="70.78"/>
    <d v="2025-08-06T00:00:00"/>
    <n v="39"/>
    <x v="10"/>
    <x v="1"/>
    <x v="1"/>
    <n v="28"/>
    <n v="0"/>
    <n v="1"/>
  </r>
  <r>
    <s v="FB001722"/>
    <x v="2"/>
    <x v="3"/>
    <x v="1"/>
    <m/>
    <x v="1"/>
    <n v="76.13"/>
    <n v="58.5"/>
    <n v="31.59"/>
    <d v="2025-08-06T00:00:00"/>
    <n v="40"/>
    <x v="6"/>
    <x v="0"/>
    <x v="0"/>
    <n v="28"/>
    <n v="2340"/>
    <s v=""/>
  </r>
  <r>
    <s v="FB001723"/>
    <x v="4"/>
    <x v="2"/>
    <x v="2"/>
    <s v="XS"/>
    <x v="1"/>
    <n v="71.09"/>
    <n v="41.5"/>
    <n v="41.59"/>
    <d v="2025-08-06T00:00:00"/>
    <n v="20"/>
    <x v="47"/>
    <x v="0"/>
    <x v="0"/>
    <n v="28"/>
    <n v="830"/>
    <s v=""/>
  </r>
  <r>
    <s v="FB001724"/>
    <x v="4"/>
    <x v="3"/>
    <x v="2"/>
    <m/>
    <x v="4"/>
    <n v="53.64"/>
    <n v="55.9"/>
    <n v="23.66"/>
    <d v="2025-08-06T00:00:00"/>
    <n v="10"/>
    <x v="1"/>
    <x v="0"/>
    <x v="0"/>
    <n v="28"/>
    <n v="559"/>
    <s v=""/>
  </r>
  <r>
    <s v="FB001725"/>
    <x v="3"/>
    <x v="5"/>
    <x v="2"/>
    <m/>
    <x v="10"/>
    <n v="110.2"/>
    <n v="59.7"/>
    <n v="44.41"/>
    <d v="2025-08-06T00:00:00"/>
    <n v="13"/>
    <x v="15"/>
    <x v="1"/>
    <x v="1"/>
    <n v="28"/>
    <n v="776.1"/>
    <n v="1"/>
  </r>
  <r>
    <s v="FB001726"/>
    <x v="3"/>
    <x v="1"/>
    <x v="3"/>
    <s v="XXL"/>
    <x v="6"/>
    <n v="80.63"/>
    <n v="17.399999999999999"/>
    <n v="66.599999999999994"/>
    <d v="2025-08-06T00:00:00"/>
    <n v="6"/>
    <x v="57"/>
    <x v="1"/>
    <x v="3"/>
    <n v="28"/>
    <n v="104.39999999999999"/>
    <n v="1"/>
  </r>
  <r>
    <s v="FB001727"/>
    <x v="5"/>
    <x v="3"/>
    <x v="0"/>
    <s v="XL"/>
    <x v="6"/>
    <n v="101.09"/>
    <n v="24.8"/>
    <n v="76.02"/>
    <d v="2024-09-02T00:00:00"/>
    <n v="7"/>
    <x v="35"/>
    <x v="1"/>
    <x v="3"/>
    <n v="366"/>
    <n v="173.6"/>
    <n v="1"/>
  </r>
  <r>
    <s v="FB001728"/>
    <x v="2"/>
    <x v="0"/>
    <x v="0"/>
    <m/>
    <x v="8"/>
    <n v="75.48"/>
    <n v="0"/>
    <n v="75.48"/>
    <d v="2025-05-27T00:00:00"/>
    <n v="16"/>
    <x v="40"/>
    <x v="0"/>
    <x v="0"/>
    <n v="99"/>
    <n v="0"/>
    <s v=""/>
  </r>
  <r>
    <s v="FB001729"/>
    <x v="3"/>
    <x v="2"/>
    <x v="3"/>
    <s v="S"/>
    <x v="10"/>
    <n v="159.94999999999999"/>
    <n v="6.4"/>
    <n v="149.71"/>
    <d v="2025-08-06T00:00:00"/>
    <n v="39"/>
    <x v="0"/>
    <x v="0"/>
    <x v="0"/>
    <n v="28"/>
    <n v="249.60000000000002"/>
    <s v=""/>
  </r>
  <r>
    <s v="FB001730"/>
    <x v="5"/>
    <x v="6"/>
    <x v="3"/>
    <s v="L"/>
    <x v="2"/>
    <n v="61.9"/>
    <n v="0"/>
    <n v="61.9"/>
    <d v="2025-08-06T00:00:00"/>
    <n v="29"/>
    <x v="9"/>
    <x v="0"/>
    <x v="0"/>
    <n v="28"/>
    <n v="0"/>
    <s v=""/>
  </r>
  <r>
    <s v="FB001731"/>
    <x v="1"/>
    <x v="2"/>
    <x v="2"/>
    <s v="XL"/>
    <x v="9"/>
    <n v="63.45"/>
    <n v="12.3"/>
    <n v="55.65"/>
    <d v="2025-08-06T00:00:00"/>
    <n v="23"/>
    <x v="26"/>
    <x v="0"/>
    <x v="0"/>
    <n v="28"/>
    <n v="282.90000000000003"/>
    <s v=""/>
  </r>
  <r>
    <s v="FB001732"/>
    <x v="1"/>
    <x v="3"/>
    <x v="3"/>
    <s v="S"/>
    <x v="0"/>
    <n v="43.22"/>
    <n v="46.7"/>
    <n v="23.04"/>
    <d v="2025-08-06T00:00:00"/>
    <n v="29"/>
    <x v="49"/>
    <x v="0"/>
    <x v="0"/>
    <n v="28"/>
    <n v="1354.3000000000002"/>
    <s v=""/>
  </r>
  <r>
    <s v="FB001733"/>
    <x v="3"/>
    <x v="2"/>
    <x v="1"/>
    <s v="S"/>
    <x v="8"/>
    <n v="64.650000000000006"/>
    <n v="26.8"/>
    <n v="47.32"/>
    <d v="2025-08-06T00:00:00"/>
    <n v="28"/>
    <x v="52"/>
    <x v="0"/>
    <x v="0"/>
    <n v="28"/>
    <n v="750.4"/>
    <s v=""/>
  </r>
  <r>
    <s v="FB001734"/>
    <x v="3"/>
    <x v="1"/>
    <x v="0"/>
    <s v="XXL"/>
    <x v="9"/>
    <n v="118.67"/>
    <n v="56"/>
    <n v="52.21"/>
    <d v="2025-04-26T00:00:00"/>
    <n v="27"/>
    <x v="15"/>
    <x v="0"/>
    <x v="0"/>
    <n v="130"/>
    <n v="1512"/>
    <s v=""/>
  </r>
  <r>
    <s v="FB001735"/>
    <x v="5"/>
    <x v="2"/>
    <x v="0"/>
    <s v="XS"/>
    <x v="3"/>
    <n v="169.32"/>
    <n v="0"/>
    <n v="169.32"/>
    <d v="2024-12-17T00:00:00"/>
    <n v="19"/>
    <x v="81"/>
    <x v="0"/>
    <x v="0"/>
    <n v="260"/>
    <n v="0"/>
    <s v=""/>
  </r>
  <r>
    <s v="FB001736"/>
    <x v="3"/>
    <x v="5"/>
    <x v="0"/>
    <s v="XS"/>
    <x v="4"/>
    <n v="115.77"/>
    <n v="0"/>
    <n v="115.77"/>
    <d v="2024-11-24T00:00:00"/>
    <n v="43"/>
    <x v="44"/>
    <x v="0"/>
    <x v="0"/>
    <n v="283"/>
    <n v="0"/>
    <s v=""/>
  </r>
  <r>
    <s v="FB001737"/>
    <x v="3"/>
    <x v="3"/>
    <x v="2"/>
    <s v="XS"/>
    <x v="7"/>
    <n v="139.91"/>
    <n v="0"/>
    <n v="139.91"/>
    <d v="2025-08-06T00:00:00"/>
    <n v="9"/>
    <x v="17"/>
    <x v="0"/>
    <x v="0"/>
    <n v="28"/>
    <n v="0"/>
    <s v=""/>
  </r>
  <r>
    <s v="FB001738"/>
    <x v="4"/>
    <x v="2"/>
    <x v="3"/>
    <s v="XXL"/>
    <x v="9"/>
    <n v="101.73"/>
    <n v="0"/>
    <n v="101.73"/>
    <d v="2025-08-06T00:00:00"/>
    <n v="14"/>
    <x v="52"/>
    <x v="0"/>
    <x v="0"/>
    <n v="28"/>
    <n v="0"/>
    <s v=""/>
  </r>
  <r>
    <s v="FB001739"/>
    <x v="1"/>
    <x v="7"/>
    <x v="3"/>
    <m/>
    <x v="1"/>
    <n v="105.85"/>
    <n v="0"/>
    <n v="105.85"/>
    <d v="2025-08-06T00:00:00"/>
    <n v="29"/>
    <x v="54"/>
    <x v="0"/>
    <x v="0"/>
    <n v="28"/>
    <n v="0"/>
    <s v=""/>
  </r>
  <r>
    <s v="FB001740"/>
    <x v="1"/>
    <x v="6"/>
    <x v="0"/>
    <s v="XL"/>
    <x v="4"/>
    <n v="105.37"/>
    <n v="0"/>
    <n v="105.37"/>
    <d v="2025-04-15T00:00:00"/>
    <n v="24"/>
    <x v="19"/>
    <x v="0"/>
    <x v="0"/>
    <n v="141"/>
    <n v="0"/>
    <s v=""/>
  </r>
  <r>
    <s v="FB001741"/>
    <x v="1"/>
    <x v="4"/>
    <x v="3"/>
    <s v="S"/>
    <x v="10"/>
    <n v="44.42"/>
    <n v="0"/>
    <n v="44.42"/>
    <d v="2025-08-06T00:00:00"/>
    <n v="49"/>
    <x v="84"/>
    <x v="0"/>
    <x v="0"/>
    <n v="28"/>
    <n v="0"/>
    <s v=""/>
  </r>
  <r>
    <s v="FB001742"/>
    <x v="3"/>
    <x v="1"/>
    <x v="0"/>
    <s v="XS"/>
    <x v="4"/>
    <n v="164.86"/>
    <n v="14.3"/>
    <n v="141.29"/>
    <d v="2025-03-14T00:00:00"/>
    <n v="7"/>
    <x v="39"/>
    <x v="0"/>
    <x v="0"/>
    <n v="173"/>
    <n v="100.10000000000001"/>
    <s v=""/>
  </r>
  <r>
    <s v="FB001743"/>
    <x v="3"/>
    <x v="3"/>
    <x v="2"/>
    <s v="XXL"/>
    <x v="2"/>
    <n v="163.88"/>
    <n v="5.9"/>
    <n v="154.21"/>
    <d v="2025-08-06T00:00:00"/>
    <n v="39"/>
    <x v="3"/>
    <x v="0"/>
    <x v="0"/>
    <n v="28"/>
    <n v="230.10000000000002"/>
    <s v=""/>
  </r>
  <r>
    <s v="FB001744"/>
    <x v="4"/>
    <x v="0"/>
    <x v="2"/>
    <s v="XS"/>
    <x v="6"/>
    <n v="36.54"/>
    <n v="5.3"/>
    <n v="34.6"/>
    <d v="2025-08-06T00:00:00"/>
    <n v="13"/>
    <x v="1"/>
    <x v="0"/>
    <x v="0"/>
    <n v="28"/>
    <n v="68.899999999999991"/>
    <s v=""/>
  </r>
  <r>
    <s v="FB001745"/>
    <x v="5"/>
    <x v="2"/>
    <x v="0"/>
    <s v="M"/>
    <x v="0"/>
    <n v="99.97"/>
    <n v="0"/>
    <n v="99.97"/>
    <d v="2024-10-16T00:00:00"/>
    <n v="38"/>
    <x v="40"/>
    <x v="0"/>
    <x v="0"/>
    <n v="322"/>
    <n v="0"/>
    <s v=""/>
  </r>
  <r>
    <s v="FB001746"/>
    <x v="0"/>
    <x v="5"/>
    <x v="3"/>
    <s v="XL"/>
    <x v="0"/>
    <n v="194.78"/>
    <n v="0"/>
    <n v="194.78"/>
    <d v="2025-08-06T00:00:00"/>
    <n v="31"/>
    <x v="46"/>
    <x v="0"/>
    <x v="0"/>
    <n v="28"/>
    <n v="0"/>
    <s v=""/>
  </r>
  <r>
    <s v="FB001747"/>
    <x v="0"/>
    <x v="1"/>
    <x v="2"/>
    <s v="XS"/>
    <x v="5"/>
    <n v="208.93"/>
    <n v="0"/>
    <n v="208.93"/>
    <d v="2025-08-06T00:00:00"/>
    <n v="12"/>
    <x v="39"/>
    <x v="0"/>
    <x v="0"/>
    <n v="28"/>
    <n v="0"/>
    <s v=""/>
  </r>
  <r>
    <s v="FB001748"/>
    <x v="4"/>
    <x v="5"/>
    <x v="0"/>
    <s v="XS"/>
    <x v="0"/>
    <n v="68.459999999999994"/>
    <n v="50"/>
    <n v="34.229999999999997"/>
    <d v="2025-01-26T00:00:00"/>
    <n v="24"/>
    <x v="42"/>
    <x v="0"/>
    <x v="0"/>
    <n v="220"/>
    <n v="1200"/>
    <s v=""/>
  </r>
  <r>
    <s v="FB001749"/>
    <x v="2"/>
    <x v="2"/>
    <x v="1"/>
    <m/>
    <x v="9"/>
    <n v="30.26"/>
    <n v="50"/>
    <n v="15.13"/>
    <d v="2025-08-06T00:00:00"/>
    <n v="23"/>
    <x v="40"/>
    <x v="0"/>
    <x v="0"/>
    <n v="28"/>
    <n v="1150"/>
    <s v=""/>
  </r>
  <r>
    <s v="FB001750"/>
    <x v="0"/>
    <x v="3"/>
    <x v="3"/>
    <s v="XS"/>
    <x v="6"/>
    <n v="186.66"/>
    <n v="30.9"/>
    <n v="128.97999999999999"/>
    <d v="2025-08-06T00:00:00"/>
    <n v="7"/>
    <x v="50"/>
    <x v="0"/>
    <x v="0"/>
    <n v="28"/>
    <n v="216.29999999999998"/>
    <s v=""/>
  </r>
  <r>
    <s v="FB001751"/>
    <x v="1"/>
    <x v="0"/>
    <x v="1"/>
    <s v="S"/>
    <x v="2"/>
    <n v="78.05"/>
    <n v="48.1"/>
    <n v="40.51"/>
    <d v="2025-08-06T00:00:00"/>
    <n v="36"/>
    <x v="5"/>
    <x v="1"/>
    <x v="5"/>
    <n v="28"/>
    <n v="1731.6000000000001"/>
    <n v="1"/>
  </r>
  <r>
    <s v="FB001752"/>
    <x v="1"/>
    <x v="1"/>
    <x v="0"/>
    <s v="M"/>
    <x v="9"/>
    <n v="104.75"/>
    <n v="0"/>
    <n v="104.75"/>
    <d v="2024-10-26T00:00:00"/>
    <n v="11"/>
    <x v="29"/>
    <x v="0"/>
    <x v="0"/>
    <n v="312"/>
    <n v="0"/>
    <s v=""/>
  </r>
  <r>
    <s v="FB001753"/>
    <x v="3"/>
    <x v="1"/>
    <x v="3"/>
    <s v="M"/>
    <x v="10"/>
    <n v="121.33"/>
    <n v="0"/>
    <n v="121.33"/>
    <d v="2025-08-06T00:00:00"/>
    <n v="30"/>
    <x v="36"/>
    <x v="0"/>
    <x v="0"/>
    <n v="28"/>
    <n v="0"/>
    <s v=""/>
  </r>
  <r>
    <s v="FB001754"/>
    <x v="5"/>
    <x v="3"/>
    <x v="2"/>
    <s v="XXL"/>
    <x v="6"/>
    <n v="78.09"/>
    <n v="0"/>
    <n v="78.09"/>
    <d v="2025-08-06T00:00:00"/>
    <n v="6"/>
    <x v="66"/>
    <x v="0"/>
    <x v="0"/>
    <n v="28"/>
    <n v="0"/>
    <s v=""/>
  </r>
  <r>
    <s v="FB001755"/>
    <x v="1"/>
    <x v="1"/>
    <x v="2"/>
    <s v="XXL"/>
    <x v="0"/>
    <n v="109.19"/>
    <n v="0"/>
    <n v="109.19"/>
    <d v="2025-08-06T00:00:00"/>
    <n v="47"/>
    <x v="35"/>
    <x v="0"/>
    <x v="0"/>
    <n v="28"/>
    <n v="0"/>
    <s v=""/>
  </r>
  <r>
    <s v="FB001756"/>
    <x v="3"/>
    <x v="5"/>
    <x v="1"/>
    <s v="L"/>
    <x v="2"/>
    <n v="126.74"/>
    <n v="0"/>
    <n v="126.74"/>
    <d v="2025-08-06T00:00:00"/>
    <n v="2"/>
    <x v="5"/>
    <x v="0"/>
    <x v="0"/>
    <n v="28"/>
    <n v="0"/>
    <s v=""/>
  </r>
  <r>
    <s v="FB001757"/>
    <x v="3"/>
    <x v="4"/>
    <x v="0"/>
    <s v="XL"/>
    <x v="2"/>
    <n v="95.85"/>
    <n v="0"/>
    <n v="95.85"/>
    <d v="2025-02-15T00:00:00"/>
    <n v="45"/>
    <x v="64"/>
    <x v="0"/>
    <x v="0"/>
    <n v="200"/>
    <n v="0"/>
    <s v=""/>
  </r>
  <r>
    <s v="FB001758"/>
    <x v="0"/>
    <x v="3"/>
    <x v="3"/>
    <s v="S"/>
    <x v="5"/>
    <n v="213.98"/>
    <n v="0"/>
    <n v="213.98"/>
    <d v="2025-08-06T00:00:00"/>
    <n v="38"/>
    <x v="45"/>
    <x v="0"/>
    <x v="0"/>
    <n v="28"/>
    <n v="0"/>
    <s v=""/>
  </r>
  <r>
    <s v="FB001759"/>
    <x v="3"/>
    <x v="7"/>
    <x v="0"/>
    <s v="XXL"/>
    <x v="7"/>
    <n v="146.22999999999999"/>
    <n v="40"/>
    <n v="87.74"/>
    <d v="2025-01-27T00:00:00"/>
    <n v="17"/>
    <x v="3"/>
    <x v="1"/>
    <x v="4"/>
    <n v="219"/>
    <n v="680"/>
    <n v="1"/>
  </r>
  <r>
    <s v="FB001760"/>
    <x v="4"/>
    <x v="3"/>
    <x v="1"/>
    <s v="L"/>
    <x v="1"/>
    <n v="115.57"/>
    <n v="16.100000000000001"/>
    <n v="96.96"/>
    <d v="2025-08-06T00:00:00"/>
    <n v="32"/>
    <x v="47"/>
    <x v="1"/>
    <x v="2"/>
    <n v="28"/>
    <n v="515.20000000000005"/>
    <n v="1"/>
  </r>
  <r>
    <s v="FB001761"/>
    <x v="2"/>
    <x v="2"/>
    <x v="0"/>
    <m/>
    <x v="5"/>
    <n v="66.62"/>
    <n v="0"/>
    <n v="66.62"/>
    <d v="2024-10-27T00:00:00"/>
    <n v="37"/>
    <x v="33"/>
    <x v="0"/>
    <x v="0"/>
    <n v="311"/>
    <n v="0"/>
    <s v=""/>
  </r>
  <r>
    <s v="FB001762"/>
    <x v="5"/>
    <x v="2"/>
    <x v="0"/>
    <s v="XS"/>
    <x v="9"/>
    <n v="60.37"/>
    <n v="23.1"/>
    <n v="46.42"/>
    <d v="2025-03-14T00:00:00"/>
    <n v="30"/>
    <x v="51"/>
    <x v="0"/>
    <x v="0"/>
    <n v="173"/>
    <n v="693"/>
    <s v=""/>
  </r>
  <r>
    <s v="FB001763"/>
    <x v="3"/>
    <x v="4"/>
    <x v="1"/>
    <s v="M"/>
    <x v="5"/>
    <n v="83.2"/>
    <n v="57.1"/>
    <n v="35.69"/>
    <d v="2025-08-06T00:00:00"/>
    <n v="10"/>
    <x v="31"/>
    <x v="0"/>
    <x v="0"/>
    <n v="28"/>
    <n v="571"/>
    <s v=""/>
  </r>
  <r>
    <s v="FB001764"/>
    <x v="0"/>
    <x v="1"/>
    <x v="3"/>
    <s v="S"/>
    <x v="8"/>
    <n v="204.47"/>
    <n v="3.6"/>
    <n v="197.11"/>
    <d v="2025-08-06T00:00:00"/>
    <n v="26"/>
    <x v="7"/>
    <x v="0"/>
    <x v="0"/>
    <n v="28"/>
    <n v="93.600000000000009"/>
    <s v=""/>
  </r>
  <r>
    <s v="FB001765"/>
    <x v="2"/>
    <x v="3"/>
    <x v="2"/>
    <m/>
    <x v="9"/>
    <n v="52.73"/>
    <n v="0"/>
    <n v="52.73"/>
    <d v="2025-08-06T00:00:00"/>
    <n v="42"/>
    <x v="72"/>
    <x v="0"/>
    <x v="0"/>
    <n v="28"/>
    <n v="0"/>
    <s v=""/>
  </r>
  <r>
    <s v="FB001766"/>
    <x v="4"/>
    <x v="7"/>
    <x v="2"/>
    <s v="XXL"/>
    <x v="7"/>
    <n v="61.1"/>
    <n v="0"/>
    <n v="61.1"/>
    <d v="2025-08-06T00:00:00"/>
    <n v="30"/>
    <x v="14"/>
    <x v="0"/>
    <x v="0"/>
    <n v="28"/>
    <n v="0"/>
    <s v=""/>
  </r>
  <r>
    <s v="FB001767"/>
    <x v="0"/>
    <x v="0"/>
    <x v="3"/>
    <s v="S"/>
    <x v="4"/>
    <n v="227.92"/>
    <n v="0"/>
    <n v="227.92"/>
    <d v="2025-08-06T00:00:00"/>
    <n v="34"/>
    <x v="59"/>
    <x v="0"/>
    <x v="0"/>
    <n v="28"/>
    <n v="0"/>
    <s v=""/>
  </r>
  <r>
    <s v="FB001768"/>
    <x v="5"/>
    <x v="4"/>
    <x v="2"/>
    <s v="L"/>
    <x v="5"/>
    <n v="111.55"/>
    <n v="0"/>
    <n v="111.55"/>
    <d v="2025-08-06T00:00:00"/>
    <n v="14"/>
    <x v="87"/>
    <x v="0"/>
    <x v="0"/>
    <n v="28"/>
    <n v="0"/>
    <s v=""/>
  </r>
  <r>
    <s v="FB001769"/>
    <x v="4"/>
    <x v="7"/>
    <x v="2"/>
    <s v="XS"/>
    <x v="1"/>
    <n v="29.09"/>
    <n v="29.6"/>
    <n v="20.48"/>
    <d v="2025-08-06T00:00:00"/>
    <n v="25"/>
    <x v="51"/>
    <x v="0"/>
    <x v="0"/>
    <n v="28"/>
    <n v="740"/>
    <s v=""/>
  </r>
  <r>
    <s v="FB001770"/>
    <x v="5"/>
    <x v="4"/>
    <x v="2"/>
    <s v="M"/>
    <x v="1"/>
    <n v="179.71"/>
    <n v="0"/>
    <n v="179.71"/>
    <d v="2025-08-06T00:00:00"/>
    <n v="9"/>
    <x v="38"/>
    <x v="0"/>
    <x v="0"/>
    <n v="28"/>
    <n v="0"/>
    <s v=""/>
  </r>
  <r>
    <s v="FB001771"/>
    <x v="2"/>
    <x v="4"/>
    <x v="3"/>
    <m/>
    <x v="1"/>
    <n v="52.76"/>
    <n v="39.4"/>
    <n v="31.97"/>
    <d v="2025-08-06T00:00:00"/>
    <n v="0"/>
    <x v="40"/>
    <x v="0"/>
    <x v="0"/>
    <n v="28"/>
    <n v="0"/>
    <s v=""/>
  </r>
  <r>
    <s v="FB001772"/>
    <x v="2"/>
    <x v="1"/>
    <x v="0"/>
    <m/>
    <x v="6"/>
    <n v="67.900000000000006"/>
    <n v="0"/>
    <n v="67.900000000000006"/>
    <d v="2024-12-31T00:00:00"/>
    <n v="1"/>
    <x v="49"/>
    <x v="0"/>
    <x v="0"/>
    <n v="246"/>
    <n v="0"/>
    <s v=""/>
  </r>
  <r>
    <s v="FB001773"/>
    <x v="2"/>
    <x v="1"/>
    <x v="2"/>
    <m/>
    <x v="8"/>
    <n v="46.77"/>
    <n v="40.799999999999997"/>
    <n v="27.69"/>
    <d v="2025-08-06T00:00:00"/>
    <n v="25"/>
    <x v="3"/>
    <x v="0"/>
    <x v="0"/>
    <n v="28"/>
    <n v="1019.9999999999999"/>
    <s v=""/>
  </r>
  <r>
    <s v="FB001774"/>
    <x v="1"/>
    <x v="1"/>
    <x v="1"/>
    <s v="XL"/>
    <x v="8"/>
    <n v="91.6"/>
    <n v="0"/>
    <n v="91.6"/>
    <d v="2025-08-06T00:00:00"/>
    <n v="6"/>
    <x v="67"/>
    <x v="0"/>
    <x v="0"/>
    <n v="28"/>
    <n v="0"/>
    <s v=""/>
  </r>
  <r>
    <s v="FB001775"/>
    <x v="0"/>
    <x v="1"/>
    <x v="0"/>
    <s v="XS"/>
    <x v="1"/>
    <n v="230.39"/>
    <n v="4.2"/>
    <n v="220.71"/>
    <d v="2024-10-15T00:00:00"/>
    <n v="34"/>
    <x v="15"/>
    <x v="0"/>
    <x v="0"/>
    <n v="323"/>
    <n v="142.80000000000001"/>
    <s v=""/>
  </r>
  <r>
    <s v="FB001776"/>
    <x v="0"/>
    <x v="5"/>
    <x v="2"/>
    <s v="M"/>
    <x v="5"/>
    <n v="118.37"/>
    <n v="0"/>
    <n v="118.37"/>
    <d v="2025-08-06T00:00:00"/>
    <n v="45"/>
    <x v="46"/>
    <x v="0"/>
    <x v="0"/>
    <n v="28"/>
    <n v="0"/>
    <s v=""/>
  </r>
  <r>
    <s v="FB001777"/>
    <x v="3"/>
    <x v="6"/>
    <x v="1"/>
    <s v="M"/>
    <x v="0"/>
    <n v="81.260000000000005"/>
    <n v="32.700000000000003"/>
    <n v="54.69"/>
    <d v="2025-08-06T00:00:00"/>
    <n v="2"/>
    <x v="31"/>
    <x v="0"/>
    <x v="0"/>
    <n v="28"/>
    <n v="65.400000000000006"/>
    <s v=""/>
  </r>
  <r>
    <s v="FB001778"/>
    <x v="2"/>
    <x v="4"/>
    <x v="2"/>
    <m/>
    <x v="9"/>
    <n v="57.21"/>
    <n v="18"/>
    <n v="46.91"/>
    <d v="2025-08-06T00:00:00"/>
    <n v="7"/>
    <x v="1"/>
    <x v="0"/>
    <x v="0"/>
    <n v="28"/>
    <n v="126"/>
    <s v=""/>
  </r>
  <r>
    <s v="FB001779"/>
    <x v="5"/>
    <x v="7"/>
    <x v="3"/>
    <s v="XL"/>
    <x v="10"/>
    <n v="74.53"/>
    <n v="0"/>
    <n v="74.53"/>
    <d v="2025-08-06T00:00:00"/>
    <n v="9"/>
    <x v="43"/>
    <x v="0"/>
    <x v="0"/>
    <n v="28"/>
    <n v="0"/>
    <s v=""/>
  </r>
  <r>
    <s v="FB001780"/>
    <x v="5"/>
    <x v="2"/>
    <x v="3"/>
    <s v="M"/>
    <x v="0"/>
    <n v="69.540000000000006"/>
    <n v="0"/>
    <n v="69.540000000000006"/>
    <d v="2025-08-06T00:00:00"/>
    <n v="40"/>
    <x v="53"/>
    <x v="1"/>
    <x v="2"/>
    <n v="28"/>
    <n v="0"/>
    <n v="1"/>
  </r>
  <r>
    <s v="FB001781"/>
    <x v="5"/>
    <x v="5"/>
    <x v="3"/>
    <s v="XL"/>
    <x v="10"/>
    <n v="102.71"/>
    <n v="55.9"/>
    <n v="45.3"/>
    <d v="2025-08-06T00:00:00"/>
    <n v="31"/>
    <x v="14"/>
    <x v="0"/>
    <x v="0"/>
    <n v="28"/>
    <n v="1732.8999999999999"/>
    <s v=""/>
  </r>
  <r>
    <s v="FB001782"/>
    <x v="3"/>
    <x v="6"/>
    <x v="3"/>
    <s v="L"/>
    <x v="7"/>
    <n v="117.82"/>
    <n v="0"/>
    <n v="117.82"/>
    <d v="2025-08-06T00:00:00"/>
    <n v="7"/>
    <x v="26"/>
    <x v="0"/>
    <x v="0"/>
    <n v="28"/>
    <n v="0"/>
    <s v=""/>
  </r>
  <r>
    <s v="FB001783"/>
    <x v="2"/>
    <x v="6"/>
    <x v="0"/>
    <m/>
    <x v="9"/>
    <n v="61.01"/>
    <n v="0"/>
    <n v="61.01"/>
    <d v="2025-04-25T00:00:00"/>
    <n v="30"/>
    <x v="10"/>
    <x v="0"/>
    <x v="0"/>
    <n v="131"/>
    <n v="0"/>
    <s v=""/>
  </r>
  <r>
    <s v="FB001784"/>
    <x v="0"/>
    <x v="7"/>
    <x v="1"/>
    <s v="XL"/>
    <x v="1"/>
    <n v="222.01"/>
    <n v="0"/>
    <n v="222.01"/>
    <d v="2025-08-06T00:00:00"/>
    <n v="27"/>
    <x v="54"/>
    <x v="0"/>
    <x v="0"/>
    <n v="28"/>
    <n v="0"/>
    <s v=""/>
  </r>
  <r>
    <s v="FB001785"/>
    <x v="0"/>
    <x v="4"/>
    <x v="3"/>
    <s v="L"/>
    <x v="10"/>
    <n v="123.55"/>
    <n v="0"/>
    <n v="123.55"/>
    <d v="2025-08-06T00:00:00"/>
    <n v="28"/>
    <x v="19"/>
    <x v="0"/>
    <x v="0"/>
    <n v="28"/>
    <n v="0"/>
    <s v=""/>
  </r>
  <r>
    <s v="FB001786"/>
    <x v="2"/>
    <x v="0"/>
    <x v="2"/>
    <m/>
    <x v="2"/>
    <n v="24.65"/>
    <n v="0"/>
    <n v="24.65"/>
    <d v="2025-08-06T00:00:00"/>
    <n v="43"/>
    <x v="21"/>
    <x v="0"/>
    <x v="0"/>
    <n v="28"/>
    <n v="0"/>
    <s v=""/>
  </r>
  <r>
    <s v="FB001787"/>
    <x v="0"/>
    <x v="2"/>
    <x v="2"/>
    <s v="XXL"/>
    <x v="8"/>
    <n v="168.8"/>
    <n v="0"/>
    <n v="168.8"/>
    <d v="2025-08-06T00:00:00"/>
    <n v="1"/>
    <x v="50"/>
    <x v="0"/>
    <x v="0"/>
    <n v="28"/>
    <n v="0"/>
    <s v=""/>
  </r>
  <r>
    <s v="FB001788"/>
    <x v="1"/>
    <x v="6"/>
    <x v="2"/>
    <s v="S"/>
    <x v="6"/>
    <n v="39.159999999999997"/>
    <n v="40.1"/>
    <n v="23.46"/>
    <d v="2025-08-06T00:00:00"/>
    <n v="4"/>
    <x v="32"/>
    <x v="0"/>
    <x v="0"/>
    <n v="28"/>
    <n v="160.4"/>
    <s v=""/>
  </r>
  <r>
    <s v="FB001789"/>
    <x v="4"/>
    <x v="4"/>
    <x v="2"/>
    <m/>
    <x v="10"/>
    <n v="74.760000000000005"/>
    <n v="0"/>
    <n v="74.760000000000005"/>
    <d v="2025-08-06T00:00:00"/>
    <n v="50"/>
    <x v="9"/>
    <x v="1"/>
    <x v="1"/>
    <n v="28"/>
    <n v="0"/>
    <n v="1"/>
  </r>
  <r>
    <s v="FB001790"/>
    <x v="2"/>
    <x v="6"/>
    <x v="1"/>
    <m/>
    <x v="8"/>
    <n v="37"/>
    <n v="0"/>
    <n v="37"/>
    <d v="2025-08-06T00:00:00"/>
    <n v="5"/>
    <x v="26"/>
    <x v="0"/>
    <x v="0"/>
    <n v="28"/>
    <n v="0"/>
    <s v=""/>
  </r>
  <r>
    <s v="FB001791"/>
    <x v="2"/>
    <x v="3"/>
    <x v="1"/>
    <m/>
    <x v="2"/>
    <n v="67.38"/>
    <n v="0"/>
    <n v="67.38"/>
    <d v="2025-08-06T00:00:00"/>
    <n v="15"/>
    <x v="6"/>
    <x v="0"/>
    <x v="0"/>
    <n v="28"/>
    <n v="0"/>
    <s v=""/>
  </r>
  <r>
    <s v="FB001792"/>
    <x v="4"/>
    <x v="4"/>
    <x v="3"/>
    <s v="XS"/>
    <x v="3"/>
    <n v="77.44"/>
    <n v="1.4"/>
    <n v="76.36"/>
    <d v="2025-08-06T00:00:00"/>
    <n v="18"/>
    <x v="31"/>
    <x v="0"/>
    <x v="0"/>
    <n v="28"/>
    <n v="25.2"/>
    <s v=""/>
  </r>
  <r>
    <s v="FB001793"/>
    <x v="0"/>
    <x v="4"/>
    <x v="3"/>
    <s v="XS"/>
    <x v="4"/>
    <n v="215.06"/>
    <n v="0"/>
    <n v="215.06"/>
    <d v="2025-08-06T00:00:00"/>
    <n v="50"/>
    <x v="6"/>
    <x v="0"/>
    <x v="0"/>
    <n v="28"/>
    <n v="0"/>
    <s v=""/>
  </r>
  <r>
    <s v="FB001794"/>
    <x v="0"/>
    <x v="2"/>
    <x v="1"/>
    <s v="XS"/>
    <x v="4"/>
    <n v="141.44"/>
    <n v="0"/>
    <n v="141.44"/>
    <d v="2025-08-06T00:00:00"/>
    <n v="34"/>
    <x v="13"/>
    <x v="0"/>
    <x v="0"/>
    <n v="28"/>
    <n v="0"/>
    <s v=""/>
  </r>
  <r>
    <s v="FB001795"/>
    <x v="5"/>
    <x v="5"/>
    <x v="0"/>
    <s v="XXL"/>
    <x v="3"/>
    <n v="151.83000000000001"/>
    <n v="0"/>
    <n v="151.83000000000001"/>
    <d v="2025-06-17T00:00:00"/>
    <n v="24"/>
    <x v="2"/>
    <x v="1"/>
    <x v="6"/>
    <n v="78"/>
    <n v="0"/>
    <n v="1"/>
  </r>
  <r>
    <s v="FB001796"/>
    <x v="0"/>
    <x v="6"/>
    <x v="1"/>
    <s v="XL"/>
    <x v="4"/>
    <n v="140.07"/>
    <n v="0"/>
    <n v="140.07"/>
    <d v="2025-08-06T00:00:00"/>
    <n v="23"/>
    <x v="67"/>
    <x v="0"/>
    <x v="0"/>
    <n v="28"/>
    <n v="0"/>
    <s v=""/>
  </r>
  <r>
    <s v="FB001797"/>
    <x v="5"/>
    <x v="3"/>
    <x v="3"/>
    <s v="XXL"/>
    <x v="1"/>
    <n v="94.26"/>
    <n v="28.9"/>
    <n v="67.02"/>
    <d v="2025-08-06T00:00:00"/>
    <n v="44"/>
    <x v="20"/>
    <x v="0"/>
    <x v="0"/>
    <n v="28"/>
    <n v="1271.5999999999999"/>
    <s v=""/>
  </r>
  <r>
    <s v="FB001798"/>
    <x v="2"/>
    <x v="5"/>
    <x v="1"/>
    <m/>
    <x v="6"/>
    <n v="55.79"/>
    <n v="27.3"/>
    <n v="40.56"/>
    <d v="2025-08-06T00:00:00"/>
    <n v="39"/>
    <x v="26"/>
    <x v="0"/>
    <x v="0"/>
    <n v="28"/>
    <n v="1064.7"/>
    <s v=""/>
  </r>
  <r>
    <s v="FB001799"/>
    <x v="2"/>
    <x v="6"/>
    <x v="1"/>
    <m/>
    <x v="2"/>
    <n v="58.99"/>
    <n v="0"/>
    <n v="58.99"/>
    <d v="2025-08-06T00:00:00"/>
    <n v="50"/>
    <x v="67"/>
    <x v="0"/>
    <x v="0"/>
    <n v="28"/>
    <n v="0"/>
    <s v=""/>
  </r>
  <r>
    <s v="FB001800"/>
    <x v="4"/>
    <x v="7"/>
    <x v="3"/>
    <s v="XXL"/>
    <x v="9"/>
    <n v="61.96"/>
    <n v="0"/>
    <n v="61.96"/>
    <d v="2025-08-06T00:00:00"/>
    <n v="13"/>
    <x v="38"/>
    <x v="0"/>
    <x v="0"/>
    <n v="28"/>
    <n v="0"/>
    <s v=""/>
  </r>
  <r>
    <s v="FB001801"/>
    <x v="4"/>
    <x v="0"/>
    <x v="2"/>
    <s v="L"/>
    <x v="10"/>
    <n v="104.25"/>
    <n v="0"/>
    <n v="104.25"/>
    <d v="2025-08-06T00:00:00"/>
    <n v="35"/>
    <x v="47"/>
    <x v="0"/>
    <x v="0"/>
    <n v="28"/>
    <n v="0"/>
    <s v=""/>
  </r>
  <r>
    <s v="FB001802"/>
    <x v="0"/>
    <x v="4"/>
    <x v="1"/>
    <s v="L"/>
    <x v="4"/>
    <n v="102.68"/>
    <n v="0"/>
    <n v="102.68"/>
    <d v="2025-08-06T00:00:00"/>
    <n v="18"/>
    <x v="42"/>
    <x v="0"/>
    <x v="0"/>
    <n v="28"/>
    <n v="0"/>
    <s v=""/>
  </r>
  <r>
    <s v="FB001803"/>
    <x v="5"/>
    <x v="6"/>
    <x v="1"/>
    <s v="XXL"/>
    <x v="7"/>
    <n v="131.05000000000001"/>
    <n v="32.6"/>
    <n v="88.33"/>
    <d v="2025-08-06T00:00:00"/>
    <n v="9"/>
    <x v="70"/>
    <x v="0"/>
    <x v="0"/>
    <n v="28"/>
    <n v="293.40000000000003"/>
    <s v=""/>
  </r>
  <r>
    <s v="FB001804"/>
    <x v="0"/>
    <x v="2"/>
    <x v="0"/>
    <s v="XS"/>
    <x v="8"/>
    <n v="139.72999999999999"/>
    <n v="54.3"/>
    <n v="63.86"/>
    <d v="2025-03-27T00:00:00"/>
    <n v="38"/>
    <x v="79"/>
    <x v="1"/>
    <x v="5"/>
    <n v="160"/>
    <n v="2063.4"/>
    <n v="1"/>
  </r>
  <r>
    <s v="FB001805"/>
    <x v="2"/>
    <x v="7"/>
    <x v="1"/>
    <m/>
    <x v="8"/>
    <n v="17.59"/>
    <n v="0"/>
    <n v="17.59"/>
    <d v="2025-08-06T00:00:00"/>
    <n v="14"/>
    <x v="85"/>
    <x v="0"/>
    <x v="0"/>
    <n v="28"/>
    <n v="0"/>
    <s v=""/>
  </r>
  <r>
    <s v="FB001806"/>
    <x v="3"/>
    <x v="0"/>
    <x v="2"/>
    <s v="L"/>
    <x v="0"/>
    <n v="115.09"/>
    <n v="0"/>
    <n v="115.09"/>
    <d v="2025-08-06T00:00:00"/>
    <n v="10"/>
    <x v="1"/>
    <x v="0"/>
    <x v="0"/>
    <n v="28"/>
    <n v="0"/>
    <s v=""/>
  </r>
  <r>
    <s v="FB001807"/>
    <x v="2"/>
    <x v="0"/>
    <x v="3"/>
    <m/>
    <x v="2"/>
    <n v="73.75"/>
    <n v="0"/>
    <n v="73.75"/>
    <d v="2025-08-06T00:00:00"/>
    <n v="23"/>
    <x v="35"/>
    <x v="0"/>
    <x v="0"/>
    <n v="28"/>
    <n v="0"/>
    <s v=""/>
  </r>
  <r>
    <s v="FB001808"/>
    <x v="2"/>
    <x v="5"/>
    <x v="1"/>
    <m/>
    <x v="8"/>
    <n v="66.77"/>
    <n v="0"/>
    <n v="66.77"/>
    <d v="2025-08-06T00:00:00"/>
    <n v="28"/>
    <x v="64"/>
    <x v="1"/>
    <x v="2"/>
    <n v="28"/>
    <n v="0"/>
    <n v="1"/>
  </r>
  <r>
    <s v="FB001809"/>
    <x v="1"/>
    <x v="4"/>
    <x v="2"/>
    <s v="L"/>
    <x v="3"/>
    <n v="63.92"/>
    <n v="0"/>
    <n v="63.92"/>
    <d v="2025-08-06T00:00:00"/>
    <n v="10"/>
    <x v="9"/>
    <x v="0"/>
    <x v="0"/>
    <n v="28"/>
    <n v="0"/>
    <s v=""/>
  </r>
  <r>
    <s v="FB001810"/>
    <x v="2"/>
    <x v="4"/>
    <x v="2"/>
    <m/>
    <x v="6"/>
    <n v="26.26"/>
    <n v="0"/>
    <n v="26.26"/>
    <d v="2025-08-06T00:00:00"/>
    <n v="27"/>
    <x v="73"/>
    <x v="0"/>
    <x v="0"/>
    <n v="28"/>
    <n v="0"/>
    <s v=""/>
  </r>
  <r>
    <s v="FB001811"/>
    <x v="2"/>
    <x v="4"/>
    <x v="0"/>
    <m/>
    <x v="3"/>
    <n v="62.58"/>
    <n v="8.8000000000000007"/>
    <n v="57.07"/>
    <d v="2024-11-06T00:00:00"/>
    <n v="1"/>
    <x v="12"/>
    <x v="0"/>
    <x v="0"/>
    <n v="301"/>
    <n v="8.8000000000000007"/>
    <s v=""/>
  </r>
  <r>
    <s v="FB001812"/>
    <x v="3"/>
    <x v="2"/>
    <x v="3"/>
    <s v="S"/>
    <x v="6"/>
    <n v="143.88"/>
    <n v="0"/>
    <n v="143.88"/>
    <d v="2025-08-06T00:00:00"/>
    <n v="1"/>
    <x v="47"/>
    <x v="0"/>
    <x v="0"/>
    <n v="28"/>
    <n v="0"/>
    <s v=""/>
  </r>
  <r>
    <s v="FB001813"/>
    <x v="0"/>
    <x v="0"/>
    <x v="0"/>
    <s v="XL"/>
    <x v="5"/>
    <n v="226.24"/>
    <n v="1.2"/>
    <n v="223.53"/>
    <d v="2025-02-20T00:00:00"/>
    <n v="24"/>
    <x v="35"/>
    <x v="0"/>
    <x v="0"/>
    <n v="195"/>
    <n v="28.799999999999997"/>
    <s v=""/>
  </r>
  <r>
    <s v="FB001814"/>
    <x v="3"/>
    <x v="6"/>
    <x v="0"/>
    <s v="XXL"/>
    <x v="2"/>
    <n v="164.75"/>
    <n v="0"/>
    <n v="164.75"/>
    <d v="2025-05-02T00:00:00"/>
    <n v="8"/>
    <x v="17"/>
    <x v="0"/>
    <x v="0"/>
    <n v="124"/>
    <n v="0"/>
    <s v=""/>
  </r>
  <r>
    <s v="FB001815"/>
    <x v="4"/>
    <x v="0"/>
    <x v="3"/>
    <s v="L"/>
    <x v="8"/>
    <n v="56.14"/>
    <n v="0"/>
    <n v="56.14"/>
    <d v="2025-08-06T00:00:00"/>
    <n v="16"/>
    <x v="2"/>
    <x v="0"/>
    <x v="0"/>
    <n v="28"/>
    <n v="0"/>
    <s v=""/>
  </r>
  <r>
    <s v="FB001816"/>
    <x v="2"/>
    <x v="4"/>
    <x v="1"/>
    <m/>
    <x v="0"/>
    <n v="39.96"/>
    <n v="0"/>
    <n v="39.96"/>
    <d v="2025-08-06T00:00:00"/>
    <n v="49"/>
    <x v="73"/>
    <x v="0"/>
    <x v="0"/>
    <n v="28"/>
    <n v="0"/>
    <s v=""/>
  </r>
  <r>
    <s v="FB001817"/>
    <x v="4"/>
    <x v="5"/>
    <x v="3"/>
    <s v="L"/>
    <x v="8"/>
    <n v="26.5"/>
    <n v="57.9"/>
    <n v="11.16"/>
    <d v="2025-08-06T00:00:00"/>
    <n v="8"/>
    <x v="12"/>
    <x v="0"/>
    <x v="0"/>
    <n v="28"/>
    <n v="463.2"/>
    <s v=""/>
  </r>
  <r>
    <s v="FB001818"/>
    <x v="3"/>
    <x v="4"/>
    <x v="0"/>
    <s v="XXL"/>
    <x v="10"/>
    <n v="118.53"/>
    <n v="55"/>
    <n v="53.34"/>
    <d v="2025-04-25T00:00:00"/>
    <n v="2"/>
    <x v="26"/>
    <x v="0"/>
    <x v="0"/>
    <n v="131"/>
    <n v="110"/>
    <s v=""/>
  </r>
  <r>
    <s v="FB001819"/>
    <x v="5"/>
    <x v="3"/>
    <x v="3"/>
    <s v="XL"/>
    <x v="9"/>
    <n v="58.08"/>
    <n v="0"/>
    <n v="58.08"/>
    <d v="2025-08-06T00:00:00"/>
    <n v="42"/>
    <x v="6"/>
    <x v="0"/>
    <x v="0"/>
    <n v="28"/>
    <n v="0"/>
    <s v=""/>
  </r>
  <r>
    <s v="FB001820"/>
    <x v="3"/>
    <x v="4"/>
    <x v="3"/>
    <s v="S"/>
    <x v="8"/>
    <n v="138.85"/>
    <n v="15"/>
    <n v="118.02"/>
    <d v="2025-08-06T00:00:00"/>
    <n v="17"/>
    <x v="76"/>
    <x v="0"/>
    <x v="0"/>
    <n v="28"/>
    <n v="255"/>
    <s v=""/>
  </r>
  <r>
    <s v="FB001821"/>
    <x v="4"/>
    <x v="2"/>
    <x v="3"/>
    <s v="XS"/>
    <x v="4"/>
    <n v="73.33"/>
    <n v="0"/>
    <n v="73.33"/>
    <d v="2025-08-06T00:00:00"/>
    <n v="3"/>
    <x v="47"/>
    <x v="1"/>
    <x v="5"/>
    <n v="28"/>
    <n v="0"/>
    <n v="1"/>
  </r>
  <r>
    <s v="FB001822"/>
    <x v="0"/>
    <x v="7"/>
    <x v="1"/>
    <s v="S"/>
    <x v="6"/>
    <n v="167.73"/>
    <n v="0"/>
    <n v="167.73"/>
    <d v="2025-08-06T00:00:00"/>
    <n v="4"/>
    <x v="26"/>
    <x v="0"/>
    <x v="0"/>
    <n v="28"/>
    <n v="0"/>
    <s v=""/>
  </r>
  <r>
    <s v="FB001823"/>
    <x v="1"/>
    <x v="4"/>
    <x v="1"/>
    <s v="XXL"/>
    <x v="2"/>
    <n v="79.47"/>
    <n v="0"/>
    <n v="79.47"/>
    <d v="2025-08-06T00:00:00"/>
    <n v="31"/>
    <x v="17"/>
    <x v="0"/>
    <x v="0"/>
    <n v="28"/>
    <n v="0"/>
    <s v=""/>
  </r>
  <r>
    <s v="FB001824"/>
    <x v="5"/>
    <x v="7"/>
    <x v="3"/>
    <s v="XL"/>
    <x v="3"/>
    <n v="69.12"/>
    <n v="49.4"/>
    <n v="34.97"/>
    <d v="2025-08-06T00:00:00"/>
    <n v="45"/>
    <x v="39"/>
    <x v="0"/>
    <x v="0"/>
    <n v="28"/>
    <n v="2223"/>
    <s v=""/>
  </r>
  <r>
    <s v="FB001825"/>
    <x v="4"/>
    <x v="3"/>
    <x v="3"/>
    <s v="S"/>
    <x v="9"/>
    <n v="56.18"/>
    <n v="6.7"/>
    <n v="52.42"/>
    <d v="2025-08-06T00:00:00"/>
    <n v="35"/>
    <x v="3"/>
    <x v="1"/>
    <x v="5"/>
    <n v="28"/>
    <n v="234.5"/>
    <n v="1"/>
  </r>
  <r>
    <s v="FB001826"/>
    <x v="1"/>
    <x v="6"/>
    <x v="1"/>
    <s v="XS"/>
    <x v="4"/>
    <n v="51.28"/>
    <n v="48.3"/>
    <n v="26.51"/>
    <d v="2025-08-06T00:00:00"/>
    <n v="9"/>
    <x v="21"/>
    <x v="1"/>
    <x v="5"/>
    <n v="28"/>
    <n v="434.7"/>
    <n v="1"/>
  </r>
  <r>
    <s v="FB001827"/>
    <x v="0"/>
    <x v="6"/>
    <x v="0"/>
    <m/>
    <x v="6"/>
    <n v="111.73"/>
    <n v="16.8"/>
    <n v="92.96"/>
    <d v="2025-05-29T00:00:00"/>
    <n v="41"/>
    <x v="19"/>
    <x v="0"/>
    <x v="0"/>
    <n v="97"/>
    <n v="688.80000000000007"/>
    <s v=""/>
  </r>
  <r>
    <s v="FB001828"/>
    <x v="4"/>
    <x v="5"/>
    <x v="2"/>
    <s v="XXL"/>
    <x v="4"/>
    <n v="49.08"/>
    <n v="19.899999999999999"/>
    <n v="39.31"/>
    <d v="2025-08-06T00:00:00"/>
    <n v="46"/>
    <x v="50"/>
    <x v="1"/>
    <x v="5"/>
    <n v="28"/>
    <n v="915.4"/>
    <n v="1"/>
  </r>
  <r>
    <s v="FB001829"/>
    <x v="3"/>
    <x v="7"/>
    <x v="1"/>
    <s v="M"/>
    <x v="1"/>
    <n v="182.47"/>
    <n v="27.1"/>
    <n v="133.02000000000001"/>
    <d v="2025-08-06T00:00:00"/>
    <n v="40"/>
    <x v="63"/>
    <x v="0"/>
    <x v="0"/>
    <n v="28"/>
    <n v="1084"/>
    <s v=""/>
  </r>
  <r>
    <s v="FB001830"/>
    <x v="0"/>
    <x v="7"/>
    <x v="3"/>
    <s v="XS"/>
    <x v="9"/>
    <n v="241.22"/>
    <n v="5.9"/>
    <n v="226.99"/>
    <d v="2025-08-06T00:00:00"/>
    <n v="13"/>
    <x v="19"/>
    <x v="0"/>
    <x v="0"/>
    <n v="28"/>
    <n v="76.7"/>
    <s v=""/>
  </r>
  <r>
    <s v="FB001831"/>
    <x v="5"/>
    <x v="5"/>
    <x v="0"/>
    <s v="XXL"/>
    <x v="5"/>
    <n v="78.3"/>
    <n v="0"/>
    <n v="78.3"/>
    <d v="2025-03-14T00:00:00"/>
    <n v="19"/>
    <x v="0"/>
    <x v="0"/>
    <x v="0"/>
    <n v="173"/>
    <n v="0"/>
    <s v=""/>
  </r>
  <r>
    <s v="FB001832"/>
    <x v="3"/>
    <x v="2"/>
    <x v="1"/>
    <s v="M"/>
    <x v="9"/>
    <n v="73.930000000000007"/>
    <n v="0"/>
    <n v="73.930000000000007"/>
    <d v="2025-08-06T00:00:00"/>
    <n v="0"/>
    <x v="74"/>
    <x v="0"/>
    <x v="0"/>
    <n v="28"/>
    <n v="0"/>
    <s v=""/>
  </r>
  <r>
    <s v="FB001833"/>
    <x v="4"/>
    <x v="4"/>
    <x v="3"/>
    <s v="XXL"/>
    <x v="6"/>
    <n v="97.5"/>
    <n v="0"/>
    <n v="97.5"/>
    <d v="2025-08-06T00:00:00"/>
    <n v="43"/>
    <x v="6"/>
    <x v="0"/>
    <x v="0"/>
    <n v="28"/>
    <n v="0"/>
    <s v=""/>
  </r>
  <r>
    <s v="FB001834"/>
    <x v="1"/>
    <x v="5"/>
    <x v="3"/>
    <s v="XS"/>
    <x v="6"/>
    <n v="38.9"/>
    <n v="0"/>
    <n v="38.9"/>
    <d v="2025-08-06T00:00:00"/>
    <n v="1"/>
    <x v="64"/>
    <x v="0"/>
    <x v="0"/>
    <n v="28"/>
    <n v="0"/>
    <s v=""/>
  </r>
  <r>
    <s v="FB001835"/>
    <x v="3"/>
    <x v="2"/>
    <x v="3"/>
    <s v="S"/>
    <x v="5"/>
    <n v="95.52"/>
    <n v="0"/>
    <n v="95.52"/>
    <d v="2025-08-06T00:00:00"/>
    <n v="47"/>
    <x v="38"/>
    <x v="0"/>
    <x v="0"/>
    <n v="28"/>
    <n v="0"/>
    <s v=""/>
  </r>
  <r>
    <s v="FB001836"/>
    <x v="0"/>
    <x v="0"/>
    <x v="2"/>
    <s v="M"/>
    <x v="0"/>
    <n v="158.63999999999999"/>
    <n v="50.2"/>
    <n v="79"/>
    <d v="2025-08-06T00:00:00"/>
    <n v="7"/>
    <x v="0"/>
    <x v="1"/>
    <x v="5"/>
    <n v="28"/>
    <n v="351.40000000000003"/>
    <n v="1"/>
  </r>
  <r>
    <s v="FB001837"/>
    <x v="1"/>
    <x v="3"/>
    <x v="2"/>
    <s v="XL"/>
    <x v="8"/>
    <n v="26.11"/>
    <n v="0"/>
    <n v="26.11"/>
    <d v="2025-08-06T00:00:00"/>
    <n v="41"/>
    <x v="2"/>
    <x v="0"/>
    <x v="0"/>
    <n v="28"/>
    <n v="0"/>
    <s v=""/>
  </r>
  <r>
    <s v="FB001838"/>
    <x v="3"/>
    <x v="7"/>
    <x v="0"/>
    <m/>
    <x v="3"/>
    <n v="107.09"/>
    <n v="43.1"/>
    <n v="60.93"/>
    <d v="2025-02-14T00:00:00"/>
    <n v="16"/>
    <x v="52"/>
    <x v="1"/>
    <x v="5"/>
    <n v="201"/>
    <n v="689.6"/>
    <n v="1"/>
  </r>
  <r>
    <s v="FB001839"/>
    <x v="2"/>
    <x v="6"/>
    <x v="3"/>
    <m/>
    <x v="2"/>
    <n v="71.42"/>
    <n v="38"/>
    <n v="44.28"/>
    <d v="2025-08-06T00:00:00"/>
    <n v="49"/>
    <x v="32"/>
    <x v="0"/>
    <x v="0"/>
    <n v="28"/>
    <n v="1862"/>
    <s v=""/>
  </r>
  <r>
    <s v="FB001840"/>
    <x v="3"/>
    <x v="0"/>
    <x v="3"/>
    <s v="XL"/>
    <x v="0"/>
    <n v="124.56"/>
    <n v="0"/>
    <n v="124.56"/>
    <d v="2025-08-06T00:00:00"/>
    <n v="18"/>
    <x v="0"/>
    <x v="0"/>
    <x v="0"/>
    <n v="28"/>
    <n v="0"/>
    <s v=""/>
  </r>
  <r>
    <s v="FB001841"/>
    <x v="4"/>
    <x v="1"/>
    <x v="3"/>
    <s v="L"/>
    <x v="9"/>
    <n v="30.91"/>
    <n v="0"/>
    <n v="30.91"/>
    <d v="2025-08-06T00:00:00"/>
    <n v="45"/>
    <x v="34"/>
    <x v="0"/>
    <x v="0"/>
    <n v="28"/>
    <n v="0"/>
    <s v=""/>
  </r>
  <r>
    <s v="FB001842"/>
    <x v="1"/>
    <x v="0"/>
    <x v="1"/>
    <s v="XS"/>
    <x v="7"/>
    <n v="53.37"/>
    <n v="0"/>
    <n v="53.37"/>
    <d v="2025-08-06T00:00:00"/>
    <n v="15"/>
    <x v="21"/>
    <x v="0"/>
    <x v="0"/>
    <n v="28"/>
    <n v="0"/>
    <s v=""/>
  </r>
  <r>
    <s v="FB001843"/>
    <x v="3"/>
    <x v="6"/>
    <x v="3"/>
    <s v="XL"/>
    <x v="6"/>
    <n v="159.16"/>
    <n v="0"/>
    <n v="159.16"/>
    <d v="2025-08-06T00:00:00"/>
    <n v="40"/>
    <x v="23"/>
    <x v="1"/>
    <x v="5"/>
    <n v="28"/>
    <n v="0"/>
    <n v="1"/>
  </r>
  <r>
    <s v="FB001844"/>
    <x v="5"/>
    <x v="3"/>
    <x v="2"/>
    <s v="S"/>
    <x v="1"/>
    <n v="169.64"/>
    <n v="0"/>
    <n v="169.64"/>
    <d v="2025-08-06T00:00:00"/>
    <n v="5"/>
    <x v="6"/>
    <x v="0"/>
    <x v="0"/>
    <n v="28"/>
    <n v="0"/>
    <s v=""/>
  </r>
  <r>
    <s v="FB001845"/>
    <x v="2"/>
    <x v="6"/>
    <x v="3"/>
    <m/>
    <x v="5"/>
    <n v="59.94"/>
    <n v="0"/>
    <n v="59.94"/>
    <d v="2025-08-06T00:00:00"/>
    <n v="7"/>
    <x v="30"/>
    <x v="0"/>
    <x v="0"/>
    <n v="28"/>
    <n v="0"/>
    <s v=""/>
  </r>
  <r>
    <s v="FB001846"/>
    <x v="5"/>
    <x v="6"/>
    <x v="2"/>
    <s v="XL"/>
    <x v="9"/>
    <n v="92.59"/>
    <n v="0"/>
    <n v="92.59"/>
    <d v="2025-08-06T00:00:00"/>
    <n v="29"/>
    <x v="15"/>
    <x v="1"/>
    <x v="2"/>
    <n v="28"/>
    <n v="0"/>
    <n v="1"/>
  </r>
  <r>
    <s v="FB001847"/>
    <x v="4"/>
    <x v="4"/>
    <x v="0"/>
    <s v="S"/>
    <x v="3"/>
    <n v="64.069999999999993"/>
    <n v="0"/>
    <n v="64.069999999999993"/>
    <d v="2025-03-18T00:00:00"/>
    <n v="10"/>
    <x v="48"/>
    <x v="0"/>
    <x v="0"/>
    <n v="169"/>
    <n v="0"/>
    <s v=""/>
  </r>
  <r>
    <s v="FB001848"/>
    <x v="5"/>
    <x v="7"/>
    <x v="2"/>
    <s v="XS"/>
    <x v="5"/>
    <n v="127.87"/>
    <n v="54.6"/>
    <n v="58.05"/>
    <d v="2025-08-06T00:00:00"/>
    <n v="14"/>
    <x v="9"/>
    <x v="0"/>
    <x v="0"/>
    <n v="28"/>
    <n v="764.4"/>
    <s v=""/>
  </r>
  <r>
    <s v="FB001849"/>
    <x v="4"/>
    <x v="2"/>
    <x v="2"/>
    <s v="M"/>
    <x v="5"/>
    <n v="32.46"/>
    <n v="12.9"/>
    <n v="28.27"/>
    <d v="2025-08-06T00:00:00"/>
    <n v="9"/>
    <x v="28"/>
    <x v="0"/>
    <x v="0"/>
    <n v="28"/>
    <n v="116.10000000000001"/>
    <s v=""/>
  </r>
  <r>
    <s v="FB001850"/>
    <x v="4"/>
    <x v="4"/>
    <x v="3"/>
    <s v="XXL"/>
    <x v="1"/>
    <n v="40.31"/>
    <n v="43"/>
    <n v="22.98"/>
    <d v="2025-08-06T00:00:00"/>
    <n v="30"/>
    <x v="15"/>
    <x v="1"/>
    <x v="1"/>
    <n v="28"/>
    <n v="1290"/>
    <n v="1"/>
  </r>
  <r>
    <s v="FB001851"/>
    <x v="2"/>
    <x v="5"/>
    <x v="1"/>
    <m/>
    <x v="6"/>
    <n v="51.3"/>
    <n v="6.1"/>
    <n v="48.17"/>
    <d v="2025-08-06T00:00:00"/>
    <n v="31"/>
    <x v="71"/>
    <x v="0"/>
    <x v="0"/>
    <n v="28"/>
    <n v="189.1"/>
    <s v=""/>
  </r>
  <r>
    <s v="FB001852"/>
    <x v="4"/>
    <x v="6"/>
    <x v="1"/>
    <s v="XS"/>
    <x v="1"/>
    <n v="28.62"/>
    <n v="0"/>
    <n v="28.62"/>
    <d v="2025-08-06T00:00:00"/>
    <n v="41"/>
    <x v="30"/>
    <x v="0"/>
    <x v="0"/>
    <n v="28"/>
    <n v="0"/>
    <s v=""/>
  </r>
  <r>
    <s v="FB001853"/>
    <x v="2"/>
    <x v="6"/>
    <x v="2"/>
    <m/>
    <x v="6"/>
    <n v="59.03"/>
    <n v="6.4"/>
    <n v="55.25"/>
    <d v="2025-08-06T00:00:00"/>
    <n v="45"/>
    <x v="80"/>
    <x v="0"/>
    <x v="0"/>
    <n v="28"/>
    <n v="288"/>
    <s v=""/>
  </r>
  <r>
    <s v="FB001854"/>
    <x v="1"/>
    <x v="5"/>
    <x v="3"/>
    <s v="S"/>
    <x v="10"/>
    <n v="99.65"/>
    <n v="7.4"/>
    <n v="92.28"/>
    <d v="2025-08-06T00:00:00"/>
    <n v="31"/>
    <x v="22"/>
    <x v="0"/>
    <x v="0"/>
    <n v="28"/>
    <n v="229.4"/>
    <s v=""/>
  </r>
  <r>
    <s v="FB001855"/>
    <x v="5"/>
    <x v="7"/>
    <x v="1"/>
    <m/>
    <x v="5"/>
    <n v="128.55000000000001"/>
    <n v="0"/>
    <n v="128.55000000000001"/>
    <d v="2025-08-06T00:00:00"/>
    <n v="1"/>
    <x v="17"/>
    <x v="0"/>
    <x v="0"/>
    <n v="28"/>
    <n v="0"/>
    <s v=""/>
  </r>
  <r>
    <s v="FB001856"/>
    <x v="4"/>
    <x v="3"/>
    <x v="0"/>
    <s v="L"/>
    <x v="9"/>
    <n v="78.09"/>
    <n v="56.3"/>
    <n v="34.130000000000003"/>
    <d v="2025-04-23T00:00:00"/>
    <n v="20"/>
    <x v="49"/>
    <x v="0"/>
    <x v="0"/>
    <n v="133"/>
    <n v="1126"/>
    <s v=""/>
  </r>
  <r>
    <s v="FB001857"/>
    <x v="4"/>
    <x v="3"/>
    <x v="3"/>
    <s v="XXL"/>
    <x v="8"/>
    <n v="108.89"/>
    <n v="0"/>
    <n v="108.89"/>
    <d v="2025-08-06T00:00:00"/>
    <n v="50"/>
    <x v="5"/>
    <x v="0"/>
    <x v="0"/>
    <n v="28"/>
    <n v="0"/>
    <s v=""/>
  </r>
  <r>
    <s v="FB001858"/>
    <x v="4"/>
    <x v="5"/>
    <x v="0"/>
    <m/>
    <x v="4"/>
    <n v="35.21"/>
    <n v="14.7"/>
    <n v="30.03"/>
    <d v="2024-12-23T00:00:00"/>
    <n v="15"/>
    <x v="47"/>
    <x v="1"/>
    <x v="4"/>
    <n v="254"/>
    <n v="220.5"/>
    <n v="1"/>
  </r>
  <r>
    <s v="FB001859"/>
    <x v="5"/>
    <x v="6"/>
    <x v="3"/>
    <s v="XXL"/>
    <x v="10"/>
    <n v="129.16"/>
    <n v="34"/>
    <n v="85.25"/>
    <d v="2025-08-06T00:00:00"/>
    <n v="24"/>
    <x v="12"/>
    <x v="0"/>
    <x v="0"/>
    <n v="28"/>
    <n v="816"/>
    <s v=""/>
  </r>
  <r>
    <s v="FB001860"/>
    <x v="5"/>
    <x v="5"/>
    <x v="3"/>
    <s v="S"/>
    <x v="4"/>
    <n v="142.43"/>
    <n v="0"/>
    <n v="142.43"/>
    <d v="2025-08-06T00:00:00"/>
    <n v="15"/>
    <x v="16"/>
    <x v="1"/>
    <x v="2"/>
    <n v="28"/>
    <n v="0"/>
    <n v="1"/>
  </r>
  <r>
    <s v="FB001861"/>
    <x v="2"/>
    <x v="7"/>
    <x v="0"/>
    <m/>
    <x v="8"/>
    <n v="45.19"/>
    <n v="0"/>
    <n v="45.19"/>
    <d v="2025-02-28T00:00:00"/>
    <n v="38"/>
    <x v="6"/>
    <x v="1"/>
    <x v="6"/>
    <n v="187"/>
    <n v="0"/>
    <n v="1"/>
  </r>
  <r>
    <s v="FB001862"/>
    <x v="4"/>
    <x v="4"/>
    <x v="2"/>
    <s v="S"/>
    <x v="9"/>
    <n v="47.66"/>
    <n v="0"/>
    <n v="47.66"/>
    <d v="2025-08-06T00:00:00"/>
    <n v="0"/>
    <x v="51"/>
    <x v="1"/>
    <x v="2"/>
    <n v="28"/>
    <n v="0"/>
    <n v="1"/>
  </r>
  <r>
    <s v="FB001863"/>
    <x v="4"/>
    <x v="1"/>
    <x v="3"/>
    <s v="XS"/>
    <x v="7"/>
    <n v="115.05"/>
    <n v="40"/>
    <n v="69.03"/>
    <d v="2025-08-06T00:00:00"/>
    <n v="48"/>
    <x v="47"/>
    <x v="0"/>
    <x v="0"/>
    <n v="28"/>
    <n v="1920"/>
    <s v=""/>
  </r>
  <r>
    <s v="FB001864"/>
    <x v="4"/>
    <x v="2"/>
    <x v="3"/>
    <s v="XL"/>
    <x v="10"/>
    <n v="87.84"/>
    <n v="0"/>
    <n v="87.84"/>
    <d v="2025-08-06T00:00:00"/>
    <n v="29"/>
    <x v="49"/>
    <x v="0"/>
    <x v="0"/>
    <n v="28"/>
    <n v="0"/>
    <s v=""/>
  </r>
  <r>
    <s v="FB001865"/>
    <x v="5"/>
    <x v="7"/>
    <x v="2"/>
    <s v="S"/>
    <x v="5"/>
    <n v="73.42"/>
    <n v="35"/>
    <n v="47.72"/>
    <d v="2025-08-06T00:00:00"/>
    <n v="44"/>
    <x v="43"/>
    <x v="0"/>
    <x v="0"/>
    <n v="28"/>
    <n v="1540"/>
    <s v=""/>
  </r>
  <r>
    <s v="FB001866"/>
    <x v="3"/>
    <x v="6"/>
    <x v="2"/>
    <s v="L"/>
    <x v="8"/>
    <n v="181.58"/>
    <n v="21.6"/>
    <n v="142.36000000000001"/>
    <d v="2025-08-06T00:00:00"/>
    <n v="14"/>
    <x v="52"/>
    <x v="0"/>
    <x v="0"/>
    <n v="28"/>
    <n v="302.40000000000003"/>
    <s v=""/>
  </r>
  <r>
    <s v="FB001867"/>
    <x v="1"/>
    <x v="4"/>
    <x v="0"/>
    <s v="L"/>
    <x v="2"/>
    <n v="71.680000000000007"/>
    <n v="0"/>
    <n v="71.680000000000007"/>
    <d v="2025-08-05T00:00:00"/>
    <n v="0"/>
    <x v="25"/>
    <x v="0"/>
    <x v="0"/>
    <n v="29"/>
    <n v="0"/>
    <s v=""/>
  </r>
  <r>
    <s v="FB001868"/>
    <x v="1"/>
    <x v="2"/>
    <x v="1"/>
    <s v="XXL"/>
    <x v="7"/>
    <n v="25.63"/>
    <n v="0"/>
    <n v="25.63"/>
    <d v="2025-08-06T00:00:00"/>
    <n v="27"/>
    <x v="19"/>
    <x v="0"/>
    <x v="0"/>
    <n v="28"/>
    <n v="0"/>
    <s v=""/>
  </r>
  <r>
    <s v="FB001869"/>
    <x v="1"/>
    <x v="7"/>
    <x v="1"/>
    <m/>
    <x v="10"/>
    <n v="31.34"/>
    <n v="48.5"/>
    <n v="16.14"/>
    <d v="2025-08-06T00:00:00"/>
    <n v="36"/>
    <x v="6"/>
    <x v="1"/>
    <x v="2"/>
    <n v="28"/>
    <n v="1746"/>
    <n v="1"/>
  </r>
  <r>
    <s v="FB001870"/>
    <x v="5"/>
    <x v="4"/>
    <x v="2"/>
    <s v="L"/>
    <x v="7"/>
    <n v="98.91"/>
    <n v="33.799999999999997"/>
    <n v="65.48"/>
    <d v="2025-08-06T00:00:00"/>
    <n v="33"/>
    <x v="87"/>
    <x v="1"/>
    <x v="1"/>
    <n v="28"/>
    <n v="1115.3999999999999"/>
    <n v="1"/>
  </r>
  <r>
    <s v="FB001871"/>
    <x v="2"/>
    <x v="0"/>
    <x v="1"/>
    <m/>
    <x v="0"/>
    <n v="43.33"/>
    <n v="7.8"/>
    <n v="39.950000000000003"/>
    <d v="2025-08-06T00:00:00"/>
    <n v="4"/>
    <x v="49"/>
    <x v="0"/>
    <x v="0"/>
    <n v="28"/>
    <n v="31.2"/>
    <s v=""/>
  </r>
  <r>
    <s v="FB001872"/>
    <x v="3"/>
    <x v="6"/>
    <x v="3"/>
    <s v="M"/>
    <x v="2"/>
    <n v="70.709999999999994"/>
    <n v="0"/>
    <n v="70.709999999999994"/>
    <d v="2025-08-06T00:00:00"/>
    <n v="8"/>
    <x v="39"/>
    <x v="0"/>
    <x v="0"/>
    <n v="28"/>
    <n v="0"/>
    <s v=""/>
  </r>
  <r>
    <s v="FB001873"/>
    <x v="0"/>
    <x v="4"/>
    <x v="1"/>
    <s v="S"/>
    <x v="9"/>
    <n v="215.99"/>
    <n v="38.1"/>
    <n v="133.69999999999999"/>
    <d v="2025-08-06T00:00:00"/>
    <n v="14"/>
    <x v="38"/>
    <x v="0"/>
    <x v="0"/>
    <n v="28"/>
    <n v="533.4"/>
    <s v=""/>
  </r>
  <r>
    <s v="FB001874"/>
    <x v="5"/>
    <x v="2"/>
    <x v="1"/>
    <s v="XL"/>
    <x v="6"/>
    <n v="145.57"/>
    <n v="5.0999999999999996"/>
    <n v="138.15"/>
    <d v="2025-08-06T00:00:00"/>
    <n v="8"/>
    <x v="9"/>
    <x v="0"/>
    <x v="0"/>
    <n v="28"/>
    <n v="40.799999999999997"/>
    <s v=""/>
  </r>
  <r>
    <s v="FB001875"/>
    <x v="3"/>
    <x v="2"/>
    <x v="2"/>
    <s v="XS"/>
    <x v="8"/>
    <n v="195.03"/>
    <n v="0"/>
    <n v="195.03"/>
    <d v="2025-08-06T00:00:00"/>
    <n v="44"/>
    <x v="9"/>
    <x v="0"/>
    <x v="0"/>
    <n v="28"/>
    <n v="0"/>
    <s v=""/>
  </r>
  <r>
    <s v="FB001876"/>
    <x v="4"/>
    <x v="5"/>
    <x v="1"/>
    <s v="XS"/>
    <x v="2"/>
    <n v="74.88"/>
    <n v="9.6999999999999993"/>
    <n v="67.62"/>
    <d v="2025-08-06T00:00:00"/>
    <n v="23"/>
    <x v="3"/>
    <x v="0"/>
    <x v="0"/>
    <n v="28"/>
    <n v="223.1"/>
    <s v=""/>
  </r>
  <r>
    <s v="FB001877"/>
    <x v="1"/>
    <x v="6"/>
    <x v="0"/>
    <s v="L"/>
    <x v="1"/>
    <n v="50.3"/>
    <n v="0"/>
    <n v="50.3"/>
    <d v="2024-08-18T00:00:00"/>
    <n v="23"/>
    <x v="49"/>
    <x v="0"/>
    <x v="0"/>
    <n v="381"/>
    <n v="0"/>
    <s v=""/>
  </r>
  <r>
    <s v="FB001878"/>
    <x v="0"/>
    <x v="5"/>
    <x v="3"/>
    <s v="XXL"/>
    <x v="0"/>
    <n v="130.65"/>
    <n v="0"/>
    <n v="130.65"/>
    <d v="2025-08-06T00:00:00"/>
    <n v="20"/>
    <x v="3"/>
    <x v="0"/>
    <x v="0"/>
    <n v="28"/>
    <n v="0"/>
    <s v=""/>
  </r>
  <r>
    <s v="FB001879"/>
    <x v="5"/>
    <x v="7"/>
    <x v="0"/>
    <s v="XXL"/>
    <x v="6"/>
    <n v="94.56"/>
    <n v="40.299999999999997"/>
    <n v="56.45"/>
    <d v="2025-06-14T00:00:00"/>
    <n v="41"/>
    <x v="52"/>
    <x v="0"/>
    <x v="0"/>
    <n v="81"/>
    <n v="1652.3"/>
    <s v=""/>
  </r>
  <r>
    <s v="FB001880"/>
    <x v="0"/>
    <x v="1"/>
    <x v="0"/>
    <s v="S"/>
    <x v="10"/>
    <n v="138.97999999999999"/>
    <n v="10.199999999999999"/>
    <n v="124.8"/>
    <d v="2025-07-22T00:00:00"/>
    <n v="36"/>
    <x v="40"/>
    <x v="0"/>
    <x v="0"/>
    <n v="43"/>
    <n v="367.2"/>
    <s v=""/>
  </r>
  <r>
    <s v="FB001881"/>
    <x v="2"/>
    <x v="4"/>
    <x v="1"/>
    <m/>
    <x v="6"/>
    <n v="52.57"/>
    <n v="0"/>
    <n v="52.57"/>
    <d v="2025-08-06T00:00:00"/>
    <n v="50"/>
    <x v="1"/>
    <x v="1"/>
    <x v="3"/>
    <n v="28"/>
    <n v="0"/>
    <n v="1"/>
  </r>
  <r>
    <s v="FB001882"/>
    <x v="0"/>
    <x v="4"/>
    <x v="0"/>
    <m/>
    <x v="3"/>
    <n v="151.62"/>
    <n v="0"/>
    <n v="151.62"/>
    <d v="2025-07-11T00:00:00"/>
    <n v="41"/>
    <x v="15"/>
    <x v="0"/>
    <x v="0"/>
    <n v="54"/>
    <n v="0"/>
    <s v=""/>
  </r>
  <r>
    <s v="FB001883"/>
    <x v="2"/>
    <x v="1"/>
    <x v="0"/>
    <m/>
    <x v="5"/>
    <n v="26.7"/>
    <n v="0"/>
    <n v="26.7"/>
    <d v="2025-05-27T00:00:00"/>
    <n v="48"/>
    <x v="47"/>
    <x v="0"/>
    <x v="0"/>
    <n v="99"/>
    <n v="0"/>
    <s v=""/>
  </r>
  <r>
    <s v="FB001884"/>
    <x v="0"/>
    <x v="5"/>
    <x v="3"/>
    <s v="S"/>
    <x v="10"/>
    <n v="147.5"/>
    <n v="0"/>
    <n v="147.5"/>
    <d v="2025-08-06T00:00:00"/>
    <n v="4"/>
    <x v="13"/>
    <x v="0"/>
    <x v="0"/>
    <n v="28"/>
    <n v="0"/>
    <s v=""/>
  </r>
  <r>
    <s v="FB001885"/>
    <x v="1"/>
    <x v="3"/>
    <x v="2"/>
    <s v="S"/>
    <x v="8"/>
    <n v="66"/>
    <n v="2.7"/>
    <n v="64.22"/>
    <d v="2025-08-06T00:00:00"/>
    <n v="42"/>
    <x v="9"/>
    <x v="0"/>
    <x v="0"/>
    <n v="28"/>
    <n v="113.4"/>
    <s v=""/>
  </r>
  <r>
    <s v="FB001886"/>
    <x v="0"/>
    <x v="0"/>
    <x v="2"/>
    <s v="XS"/>
    <x v="0"/>
    <n v="183.6"/>
    <n v="0"/>
    <n v="183.6"/>
    <d v="2025-08-06T00:00:00"/>
    <n v="10"/>
    <x v="59"/>
    <x v="0"/>
    <x v="0"/>
    <n v="28"/>
    <n v="0"/>
    <s v=""/>
  </r>
  <r>
    <s v="FB001887"/>
    <x v="3"/>
    <x v="1"/>
    <x v="3"/>
    <s v="L"/>
    <x v="5"/>
    <n v="195.83"/>
    <n v="0"/>
    <n v="195.83"/>
    <d v="2025-08-06T00:00:00"/>
    <n v="14"/>
    <x v="54"/>
    <x v="0"/>
    <x v="0"/>
    <n v="28"/>
    <n v="0"/>
    <s v=""/>
  </r>
  <r>
    <s v="FB001888"/>
    <x v="4"/>
    <x v="5"/>
    <x v="1"/>
    <s v="S"/>
    <x v="7"/>
    <n v="75.53"/>
    <n v="58.1"/>
    <n v="31.65"/>
    <d v="2025-08-06T00:00:00"/>
    <n v="33"/>
    <x v="30"/>
    <x v="0"/>
    <x v="0"/>
    <n v="28"/>
    <n v="1917.3"/>
    <s v=""/>
  </r>
  <r>
    <s v="FB001889"/>
    <x v="1"/>
    <x v="3"/>
    <x v="0"/>
    <s v="XL"/>
    <x v="7"/>
    <n v="30.78"/>
    <n v="0"/>
    <n v="30.78"/>
    <d v="2025-06-13T00:00:00"/>
    <n v="28"/>
    <x v="38"/>
    <x v="0"/>
    <x v="0"/>
    <n v="82"/>
    <n v="0"/>
    <s v=""/>
  </r>
  <r>
    <s v="FB001890"/>
    <x v="3"/>
    <x v="2"/>
    <x v="1"/>
    <s v="L"/>
    <x v="3"/>
    <n v="150.96"/>
    <n v="0"/>
    <n v="150.96"/>
    <d v="2025-08-06T00:00:00"/>
    <n v="18"/>
    <x v="14"/>
    <x v="0"/>
    <x v="0"/>
    <n v="28"/>
    <n v="0"/>
    <s v=""/>
  </r>
  <r>
    <s v="FB001891"/>
    <x v="4"/>
    <x v="7"/>
    <x v="3"/>
    <s v="L"/>
    <x v="2"/>
    <n v="58.98"/>
    <n v="18.100000000000001"/>
    <n v="48.3"/>
    <d v="2025-08-06T00:00:00"/>
    <n v="23"/>
    <x v="32"/>
    <x v="0"/>
    <x v="0"/>
    <n v="28"/>
    <n v="416.3"/>
    <s v=""/>
  </r>
  <r>
    <s v="FB001892"/>
    <x v="0"/>
    <x v="7"/>
    <x v="0"/>
    <s v="L"/>
    <x v="9"/>
    <n v="224.91"/>
    <n v="18.899999999999999"/>
    <n v="182.4"/>
    <d v="2024-09-19T00:00:00"/>
    <n v="50"/>
    <x v="61"/>
    <x v="0"/>
    <x v="0"/>
    <n v="349"/>
    <n v="944.99999999999989"/>
    <s v=""/>
  </r>
  <r>
    <s v="FB001893"/>
    <x v="0"/>
    <x v="2"/>
    <x v="0"/>
    <s v="XL"/>
    <x v="10"/>
    <n v="155.75"/>
    <n v="0"/>
    <n v="155.75"/>
    <d v="2025-03-25T00:00:00"/>
    <n v="0"/>
    <x v="13"/>
    <x v="0"/>
    <x v="0"/>
    <n v="162"/>
    <n v="0"/>
    <s v=""/>
  </r>
  <r>
    <s v="FB001894"/>
    <x v="3"/>
    <x v="4"/>
    <x v="1"/>
    <s v="XL"/>
    <x v="5"/>
    <n v="194.4"/>
    <n v="16.2"/>
    <n v="162.91"/>
    <d v="2025-08-06T00:00:00"/>
    <n v="36"/>
    <x v="25"/>
    <x v="0"/>
    <x v="0"/>
    <n v="28"/>
    <n v="583.19999999999993"/>
    <s v=""/>
  </r>
  <r>
    <s v="FB001895"/>
    <x v="3"/>
    <x v="2"/>
    <x v="2"/>
    <s v="L"/>
    <x v="0"/>
    <n v="169.77"/>
    <n v="0"/>
    <n v="169.77"/>
    <d v="2025-08-06T00:00:00"/>
    <n v="39"/>
    <x v="9"/>
    <x v="0"/>
    <x v="0"/>
    <n v="28"/>
    <n v="0"/>
    <s v=""/>
  </r>
  <r>
    <s v="FB001896"/>
    <x v="2"/>
    <x v="1"/>
    <x v="1"/>
    <m/>
    <x v="5"/>
    <n v="41.52"/>
    <n v="27.3"/>
    <n v="30.19"/>
    <d v="2025-08-06T00:00:00"/>
    <n v="48"/>
    <x v="10"/>
    <x v="0"/>
    <x v="0"/>
    <n v="28"/>
    <n v="1310.4000000000001"/>
    <s v=""/>
  </r>
  <r>
    <s v="FB001897"/>
    <x v="4"/>
    <x v="1"/>
    <x v="1"/>
    <s v="S"/>
    <x v="6"/>
    <n v="29.5"/>
    <n v="0"/>
    <n v="29.5"/>
    <d v="2025-08-06T00:00:00"/>
    <n v="36"/>
    <x v="3"/>
    <x v="0"/>
    <x v="0"/>
    <n v="28"/>
    <n v="0"/>
    <s v=""/>
  </r>
  <r>
    <s v="FB001898"/>
    <x v="0"/>
    <x v="2"/>
    <x v="0"/>
    <s v="S"/>
    <x v="4"/>
    <n v="224.47"/>
    <n v="2.7"/>
    <n v="218.41"/>
    <d v="2025-01-27T00:00:00"/>
    <n v="15"/>
    <x v="15"/>
    <x v="0"/>
    <x v="0"/>
    <n v="219"/>
    <n v="40.5"/>
    <s v=""/>
  </r>
  <r>
    <s v="FB001899"/>
    <x v="4"/>
    <x v="7"/>
    <x v="3"/>
    <s v="S"/>
    <x v="4"/>
    <n v="101.45"/>
    <n v="7.8"/>
    <n v="93.54"/>
    <d v="2025-08-06T00:00:00"/>
    <n v="4"/>
    <x v="21"/>
    <x v="0"/>
    <x v="0"/>
    <n v="28"/>
    <n v="31.2"/>
    <s v=""/>
  </r>
  <r>
    <s v="FB001900"/>
    <x v="3"/>
    <x v="2"/>
    <x v="0"/>
    <s v="XXL"/>
    <x v="0"/>
    <n v="84.65"/>
    <n v="0"/>
    <n v="84.65"/>
    <d v="2025-07-26T00:00:00"/>
    <n v="49"/>
    <x v="20"/>
    <x v="0"/>
    <x v="0"/>
    <n v="39"/>
    <n v="0"/>
    <s v=""/>
  </r>
  <r>
    <s v="FB001901"/>
    <x v="0"/>
    <x v="5"/>
    <x v="3"/>
    <s v="S"/>
    <x v="7"/>
    <n v="155.85"/>
    <n v="0"/>
    <n v="155.85"/>
    <d v="2025-08-06T00:00:00"/>
    <n v="38"/>
    <x v="46"/>
    <x v="0"/>
    <x v="0"/>
    <n v="28"/>
    <n v="0"/>
    <s v=""/>
  </r>
  <r>
    <s v="FB001902"/>
    <x v="1"/>
    <x v="0"/>
    <x v="1"/>
    <s v="XL"/>
    <x v="5"/>
    <n v="89.62"/>
    <n v="0"/>
    <n v="89.62"/>
    <d v="2025-08-06T00:00:00"/>
    <n v="0"/>
    <x v="14"/>
    <x v="1"/>
    <x v="1"/>
    <n v="28"/>
    <n v="0"/>
    <n v="1"/>
  </r>
  <r>
    <s v="FB001903"/>
    <x v="1"/>
    <x v="6"/>
    <x v="3"/>
    <s v="L"/>
    <x v="6"/>
    <n v="62.79"/>
    <n v="37.700000000000003"/>
    <n v="39.119999999999997"/>
    <d v="2025-08-06T00:00:00"/>
    <n v="5"/>
    <x v="3"/>
    <x v="0"/>
    <x v="0"/>
    <n v="28"/>
    <n v="188.5"/>
    <s v=""/>
  </r>
  <r>
    <s v="FB001904"/>
    <x v="4"/>
    <x v="6"/>
    <x v="3"/>
    <s v="XL"/>
    <x v="7"/>
    <n v="84.72"/>
    <n v="24.2"/>
    <n v="64.22"/>
    <d v="2025-08-06T00:00:00"/>
    <n v="44"/>
    <x v="58"/>
    <x v="1"/>
    <x v="1"/>
    <n v="28"/>
    <n v="1064.8"/>
    <n v="1"/>
  </r>
  <r>
    <s v="FB001905"/>
    <x v="1"/>
    <x v="3"/>
    <x v="2"/>
    <s v="XL"/>
    <x v="1"/>
    <n v="50.9"/>
    <n v="0"/>
    <n v="50.9"/>
    <d v="2025-08-06T00:00:00"/>
    <n v="1"/>
    <x v="34"/>
    <x v="0"/>
    <x v="0"/>
    <n v="28"/>
    <n v="0"/>
    <s v=""/>
  </r>
  <r>
    <s v="FB001906"/>
    <x v="2"/>
    <x v="0"/>
    <x v="1"/>
    <m/>
    <x v="1"/>
    <n v="31.23"/>
    <n v="0"/>
    <n v="31.23"/>
    <d v="2025-08-06T00:00:00"/>
    <n v="25"/>
    <x v="32"/>
    <x v="0"/>
    <x v="0"/>
    <n v="28"/>
    <n v="0"/>
    <s v=""/>
  </r>
  <r>
    <s v="FB001907"/>
    <x v="1"/>
    <x v="0"/>
    <x v="0"/>
    <s v="XXL"/>
    <x v="0"/>
    <n v="105.1"/>
    <n v="0"/>
    <n v="105.1"/>
    <d v="2024-08-28T00:00:00"/>
    <n v="39"/>
    <x v="9"/>
    <x v="0"/>
    <x v="0"/>
    <n v="371"/>
    <n v="0"/>
    <s v=""/>
  </r>
  <r>
    <s v="FB001908"/>
    <x v="5"/>
    <x v="7"/>
    <x v="3"/>
    <s v="XS"/>
    <x v="10"/>
    <n v="160.38"/>
    <n v="0"/>
    <n v="160.38"/>
    <d v="2025-08-06T00:00:00"/>
    <n v="27"/>
    <x v="67"/>
    <x v="1"/>
    <x v="6"/>
    <n v="28"/>
    <n v="0"/>
    <n v="1"/>
  </r>
  <r>
    <s v="FB001909"/>
    <x v="4"/>
    <x v="1"/>
    <x v="0"/>
    <s v="XS"/>
    <x v="1"/>
    <n v="96.68"/>
    <n v="26"/>
    <n v="71.540000000000006"/>
    <d v="2024-09-21T00:00:00"/>
    <n v="16"/>
    <x v="56"/>
    <x v="0"/>
    <x v="0"/>
    <n v="347"/>
    <n v="416"/>
    <s v=""/>
  </r>
  <r>
    <s v="FB001910"/>
    <x v="2"/>
    <x v="7"/>
    <x v="3"/>
    <m/>
    <x v="7"/>
    <n v="16.64"/>
    <n v="0"/>
    <n v="16.64"/>
    <d v="2025-08-06T00:00:00"/>
    <n v="8"/>
    <x v="51"/>
    <x v="0"/>
    <x v="0"/>
    <n v="28"/>
    <n v="0"/>
    <s v=""/>
  </r>
  <r>
    <s v="FB001911"/>
    <x v="0"/>
    <x v="5"/>
    <x v="2"/>
    <s v="S"/>
    <x v="7"/>
    <n v="160.05000000000001"/>
    <n v="53.7"/>
    <n v="74.099999999999994"/>
    <d v="2025-08-06T00:00:00"/>
    <n v="2"/>
    <x v="53"/>
    <x v="1"/>
    <x v="4"/>
    <n v="28"/>
    <n v="107.4"/>
    <n v="1"/>
  </r>
  <r>
    <s v="FB001912"/>
    <x v="2"/>
    <x v="3"/>
    <x v="2"/>
    <m/>
    <x v="4"/>
    <n v="23.56"/>
    <n v="0"/>
    <n v="23.56"/>
    <d v="2025-08-06T00:00:00"/>
    <n v="16"/>
    <x v="9"/>
    <x v="0"/>
    <x v="0"/>
    <n v="28"/>
    <n v="0"/>
    <s v=""/>
  </r>
  <r>
    <s v="FB001913"/>
    <x v="3"/>
    <x v="0"/>
    <x v="2"/>
    <s v="XS"/>
    <x v="2"/>
    <n v="68.37"/>
    <n v="24.2"/>
    <n v="51.82"/>
    <d v="2025-08-06T00:00:00"/>
    <n v="8"/>
    <x v="17"/>
    <x v="0"/>
    <x v="0"/>
    <n v="28"/>
    <n v="193.6"/>
    <s v=""/>
  </r>
  <r>
    <s v="FB001914"/>
    <x v="0"/>
    <x v="3"/>
    <x v="2"/>
    <s v="S"/>
    <x v="6"/>
    <n v="184.24"/>
    <n v="0"/>
    <n v="184.24"/>
    <d v="2025-08-06T00:00:00"/>
    <n v="49"/>
    <x v="30"/>
    <x v="0"/>
    <x v="0"/>
    <n v="28"/>
    <n v="0"/>
    <s v=""/>
  </r>
  <r>
    <s v="FB001915"/>
    <x v="3"/>
    <x v="2"/>
    <x v="0"/>
    <s v="XS"/>
    <x v="6"/>
    <n v="94.83"/>
    <n v="0"/>
    <n v="94.83"/>
    <d v="2024-09-08T00:00:00"/>
    <n v="23"/>
    <x v="5"/>
    <x v="0"/>
    <x v="0"/>
    <n v="360"/>
    <n v="0"/>
    <s v=""/>
  </r>
  <r>
    <s v="FB001916"/>
    <x v="1"/>
    <x v="5"/>
    <x v="3"/>
    <s v="M"/>
    <x v="1"/>
    <n v="115.58"/>
    <n v="0"/>
    <n v="115.58"/>
    <d v="2025-08-06T00:00:00"/>
    <n v="37"/>
    <x v="81"/>
    <x v="0"/>
    <x v="0"/>
    <n v="28"/>
    <n v="0"/>
    <s v=""/>
  </r>
  <r>
    <s v="FB001917"/>
    <x v="0"/>
    <x v="0"/>
    <x v="1"/>
    <s v="XXL"/>
    <x v="6"/>
    <n v="116.29"/>
    <n v="58.7"/>
    <n v="48.03"/>
    <d v="2025-08-06T00:00:00"/>
    <n v="34"/>
    <x v="31"/>
    <x v="0"/>
    <x v="0"/>
    <n v="28"/>
    <n v="1995.8000000000002"/>
    <s v=""/>
  </r>
  <r>
    <s v="FB001918"/>
    <x v="2"/>
    <x v="2"/>
    <x v="3"/>
    <m/>
    <x v="6"/>
    <n v="24.55"/>
    <n v="0"/>
    <n v="24.55"/>
    <d v="2025-08-06T00:00:00"/>
    <n v="43"/>
    <x v="39"/>
    <x v="0"/>
    <x v="0"/>
    <n v="28"/>
    <n v="0"/>
    <s v=""/>
  </r>
  <r>
    <s v="FB001919"/>
    <x v="5"/>
    <x v="0"/>
    <x v="0"/>
    <m/>
    <x v="8"/>
    <n v="81.56"/>
    <n v="0"/>
    <n v="81.56"/>
    <d v="2025-01-09T00:00:00"/>
    <n v="28"/>
    <x v="0"/>
    <x v="0"/>
    <x v="0"/>
    <n v="237"/>
    <n v="0"/>
    <s v=""/>
  </r>
  <r>
    <s v="FB001920"/>
    <x v="0"/>
    <x v="2"/>
    <x v="0"/>
    <s v="M"/>
    <x v="3"/>
    <n v="234.63"/>
    <n v="0"/>
    <n v="234.63"/>
    <d v="2025-02-07T00:00:00"/>
    <n v="30"/>
    <x v="2"/>
    <x v="0"/>
    <x v="0"/>
    <n v="208"/>
    <n v="0"/>
    <s v=""/>
  </r>
  <r>
    <s v="FB001921"/>
    <x v="2"/>
    <x v="0"/>
    <x v="2"/>
    <m/>
    <x v="3"/>
    <n v="27.6"/>
    <n v="0"/>
    <n v="27.6"/>
    <d v="2025-08-06T00:00:00"/>
    <n v="33"/>
    <x v="32"/>
    <x v="0"/>
    <x v="0"/>
    <n v="28"/>
    <n v="0"/>
    <s v=""/>
  </r>
  <r>
    <s v="FB001922"/>
    <x v="1"/>
    <x v="5"/>
    <x v="2"/>
    <s v="XS"/>
    <x v="4"/>
    <n v="114.76"/>
    <n v="24.3"/>
    <n v="86.87"/>
    <d v="2025-08-06T00:00:00"/>
    <n v="10"/>
    <x v="10"/>
    <x v="0"/>
    <x v="0"/>
    <n v="28"/>
    <n v="243"/>
    <s v=""/>
  </r>
  <r>
    <s v="FB001923"/>
    <x v="3"/>
    <x v="0"/>
    <x v="0"/>
    <s v="S"/>
    <x v="6"/>
    <n v="133.52000000000001"/>
    <n v="0"/>
    <n v="133.52000000000001"/>
    <d v="2024-10-04T00:00:00"/>
    <n v="32"/>
    <x v="27"/>
    <x v="0"/>
    <x v="0"/>
    <n v="334"/>
    <n v="0"/>
    <s v=""/>
  </r>
  <r>
    <s v="FB001924"/>
    <x v="1"/>
    <x v="2"/>
    <x v="1"/>
    <s v="XS"/>
    <x v="5"/>
    <n v="64.34"/>
    <n v="59.3"/>
    <n v="26.19"/>
    <d v="2025-08-06T00:00:00"/>
    <n v="34"/>
    <x v="19"/>
    <x v="0"/>
    <x v="0"/>
    <n v="28"/>
    <n v="2016.1999999999998"/>
    <s v=""/>
  </r>
  <r>
    <s v="FB001925"/>
    <x v="4"/>
    <x v="7"/>
    <x v="2"/>
    <s v="L"/>
    <x v="9"/>
    <n v="117.81"/>
    <n v="0"/>
    <n v="117.81"/>
    <d v="2025-08-06T00:00:00"/>
    <n v="22"/>
    <x v="26"/>
    <x v="0"/>
    <x v="0"/>
    <n v="28"/>
    <n v="0"/>
    <s v=""/>
  </r>
  <r>
    <s v="FB001926"/>
    <x v="2"/>
    <x v="5"/>
    <x v="0"/>
    <m/>
    <x v="5"/>
    <n v="29.19"/>
    <n v="0"/>
    <n v="29.19"/>
    <d v="2025-03-15T00:00:00"/>
    <n v="20"/>
    <x v="42"/>
    <x v="0"/>
    <x v="0"/>
    <n v="172"/>
    <n v="0"/>
    <s v=""/>
  </r>
  <r>
    <s v="FB001927"/>
    <x v="1"/>
    <x v="1"/>
    <x v="2"/>
    <s v="M"/>
    <x v="9"/>
    <n v="34.72"/>
    <n v="0"/>
    <n v="34.72"/>
    <d v="2025-08-06T00:00:00"/>
    <n v="7"/>
    <x v="29"/>
    <x v="0"/>
    <x v="0"/>
    <n v="28"/>
    <n v="0"/>
    <s v=""/>
  </r>
  <r>
    <s v="FB001928"/>
    <x v="5"/>
    <x v="6"/>
    <x v="2"/>
    <s v="XL"/>
    <x v="4"/>
    <n v="107.49"/>
    <n v="0"/>
    <n v="107.49"/>
    <d v="2025-08-06T00:00:00"/>
    <n v="49"/>
    <x v="31"/>
    <x v="0"/>
    <x v="0"/>
    <n v="28"/>
    <n v="0"/>
    <s v=""/>
  </r>
  <r>
    <s v="FB001929"/>
    <x v="4"/>
    <x v="1"/>
    <x v="1"/>
    <s v="XXL"/>
    <x v="5"/>
    <n v="38.700000000000003"/>
    <n v="0"/>
    <n v="38.700000000000003"/>
    <d v="2025-08-06T00:00:00"/>
    <n v="11"/>
    <x v="30"/>
    <x v="0"/>
    <x v="0"/>
    <n v="28"/>
    <n v="0"/>
    <s v=""/>
  </r>
  <r>
    <s v="FB001930"/>
    <x v="0"/>
    <x v="5"/>
    <x v="0"/>
    <s v="XS"/>
    <x v="10"/>
    <n v="152.63999999999999"/>
    <n v="0"/>
    <n v="152.63999999999999"/>
    <d v="2025-04-05T00:00:00"/>
    <n v="19"/>
    <x v="16"/>
    <x v="0"/>
    <x v="0"/>
    <n v="151"/>
    <n v="0"/>
    <s v=""/>
  </r>
  <r>
    <s v="FB001931"/>
    <x v="0"/>
    <x v="3"/>
    <x v="2"/>
    <s v="XS"/>
    <x v="9"/>
    <n v="181.66"/>
    <n v="56.4"/>
    <n v="79.2"/>
    <d v="2025-08-06T00:00:00"/>
    <n v="43"/>
    <x v="19"/>
    <x v="0"/>
    <x v="0"/>
    <n v="28"/>
    <n v="2425.1999999999998"/>
    <s v=""/>
  </r>
  <r>
    <s v="FB001932"/>
    <x v="1"/>
    <x v="1"/>
    <x v="0"/>
    <s v="XL"/>
    <x v="6"/>
    <n v="114.8"/>
    <n v="17.399999999999999"/>
    <n v="94.82"/>
    <d v="2025-05-17T00:00:00"/>
    <n v="4"/>
    <x v="34"/>
    <x v="0"/>
    <x v="0"/>
    <n v="109"/>
    <n v="69.599999999999994"/>
    <s v=""/>
  </r>
  <r>
    <s v="FB001933"/>
    <x v="3"/>
    <x v="1"/>
    <x v="1"/>
    <s v="XXL"/>
    <x v="6"/>
    <n v="102.95"/>
    <n v="0"/>
    <n v="102.95"/>
    <d v="2025-08-06T00:00:00"/>
    <n v="38"/>
    <x v="22"/>
    <x v="0"/>
    <x v="0"/>
    <n v="28"/>
    <n v="0"/>
    <s v=""/>
  </r>
  <r>
    <s v="FB001934"/>
    <x v="1"/>
    <x v="7"/>
    <x v="1"/>
    <s v="XXL"/>
    <x v="6"/>
    <n v="86.82"/>
    <n v="0"/>
    <n v="86.82"/>
    <d v="2025-08-06T00:00:00"/>
    <n v="0"/>
    <x v="51"/>
    <x v="0"/>
    <x v="0"/>
    <n v="28"/>
    <n v="0"/>
    <s v=""/>
  </r>
  <r>
    <s v="FB001935"/>
    <x v="0"/>
    <x v="4"/>
    <x v="3"/>
    <s v="L"/>
    <x v="0"/>
    <n v="83.68"/>
    <n v="28.1"/>
    <n v="60.17"/>
    <d v="2025-08-06T00:00:00"/>
    <n v="46"/>
    <x v="8"/>
    <x v="1"/>
    <x v="4"/>
    <n v="28"/>
    <n v="1292.6000000000001"/>
    <n v="1"/>
  </r>
  <r>
    <s v="FB001936"/>
    <x v="0"/>
    <x v="2"/>
    <x v="2"/>
    <s v="S"/>
    <x v="1"/>
    <n v="167.31"/>
    <n v="50.7"/>
    <n v="82.48"/>
    <d v="2025-08-06T00:00:00"/>
    <n v="9"/>
    <x v="53"/>
    <x v="0"/>
    <x v="0"/>
    <n v="28"/>
    <n v="456.3"/>
    <s v=""/>
  </r>
  <r>
    <s v="FB001937"/>
    <x v="4"/>
    <x v="4"/>
    <x v="2"/>
    <s v="XS"/>
    <x v="4"/>
    <n v="114.64"/>
    <n v="5.0999999999999996"/>
    <n v="108.79"/>
    <d v="2025-08-06T00:00:00"/>
    <n v="21"/>
    <x v="66"/>
    <x v="0"/>
    <x v="0"/>
    <n v="28"/>
    <n v="107.1"/>
    <s v=""/>
  </r>
  <r>
    <s v="FB001938"/>
    <x v="0"/>
    <x v="4"/>
    <x v="0"/>
    <s v="XXL"/>
    <x v="3"/>
    <n v="109.53"/>
    <n v="29.3"/>
    <n v="77.44"/>
    <d v="2024-11-02T00:00:00"/>
    <n v="35"/>
    <x v="49"/>
    <x v="0"/>
    <x v="0"/>
    <n v="305"/>
    <n v="1025.5"/>
    <s v=""/>
  </r>
  <r>
    <s v="FB001939"/>
    <x v="2"/>
    <x v="5"/>
    <x v="3"/>
    <m/>
    <x v="7"/>
    <n v="51.02"/>
    <n v="57.9"/>
    <n v="21.48"/>
    <d v="2025-08-06T00:00:00"/>
    <n v="36"/>
    <x v="71"/>
    <x v="0"/>
    <x v="0"/>
    <n v="28"/>
    <n v="2084.4"/>
    <s v=""/>
  </r>
  <r>
    <s v="FB001940"/>
    <x v="3"/>
    <x v="4"/>
    <x v="2"/>
    <s v="M"/>
    <x v="6"/>
    <n v="77.45"/>
    <n v="52.8"/>
    <n v="36.56"/>
    <d v="2025-08-06T00:00:00"/>
    <n v="6"/>
    <x v="67"/>
    <x v="0"/>
    <x v="0"/>
    <n v="28"/>
    <n v="316.79999999999995"/>
    <s v=""/>
  </r>
  <r>
    <s v="FB001941"/>
    <x v="3"/>
    <x v="5"/>
    <x v="2"/>
    <s v="XS"/>
    <x v="3"/>
    <n v="142.87"/>
    <n v="45.4"/>
    <n v="78.010000000000005"/>
    <d v="2025-08-06T00:00:00"/>
    <n v="20"/>
    <x v="12"/>
    <x v="0"/>
    <x v="0"/>
    <n v="28"/>
    <n v="908"/>
    <s v=""/>
  </r>
  <r>
    <s v="FB001942"/>
    <x v="0"/>
    <x v="2"/>
    <x v="1"/>
    <s v="XS"/>
    <x v="3"/>
    <n v="138.87"/>
    <n v="0"/>
    <n v="138.87"/>
    <d v="2025-08-06T00:00:00"/>
    <n v="37"/>
    <x v="53"/>
    <x v="0"/>
    <x v="0"/>
    <n v="28"/>
    <n v="0"/>
    <s v=""/>
  </r>
  <r>
    <s v="FB001943"/>
    <x v="3"/>
    <x v="5"/>
    <x v="0"/>
    <s v="S"/>
    <x v="0"/>
    <n v="132.82"/>
    <n v="0"/>
    <n v="132.82"/>
    <d v="2025-03-17T00:00:00"/>
    <n v="40"/>
    <x v="44"/>
    <x v="1"/>
    <x v="5"/>
    <n v="170"/>
    <n v="0"/>
    <n v="1"/>
  </r>
  <r>
    <s v="FB001944"/>
    <x v="3"/>
    <x v="4"/>
    <x v="3"/>
    <s v="L"/>
    <x v="8"/>
    <n v="110.54"/>
    <n v="0"/>
    <n v="110.54"/>
    <d v="2025-08-06T00:00:00"/>
    <n v="24"/>
    <x v="76"/>
    <x v="1"/>
    <x v="2"/>
    <n v="28"/>
    <n v="0"/>
    <n v="1"/>
  </r>
  <r>
    <s v="FB001945"/>
    <x v="4"/>
    <x v="0"/>
    <x v="3"/>
    <s v="XL"/>
    <x v="7"/>
    <n v="29.07"/>
    <n v="0"/>
    <n v="29.07"/>
    <d v="2025-08-06T00:00:00"/>
    <n v="41"/>
    <x v="32"/>
    <x v="0"/>
    <x v="0"/>
    <n v="28"/>
    <n v="0"/>
    <s v=""/>
  </r>
  <r>
    <s v="FB001946"/>
    <x v="0"/>
    <x v="6"/>
    <x v="3"/>
    <s v="S"/>
    <x v="8"/>
    <n v="141.91999999999999"/>
    <n v="0"/>
    <n v="141.91999999999999"/>
    <d v="2025-08-06T00:00:00"/>
    <n v="37"/>
    <x v="12"/>
    <x v="0"/>
    <x v="0"/>
    <n v="28"/>
    <n v="0"/>
    <s v=""/>
  </r>
  <r>
    <s v="FB001947"/>
    <x v="3"/>
    <x v="2"/>
    <x v="3"/>
    <s v="XL"/>
    <x v="0"/>
    <n v="67.84"/>
    <n v="0"/>
    <n v="67.84"/>
    <d v="2025-08-06T00:00:00"/>
    <n v="24"/>
    <x v="19"/>
    <x v="0"/>
    <x v="0"/>
    <n v="28"/>
    <n v="0"/>
    <s v=""/>
  </r>
  <r>
    <s v="FB001948"/>
    <x v="3"/>
    <x v="3"/>
    <x v="1"/>
    <s v="S"/>
    <x v="10"/>
    <n v="143.27000000000001"/>
    <n v="0"/>
    <n v="143.27000000000001"/>
    <d v="2025-08-06T00:00:00"/>
    <n v="0"/>
    <x v="41"/>
    <x v="0"/>
    <x v="0"/>
    <n v="28"/>
    <n v="0"/>
    <s v=""/>
  </r>
  <r>
    <s v="FB001949"/>
    <x v="2"/>
    <x v="2"/>
    <x v="1"/>
    <m/>
    <x v="10"/>
    <n v="20.97"/>
    <n v="0"/>
    <n v="20.97"/>
    <d v="2025-08-06T00:00:00"/>
    <n v="44"/>
    <x v="14"/>
    <x v="0"/>
    <x v="0"/>
    <n v="28"/>
    <n v="0"/>
    <s v=""/>
  </r>
  <r>
    <s v="FB001950"/>
    <x v="5"/>
    <x v="0"/>
    <x v="3"/>
    <s v="XL"/>
    <x v="9"/>
    <n v="105.5"/>
    <n v="59.8"/>
    <n v="42.41"/>
    <d v="2025-08-06T00:00:00"/>
    <n v="34"/>
    <x v="75"/>
    <x v="0"/>
    <x v="0"/>
    <n v="28"/>
    <n v="2033.1999999999998"/>
    <s v=""/>
  </r>
  <r>
    <s v="FB001951"/>
    <x v="3"/>
    <x v="2"/>
    <x v="0"/>
    <s v="XXL"/>
    <x v="6"/>
    <n v="184.7"/>
    <n v="0"/>
    <n v="184.7"/>
    <d v="2024-09-19T00:00:00"/>
    <n v="39"/>
    <x v="54"/>
    <x v="1"/>
    <x v="2"/>
    <n v="349"/>
    <n v="0"/>
    <n v="1"/>
  </r>
  <r>
    <s v="FB001952"/>
    <x v="3"/>
    <x v="4"/>
    <x v="0"/>
    <s v="XS"/>
    <x v="5"/>
    <n v="81.47"/>
    <n v="32"/>
    <n v="55.4"/>
    <d v="2024-09-01T00:00:00"/>
    <n v="2"/>
    <x v="21"/>
    <x v="0"/>
    <x v="0"/>
    <n v="367"/>
    <n v="64"/>
    <s v=""/>
  </r>
  <r>
    <s v="FB001953"/>
    <x v="0"/>
    <x v="2"/>
    <x v="1"/>
    <s v="L"/>
    <x v="5"/>
    <n v="107.67"/>
    <n v="20.3"/>
    <n v="85.81"/>
    <d v="2025-08-06T00:00:00"/>
    <n v="16"/>
    <x v="2"/>
    <x v="0"/>
    <x v="0"/>
    <n v="28"/>
    <n v="324.8"/>
    <s v=""/>
  </r>
  <r>
    <s v="FB001954"/>
    <x v="1"/>
    <x v="2"/>
    <x v="3"/>
    <s v="XL"/>
    <x v="9"/>
    <n v="88.64"/>
    <n v="0"/>
    <n v="88.64"/>
    <d v="2025-08-06T00:00:00"/>
    <n v="33"/>
    <x v="4"/>
    <x v="0"/>
    <x v="0"/>
    <n v="28"/>
    <n v="0"/>
    <s v=""/>
  </r>
  <r>
    <s v="FB001955"/>
    <x v="2"/>
    <x v="0"/>
    <x v="1"/>
    <m/>
    <x v="0"/>
    <n v="17.5"/>
    <n v="14.4"/>
    <n v="14.98"/>
    <d v="2025-08-06T00:00:00"/>
    <n v="16"/>
    <x v="47"/>
    <x v="0"/>
    <x v="0"/>
    <n v="28"/>
    <n v="230.4"/>
    <s v=""/>
  </r>
  <r>
    <s v="FB001956"/>
    <x v="0"/>
    <x v="4"/>
    <x v="1"/>
    <s v="XL"/>
    <x v="4"/>
    <n v="205.37"/>
    <n v="0"/>
    <n v="205.37"/>
    <d v="2025-08-06T00:00:00"/>
    <n v="25"/>
    <x v="66"/>
    <x v="1"/>
    <x v="3"/>
    <n v="28"/>
    <n v="0"/>
    <n v="1"/>
  </r>
  <r>
    <s v="FB001957"/>
    <x v="5"/>
    <x v="3"/>
    <x v="1"/>
    <s v="XS"/>
    <x v="7"/>
    <n v="111.66"/>
    <n v="0"/>
    <n v="111.66"/>
    <d v="2025-08-06T00:00:00"/>
    <n v="26"/>
    <x v="40"/>
    <x v="0"/>
    <x v="0"/>
    <n v="28"/>
    <n v="0"/>
    <s v=""/>
  </r>
  <r>
    <s v="FB001958"/>
    <x v="3"/>
    <x v="3"/>
    <x v="3"/>
    <s v="S"/>
    <x v="1"/>
    <n v="184.87"/>
    <n v="56.4"/>
    <n v="80.599999999999994"/>
    <d v="2025-08-06T00:00:00"/>
    <n v="10"/>
    <x v="17"/>
    <x v="0"/>
    <x v="0"/>
    <n v="28"/>
    <n v="564"/>
    <s v=""/>
  </r>
  <r>
    <s v="FB001959"/>
    <x v="4"/>
    <x v="0"/>
    <x v="0"/>
    <s v="L"/>
    <x v="6"/>
    <n v="84.58"/>
    <n v="0"/>
    <n v="84.58"/>
    <d v="2025-01-17T00:00:00"/>
    <n v="33"/>
    <x v="35"/>
    <x v="0"/>
    <x v="0"/>
    <n v="229"/>
    <n v="0"/>
    <s v=""/>
  </r>
  <r>
    <s v="FB001960"/>
    <x v="4"/>
    <x v="7"/>
    <x v="3"/>
    <s v="XXL"/>
    <x v="3"/>
    <n v="66.739999999999995"/>
    <n v="0"/>
    <n v="66.739999999999995"/>
    <d v="2025-08-06T00:00:00"/>
    <n v="26"/>
    <x v="14"/>
    <x v="0"/>
    <x v="0"/>
    <n v="28"/>
    <n v="0"/>
    <s v=""/>
  </r>
  <r>
    <s v="FB001961"/>
    <x v="3"/>
    <x v="4"/>
    <x v="3"/>
    <s v="M"/>
    <x v="6"/>
    <n v="104.19"/>
    <n v="0"/>
    <n v="104.19"/>
    <d v="2025-08-06T00:00:00"/>
    <n v="4"/>
    <x v="52"/>
    <x v="0"/>
    <x v="0"/>
    <n v="28"/>
    <n v="0"/>
    <s v=""/>
  </r>
  <r>
    <s v="FB001962"/>
    <x v="0"/>
    <x v="1"/>
    <x v="3"/>
    <s v="M"/>
    <x v="6"/>
    <n v="216.73"/>
    <n v="0"/>
    <n v="216.73"/>
    <d v="2025-08-06T00:00:00"/>
    <n v="5"/>
    <x v="67"/>
    <x v="1"/>
    <x v="6"/>
    <n v="28"/>
    <n v="0"/>
    <n v="1"/>
  </r>
  <r>
    <s v="FB001963"/>
    <x v="5"/>
    <x v="3"/>
    <x v="3"/>
    <s v="XXL"/>
    <x v="7"/>
    <n v="87.82"/>
    <n v="0"/>
    <n v="87.82"/>
    <d v="2025-08-06T00:00:00"/>
    <n v="24"/>
    <x v="36"/>
    <x v="0"/>
    <x v="0"/>
    <n v="28"/>
    <n v="0"/>
    <s v=""/>
  </r>
  <r>
    <s v="FB001964"/>
    <x v="3"/>
    <x v="0"/>
    <x v="3"/>
    <s v="L"/>
    <x v="6"/>
    <n v="81.59"/>
    <n v="0"/>
    <n v="81.59"/>
    <d v="2025-08-06T00:00:00"/>
    <n v="5"/>
    <x v="1"/>
    <x v="0"/>
    <x v="0"/>
    <n v="28"/>
    <n v="0"/>
    <s v=""/>
  </r>
  <r>
    <s v="FB001965"/>
    <x v="0"/>
    <x v="6"/>
    <x v="3"/>
    <m/>
    <x v="5"/>
    <n v="93.14"/>
    <n v="32.799999999999997"/>
    <n v="62.59"/>
    <d v="2025-08-06T00:00:00"/>
    <n v="45"/>
    <x v="35"/>
    <x v="0"/>
    <x v="0"/>
    <n v="28"/>
    <n v="1475.9999999999998"/>
    <s v=""/>
  </r>
  <r>
    <s v="FB001966"/>
    <x v="4"/>
    <x v="6"/>
    <x v="0"/>
    <s v="XS"/>
    <x v="4"/>
    <n v="96.73"/>
    <n v="0"/>
    <n v="96.73"/>
    <d v="2024-11-09T00:00:00"/>
    <n v="18"/>
    <x v="51"/>
    <x v="0"/>
    <x v="0"/>
    <n v="298"/>
    <n v="0"/>
    <s v=""/>
  </r>
  <r>
    <s v="FB001967"/>
    <x v="2"/>
    <x v="7"/>
    <x v="1"/>
    <m/>
    <x v="5"/>
    <n v="19.34"/>
    <n v="0"/>
    <n v="19.34"/>
    <d v="2025-08-06T00:00:00"/>
    <n v="19"/>
    <x v="85"/>
    <x v="0"/>
    <x v="0"/>
    <n v="28"/>
    <n v="0"/>
    <s v=""/>
  </r>
  <r>
    <s v="FB001968"/>
    <x v="3"/>
    <x v="0"/>
    <x v="0"/>
    <s v="S"/>
    <x v="0"/>
    <n v="113.88"/>
    <n v="31.1"/>
    <n v="78.459999999999994"/>
    <d v="2025-06-10T00:00:00"/>
    <n v="22"/>
    <x v="47"/>
    <x v="0"/>
    <x v="0"/>
    <n v="85"/>
    <n v="684.2"/>
    <s v=""/>
  </r>
  <r>
    <s v="FB001969"/>
    <x v="5"/>
    <x v="0"/>
    <x v="0"/>
    <s v="XL"/>
    <x v="8"/>
    <n v="90.32"/>
    <n v="0"/>
    <n v="90.32"/>
    <d v="2025-03-26T00:00:00"/>
    <n v="41"/>
    <x v="32"/>
    <x v="0"/>
    <x v="0"/>
    <n v="161"/>
    <n v="0"/>
    <s v=""/>
  </r>
  <r>
    <s v="FB001970"/>
    <x v="1"/>
    <x v="2"/>
    <x v="3"/>
    <s v="L"/>
    <x v="4"/>
    <n v="38.119999999999997"/>
    <n v="0"/>
    <n v="38.119999999999997"/>
    <d v="2025-08-06T00:00:00"/>
    <n v="44"/>
    <x v="4"/>
    <x v="0"/>
    <x v="0"/>
    <n v="28"/>
    <n v="0"/>
    <s v=""/>
  </r>
  <r>
    <s v="FB001971"/>
    <x v="3"/>
    <x v="2"/>
    <x v="3"/>
    <s v="S"/>
    <x v="5"/>
    <n v="175.31"/>
    <n v="0"/>
    <n v="175.31"/>
    <d v="2025-08-06T00:00:00"/>
    <n v="13"/>
    <x v="74"/>
    <x v="0"/>
    <x v="0"/>
    <n v="28"/>
    <n v="0"/>
    <s v=""/>
  </r>
  <r>
    <s v="FB001972"/>
    <x v="5"/>
    <x v="0"/>
    <x v="0"/>
    <s v="L"/>
    <x v="0"/>
    <n v="171.92"/>
    <n v="0"/>
    <n v="171.92"/>
    <d v="2025-06-08T00:00:00"/>
    <n v="12"/>
    <x v="49"/>
    <x v="0"/>
    <x v="0"/>
    <n v="87"/>
    <n v="0"/>
    <s v=""/>
  </r>
  <r>
    <s v="FB001973"/>
    <x v="2"/>
    <x v="6"/>
    <x v="3"/>
    <m/>
    <x v="5"/>
    <n v="35.6"/>
    <n v="0"/>
    <n v="35.6"/>
    <d v="2025-08-06T00:00:00"/>
    <n v="24"/>
    <x v="47"/>
    <x v="0"/>
    <x v="0"/>
    <n v="28"/>
    <n v="0"/>
    <s v=""/>
  </r>
  <r>
    <s v="FB001974"/>
    <x v="4"/>
    <x v="4"/>
    <x v="3"/>
    <s v="M"/>
    <x v="8"/>
    <n v="81.7"/>
    <n v="0"/>
    <n v="81.7"/>
    <d v="2025-08-06T00:00:00"/>
    <n v="33"/>
    <x v="48"/>
    <x v="1"/>
    <x v="6"/>
    <n v="28"/>
    <n v="0"/>
    <n v="1"/>
  </r>
  <r>
    <s v="FB001975"/>
    <x v="4"/>
    <x v="2"/>
    <x v="3"/>
    <m/>
    <x v="9"/>
    <n v="29.7"/>
    <n v="0"/>
    <n v="29.7"/>
    <d v="2025-08-06T00:00:00"/>
    <n v="16"/>
    <x v="67"/>
    <x v="0"/>
    <x v="0"/>
    <n v="28"/>
    <n v="0"/>
    <s v=""/>
  </r>
  <r>
    <s v="FB001976"/>
    <x v="0"/>
    <x v="3"/>
    <x v="1"/>
    <s v="S"/>
    <x v="10"/>
    <n v="239.65"/>
    <n v="0"/>
    <n v="239.65"/>
    <d v="2025-08-06T00:00:00"/>
    <n v="27"/>
    <x v="5"/>
    <x v="0"/>
    <x v="0"/>
    <n v="28"/>
    <n v="0"/>
    <s v=""/>
  </r>
  <r>
    <s v="FB001977"/>
    <x v="1"/>
    <x v="4"/>
    <x v="2"/>
    <s v="M"/>
    <x v="0"/>
    <n v="90.41"/>
    <n v="0"/>
    <n v="90.41"/>
    <d v="2025-08-06T00:00:00"/>
    <n v="11"/>
    <x v="84"/>
    <x v="0"/>
    <x v="0"/>
    <n v="28"/>
    <n v="0"/>
    <s v=""/>
  </r>
  <r>
    <s v="FB001978"/>
    <x v="5"/>
    <x v="5"/>
    <x v="1"/>
    <s v="XL"/>
    <x v="3"/>
    <n v="81.78"/>
    <n v="10"/>
    <n v="73.599999999999994"/>
    <d v="2025-08-06T00:00:00"/>
    <n v="24"/>
    <x v="19"/>
    <x v="0"/>
    <x v="0"/>
    <n v="28"/>
    <n v="240"/>
    <s v=""/>
  </r>
  <r>
    <s v="FB001979"/>
    <x v="0"/>
    <x v="7"/>
    <x v="1"/>
    <s v="L"/>
    <x v="2"/>
    <n v="142.55000000000001"/>
    <n v="0"/>
    <n v="142.55000000000001"/>
    <d v="2025-08-06T00:00:00"/>
    <n v="21"/>
    <x v="35"/>
    <x v="0"/>
    <x v="0"/>
    <n v="28"/>
    <n v="0"/>
    <s v=""/>
  </r>
  <r>
    <s v="FB001980"/>
    <x v="5"/>
    <x v="6"/>
    <x v="2"/>
    <s v="S"/>
    <x v="2"/>
    <n v="53.13"/>
    <n v="0"/>
    <n v="53.13"/>
    <d v="2025-08-06T00:00:00"/>
    <n v="5"/>
    <x v="14"/>
    <x v="0"/>
    <x v="0"/>
    <n v="28"/>
    <n v="0"/>
    <s v=""/>
  </r>
  <r>
    <s v="FB001981"/>
    <x v="4"/>
    <x v="7"/>
    <x v="3"/>
    <s v="L"/>
    <x v="8"/>
    <n v="80.81"/>
    <n v="0"/>
    <n v="80.81"/>
    <d v="2025-08-06T00:00:00"/>
    <n v="15"/>
    <x v="14"/>
    <x v="0"/>
    <x v="0"/>
    <n v="28"/>
    <n v="0"/>
    <s v=""/>
  </r>
  <r>
    <s v="FB001982"/>
    <x v="1"/>
    <x v="1"/>
    <x v="2"/>
    <s v="M"/>
    <x v="8"/>
    <n v="89.39"/>
    <n v="0"/>
    <n v="89.39"/>
    <d v="2025-08-06T00:00:00"/>
    <n v="33"/>
    <x v="36"/>
    <x v="0"/>
    <x v="0"/>
    <n v="28"/>
    <n v="0"/>
    <s v=""/>
  </r>
  <r>
    <s v="FB001983"/>
    <x v="4"/>
    <x v="3"/>
    <x v="3"/>
    <s v="S"/>
    <x v="5"/>
    <n v="37.9"/>
    <n v="37.9"/>
    <n v="23.54"/>
    <d v="2025-08-06T00:00:00"/>
    <n v="34"/>
    <x v="49"/>
    <x v="0"/>
    <x v="0"/>
    <n v="28"/>
    <n v="1288.5999999999999"/>
    <s v=""/>
  </r>
  <r>
    <s v="FB001984"/>
    <x v="2"/>
    <x v="3"/>
    <x v="0"/>
    <m/>
    <x v="10"/>
    <n v="44.49"/>
    <n v="0"/>
    <n v="44.49"/>
    <d v="2025-06-27T00:00:00"/>
    <n v="34"/>
    <x v="54"/>
    <x v="0"/>
    <x v="0"/>
    <n v="68"/>
    <n v="0"/>
    <s v=""/>
  </r>
  <r>
    <s v="FB001985"/>
    <x v="1"/>
    <x v="3"/>
    <x v="3"/>
    <s v="L"/>
    <x v="7"/>
    <n v="111.7"/>
    <n v="0"/>
    <n v="111.7"/>
    <d v="2025-08-06T00:00:00"/>
    <n v="2"/>
    <x v="60"/>
    <x v="1"/>
    <x v="2"/>
    <n v="28"/>
    <n v="0"/>
    <n v="1"/>
  </r>
  <r>
    <s v="FB001986"/>
    <x v="1"/>
    <x v="4"/>
    <x v="0"/>
    <s v="L"/>
    <x v="8"/>
    <n v="109.76"/>
    <n v="0"/>
    <n v="109.76"/>
    <d v="2025-01-12T00:00:00"/>
    <n v="23"/>
    <x v="66"/>
    <x v="1"/>
    <x v="4"/>
    <n v="234"/>
    <n v="0"/>
    <n v="1"/>
  </r>
  <r>
    <s v="FB001987"/>
    <x v="2"/>
    <x v="1"/>
    <x v="2"/>
    <m/>
    <x v="8"/>
    <n v="33"/>
    <n v="0"/>
    <n v="33"/>
    <d v="2025-08-06T00:00:00"/>
    <n v="50"/>
    <x v="30"/>
    <x v="0"/>
    <x v="0"/>
    <n v="28"/>
    <n v="0"/>
    <s v=""/>
  </r>
  <r>
    <s v="FB001988"/>
    <x v="3"/>
    <x v="5"/>
    <x v="1"/>
    <s v="M"/>
    <x v="6"/>
    <n v="150.65"/>
    <n v="8.9"/>
    <n v="137.24"/>
    <d v="2025-08-06T00:00:00"/>
    <n v="43"/>
    <x v="10"/>
    <x v="0"/>
    <x v="0"/>
    <n v="28"/>
    <n v="382.7"/>
    <s v=""/>
  </r>
  <r>
    <s v="FB001989"/>
    <x v="4"/>
    <x v="0"/>
    <x v="2"/>
    <s v="S"/>
    <x v="6"/>
    <n v="66.34"/>
    <n v="19"/>
    <n v="53.74"/>
    <d v="2025-08-06T00:00:00"/>
    <n v="42"/>
    <x v="42"/>
    <x v="0"/>
    <x v="0"/>
    <n v="28"/>
    <n v="798"/>
    <s v=""/>
  </r>
  <r>
    <s v="FB001990"/>
    <x v="4"/>
    <x v="6"/>
    <x v="0"/>
    <s v="M"/>
    <x v="1"/>
    <n v="27.89"/>
    <n v="17.399999999999999"/>
    <n v="23.04"/>
    <d v="2024-09-06T00:00:00"/>
    <n v="43"/>
    <x v="54"/>
    <x v="0"/>
    <x v="0"/>
    <n v="362"/>
    <n v="748.19999999999993"/>
    <s v=""/>
  </r>
  <r>
    <s v="FB001991"/>
    <x v="2"/>
    <x v="1"/>
    <x v="3"/>
    <m/>
    <x v="4"/>
    <n v="60.18"/>
    <n v="0"/>
    <n v="60.18"/>
    <d v="2025-08-06T00:00:00"/>
    <n v="36"/>
    <x v="40"/>
    <x v="0"/>
    <x v="0"/>
    <n v="28"/>
    <n v="0"/>
    <s v=""/>
  </r>
  <r>
    <s v="FB001992"/>
    <x v="1"/>
    <x v="0"/>
    <x v="2"/>
    <s v="XL"/>
    <x v="0"/>
    <n v="54.26"/>
    <n v="18.399999999999999"/>
    <n v="44.28"/>
    <d v="2025-08-06T00:00:00"/>
    <n v="29"/>
    <x v="3"/>
    <x v="0"/>
    <x v="0"/>
    <n v="28"/>
    <n v="533.59999999999991"/>
    <s v=""/>
  </r>
  <r>
    <s v="FB001993"/>
    <x v="3"/>
    <x v="1"/>
    <x v="0"/>
    <s v="S"/>
    <x v="0"/>
    <n v="78.44"/>
    <n v="0"/>
    <n v="78.44"/>
    <d v="2024-09-20T00:00:00"/>
    <n v="42"/>
    <x v="57"/>
    <x v="1"/>
    <x v="4"/>
    <n v="348"/>
    <n v="0"/>
    <n v="1"/>
  </r>
  <r>
    <s v="FB001994"/>
    <x v="0"/>
    <x v="4"/>
    <x v="2"/>
    <s v="XS"/>
    <x v="2"/>
    <n v="183.05"/>
    <n v="0"/>
    <n v="183.05"/>
    <d v="2025-08-06T00:00:00"/>
    <n v="4"/>
    <x v="14"/>
    <x v="0"/>
    <x v="0"/>
    <n v="28"/>
    <n v="0"/>
    <s v=""/>
  </r>
  <r>
    <s v="FB001995"/>
    <x v="3"/>
    <x v="1"/>
    <x v="0"/>
    <s v="M"/>
    <x v="4"/>
    <n v="76.3"/>
    <n v="0"/>
    <n v="76.3"/>
    <d v="2025-07-03T00:00:00"/>
    <n v="35"/>
    <x v="3"/>
    <x v="0"/>
    <x v="0"/>
    <n v="62"/>
    <n v="0"/>
    <s v=""/>
  </r>
  <r>
    <s v="FB001996"/>
    <x v="1"/>
    <x v="0"/>
    <x v="0"/>
    <s v="XS"/>
    <x v="9"/>
    <n v="84.21"/>
    <n v="0"/>
    <n v="84.21"/>
    <d v="2025-01-15T00:00:00"/>
    <n v="43"/>
    <x v="10"/>
    <x v="0"/>
    <x v="0"/>
    <n v="231"/>
    <n v="0"/>
    <s v=""/>
  </r>
  <r>
    <s v="FB001997"/>
    <x v="2"/>
    <x v="5"/>
    <x v="0"/>
    <m/>
    <x v="4"/>
    <n v="77.34"/>
    <n v="0"/>
    <n v="77.34"/>
    <d v="2025-01-10T00:00:00"/>
    <n v="27"/>
    <x v="71"/>
    <x v="0"/>
    <x v="0"/>
    <n v="236"/>
    <n v="0"/>
    <s v=""/>
  </r>
  <r>
    <s v="FB001998"/>
    <x v="5"/>
    <x v="0"/>
    <x v="0"/>
    <s v="S"/>
    <x v="8"/>
    <n v="122.82"/>
    <n v="45.4"/>
    <n v="67.06"/>
    <d v="2024-08-30T00:00:00"/>
    <n v="9"/>
    <x v="47"/>
    <x v="0"/>
    <x v="0"/>
    <n v="369"/>
    <n v="408.59999999999997"/>
    <s v=""/>
  </r>
  <r>
    <s v="FB001999"/>
    <x v="5"/>
    <x v="3"/>
    <x v="1"/>
    <s v="XXL"/>
    <x v="5"/>
    <n v="103.85"/>
    <n v="0"/>
    <n v="103.85"/>
    <d v="2025-08-06T00:00:00"/>
    <n v="26"/>
    <x v="47"/>
    <x v="0"/>
    <x v="0"/>
    <n v="28"/>
    <n v="0"/>
    <s v=""/>
  </r>
  <r>
    <s v="FB002000"/>
    <x v="4"/>
    <x v="4"/>
    <x v="2"/>
    <s v="XXL"/>
    <x v="0"/>
    <n v="117.73"/>
    <n v="41.3"/>
    <n v="69.11"/>
    <d v="2025-08-06T00:00:00"/>
    <n v="8"/>
    <x v="48"/>
    <x v="0"/>
    <x v="0"/>
    <n v="28"/>
    <n v="330.4"/>
    <s v=""/>
  </r>
  <r>
    <s v="FB002001"/>
    <x v="5"/>
    <x v="7"/>
    <x v="2"/>
    <s v="XL"/>
    <x v="6"/>
    <n v="115.98"/>
    <n v="0"/>
    <n v="115.98"/>
    <d v="2025-08-06T00:00:00"/>
    <n v="42"/>
    <x v="17"/>
    <x v="0"/>
    <x v="0"/>
    <n v="28"/>
    <n v="0"/>
    <s v=""/>
  </r>
  <r>
    <s v="FB002002"/>
    <x v="5"/>
    <x v="0"/>
    <x v="2"/>
    <s v="L"/>
    <x v="8"/>
    <n v="175.43"/>
    <n v="0"/>
    <n v="175.43"/>
    <d v="2025-08-06T00:00:00"/>
    <n v="3"/>
    <x v="34"/>
    <x v="1"/>
    <x v="1"/>
    <n v="28"/>
    <n v="0"/>
    <n v="1"/>
  </r>
  <r>
    <s v="FB002003"/>
    <x v="0"/>
    <x v="6"/>
    <x v="0"/>
    <s v="S"/>
    <x v="6"/>
    <n v="162.81"/>
    <n v="0"/>
    <n v="162.81"/>
    <d v="2025-01-10T00:00:00"/>
    <n v="40"/>
    <x v="54"/>
    <x v="0"/>
    <x v="0"/>
    <n v="236"/>
    <n v="0"/>
    <s v=""/>
  </r>
  <r>
    <s v="FB002004"/>
    <x v="5"/>
    <x v="1"/>
    <x v="0"/>
    <s v="L"/>
    <x v="9"/>
    <n v="146.68"/>
    <n v="0"/>
    <n v="146.68"/>
    <d v="2024-08-07T00:00:00"/>
    <n v="8"/>
    <x v="83"/>
    <x v="0"/>
    <x v="0"/>
    <n v="392"/>
    <n v="0"/>
    <s v=""/>
  </r>
  <r>
    <s v="FB002005"/>
    <x v="5"/>
    <x v="4"/>
    <x v="2"/>
    <s v="L"/>
    <x v="1"/>
    <n v="82.9"/>
    <n v="42.2"/>
    <n v="47.92"/>
    <d v="2025-08-06T00:00:00"/>
    <n v="4"/>
    <x v="54"/>
    <x v="0"/>
    <x v="0"/>
    <n v="28"/>
    <n v="168.8"/>
    <s v=""/>
  </r>
  <r>
    <s v="FB002006"/>
    <x v="1"/>
    <x v="0"/>
    <x v="2"/>
    <s v="XS"/>
    <x v="3"/>
    <n v="92.9"/>
    <n v="0"/>
    <n v="92.9"/>
    <d v="2025-08-06T00:00:00"/>
    <n v="30"/>
    <x v="69"/>
    <x v="0"/>
    <x v="0"/>
    <n v="28"/>
    <n v="0"/>
    <s v=""/>
  </r>
  <r>
    <s v="FB002007"/>
    <x v="5"/>
    <x v="2"/>
    <x v="1"/>
    <s v="XXL"/>
    <x v="5"/>
    <n v="133.88999999999999"/>
    <n v="5.7"/>
    <n v="126.26"/>
    <d v="2025-08-06T00:00:00"/>
    <n v="17"/>
    <x v="10"/>
    <x v="1"/>
    <x v="2"/>
    <n v="28"/>
    <n v="96.9"/>
    <n v="1"/>
  </r>
  <r>
    <s v="FB002008"/>
    <x v="5"/>
    <x v="5"/>
    <x v="1"/>
    <s v="XXL"/>
    <x v="7"/>
    <n v="89.1"/>
    <n v="0"/>
    <n v="89.1"/>
    <d v="2025-08-06T00:00:00"/>
    <n v="8"/>
    <x v="81"/>
    <x v="0"/>
    <x v="0"/>
    <n v="28"/>
    <n v="0"/>
    <s v=""/>
  </r>
  <r>
    <s v="FB002009"/>
    <x v="0"/>
    <x v="2"/>
    <x v="1"/>
    <s v="XL"/>
    <x v="7"/>
    <n v="175.62"/>
    <n v="3.2"/>
    <n v="170"/>
    <d v="2025-08-06T00:00:00"/>
    <n v="46"/>
    <x v="79"/>
    <x v="0"/>
    <x v="0"/>
    <n v="28"/>
    <n v="147.20000000000002"/>
    <s v=""/>
  </r>
  <r>
    <s v="FB002010"/>
    <x v="5"/>
    <x v="4"/>
    <x v="3"/>
    <s v="L"/>
    <x v="2"/>
    <n v="154.02000000000001"/>
    <n v="0"/>
    <n v="154.02000000000001"/>
    <d v="2025-08-06T00:00:00"/>
    <n v="21"/>
    <x v="31"/>
    <x v="0"/>
    <x v="0"/>
    <n v="28"/>
    <n v="0"/>
    <s v=""/>
  </r>
  <r>
    <s v="FB002011"/>
    <x v="0"/>
    <x v="0"/>
    <x v="2"/>
    <s v="S"/>
    <x v="7"/>
    <n v="215.1"/>
    <n v="0"/>
    <n v="215.1"/>
    <d v="2025-08-06T00:00:00"/>
    <n v="16"/>
    <x v="1"/>
    <x v="0"/>
    <x v="0"/>
    <n v="28"/>
    <n v="0"/>
    <s v=""/>
  </r>
  <r>
    <s v="FB002012"/>
    <x v="1"/>
    <x v="5"/>
    <x v="2"/>
    <s v="M"/>
    <x v="10"/>
    <n v="40.28"/>
    <n v="0"/>
    <n v="40.28"/>
    <d v="2025-08-06T00:00:00"/>
    <n v="35"/>
    <x v="22"/>
    <x v="0"/>
    <x v="0"/>
    <n v="28"/>
    <n v="0"/>
    <s v=""/>
  </r>
  <r>
    <s v="FB002013"/>
    <x v="2"/>
    <x v="7"/>
    <x v="2"/>
    <m/>
    <x v="4"/>
    <n v="25.95"/>
    <n v="18.8"/>
    <n v="21.07"/>
    <d v="2025-08-06T00:00:00"/>
    <n v="1"/>
    <x v="30"/>
    <x v="0"/>
    <x v="0"/>
    <n v="28"/>
    <n v="18.8"/>
    <s v=""/>
  </r>
  <r>
    <s v="FB002014"/>
    <x v="2"/>
    <x v="1"/>
    <x v="2"/>
    <m/>
    <x v="8"/>
    <n v="21.26"/>
    <n v="50.7"/>
    <n v="10.48"/>
    <d v="2025-08-06T00:00:00"/>
    <n v="39"/>
    <x v="2"/>
    <x v="0"/>
    <x v="0"/>
    <n v="28"/>
    <n v="1977.3000000000002"/>
    <s v=""/>
  </r>
  <r>
    <s v="FB002015"/>
    <x v="5"/>
    <x v="0"/>
    <x v="0"/>
    <s v="XS"/>
    <x v="5"/>
    <n v="146.07"/>
    <n v="0"/>
    <n v="146.07"/>
    <d v="2025-07-09T00:00:00"/>
    <n v="33"/>
    <x v="17"/>
    <x v="0"/>
    <x v="0"/>
    <n v="56"/>
    <n v="0"/>
    <s v=""/>
  </r>
  <r>
    <s v="FB002016"/>
    <x v="5"/>
    <x v="5"/>
    <x v="0"/>
    <s v="S"/>
    <x v="4"/>
    <n v="135.97"/>
    <n v="0"/>
    <n v="135.97"/>
    <d v="2024-09-10T00:00:00"/>
    <n v="30"/>
    <x v="21"/>
    <x v="0"/>
    <x v="0"/>
    <n v="358"/>
    <n v="0"/>
    <s v=""/>
  </r>
  <r>
    <s v="FB002017"/>
    <x v="3"/>
    <x v="0"/>
    <x v="0"/>
    <s v="L"/>
    <x v="6"/>
    <n v="84.88"/>
    <n v="7.4"/>
    <n v="78.599999999999994"/>
    <d v="2025-03-26T00:00:00"/>
    <n v="42"/>
    <x v="10"/>
    <x v="0"/>
    <x v="0"/>
    <n v="161"/>
    <n v="310.8"/>
    <s v=""/>
  </r>
  <r>
    <s v="FB002018"/>
    <x v="3"/>
    <x v="4"/>
    <x v="1"/>
    <s v="XS"/>
    <x v="7"/>
    <n v="159.25"/>
    <n v="5.5"/>
    <n v="150.49"/>
    <d v="2025-08-06T00:00:00"/>
    <n v="8"/>
    <x v="76"/>
    <x v="0"/>
    <x v="0"/>
    <n v="28"/>
    <n v="44"/>
    <s v=""/>
  </r>
  <r>
    <s v="FB002019"/>
    <x v="4"/>
    <x v="5"/>
    <x v="1"/>
    <s v="M"/>
    <x v="10"/>
    <n v="84.29"/>
    <n v="0"/>
    <n v="84.29"/>
    <d v="2025-08-06T00:00:00"/>
    <n v="4"/>
    <x v="32"/>
    <x v="0"/>
    <x v="0"/>
    <n v="28"/>
    <n v="0"/>
    <s v=""/>
  </r>
  <r>
    <s v="FB002020"/>
    <x v="2"/>
    <x v="7"/>
    <x v="1"/>
    <m/>
    <x v="0"/>
    <n v="38.86"/>
    <n v="0"/>
    <n v="38.86"/>
    <d v="2025-08-06T00:00:00"/>
    <n v="44"/>
    <x v="85"/>
    <x v="0"/>
    <x v="0"/>
    <n v="28"/>
    <n v="0"/>
    <s v=""/>
  </r>
  <r>
    <s v="FB002021"/>
    <x v="1"/>
    <x v="2"/>
    <x v="3"/>
    <s v="M"/>
    <x v="5"/>
    <n v="38.72"/>
    <n v="0"/>
    <n v="38.72"/>
    <d v="2025-08-06T00:00:00"/>
    <n v="35"/>
    <x v="30"/>
    <x v="0"/>
    <x v="0"/>
    <n v="28"/>
    <n v="0"/>
    <s v=""/>
  </r>
  <r>
    <s v="FB002022"/>
    <x v="5"/>
    <x v="0"/>
    <x v="1"/>
    <s v="XS"/>
    <x v="2"/>
    <n v="177.1"/>
    <n v="0"/>
    <n v="177.1"/>
    <d v="2025-08-06T00:00:00"/>
    <n v="49"/>
    <x v="6"/>
    <x v="0"/>
    <x v="0"/>
    <n v="28"/>
    <n v="0"/>
    <s v=""/>
  </r>
  <r>
    <s v="FB002023"/>
    <x v="4"/>
    <x v="7"/>
    <x v="0"/>
    <s v="XS"/>
    <x v="4"/>
    <n v="31.49"/>
    <n v="0"/>
    <n v="31.49"/>
    <d v="2024-10-19T00:00:00"/>
    <n v="28"/>
    <x v="77"/>
    <x v="0"/>
    <x v="0"/>
    <n v="319"/>
    <n v="0"/>
    <s v=""/>
  </r>
  <r>
    <s v="FB002024"/>
    <x v="1"/>
    <x v="1"/>
    <x v="3"/>
    <m/>
    <x v="1"/>
    <n v="118.14"/>
    <n v="0"/>
    <n v="118.14"/>
    <d v="2025-08-06T00:00:00"/>
    <n v="33"/>
    <x v="13"/>
    <x v="0"/>
    <x v="0"/>
    <n v="28"/>
    <n v="0"/>
    <s v=""/>
  </r>
  <r>
    <s v="FB002025"/>
    <x v="1"/>
    <x v="6"/>
    <x v="0"/>
    <s v="S"/>
    <x v="6"/>
    <n v="26.51"/>
    <n v="24"/>
    <n v="20.149999999999999"/>
    <d v="2025-05-24T00:00:00"/>
    <n v="1"/>
    <x v="52"/>
    <x v="0"/>
    <x v="0"/>
    <n v="102"/>
    <n v="24"/>
    <s v=""/>
  </r>
  <r>
    <s v="FB002026"/>
    <x v="1"/>
    <x v="7"/>
    <x v="2"/>
    <s v="L"/>
    <x v="5"/>
    <n v="29.61"/>
    <n v="0"/>
    <n v="29.61"/>
    <d v="2025-08-06T00:00:00"/>
    <n v="9"/>
    <x v="50"/>
    <x v="0"/>
    <x v="0"/>
    <n v="28"/>
    <n v="0"/>
    <s v=""/>
  </r>
  <r>
    <s v="FB002027"/>
    <x v="0"/>
    <x v="5"/>
    <x v="3"/>
    <s v="S"/>
    <x v="4"/>
    <n v="244.13"/>
    <n v="0"/>
    <n v="244.13"/>
    <d v="2025-08-06T00:00:00"/>
    <n v="2"/>
    <x v="15"/>
    <x v="1"/>
    <x v="2"/>
    <n v="28"/>
    <n v="0"/>
    <n v="1"/>
  </r>
  <r>
    <s v="FB002028"/>
    <x v="2"/>
    <x v="6"/>
    <x v="0"/>
    <m/>
    <x v="3"/>
    <n v="16.54"/>
    <n v="0"/>
    <n v="16.54"/>
    <d v="2025-04-26T00:00:00"/>
    <n v="30"/>
    <x v="80"/>
    <x v="0"/>
    <x v="0"/>
    <n v="130"/>
    <n v="0"/>
    <s v=""/>
  </r>
  <r>
    <s v="FB002029"/>
    <x v="1"/>
    <x v="0"/>
    <x v="2"/>
    <s v="S"/>
    <x v="3"/>
    <n v="100.98"/>
    <n v="0"/>
    <n v="100.98"/>
    <d v="2025-08-06T00:00:00"/>
    <n v="41"/>
    <x v="69"/>
    <x v="0"/>
    <x v="0"/>
    <n v="28"/>
    <n v="0"/>
    <s v=""/>
  </r>
  <r>
    <s v="FB002030"/>
    <x v="0"/>
    <x v="1"/>
    <x v="1"/>
    <m/>
    <x v="4"/>
    <n v="175.42"/>
    <n v="0"/>
    <n v="175.42"/>
    <d v="2025-08-06T00:00:00"/>
    <n v="5"/>
    <x v="20"/>
    <x v="0"/>
    <x v="0"/>
    <n v="28"/>
    <n v="0"/>
    <s v=""/>
  </r>
  <r>
    <s v="FB002031"/>
    <x v="5"/>
    <x v="5"/>
    <x v="0"/>
    <s v="XXL"/>
    <x v="1"/>
    <n v="133.15"/>
    <n v="20.3"/>
    <n v="106.12"/>
    <d v="2025-06-03T00:00:00"/>
    <n v="9"/>
    <x v="53"/>
    <x v="0"/>
    <x v="0"/>
    <n v="92"/>
    <n v="182.70000000000002"/>
    <s v=""/>
  </r>
  <r>
    <s v="FB002032"/>
    <x v="5"/>
    <x v="1"/>
    <x v="2"/>
    <m/>
    <x v="1"/>
    <n v="94.21"/>
    <n v="44.7"/>
    <n v="52.1"/>
    <d v="2025-08-06T00:00:00"/>
    <n v="48"/>
    <x v="2"/>
    <x v="0"/>
    <x v="0"/>
    <n v="28"/>
    <n v="2145.6000000000004"/>
    <s v=""/>
  </r>
  <r>
    <s v="FB002033"/>
    <x v="1"/>
    <x v="7"/>
    <x v="1"/>
    <s v="M"/>
    <x v="1"/>
    <n v="115.44"/>
    <n v="0"/>
    <n v="115.44"/>
    <d v="2025-08-06T00:00:00"/>
    <n v="21"/>
    <x v="19"/>
    <x v="0"/>
    <x v="0"/>
    <n v="28"/>
    <n v="0"/>
    <s v=""/>
  </r>
  <r>
    <s v="FB002034"/>
    <x v="0"/>
    <x v="0"/>
    <x v="0"/>
    <s v="S"/>
    <x v="3"/>
    <n v="194.39"/>
    <n v="26.5"/>
    <n v="142.88"/>
    <d v="2025-04-15T00:00:00"/>
    <n v="12"/>
    <x v="19"/>
    <x v="0"/>
    <x v="0"/>
    <n v="141"/>
    <n v="318"/>
    <s v=""/>
  </r>
  <r>
    <s v="FB002035"/>
    <x v="3"/>
    <x v="2"/>
    <x v="0"/>
    <s v="L"/>
    <x v="3"/>
    <n v="132.38999999999999"/>
    <n v="27.6"/>
    <n v="95.85"/>
    <d v="2024-10-31T00:00:00"/>
    <n v="16"/>
    <x v="74"/>
    <x v="0"/>
    <x v="0"/>
    <n v="307"/>
    <n v="441.6"/>
    <s v=""/>
  </r>
  <r>
    <s v="FB002036"/>
    <x v="2"/>
    <x v="1"/>
    <x v="0"/>
    <m/>
    <x v="0"/>
    <n v="52.54"/>
    <n v="14.6"/>
    <n v="44.87"/>
    <d v="2024-09-17T00:00:00"/>
    <n v="7"/>
    <x v="40"/>
    <x v="0"/>
    <x v="0"/>
    <n v="351"/>
    <n v="102.2"/>
    <s v=""/>
  </r>
  <r>
    <s v="FB002037"/>
    <x v="5"/>
    <x v="1"/>
    <x v="0"/>
    <s v="XL"/>
    <x v="2"/>
    <n v="165.01"/>
    <n v="41.2"/>
    <n v="97.03"/>
    <d v="2024-10-19T00:00:00"/>
    <n v="22"/>
    <x v="83"/>
    <x v="0"/>
    <x v="0"/>
    <n v="319"/>
    <n v="906.40000000000009"/>
    <s v=""/>
  </r>
  <r>
    <s v="FB002038"/>
    <x v="2"/>
    <x v="5"/>
    <x v="0"/>
    <m/>
    <x v="9"/>
    <n v="42.94"/>
    <n v="34.299999999999997"/>
    <n v="28.21"/>
    <d v="2024-12-22T00:00:00"/>
    <n v="41"/>
    <x v="71"/>
    <x v="0"/>
    <x v="0"/>
    <n v="255"/>
    <n v="1406.3"/>
    <s v=""/>
  </r>
  <r>
    <s v="FB002039"/>
    <x v="1"/>
    <x v="1"/>
    <x v="2"/>
    <s v="XL"/>
    <x v="7"/>
    <n v="72.78"/>
    <n v="0"/>
    <n v="72.78"/>
    <d v="2025-08-06T00:00:00"/>
    <n v="49"/>
    <x v="47"/>
    <x v="0"/>
    <x v="0"/>
    <n v="28"/>
    <n v="0"/>
    <s v=""/>
  </r>
  <r>
    <s v="FB002040"/>
    <x v="3"/>
    <x v="1"/>
    <x v="2"/>
    <s v="S"/>
    <x v="0"/>
    <n v="189.32"/>
    <n v="0"/>
    <n v="189.32"/>
    <d v="2025-08-06T00:00:00"/>
    <n v="35"/>
    <x v="1"/>
    <x v="0"/>
    <x v="0"/>
    <n v="28"/>
    <n v="0"/>
    <s v=""/>
  </r>
  <r>
    <s v="FB002041"/>
    <x v="5"/>
    <x v="5"/>
    <x v="3"/>
    <s v="XL"/>
    <x v="3"/>
    <n v="157"/>
    <n v="55.7"/>
    <n v="69.55"/>
    <d v="2025-08-06T00:00:00"/>
    <n v="6"/>
    <x v="54"/>
    <x v="0"/>
    <x v="0"/>
    <n v="28"/>
    <n v="334.20000000000005"/>
    <s v=""/>
  </r>
  <r>
    <s v="FB002042"/>
    <x v="1"/>
    <x v="6"/>
    <x v="0"/>
    <s v="S"/>
    <x v="9"/>
    <n v="28.73"/>
    <n v="26.4"/>
    <n v="21.15"/>
    <d v="2024-10-10T00:00:00"/>
    <n v="47"/>
    <x v="39"/>
    <x v="1"/>
    <x v="2"/>
    <n v="328"/>
    <n v="1240.8"/>
    <n v="1"/>
  </r>
  <r>
    <s v="FB002043"/>
    <x v="0"/>
    <x v="7"/>
    <x v="1"/>
    <s v="L"/>
    <x v="4"/>
    <n v="144.63999999999999"/>
    <n v="0"/>
    <n v="144.63999999999999"/>
    <d v="2025-08-06T00:00:00"/>
    <n v="0"/>
    <x v="35"/>
    <x v="0"/>
    <x v="0"/>
    <n v="28"/>
    <n v="0"/>
    <s v=""/>
  </r>
  <r>
    <s v="FB002044"/>
    <x v="3"/>
    <x v="2"/>
    <x v="2"/>
    <s v="L"/>
    <x v="5"/>
    <n v="180.99"/>
    <n v="0"/>
    <n v="180.99"/>
    <d v="2025-08-06T00:00:00"/>
    <n v="0"/>
    <x v="35"/>
    <x v="0"/>
    <x v="0"/>
    <n v="28"/>
    <n v="0"/>
    <s v=""/>
  </r>
  <r>
    <s v="FB002045"/>
    <x v="1"/>
    <x v="5"/>
    <x v="2"/>
    <s v="M"/>
    <x v="6"/>
    <n v="74.959999999999994"/>
    <n v="56.1"/>
    <n v="32.909999999999997"/>
    <d v="2025-08-06T00:00:00"/>
    <n v="16"/>
    <x v="68"/>
    <x v="1"/>
    <x v="6"/>
    <n v="28"/>
    <n v="897.6"/>
    <n v="1"/>
  </r>
  <r>
    <s v="FB002046"/>
    <x v="5"/>
    <x v="5"/>
    <x v="2"/>
    <s v="XXL"/>
    <x v="8"/>
    <n v="63.46"/>
    <n v="0"/>
    <n v="63.46"/>
    <d v="2025-08-06T00:00:00"/>
    <n v="36"/>
    <x v="19"/>
    <x v="0"/>
    <x v="0"/>
    <n v="28"/>
    <n v="0"/>
    <s v=""/>
  </r>
  <r>
    <s v="FB002047"/>
    <x v="3"/>
    <x v="3"/>
    <x v="0"/>
    <s v="S"/>
    <x v="2"/>
    <n v="105.95"/>
    <n v="31.6"/>
    <n v="72.47"/>
    <d v="2025-04-01T00:00:00"/>
    <n v="38"/>
    <x v="15"/>
    <x v="0"/>
    <x v="0"/>
    <n v="155"/>
    <n v="1200.8"/>
    <s v=""/>
  </r>
  <r>
    <s v="FB002048"/>
    <x v="5"/>
    <x v="3"/>
    <x v="3"/>
    <s v="S"/>
    <x v="8"/>
    <n v="86.55"/>
    <n v="24.5"/>
    <n v="65.349999999999994"/>
    <d v="2025-08-06T00:00:00"/>
    <n v="40"/>
    <x v="15"/>
    <x v="0"/>
    <x v="0"/>
    <n v="28"/>
    <n v="980"/>
    <s v=""/>
  </r>
  <r>
    <s v="FB002049"/>
    <x v="4"/>
    <x v="6"/>
    <x v="2"/>
    <s v="M"/>
    <x v="8"/>
    <n v="90.97"/>
    <n v="10.8"/>
    <n v="81.150000000000006"/>
    <d v="2025-08-06T00:00:00"/>
    <n v="33"/>
    <x v="81"/>
    <x v="1"/>
    <x v="3"/>
    <n v="28"/>
    <n v="356.40000000000003"/>
    <n v="1"/>
  </r>
  <r>
    <s v="FB002050"/>
    <x v="5"/>
    <x v="3"/>
    <x v="1"/>
    <s v="L"/>
    <x v="7"/>
    <n v="122.41"/>
    <n v="48.2"/>
    <n v="63.41"/>
    <d v="2025-08-06T00:00:00"/>
    <n v="49"/>
    <x v="35"/>
    <x v="0"/>
    <x v="0"/>
    <n v="28"/>
    <n v="2361.8000000000002"/>
    <s v=""/>
  </r>
  <r>
    <s v="FB002051"/>
    <x v="3"/>
    <x v="2"/>
    <x v="1"/>
    <s v="XXL"/>
    <x v="4"/>
    <n v="198.22"/>
    <n v="0"/>
    <n v="198.22"/>
    <d v="2025-08-06T00:00:00"/>
    <n v="12"/>
    <x v="74"/>
    <x v="0"/>
    <x v="0"/>
    <n v="28"/>
    <n v="0"/>
    <s v=""/>
  </r>
  <r>
    <s v="FB002052"/>
    <x v="3"/>
    <x v="0"/>
    <x v="1"/>
    <s v="M"/>
    <x v="7"/>
    <n v="129.56"/>
    <n v="20.8"/>
    <n v="102.61"/>
    <d v="2025-08-06T00:00:00"/>
    <n v="3"/>
    <x v="5"/>
    <x v="0"/>
    <x v="0"/>
    <n v="28"/>
    <n v="62.400000000000006"/>
    <s v=""/>
  </r>
  <r>
    <s v="FB002053"/>
    <x v="2"/>
    <x v="0"/>
    <x v="3"/>
    <m/>
    <x v="1"/>
    <n v="49.31"/>
    <n v="0"/>
    <n v="49.31"/>
    <d v="2025-08-06T00:00:00"/>
    <n v="49"/>
    <x v="10"/>
    <x v="0"/>
    <x v="0"/>
    <n v="28"/>
    <n v="0"/>
    <s v=""/>
  </r>
  <r>
    <s v="FB002054"/>
    <x v="0"/>
    <x v="1"/>
    <x v="3"/>
    <s v="S"/>
    <x v="1"/>
    <n v="206.94"/>
    <n v="0"/>
    <n v="206.94"/>
    <d v="2025-08-06T00:00:00"/>
    <n v="43"/>
    <x v="31"/>
    <x v="0"/>
    <x v="0"/>
    <n v="28"/>
    <n v="0"/>
    <s v=""/>
  </r>
  <r>
    <s v="FB002055"/>
    <x v="2"/>
    <x v="2"/>
    <x v="3"/>
    <m/>
    <x v="2"/>
    <n v="36.93"/>
    <n v="0"/>
    <n v="36.93"/>
    <d v="2025-08-06T00:00:00"/>
    <n v="18"/>
    <x v="33"/>
    <x v="0"/>
    <x v="0"/>
    <n v="28"/>
    <n v="0"/>
    <s v=""/>
  </r>
  <r>
    <s v="FB002056"/>
    <x v="2"/>
    <x v="1"/>
    <x v="3"/>
    <m/>
    <x v="6"/>
    <n v="21.85"/>
    <n v="12"/>
    <n v="19.23"/>
    <d v="2025-08-06T00:00:00"/>
    <n v="18"/>
    <x v="51"/>
    <x v="0"/>
    <x v="0"/>
    <n v="28"/>
    <n v="216"/>
    <s v=""/>
  </r>
  <r>
    <s v="FB002057"/>
    <x v="3"/>
    <x v="2"/>
    <x v="1"/>
    <s v="S"/>
    <x v="10"/>
    <n v="174.65"/>
    <n v="43.8"/>
    <n v="98.15"/>
    <d v="2025-08-06T00:00:00"/>
    <n v="28"/>
    <x v="31"/>
    <x v="0"/>
    <x v="0"/>
    <n v="28"/>
    <n v="1226.3999999999999"/>
    <s v=""/>
  </r>
  <r>
    <s v="FB002058"/>
    <x v="2"/>
    <x v="3"/>
    <x v="0"/>
    <m/>
    <x v="1"/>
    <n v="19.96"/>
    <n v="0"/>
    <n v="19.96"/>
    <d v="2025-06-19T00:00:00"/>
    <n v="16"/>
    <x v="40"/>
    <x v="0"/>
    <x v="0"/>
    <n v="76"/>
    <n v="0"/>
    <s v=""/>
  </r>
  <r>
    <s v="FB002059"/>
    <x v="1"/>
    <x v="4"/>
    <x v="2"/>
    <s v="M"/>
    <x v="6"/>
    <n v="90.46"/>
    <n v="54.1"/>
    <n v="41.52"/>
    <d v="2025-08-06T00:00:00"/>
    <n v="15"/>
    <x v="1"/>
    <x v="0"/>
    <x v="0"/>
    <n v="28"/>
    <n v="811.5"/>
    <s v=""/>
  </r>
  <r>
    <s v="FB002060"/>
    <x v="3"/>
    <x v="4"/>
    <x v="2"/>
    <s v="L"/>
    <x v="5"/>
    <n v="189.24"/>
    <n v="0"/>
    <n v="189.24"/>
    <d v="2025-08-06T00:00:00"/>
    <n v="25"/>
    <x v="20"/>
    <x v="1"/>
    <x v="1"/>
    <n v="28"/>
    <n v="0"/>
    <n v="1"/>
  </r>
  <r>
    <s v="FB002061"/>
    <x v="0"/>
    <x v="2"/>
    <x v="3"/>
    <s v="XXL"/>
    <x v="2"/>
    <n v="231.24"/>
    <n v="44.6"/>
    <n v="128.11000000000001"/>
    <d v="2025-08-06T00:00:00"/>
    <n v="15"/>
    <x v="17"/>
    <x v="0"/>
    <x v="0"/>
    <n v="28"/>
    <n v="669"/>
    <s v=""/>
  </r>
  <r>
    <s v="FB002062"/>
    <x v="2"/>
    <x v="3"/>
    <x v="2"/>
    <m/>
    <x v="7"/>
    <n v="66.48"/>
    <n v="0"/>
    <n v="66.48"/>
    <d v="2025-08-06T00:00:00"/>
    <n v="38"/>
    <x v="40"/>
    <x v="0"/>
    <x v="0"/>
    <n v="28"/>
    <n v="0"/>
    <s v=""/>
  </r>
  <r>
    <s v="FB002063"/>
    <x v="2"/>
    <x v="4"/>
    <x v="2"/>
    <m/>
    <x v="7"/>
    <n v="37.270000000000003"/>
    <n v="0"/>
    <n v="37.270000000000003"/>
    <d v="2025-08-06T00:00:00"/>
    <n v="15"/>
    <x v="22"/>
    <x v="0"/>
    <x v="0"/>
    <n v="28"/>
    <n v="0"/>
    <s v=""/>
  </r>
  <r>
    <s v="FB002064"/>
    <x v="3"/>
    <x v="1"/>
    <x v="0"/>
    <s v="L"/>
    <x v="10"/>
    <n v="178.05"/>
    <n v="0"/>
    <n v="178.05"/>
    <d v="2025-03-08T00:00:00"/>
    <n v="24"/>
    <x v="57"/>
    <x v="0"/>
    <x v="0"/>
    <n v="179"/>
    <n v="0"/>
    <s v=""/>
  </r>
  <r>
    <s v="FB002065"/>
    <x v="1"/>
    <x v="7"/>
    <x v="0"/>
    <s v="XS"/>
    <x v="1"/>
    <n v="73.760000000000005"/>
    <n v="0"/>
    <n v="73.760000000000005"/>
    <d v="2024-08-19T00:00:00"/>
    <n v="25"/>
    <x v="49"/>
    <x v="0"/>
    <x v="0"/>
    <n v="380"/>
    <n v="0"/>
    <s v=""/>
  </r>
  <r>
    <s v="FB002066"/>
    <x v="4"/>
    <x v="0"/>
    <x v="1"/>
    <s v="XL"/>
    <x v="1"/>
    <n v="36.229999999999997"/>
    <n v="0"/>
    <n v="36.229999999999997"/>
    <d v="2025-08-06T00:00:00"/>
    <n v="49"/>
    <x v="65"/>
    <x v="0"/>
    <x v="0"/>
    <n v="28"/>
    <n v="0"/>
    <s v=""/>
  </r>
  <r>
    <s v="FB002067"/>
    <x v="4"/>
    <x v="4"/>
    <x v="0"/>
    <s v="S"/>
    <x v="9"/>
    <n v="48.89"/>
    <n v="0"/>
    <n v="48.89"/>
    <d v="2024-12-10T00:00:00"/>
    <n v="9"/>
    <x v="47"/>
    <x v="0"/>
    <x v="0"/>
    <n v="267"/>
    <n v="0"/>
    <s v=""/>
  </r>
  <r>
    <s v="FB002068"/>
    <x v="1"/>
    <x v="4"/>
    <x v="1"/>
    <s v="XL"/>
    <x v="1"/>
    <n v="94.15"/>
    <n v="31"/>
    <n v="64.959999999999994"/>
    <d v="2025-08-06T00:00:00"/>
    <n v="25"/>
    <x v="84"/>
    <x v="0"/>
    <x v="0"/>
    <n v="28"/>
    <n v="775"/>
    <s v=""/>
  </r>
  <r>
    <s v="FB002069"/>
    <x v="2"/>
    <x v="7"/>
    <x v="3"/>
    <m/>
    <x v="10"/>
    <n v="27.7"/>
    <n v="0"/>
    <n v="27.7"/>
    <d v="2025-08-06T00:00:00"/>
    <n v="27"/>
    <x v="51"/>
    <x v="0"/>
    <x v="0"/>
    <n v="28"/>
    <n v="0"/>
    <s v=""/>
  </r>
  <r>
    <s v="FB002070"/>
    <x v="3"/>
    <x v="4"/>
    <x v="0"/>
    <s v="XXL"/>
    <x v="4"/>
    <n v="122.55"/>
    <n v="11.2"/>
    <n v="108.82"/>
    <d v="2024-10-02T00:00:00"/>
    <n v="23"/>
    <x v="76"/>
    <x v="0"/>
    <x v="0"/>
    <n v="336"/>
    <n v="257.59999999999997"/>
    <s v=""/>
  </r>
  <r>
    <s v="FB002071"/>
    <x v="5"/>
    <x v="3"/>
    <x v="0"/>
    <s v="XL"/>
    <x v="1"/>
    <n v="173.77"/>
    <n v="17"/>
    <n v="144.22999999999999"/>
    <d v="2024-11-20T00:00:00"/>
    <n v="5"/>
    <x v="42"/>
    <x v="0"/>
    <x v="0"/>
    <n v="287"/>
    <n v="85"/>
    <s v=""/>
  </r>
  <r>
    <s v="FB002072"/>
    <x v="2"/>
    <x v="1"/>
    <x v="3"/>
    <m/>
    <x v="1"/>
    <n v="77.45"/>
    <n v="0"/>
    <n v="77.45"/>
    <d v="2025-08-06T00:00:00"/>
    <n v="0"/>
    <x v="47"/>
    <x v="0"/>
    <x v="0"/>
    <n v="28"/>
    <n v="0"/>
    <s v=""/>
  </r>
  <r>
    <s v="FB002073"/>
    <x v="4"/>
    <x v="1"/>
    <x v="1"/>
    <s v="M"/>
    <x v="2"/>
    <n v="34.159999999999997"/>
    <n v="0"/>
    <n v="34.159999999999997"/>
    <d v="2025-08-06T00:00:00"/>
    <n v="37"/>
    <x v="49"/>
    <x v="0"/>
    <x v="0"/>
    <n v="28"/>
    <n v="0"/>
    <s v=""/>
  </r>
  <r>
    <s v="FB002074"/>
    <x v="2"/>
    <x v="7"/>
    <x v="3"/>
    <m/>
    <x v="3"/>
    <n v="71.3"/>
    <n v="0"/>
    <n v="71.3"/>
    <d v="2025-08-06T00:00:00"/>
    <n v="21"/>
    <x v="6"/>
    <x v="0"/>
    <x v="0"/>
    <n v="28"/>
    <n v="0"/>
    <s v=""/>
  </r>
  <r>
    <s v="FB002075"/>
    <x v="1"/>
    <x v="4"/>
    <x v="3"/>
    <s v="M"/>
    <x v="10"/>
    <n v="63.67"/>
    <n v="0"/>
    <n v="63.67"/>
    <d v="2025-08-06T00:00:00"/>
    <n v="18"/>
    <x v="6"/>
    <x v="0"/>
    <x v="0"/>
    <n v="28"/>
    <n v="0"/>
    <s v=""/>
  </r>
  <r>
    <s v="FB002076"/>
    <x v="0"/>
    <x v="7"/>
    <x v="2"/>
    <s v="S"/>
    <x v="4"/>
    <n v="249.98"/>
    <n v="0"/>
    <n v="249.98"/>
    <d v="2025-08-06T00:00:00"/>
    <n v="46"/>
    <x v="20"/>
    <x v="0"/>
    <x v="0"/>
    <n v="28"/>
    <n v="0"/>
    <s v=""/>
  </r>
  <r>
    <s v="FB002077"/>
    <x v="0"/>
    <x v="5"/>
    <x v="0"/>
    <s v="XL"/>
    <x v="6"/>
    <n v="103.92"/>
    <n v="0"/>
    <n v="103.92"/>
    <d v="2024-10-24T00:00:00"/>
    <n v="5"/>
    <x v="46"/>
    <x v="0"/>
    <x v="0"/>
    <n v="314"/>
    <n v="0"/>
    <s v=""/>
  </r>
  <r>
    <s v="FB002078"/>
    <x v="3"/>
    <x v="1"/>
    <x v="3"/>
    <s v="XL"/>
    <x v="2"/>
    <n v="116.76"/>
    <n v="0"/>
    <n v="116.76"/>
    <d v="2025-08-06T00:00:00"/>
    <n v="13"/>
    <x v="57"/>
    <x v="0"/>
    <x v="0"/>
    <n v="28"/>
    <n v="0"/>
    <s v=""/>
  </r>
  <r>
    <s v="FB002079"/>
    <x v="3"/>
    <x v="6"/>
    <x v="1"/>
    <s v="XXL"/>
    <x v="3"/>
    <n v="102.61"/>
    <n v="0"/>
    <n v="102.61"/>
    <d v="2025-08-06T00:00:00"/>
    <n v="47"/>
    <x v="15"/>
    <x v="0"/>
    <x v="0"/>
    <n v="28"/>
    <n v="0"/>
    <s v=""/>
  </r>
  <r>
    <s v="FB002080"/>
    <x v="2"/>
    <x v="5"/>
    <x v="0"/>
    <m/>
    <x v="1"/>
    <n v="43.48"/>
    <n v="0"/>
    <n v="43.48"/>
    <d v="2024-08-23T00:00:00"/>
    <n v="11"/>
    <x v="52"/>
    <x v="0"/>
    <x v="0"/>
    <n v="376"/>
    <n v="0"/>
    <s v=""/>
  </r>
  <r>
    <s v="FB002081"/>
    <x v="2"/>
    <x v="7"/>
    <x v="1"/>
    <m/>
    <x v="1"/>
    <n v="39.9"/>
    <n v="0"/>
    <n v="39.9"/>
    <d v="2025-08-06T00:00:00"/>
    <n v="6"/>
    <x v="13"/>
    <x v="1"/>
    <x v="3"/>
    <n v="28"/>
    <n v="0"/>
    <n v="1"/>
  </r>
  <r>
    <s v="FB002082"/>
    <x v="4"/>
    <x v="0"/>
    <x v="0"/>
    <s v="S"/>
    <x v="1"/>
    <n v="86"/>
    <n v="36.700000000000003"/>
    <n v="54.44"/>
    <d v="2025-04-23T00:00:00"/>
    <n v="18"/>
    <x v="13"/>
    <x v="1"/>
    <x v="2"/>
    <n v="133"/>
    <n v="660.6"/>
    <n v="1"/>
  </r>
  <r>
    <s v="FB002083"/>
    <x v="3"/>
    <x v="6"/>
    <x v="3"/>
    <s v="XXL"/>
    <x v="5"/>
    <n v="154.47999999999999"/>
    <n v="58.5"/>
    <n v="64.11"/>
    <d v="2025-08-06T00:00:00"/>
    <n v="19"/>
    <x v="53"/>
    <x v="0"/>
    <x v="0"/>
    <n v="28"/>
    <n v="1111.5"/>
    <s v=""/>
  </r>
  <r>
    <s v="FB002084"/>
    <x v="5"/>
    <x v="6"/>
    <x v="3"/>
    <s v="S"/>
    <x v="0"/>
    <n v="141.97"/>
    <n v="35.299999999999997"/>
    <n v="91.85"/>
    <d v="2025-08-06T00:00:00"/>
    <n v="12"/>
    <x v="3"/>
    <x v="0"/>
    <x v="0"/>
    <n v="28"/>
    <n v="423.59999999999997"/>
    <s v=""/>
  </r>
  <r>
    <s v="FB002085"/>
    <x v="0"/>
    <x v="6"/>
    <x v="0"/>
    <s v="XS"/>
    <x v="0"/>
    <n v="119.36"/>
    <n v="0"/>
    <n v="119.36"/>
    <d v="2025-07-02T00:00:00"/>
    <n v="30"/>
    <x v="67"/>
    <x v="1"/>
    <x v="2"/>
    <n v="63"/>
    <n v="0"/>
    <n v="1"/>
  </r>
  <r>
    <s v="FB002086"/>
    <x v="2"/>
    <x v="7"/>
    <x v="3"/>
    <m/>
    <x v="8"/>
    <n v="15.71"/>
    <n v="47.6"/>
    <n v="8.23"/>
    <d v="2025-08-06T00:00:00"/>
    <n v="42"/>
    <x v="66"/>
    <x v="0"/>
    <x v="0"/>
    <n v="28"/>
    <n v="1999.2"/>
    <s v=""/>
  </r>
  <r>
    <s v="FB002087"/>
    <x v="3"/>
    <x v="3"/>
    <x v="1"/>
    <s v="M"/>
    <x v="2"/>
    <n v="89.12"/>
    <n v="0"/>
    <n v="89.12"/>
    <d v="2025-08-06T00:00:00"/>
    <n v="27"/>
    <x v="41"/>
    <x v="1"/>
    <x v="3"/>
    <n v="28"/>
    <n v="0"/>
    <n v="1"/>
  </r>
  <r>
    <s v="FB002088"/>
    <x v="4"/>
    <x v="4"/>
    <x v="2"/>
    <s v="S"/>
    <x v="5"/>
    <n v="30.43"/>
    <n v="0"/>
    <n v="30.43"/>
    <d v="2025-08-06T00:00:00"/>
    <n v="32"/>
    <x v="47"/>
    <x v="0"/>
    <x v="0"/>
    <n v="28"/>
    <n v="0"/>
    <s v=""/>
  </r>
  <r>
    <s v="FB002089"/>
    <x v="5"/>
    <x v="7"/>
    <x v="1"/>
    <s v="XS"/>
    <x v="1"/>
    <n v="115.4"/>
    <n v="0"/>
    <n v="115.4"/>
    <d v="2025-08-06T00:00:00"/>
    <n v="7"/>
    <x v="35"/>
    <x v="0"/>
    <x v="0"/>
    <n v="28"/>
    <n v="0"/>
    <s v=""/>
  </r>
  <r>
    <s v="FB002090"/>
    <x v="0"/>
    <x v="6"/>
    <x v="1"/>
    <s v="S"/>
    <x v="0"/>
    <n v="155.19999999999999"/>
    <n v="0"/>
    <n v="155.19999999999999"/>
    <d v="2025-08-06T00:00:00"/>
    <n v="5"/>
    <x v="51"/>
    <x v="0"/>
    <x v="0"/>
    <n v="28"/>
    <n v="0"/>
    <s v=""/>
  </r>
  <r>
    <s v="FB002091"/>
    <x v="4"/>
    <x v="7"/>
    <x v="2"/>
    <s v="L"/>
    <x v="4"/>
    <n v="104.83"/>
    <n v="0"/>
    <n v="104.83"/>
    <d v="2025-08-06T00:00:00"/>
    <n v="26"/>
    <x v="30"/>
    <x v="0"/>
    <x v="0"/>
    <n v="28"/>
    <n v="0"/>
    <s v=""/>
  </r>
  <r>
    <s v="FB002092"/>
    <x v="2"/>
    <x v="6"/>
    <x v="3"/>
    <m/>
    <x v="4"/>
    <n v="41.62"/>
    <n v="0"/>
    <n v="41.62"/>
    <d v="2025-08-06T00:00:00"/>
    <n v="33"/>
    <x v="80"/>
    <x v="0"/>
    <x v="0"/>
    <n v="28"/>
    <n v="0"/>
    <s v=""/>
  </r>
  <r>
    <s v="FB002093"/>
    <x v="4"/>
    <x v="5"/>
    <x v="0"/>
    <s v="M"/>
    <x v="7"/>
    <n v="94.92"/>
    <n v="0"/>
    <n v="94.92"/>
    <d v="2024-09-29T00:00:00"/>
    <n v="20"/>
    <x v="39"/>
    <x v="0"/>
    <x v="0"/>
    <n v="339"/>
    <n v="0"/>
    <s v=""/>
  </r>
  <r>
    <s v="FB002094"/>
    <x v="4"/>
    <x v="3"/>
    <x v="2"/>
    <s v="XXL"/>
    <x v="0"/>
    <n v="107.92"/>
    <n v="22.2"/>
    <n v="83.96"/>
    <d v="2025-08-06T00:00:00"/>
    <n v="35"/>
    <x v="17"/>
    <x v="0"/>
    <x v="0"/>
    <n v="28"/>
    <n v="777"/>
    <s v=""/>
  </r>
  <r>
    <s v="FB002095"/>
    <x v="2"/>
    <x v="7"/>
    <x v="3"/>
    <m/>
    <x v="6"/>
    <n v="45.52"/>
    <n v="0"/>
    <n v="45.52"/>
    <d v="2025-08-06T00:00:00"/>
    <n v="41"/>
    <x v="6"/>
    <x v="0"/>
    <x v="0"/>
    <n v="28"/>
    <n v="0"/>
    <s v=""/>
  </r>
  <r>
    <s v="FB002096"/>
    <x v="4"/>
    <x v="6"/>
    <x v="1"/>
    <s v="M"/>
    <x v="6"/>
    <n v="112.1"/>
    <n v="30.7"/>
    <n v="77.69"/>
    <d v="2025-08-06T00:00:00"/>
    <n v="10"/>
    <x v="50"/>
    <x v="0"/>
    <x v="0"/>
    <n v="28"/>
    <n v="307"/>
    <s v=""/>
  </r>
  <r>
    <s v="FB002097"/>
    <x v="3"/>
    <x v="1"/>
    <x v="0"/>
    <s v="L"/>
    <x v="9"/>
    <n v="103.9"/>
    <n v="0"/>
    <n v="103.9"/>
    <d v="2025-07-23T00:00:00"/>
    <n v="27"/>
    <x v="54"/>
    <x v="0"/>
    <x v="0"/>
    <n v="42"/>
    <n v="0"/>
    <s v=""/>
  </r>
  <r>
    <s v="FB002098"/>
    <x v="0"/>
    <x v="2"/>
    <x v="1"/>
    <s v="L"/>
    <x v="1"/>
    <n v="168.02"/>
    <n v="0"/>
    <n v="168.02"/>
    <d v="2025-08-06T00:00:00"/>
    <n v="30"/>
    <x v="6"/>
    <x v="1"/>
    <x v="2"/>
    <n v="28"/>
    <n v="0"/>
    <n v="1"/>
  </r>
  <r>
    <s v="FB002099"/>
    <x v="3"/>
    <x v="3"/>
    <x v="2"/>
    <s v="M"/>
    <x v="10"/>
    <n v="80.41"/>
    <n v="0"/>
    <n v="80.41"/>
    <d v="2025-08-06T00:00:00"/>
    <n v="46"/>
    <x v="32"/>
    <x v="0"/>
    <x v="0"/>
    <n v="28"/>
    <n v="0"/>
    <s v=""/>
  </r>
  <r>
    <s v="FB002100"/>
    <x v="4"/>
    <x v="7"/>
    <x v="0"/>
    <s v="XL"/>
    <x v="6"/>
    <n v="102.76"/>
    <n v="0"/>
    <n v="102.76"/>
    <d v="2024-11-16T00:00:00"/>
    <n v="35"/>
    <x v="81"/>
    <x v="0"/>
    <x v="0"/>
    <n v="291"/>
    <n v="0"/>
    <s v=""/>
  </r>
  <r>
    <s v="FB002101"/>
    <x v="1"/>
    <x v="7"/>
    <x v="2"/>
    <s v="XXL"/>
    <x v="2"/>
    <n v="81.2"/>
    <n v="0"/>
    <n v="81.2"/>
    <d v="2025-08-06T00:00:00"/>
    <n v="27"/>
    <x v="12"/>
    <x v="0"/>
    <x v="0"/>
    <n v="28"/>
    <n v="0"/>
    <s v=""/>
  </r>
  <r>
    <s v="FB002102"/>
    <x v="2"/>
    <x v="1"/>
    <x v="2"/>
    <m/>
    <x v="4"/>
    <n v="68.95"/>
    <n v="0"/>
    <n v="68.95"/>
    <d v="2025-08-06T00:00:00"/>
    <n v="47"/>
    <x v="20"/>
    <x v="0"/>
    <x v="0"/>
    <n v="28"/>
    <n v="0"/>
    <s v=""/>
  </r>
  <r>
    <s v="FB002103"/>
    <x v="4"/>
    <x v="0"/>
    <x v="3"/>
    <s v="XS"/>
    <x v="9"/>
    <n v="43.04"/>
    <n v="0"/>
    <n v="43.04"/>
    <d v="2025-08-06T00:00:00"/>
    <n v="26"/>
    <x v="51"/>
    <x v="1"/>
    <x v="6"/>
    <n v="28"/>
    <n v="0"/>
    <n v="1"/>
  </r>
  <r>
    <s v="FB002104"/>
    <x v="1"/>
    <x v="0"/>
    <x v="0"/>
    <s v="XS"/>
    <x v="7"/>
    <n v="81.819999999999993"/>
    <n v="0"/>
    <n v="81.819999999999993"/>
    <d v="2025-05-09T00:00:00"/>
    <n v="1"/>
    <x v="15"/>
    <x v="0"/>
    <x v="0"/>
    <n v="117"/>
    <n v="0"/>
    <s v=""/>
  </r>
  <r>
    <s v="FB002105"/>
    <x v="2"/>
    <x v="3"/>
    <x v="3"/>
    <m/>
    <x v="5"/>
    <n v="53.7"/>
    <n v="0"/>
    <n v="53.7"/>
    <d v="2025-08-06T00:00:00"/>
    <n v="16"/>
    <x v="40"/>
    <x v="1"/>
    <x v="3"/>
    <n v="28"/>
    <n v="0"/>
    <n v="1"/>
  </r>
  <r>
    <s v="FB002106"/>
    <x v="1"/>
    <x v="3"/>
    <x v="3"/>
    <s v="L"/>
    <x v="0"/>
    <n v="100.11"/>
    <n v="0"/>
    <n v="100.11"/>
    <d v="2025-08-06T00:00:00"/>
    <n v="41"/>
    <x v="52"/>
    <x v="0"/>
    <x v="0"/>
    <n v="28"/>
    <n v="0"/>
    <s v=""/>
  </r>
  <r>
    <s v="FB002107"/>
    <x v="2"/>
    <x v="5"/>
    <x v="1"/>
    <m/>
    <x v="4"/>
    <n v="24.08"/>
    <n v="38.5"/>
    <n v="14.81"/>
    <d v="2025-08-06T00:00:00"/>
    <n v="43"/>
    <x v="16"/>
    <x v="0"/>
    <x v="0"/>
    <n v="28"/>
    <n v="1655.5"/>
    <s v=""/>
  </r>
  <r>
    <s v="FB002108"/>
    <x v="2"/>
    <x v="5"/>
    <x v="0"/>
    <m/>
    <x v="0"/>
    <n v="74.77"/>
    <n v="0"/>
    <n v="74.77"/>
    <d v="2025-03-18T00:00:00"/>
    <n v="26"/>
    <x v="5"/>
    <x v="0"/>
    <x v="0"/>
    <n v="169"/>
    <n v="0"/>
    <s v=""/>
  </r>
  <r>
    <s v="FB002109"/>
    <x v="5"/>
    <x v="4"/>
    <x v="0"/>
    <s v="XL"/>
    <x v="8"/>
    <n v="105.98"/>
    <n v="0"/>
    <n v="105.98"/>
    <d v="2024-10-02T00:00:00"/>
    <n v="32"/>
    <x v="1"/>
    <x v="1"/>
    <x v="2"/>
    <n v="336"/>
    <n v="0"/>
    <n v="1"/>
  </r>
  <r>
    <s v="FB002110"/>
    <x v="3"/>
    <x v="0"/>
    <x v="3"/>
    <s v="L"/>
    <x v="3"/>
    <n v="81.650000000000006"/>
    <n v="7.7"/>
    <n v="75.36"/>
    <d v="2025-08-06T00:00:00"/>
    <n v="23"/>
    <x v="3"/>
    <x v="0"/>
    <x v="0"/>
    <n v="28"/>
    <n v="177.1"/>
    <s v=""/>
  </r>
  <r>
    <s v="FB002111"/>
    <x v="3"/>
    <x v="7"/>
    <x v="2"/>
    <s v="S"/>
    <x v="2"/>
    <n v="92.66"/>
    <n v="8.3000000000000007"/>
    <n v="84.97"/>
    <d v="2025-08-06T00:00:00"/>
    <n v="5"/>
    <x v="31"/>
    <x v="0"/>
    <x v="0"/>
    <n v="28"/>
    <n v="41.5"/>
    <s v=""/>
  </r>
  <r>
    <s v="FB002112"/>
    <x v="2"/>
    <x v="3"/>
    <x v="3"/>
    <m/>
    <x v="10"/>
    <n v="41.04"/>
    <n v="0"/>
    <n v="41.04"/>
    <d v="2025-08-06T00:00:00"/>
    <n v="43"/>
    <x v="72"/>
    <x v="0"/>
    <x v="0"/>
    <n v="28"/>
    <n v="0"/>
    <s v=""/>
  </r>
  <r>
    <s v="FB002113"/>
    <x v="0"/>
    <x v="7"/>
    <x v="2"/>
    <s v="M"/>
    <x v="1"/>
    <n v="169.98"/>
    <n v="5.8"/>
    <n v="160.12"/>
    <d v="2025-08-06T00:00:00"/>
    <n v="12"/>
    <x v="54"/>
    <x v="0"/>
    <x v="0"/>
    <n v="28"/>
    <n v="69.599999999999994"/>
    <s v=""/>
  </r>
  <r>
    <s v="FB002114"/>
    <x v="2"/>
    <x v="3"/>
    <x v="1"/>
    <m/>
    <x v="0"/>
    <n v="66.12"/>
    <n v="51"/>
    <n v="32.4"/>
    <d v="2025-08-06T00:00:00"/>
    <n v="17"/>
    <x v="81"/>
    <x v="0"/>
    <x v="0"/>
    <n v="28"/>
    <n v="867"/>
    <s v=""/>
  </r>
  <r>
    <s v="FB002115"/>
    <x v="5"/>
    <x v="2"/>
    <x v="0"/>
    <s v="S"/>
    <x v="9"/>
    <n v="139.87"/>
    <n v="14.5"/>
    <n v="119.59"/>
    <d v="2024-09-13T00:00:00"/>
    <n v="13"/>
    <x v="49"/>
    <x v="0"/>
    <x v="0"/>
    <n v="355"/>
    <n v="188.5"/>
    <s v=""/>
  </r>
  <r>
    <s v="FB002116"/>
    <x v="2"/>
    <x v="0"/>
    <x v="1"/>
    <m/>
    <x v="1"/>
    <n v="70.23"/>
    <n v="49.9"/>
    <n v="35.19"/>
    <d v="2025-08-06T00:00:00"/>
    <n v="0"/>
    <x v="14"/>
    <x v="1"/>
    <x v="3"/>
    <n v="28"/>
    <n v="0"/>
    <n v="1"/>
  </r>
  <r>
    <s v="FB002117"/>
    <x v="3"/>
    <x v="0"/>
    <x v="1"/>
    <s v="XL"/>
    <x v="5"/>
    <n v="129.9"/>
    <n v="39.9"/>
    <n v="78.069999999999993"/>
    <d v="2025-08-06T00:00:00"/>
    <n v="28"/>
    <x v="49"/>
    <x v="0"/>
    <x v="0"/>
    <n v="28"/>
    <n v="1117.2"/>
    <s v=""/>
  </r>
  <r>
    <s v="FB002118"/>
    <x v="4"/>
    <x v="0"/>
    <x v="0"/>
    <s v="L"/>
    <x v="7"/>
    <n v="75.78"/>
    <n v="0"/>
    <n v="75.78"/>
    <d v="2025-01-28T00:00:00"/>
    <n v="12"/>
    <x v="20"/>
    <x v="0"/>
    <x v="0"/>
    <n v="218"/>
    <n v="0"/>
    <s v=""/>
  </r>
  <r>
    <s v="FB002119"/>
    <x v="4"/>
    <x v="4"/>
    <x v="1"/>
    <s v="M"/>
    <x v="7"/>
    <n v="93.41"/>
    <n v="0"/>
    <n v="93.41"/>
    <d v="2025-08-06T00:00:00"/>
    <n v="4"/>
    <x v="53"/>
    <x v="1"/>
    <x v="2"/>
    <n v="28"/>
    <n v="0"/>
    <n v="1"/>
  </r>
  <r>
    <s v="FB002120"/>
    <x v="1"/>
    <x v="2"/>
    <x v="0"/>
    <s v="L"/>
    <x v="0"/>
    <n v="66.900000000000006"/>
    <n v="0"/>
    <n v="66.900000000000006"/>
    <d v="2025-05-07T00:00:00"/>
    <n v="1"/>
    <x v="32"/>
    <x v="0"/>
    <x v="0"/>
    <n v="119"/>
    <n v="0"/>
    <s v=""/>
  </r>
  <r>
    <s v="FB002121"/>
    <x v="1"/>
    <x v="3"/>
    <x v="2"/>
    <s v="L"/>
    <x v="6"/>
    <n v="110.45"/>
    <n v="6.6"/>
    <n v="103.16"/>
    <d v="2025-08-06T00:00:00"/>
    <n v="6"/>
    <x v="60"/>
    <x v="0"/>
    <x v="0"/>
    <n v="28"/>
    <n v="39.599999999999994"/>
    <s v=""/>
  </r>
  <r>
    <s v="FB002122"/>
    <x v="4"/>
    <x v="0"/>
    <x v="2"/>
    <s v="L"/>
    <x v="4"/>
    <n v="52.73"/>
    <n v="0"/>
    <n v="52.73"/>
    <d v="2025-08-06T00:00:00"/>
    <n v="10"/>
    <x v="35"/>
    <x v="0"/>
    <x v="0"/>
    <n v="28"/>
    <n v="0"/>
    <s v=""/>
  </r>
  <r>
    <s v="FB002123"/>
    <x v="0"/>
    <x v="5"/>
    <x v="2"/>
    <s v="L"/>
    <x v="5"/>
    <n v="89.13"/>
    <n v="0"/>
    <n v="89.13"/>
    <d v="2025-08-06T00:00:00"/>
    <n v="17"/>
    <x v="16"/>
    <x v="0"/>
    <x v="0"/>
    <n v="28"/>
    <n v="0"/>
    <s v=""/>
  </r>
  <r>
    <s v="FB002124"/>
    <x v="0"/>
    <x v="2"/>
    <x v="3"/>
    <s v="L"/>
    <x v="6"/>
    <n v="171.78"/>
    <n v="44.1"/>
    <n v="96.03"/>
    <d v="2025-08-06T00:00:00"/>
    <n v="25"/>
    <x v="79"/>
    <x v="1"/>
    <x v="1"/>
    <n v="28"/>
    <n v="1102.5"/>
    <n v="1"/>
  </r>
  <r>
    <s v="FB002125"/>
    <x v="3"/>
    <x v="6"/>
    <x v="1"/>
    <s v="M"/>
    <x v="1"/>
    <n v="129"/>
    <n v="0"/>
    <n v="129"/>
    <d v="2025-08-06T00:00:00"/>
    <n v="13"/>
    <x v="22"/>
    <x v="1"/>
    <x v="5"/>
    <n v="28"/>
    <n v="0"/>
    <n v="1"/>
  </r>
  <r>
    <s v="FB002126"/>
    <x v="3"/>
    <x v="0"/>
    <x v="3"/>
    <s v="XS"/>
    <x v="10"/>
    <n v="160.59"/>
    <n v="0"/>
    <n v="160.59"/>
    <d v="2025-08-06T00:00:00"/>
    <n v="8"/>
    <x v="5"/>
    <x v="0"/>
    <x v="0"/>
    <n v="28"/>
    <n v="0"/>
    <s v=""/>
  </r>
  <r>
    <s v="FB002127"/>
    <x v="1"/>
    <x v="2"/>
    <x v="3"/>
    <s v="L"/>
    <x v="0"/>
    <n v="56.38"/>
    <n v="0"/>
    <n v="56.38"/>
    <d v="2025-08-06T00:00:00"/>
    <n v="9"/>
    <x v="4"/>
    <x v="0"/>
    <x v="0"/>
    <n v="28"/>
    <n v="0"/>
    <s v=""/>
  </r>
  <r>
    <s v="FB002128"/>
    <x v="0"/>
    <x v="6"/>
    <x v="1"/>
    <s v="L"/>
    <x v="6"/>
    <n v="109.2"/>
    <n v="26.6"/>
    <n v="80.150000000000006"/>
    <d v="2025-08-06T00:00:00"/>
    <n v="21"/>
    <x v="38"/>
    <x v="1"/>
    <x v="4"/>
    <n v="28"/>
    <n v="558.6"/>
    <n v="1"/>
  </r>
  <r>
    <s v="FB002129"/>
    <x v="2"/>
    <x v="1"/>
    <x v="0"/>
    <m/>
    <x v="1"/>
    <n v="21.43"/>
    <n v="0"/>
    <n v="21.43"/>
    <d v="2025-02-03T00:00:00"/>
    <n v="38"/>
    <x v="42"/>
    <x v="0"/>
    <x v="0"/>
    <n v="212"/>
    <n v="0"/>
    <s v=""/>
  </r>
  <r>
    <s v="FB002130"/>
    <x v="3"/>
    <x v="4"/>
    <x v="1"/>
    <s v="M"/>
    <x v="9"/>
    <n v="87.11"/>
    <n v="0"/>
    <n v="87.11"/>
    <d v="2025-08-06T00:00:00"/>
    <n v="36"/>
    <x v="39"/>
    <x v="0"/>
    <x v="0"/>
    <n v="28"/>
    <n v="0"/>
    <s v=""/>
  </r>
  <r>
    <s v="FB002131"/>
    <x v="2"/>
    <x v="7"/>
    <x v="2"/>
    <m/>
    <x v="8"/>
    <n v="36.29"/>
    <n v="0"/>
    <n v="36.29"/>
    <d v="2025-08-06T00:00:00"/>
    <n v="47"/>
    <x v="32"/>
    <x v="0"/>
    <x v="0"/>
    <n v="28"/>
    <n v="0"/>
    <s v=""/>
  </r>
  <r>
    <s v="FB002132"/>
    <x v="5"/>
    <x v="4"/>
    <x v="0"/>
    <s v="M"/>
    <x v="6"/>
    <n v="105.59"/>
    <n v="0"/>
    <n v="105.59"/>
    <d v="2025-06-27T00:00:00"/>
    <n v="37"/>
    <x v="52"/>
    <x v="0"/>
    <x v="0"/>
    <n v="68"/>
    <n v="0"/>
    <s v=""/>
  </r>
  <r>
    <s v="FB002133"/>
    <x v="5"/>
    <x v="0"/>
    <x v="2"/>
    <s v="S"/>
    <x v="2"/>
    <n v="93.5"/>
    <n v="0"/>
    <n v="93.5"/>
    <d v="2025-08-06T00:00:00"/>
    <n v="4"/>
    <x v="17"/>
    <x v="0"/>
    <x v="0"/>
    <n v="28"/>
    <n v="0"/>
    <s v=""/>
  </r>
  <r>
    <s v="FB002134"/>
    <x v="2"/>
    <x v="5"/>
    <x v="1"/>
    <m/>
    <x v="2"/>
    <n v="41.72"/>
    <n v="9.5"/>
    <n v="37.76"/>
    <d v="2025-08-06T00:00:00"/>
    <n v="9"/>
    <x v="38"/>
    <x v="0"/>
    <x v="0"/>
    <n v="28"/>
    <n v="85.5"/>
    <s v=""/>
  </r>
  <r>
    <s v="FB002135"/>
    <x v="2"/>
    <x v="3"/>
    <x v="3"/>
    <m/>
    <x v="0"/>
    <n v="74.540000000000006"/>
    <n v="58.1"/>
    <n v="31.23"/>
    <d v="2025-08-06T00:00:00"/>
    <n v="35"/>
    <x v="51"/>
    <x v="0"/>
    <x v="0"/>
    <n v="28"/>
    <n v="2033.5"/>
    <s v=""/>
  </r>
  <r>
    <s v="FB002136"/>
    <x v="5"/>
    <x v="1"/>
    <x v="0"/>
    <m/>
    <x v="5"/>
    <n v="85.49"/>
    <n v="0"/>
    <n v="85.49"/>
    <d v="2024-12-16T00:00:00"/>
    <n v="0"/>
    <x v="17"/>
    <x v="0"/>
    <x v="0"/>
    <n v="261"/>
    <n v="0"/>
    <s v=""/>
  </r>
  <r>
    <s v="FB002137"/>
    <x v="5"/>
    <x v="0"/>
    <x v="3"/>
    <s v="M"/>
    <x v="6"/>
    <n v="131.05000000000001"/>
    <n v="0"/>
    <n v="131.05000000000001"/>
    <d v="2025-08-06T00:00:00"/>
    <n v="23"/>
    <x v="26"/>
    <x v="0"/>
    <x v="0"/>
    <n v="28"/>
    <n v="0"/>
    <s v=""/>
  </r>
  <r>
    <s v="FB002138"/>
    <x v="4"/>
    <x v="7"/>
    <x v="3"/>
    <s v="XL"/>
    <x v="1"/>
    <n v="63.5"/>
    <n v="0"/>
    <n v="63.5"/>
    <d v="2025-08-06T00:00:00"/>
    <n v="17"/>
    <x v="3"/>
    <x v="0"/>
    <x v="0"/>
    <n v="28"/>
    <n v="0"/>
    <s v=""/>
  </r>
  <r>
    <s v="FB002139"/>
    <x v="1"/>
    <x v="1"/>
    <x v="2"/>
    <s v="M"/>
    <x v="7"/>
    <n v="75.540000000000006"/>
    <n v="0"/>
    <n v="75.540000000000006"/>
    <d v="2025-08-06T00:00:00"/>
    <n v="7"/>
    <x v="31"/>
    <x v="0"/>
    <x v="0"/>
    <n v="28"/>
    <n v="0"/>
    <s v=""/>
  </r>
  <r>
    <s v="FB002140"/>
    <x v="1"/>
    <x v="3"/>
    <x v="2"/>
    <s v="XXL"/>
    <x v="7"/>
    <n v="110.77"/>
    <n v="0"/>
    <n v="110.77"/>
    <d v="2025-08-06T00:00:00"/>
    <n v="48"/>
    <x v="3"/>
    <x v="0"/>
    <x v="0"/>
    <n v="28"/>
    <n v="0"/>
    <s v=""/>
  </r>
  <r>
    <s v="FB002141"/>
    <x v="3"/>
    <x v="3"/>
    <x v="3"/>
    <s v="M"/>
    <x v="3"/>
    <n v="190.71"/>
    <n v="6.3"/>
    <n v="178.7"/>
    <d v="2025-08-06T00:00:00"/>
    <n v="1"/>
    <x v="66"/>
    <x v="0"/>
    <x v="0"/>
    <n v="28"/>
    <n v="6.3"/>
    <s v=""/>
  </r>
  <r>
    <s v="FB002142"/>
    <x v="1"/>
    <x v="3"/>
    <x v="2"/>
    <s v="L"/>
    <x v="3"/>
    <n v="100.56"/>
    <n v="17.3"/>
    <n v="83.16"/>
    <d v="2025-08-06T00:00:00"/>
    <n v="21"/>
    <x v="20"/>
    <x v="0"/>
    <x v="0"/>
    <n v="28"/>
    <n v="363.3"/>
    <s v=""/>
  </r>
  <r>
    <s v="FB002143"/>
    <x v="0"/>
    <x v="7"/>
    <x v="3"/>
    <s v="XXL"/>
    <x v="1"/>
    <n v="221.59"/>
    <n v="8.6"/>
    <n v="202.53"/>
    <d v="2025-08-06T00:00:00"/>
    <n v="5"/>
    <x v="61"/>
    <x v="0"/>
    <x v="0"/>
    <n v="28"/>
    <n v="43"/>
    <s v=""/>
  </r>
  <r>
    <s v="FB002144"/>
    <x v="4"/>
    <x v="6"/>
    <x v="3"/>
    <s v="L"/>
    <x v="7"/>
    <n v="55.21"/>
    <n v="0"/>
    <n v="55.21"/>
    <d v="2025-08-06T00:00:00"/>
    <n v="21"/>
    <x v="34"/>
    <x v="1"/>
    <x v="6"/>
    <n v="28"/>
    <n v="0"/>
    <n v="1"/>
  </r>
  <r>
    <s v="FB002145"/>
    <x v="2"/>
    <x v="1"/>
    <x v="2"/>
    <m/>
    <x v="2"/>
    <n v="17.87"/>
    <n v="0"/>
    <n v="17.87"/>
    <d v="2025-08-06T00:00:00"/>
    <n v="47"/>
    <x v="55"/>
    <x v="0"/>
    <x v="0"/>
    <n v="28"/>
    <n v="0"/>
    <s v=""/>
  </r>
  <r>
    <s v="FB002146"/>
    <x v="4"/>
    <x v="1"/>
    <x v="3"/>
    <s v="XS"/>
    <x v="1"/>
    <n v="56.57"/>
    <n v="0"/>
    <n v="56.57"/>
    <d v="2025-08-06T00:00:00"/>
    <n v="43"/>
    <x v="9"/>
    <x v="1"/>
    <x v="2"/>
    <n v="28"/>
    <n v="0"/>
    <n v="1"/>
  </r>
  <r>
    <s v="FB002147"/>
    <x v="2"/>
    <x v="6"/>
    <x v="0"/>
    <m/>
    <x v="9"/>
    <n v="47.74"/>
    <n v="0"/>
    <n v="47.74"/>
    <d v="2024-12-25T00:00:00"/>
    <n v="17"/>
    <x v="5"/>
    <x v="0"/>
    <x v="0"/>
    <n v="252"/>
    <n v="0"/>
    <s v=""/>
  </r>
  <r>
    <s v="FB002148"/>
    <x v="5"/>
    <x v="2"/>
    <x v="2"/>
    <s v="M"/>
    <x v="8"/>
    <n v="152.88"/>
    <n v="8.9"/>
    <n v="139.27000000000001"/>
    <d v="2025-08-06T00:00:00"/>
    <n v="19"/>
    <x v="81"/>
    <x v="0"/>
    <x v="0"/>
    <n v="28"/>
    <n v="169.1"/>
    <s v=""/>
  </r>
  <r>
    <s v="FB002149"/>
    <x v="0"/>
    <x v="2"/>
    <x v="1"/>
    <s v="M"/>
    <x v="7"/>
    <n v="199.61"/>
    <n v="37.700000000000003"/>
    <n v="124.36"/>
    <d v="2025-08-06T00:00:00"/>
    <n v="6"/>
    <x v="79"/>
    <x v="0"/>
    <x v="0"/>
    <n v="28"/>
    <n v="226.20000000000002"/>
    <s v=""/>
  </r>
  <r>
    <s v="FB002150"/>
    <x v="2"/>
    <x v="6"/>
    <x v="3"/>
    <m/>
    <x v="4"/>
    <n v="57.25"/>
    <n v="0"/>
    <n v="57.25"/>
    <d v="2025-08-06T00:00:00"/>
    <n v="22"/>
    <x v="64"/>
    <x v="0"/>
    <x v="0"/>
    <n v="28"/>
    <n v="0"/>
    <s v=""/>
  </r>
  <r>
    <s v="FB002151"/>
    <x v="5"/>
    <x v="4"/>
    <x v="2"/>
    <s v="XL"/>
    <x v="5"/>
    <n v="134.41"/>
    <n v="55.3"/>
    <n v="60.08"/>
    <d v="2025-08-06T00:00:00"/>
    <n v="12"/>
    <x v="53"/>
    <x v="0"/>
    <x v="0"/>
    <n v="28"/>
    <n v="663.59999999999991"/>
    <s v=""/>
  </r>
  <r>
    <s v="FB002152"/>
    <x v="4"/>
    <x v="5"/>
    <x v="2"/>
    <s v="S"/>
    <x v="10"/>
    <n v="111.43"/>
    <n v="43.5"/>
    <n v="62.96"/>
    <d v="2025-08-06T00:00:00"/>
    <n v="22"/>
    <x v="51"/>
    <x v="0"/>
    <x v="0"/>
    <n v="28"/>
    <n v="957"/>
    <s v=""/>
  </r>
  <r>
    <s v="FB002153"/>
    <x v="2"/>
    <x v="1"/>
    <x v="0"/>
    <m/>
    <x v="10"/>
    <n v="15.36"/>
    <n v="36.799999999999997"/>
    <n v="9.7100000000000009"/>
    <d v="2025-04-29T00:00:00"/>
    <n v="46"/>
    <x v="39"/>
    <x v="0"/>
    <x v="0"/>
    <n v="127"/>
    <n v="1692.8"/>
    <s v=""/>
  </r>
  <r>
    <s v="FB002154"/>
    <x v="1"/>
    <x v="6"/>
    <x v="2"/>
    <s v="XL"/>
    <x v="2"/>
    <n v="100.03"/>
    <n v="51.8"/>
    <n v="48.21"/>
    <d v="2025-08-06T00:00:00"/>
    <n v="43"/>
    <x v="64"/>
    <x v="0"/>
    <x v="0"/>
    <n v="28"/>
    <n v="2227.4"/>
    <s v=""/>
  </r>
  <r>
    <s v="FB002155"/>
    <x v="3"/>
    <x v="1"/>
    <x v="3"/>
    <s v="S"/>
    <x v="2"/>
    <n v="173.75"/>
    <n v="19.2"/>
    <n v="140.38999999999999"/>
    <d v="2025-08-06T00:00:00"/>
    <n v="38"/>
    <x v="57"/>
    <x v="0"/>
    <x v="0"/>
    <n v="28"/>
    <n v="729.6"/>
    <s v=""/>
  </r>
  <r>
    <s v="FB002156"/>
    <x v="4"/>
    <x v="6"/>
    <x v="1"/>
    <s v="XL"/>
    <x v="6"/>
    <n v="37.979999999999997"/>
    <n v="15.2"/>
    <n v="32.21"/>
    <d v="2025-08-06T00:00:00"/>
    <n v="25"/>
    <x v="20"/>
    <x v="0"/>
    <x v="0"/>
    <n v="28"/>
    <n v="380"/>
    <s v=""/>
  </r>
  <r>
    <s v="FB002157"/>
    <x v="5"/>
    <x v="7"/>
    <x v="3"/>
    <s v="M"/>
    <x v="2"/>
    <n v="154.11000000000001"/>
    <n v="0"/>
    <n v="154.11000000000001"/>
    <d v="2025-08-06T00:00:00"/>
    <n v="50"/>
    <x v="47"/>
    <x v="0"/>
    <x v="0"/>
    <n v="28"/>
    <n v="0"/>
    <s v=""/>
  </r>
  <r>
    <s v="FB002158"/>
    <x v="2"/>
    <x v="5"/>
    <x v="0"/>
    <m/>
    <x v="9"/>
    <n v="69.8"/>
    <n v="46.9"/>
    <n v="37.06"/>
    <d v="2024-10-21T00:00:00"/>
    <n v="26"/>
    <x v="22"/>
    <x v="0"/>
    <x v="0"/>
    <n v="317"/>
    <n v="1219.3999999999999"/>
    <s v=""/>
  </r>
  <r>
    <s v="FB002159"/>
    <x v="5"/>
    <x v="6"/>
    <x v="1"/>
    <s v="XXL"/>
    <x v="4"/>
    <n v="171.16"/>
    <n v="0"/>
    <n v="171.16"/>
    <d v="2025-08-06T00:00:00"/>
    <n v="26"/>
    <x v="2"/>
    <x v="0"/>
    <x v="0"/>
    <n v="28"/>
    <n v="0"/>
    <s v=""/>
  </r>
  <r>
    <s v="FB002160"/>
    <x v="0"/>
    <x v="0"/>
    <x v="3"/>
    <s v="XXL"/>
    <x v="3"/>
    <n v="118.57"/>
    <n v="0"/>
    <n v="118.57"/>
    <d v="2025-08-06T00:00:00"/>
    <n v="6"/>
    <x v="40"/>
    <x v="1"/>
    <x v="4"/>
    <n v="28"/>
    <n v="0"/>
    <n v="1"/>
  </r>
  <r>
    <s v="FB002161"/>
    <x v="5"/>
    <x v="3"/>
    <x v="1"/>
    <s v="XXL"/>
    <x v="1"/>
    <n v="118.46"/>
    <n v="0"/>
    <n v="118.46"/>
    <d v="2025-08-06T00:00:00"/>
    <n v="40"/>
    <x v="39"/>
    <x v="0"/>
    <x v="0"/>
    <n v="28"/>
    <n v="0"/>
    <s v=""/>
  </r>
  <r>
    <s v="FB002162"/>
    <x v="3"/>
    <x v="0"/>
    <x v="3"/>
    <s v="L"/>
    <x v="6"/>
    <n v="122.7"/>
    <n v="0"/>
    <n v="122.7"/>
    <d v="2025-08-06T00:00:00"/>
    <n v="9"/>
    <x v="27"/>
    <x v="0"/>
    <x v="0"/>
    <n v="28"/>
    <n v="0"/>
    <s v=""/>
  </r>
  <r>
    <s v="FB002163"/>
    <x v="2"/>
    <x v="6"/>
    <x v="0"/>
    <m/>
    <x v="2"/>
    <n v="68.2"/>
    <n v="0"/>
    <n v="68.2"/>
    <d v="2025-04-05T00:00:00"/>
    <n v="2"/>
    <x v="22"/>
    <x v="0"/>
    <x v="0"/>
    <n v="151"/>
    <n v="0"/>
    <s v=""/>
  </r>
  <r>
    <s v="FB002164"/>
    <x v="3"/>
    <x v="4"/>
    <x v="0"/>
    <s v="XL"/>
    <x v="3"/>
    <n v="178.56"/>
    <n v="0"/>
    <n v="178.56"/>
    <d v="2025-03-16T00:00:00"/>
    <n v="46"/>
    <x v="3"/>
    <x v="0"/>
    <x v="0"/>
    <n v="171"/>
    <n v="0"/>
    <s v=""/>
  </r>
  <r>
    <s v="FB002165"/>
    <x v="2"/>
    <x v="1"/>
    <x v="3"/>
    <m/>
    <x v="6"/>
    <n v="30.46"/>
    <n v="31.4"/>
    <n v="20.9"/>
    <d v="2025-08-06T00:00:00"/>
    <n v="40"/>
    <x v="13"/>
    <x v="0"/>
    <x v="0"/>
    <n v="28"/>
    <n v="1256"/>
    <s v=""/>
  </r>
  <r>
    <s v="FB002166"/>
    <x v="2"/>
    <x v="2"/>
    <x v="3"/>
    <m/>
    <x v="2"/>
    <n v="76.08"/>
    <n v="0"/>
    <n v="76.08"/>
    <d v="2025-08-06T00:00:00"/>
    <n v="6"/>
    <x v="26"/>
    <x v="0"/>
    <x v="0"/>
    <n v="28"/>
    <n v="0"/>
    <s v=""/>
  </r>
  <r>
    <s v="FB002167"/>
    <x v="3"/>
    <x v="2"/>
    <x v="1"/>
    <s v="M"/>
    <x v="10"/>
    <n v="116.15"/>
    <n v="16.5"/>
    <n v="96.99"/>
    <d v="2025-08-06T00:00:00"/>
    <n v="11"/>
    <x v="0"/>
    <x v="0"/>
    <x v="0"/>
    <n v="28"/>
    <n v="181.5"/>
    <s v=""/>
  </r>
  <r>
    <s v="FB002168"/>
    <x v="3"/>
    <x v="4"/>
    <x v="1"/>
    <s v="XS"/>
    <x v="3"/>
    <n v="98.22"/>
    <n v="0"/>
    <n v="98.22"/>
    <d v="2025-08-06T00:00:00"/>
    <n v="27"/>
    <x v="31"/>
    <x v="0"/>
    <x v="0"/>
    <n v="28"/>
    <n v="0"/>
    <s v=""/>
  </r>
  <r>
    <s v="FB002169"/>
    <x v="3"/>
    <x v="5"/>
    <x v="1"/>
    <m/>
    <x v="7"/>
    <n v="66.58"/>
    <n v="0"/>
    <n v="66.58"/>
    <d v="2025-08-06T00:00:00"/>
    <n v="45"/>
    <x v="10"/>
    <x v="0"/>
    <x v="0"/>
    <n v="28"/>
    <n v="0"/>
    <s v=""/>
  </r>
  <r>
    <s v="FB002170"/>
    <x v="2"/>
    <x v="1"/>
    <x v="0"/>
    <m/>
    <x v="7"/>
    <n v="69.22"/>
    <n v="0"/>
    <n v="69.22"/>
    <d v="2024-09-05T00:00:00"/>
    <n v="42"/>
    <x v="22"/>
    <x v="0"/>
    <x v="0"/>
    <n v="363"/>
    <n v="0"/>
    <s v=""/>
  </r>
  <r>
    <s v="FB002171"/>
    <x v="1"/>
    <x v="1"/>
    <x v="1"/>
    <s v="XL"/>
    <x v="2"/>
    <n v="85.01"/>
    <n v="0"/>
    <n v="85.01"/>
    <d v="2025-08-06T00:00:00"/>
    <n v="39"/>
    <x v="2"/>
    <x v="0"/>
    <x v="0"/>
    <n v="28"/>
    <n v="0"/>
    <s v=""/>
  </r>
  <r>
    <s v="FB002172"/>
    <x v="1"/>
    <x v="3"/>
    <x v="3"/>
    <s v="XL"/>
    <x v="2"/>
    <n v="31.41"/>
    <n v="0"/>
    <n v="31.41"/>
    <d v="2025-08-06T00:00:00"/>
    <n v="10"/>
    <x v="54"/>
    <x v="0"/>
    <x v="0"/>
    <n v="28"/>
    <n v="0"/>
    <s v=""/>
  </r>
  <r>
    <s v="FB002173"/>
    <x v="5"/>
    <x v="2"/>
    <x v="1"/>
    <s v="L"/>
    <x v="10"/>
    <n v="50.58"/>
    <n v="0"/>
    <n v="50.58"/>
    <d v="2025-08-06T00:00:00"/>
    <n v="1"/>
    <x v="47"/>
    <x v="1"/>
    <x v="5"/>
    <n v="28"/>
    <n v="0"/>
    <n v="1"/>
  </r>
  <r>
    <s v="FB002174"/>
    <x v="2"/>
    <x v="2"/>
    <x v="1"/>
    <m/>
    <x v="7"/>
    <n v="79.37"/>
    <n v="54.8"/>
    <n v="35.880000000000003"/>
    <d v="2025-08-06T00:00:00"/>
    <n v="40"/>
    <x v="3"/>
    <x v="0"/>
    <x v="0"/>
    <n v="28"/>
    <n v="2192"/>
    <s v=""/>
  </r>
  <r>
    <s v="FB002175"/>
    <x v="4"/>
    <x v="5"/>
    <x v="3"/>
    <s v="XL"/>
    <x v="1"/>
    <n v="105.52"/>
    <n v="0"/>
    <n v="105.52"/>
    <d v="2025-08-06T00:00:00"/>
    <n v="20"/>
    <x v="26"/>
    <x v="1"/>
    <x v="2"/>
    <n v="28"/>
    <n v="0"/>
    <n v="1"/>
  </r>
  <r>
    <s v="FB002176"/>
    <x v="3"/>
    <x v="5"/>
    <x v="3"/>
    <s v="XXL"/>
    <x v="3"/>
    <n v="154.02000000000001"/>
    <n v="0"/>
    <n v="154.02000000000001"/>
    <d v="2025-08-06T00:00:00"/>
    <n v="23"/>
    <x v="49"/>
    <x v="0"/>
    <x v="0"/>
    <n v="28"/>
    <n v="0"/>
    <s v=""/>
  </r>
</pivotCacheRecords>
</file>

<file path=xl/pivotCache/pivotCacheRecords3.xml><?xml version="1.0" encoding="utf-8"?>
<pivotCacheRecords xmlns="http://schemas.openxmlformats.org/spreadsheetml/2006/main" xmlns:r="http://schemas.openxmlformats.org/officeDocument/2006/relationships" count="2176">
  <r>
    <s v="FB000001"/>
    <x v="0"/>
    <x v="0"/>
    <x v="0"/>
    <s v="XL"/>
    <s v="Red"/>
    <n v="196.01"/>
    <n v="0"/>
    <n v="196.01"/>
    <x v="0"/>
    <n v="37"/>
    <n v="3"/>
    <b v="0"/>
    <m/>
    <n v="60"/>
    <n v="0"/>
    <s v=""/>
    <x v="0"/>
  </r>
  <r>
    <s v="FB000002"/>
    <x v="1"/>
    <x v="1"/>
    <x v="1"/>
    <s v="L"/>
    <s v="Pink"/>
    <n v="119.64"/>
    <n v="0"/>
    <n v="119.64"/>
    <x v="1"/>
    <n v="2"/>
    <n v="2.5"/>
    <b v="0"/>
    <m/>
    <n v="28"/>
    <n v="0"/>
    <s v=""/>
    <x v="0"/>
  </r>
  <r>
    <s v="FB000003"/>
    <x v="2"/>
    <x v="1"/>
    <x v="1"/>
    <m/>
    <s v="Black"/>
    <n v="33.799999999999997"/>
    <n v="0"/>
    <n v="33.799999999999997"/>
    <x v="1"/>
    <n v="22"/>
    <n v="4.3"/>
    <b v="0"/>
    <m/>
    <n v="28"/>
    <n v="0"/>
    <s v=""/>
    <x v="0"/>
  </r>
  <r>
    <s v="FB000004"/>
    <x v="3"/>
    <x v="1"/>
    <x v="0"/>
    <s v="XL"/>
    <s v="Black"/>
    <n v="75.36"/>
    <n v="0"/>
    <n v="75.36"/>
    <x v="2"/>
    <n v="48"/>
    <n v="2.6"/>
    <b v="0"/>
    <m/>
    <n v="58"/>
    <n v="0"/>
    <s v=""/>
    <x v="0"/>
  </r>
  <r>
    <s v="FB000005"/>
    <x v="1"/>
    <x v="2"/>
    <x v="1"/>
    <s v="XL"/>
    <s v="Black"/>
    <n v="105.02"/>
    <n v="0"/>
    <n v="105.02"/>
    <x v="1"/>
    <n v="10"/>
    <n v="2.953125"/>
    <b v="0"/>
    <m/>
    <n v="28"/>
    <n v="0"/>
    <s v=""/>
    <x v="0"/>
  </r>
  <r>
    <s v="FB000006"/>
    <x v="2"/>
    <x v="0"/>
    <x v="2"/>
    <m/>
    <s v="White"/>
    <n v="35.03"/>
    <n v="35.4"/>
    <n v="22.63"/>
    <x v="1"/>
    <n v="38"/>
    <n v="2.9"/>
    <b v="1"/>
    <s v="Color Mismatch"/>
    <n v="28"/>
    <n v="1345.2"/>
    <n v="1"/>
    <x v="1"/>
  </r>
  <r>
    <s v="FB000007"/>
    <x v="4"/>
    <x v="0"/>
    <x v="0"/>
    <s v="S"/>
    <s v="Gray"/>
    <n v="53.83"/>
    <n v="54.5"/>
    <n v="24.49"/>
    <x v="3"/>
    <n v="38"/>
    <n v="2.6"/>
    <b v="0"/>
    <m/>
    <n v="309"/>
    <n v="2071"/>
    <s v=""/>
    <x v="1"/>
  </r>
  <r>
    <s v="FB000008"/>
    <x v="5"/>
    <x v="3"/>
    <x v="1"/>
    <s v="XL"/>
    <s v="Blue"/>
    <n v="91.55"/>
    <n v="22.1"/>
    <n v="71.319999999999993"/>
    <x v="1"/>
    <n v="47"/>
    <n v="1.6"/>
    <b v="0"/>
    <m/>
    <n v="28"/>
    <n v="1038.7"/>
    <s v=""/>
    <x v="1"/>
  </r>
  <r>
    <s v="FB000009"/>
    <x v="0"/>
    <x v="1"/>
    <x v="0"/>
    <s v="XL"/>
    <s v="Green"/>
    <n v="227.73"/>
    <n v="12.8"/>
    <n v="198.58"/>
    <x v="4"/>
    <n v="14"/>
    <n v="3.15"/>
    <b v="0"/>
    <m/>
    <n v="163"/>
    <n v="179.20000000000002"/>
    <s v=""/>
    <x v="1"/>
  </r>
  <r>
    <s v="FB000010"/>
    <x v="0"/>
    <x v="4"/>
    <x v="2"/>
    <s v="XXL"/>
    <s v="Pink"/>
    <n v="248.41"/>
    <n v="10.9"/>
    <n v="221.33"/>
    <x v="1"/>
    <n v="37"/>
    <n v="2.9228571428571426"/>
    <b v="0"/>
    <m/>
    <n v="28"/>
    <n v="403.3"/>
    <s v=""/>
    <x v="1"/>
  </r>
  <r>
    <s v="FB000011"/>
    <x v="1"/>
    <x v="3"/>
    <x v="0"/>
    <s v="L"/>
    <s v="Black"/>
    <n v="116.84"/>
    <n v="0"/>
    <n v="116.84"/>
    <x v="5"/>
    <n v="3"/>
    <n v="4.4000000000000004"/>
    <b v="0"/>
    <m/>
    <n v="131"/>
    <n v="0"/>
    <s v=""/>
    <x v="0"/>
  </r>
  <r>
    <s v="FB000012"/>
    <x v="3"/>
    <x v="1"/>
    <x v="1"/>
    <s v="S"/>
    <s v="Blue"/>
    <n v="146.97999999999999"/>
    <n v="0"/>
    <n v="146.97999999999999"/>
    <x v="1"/>
    <n v="2"/>
    <n v="3.4"/>
    <b v="0"/>
    <m/>
    <n v="28"/>
    <n v="0"/>
    <s v=""/>
    <x v="0"/>
  </r>
  <r>
    <s v="FB000013"/>
    <x v="4"/>
    <x v="5"/>
    <x v="0"/>
    <s v="S"/>
    <s v="White"/>
    <n v="37.51"/>
    <n v="0"/>
    <n v="37.51"/>
    <x v="6"/>
    <n v="43"/>
    <n v="3.0575757575757576"/>
    <b v="0"/>
    <m/>
    <n v="242"/>
    <n v="0"/>
    <s v=""/>
    <x v="0"/>
  </r>
  <r>
    <s v="FB000014"/>
    <x v="5"/>
    <x v="1"/>
    <x v="2"/>
    <s v="XS"/>
    <s v="Beige"/>
    <n v="48.15"/>
    <n v="0"/>
    <n v="48.15"/>
    <x v="1"/>
    <n v="39"/>
    <n v="1.6"/>
    <b v="0"/>
    <m/>
    <n v="28"/>
    <n v="0"/>
    <s v=""/>
    <x v="0"/>
  </r>
  <r>
    <s v="FB000015"/>
    <x v="1"/>
    <x v="3"/>
    <x v="1"/>
    <s v="M"/>
    <s v="Beige"/>
    <n v="79.66"/>
    <n v="0"/>
    <n v="79.66"/>
    <x v="1"/>
    <n v="7"/>
    <n v="1.7"/>
    <b v="0"/>
    <m/>
    <n v="28"/>
    <n v="0"/>
    <s v=""/>
    <x v="0"/>
  </r>
  <r>
    <s v="FB000016"/>
    <x v="2"/>
    <x v="3"/>
    <x v="1"/>
    <m/>
    <s v="Green"/>
    <n v="67.569999999999993"/>
    <n v="0"/>
    <n v="67.569999999999993"/>
    <x v="1"/>
    <n v="17"/>
    <n v="2.4"/>
    <b v="0"/>
    <m/>
    <n v="28"/>
    <n v="0"/>
    <s v=""/>
    <x v="0"/>
  </r>
  <r>
    <s v="FB000017"/>
    <x v="3"/>
    <x v="6"/>
    <x v="3"/>
    <s v="S"/>
    <s v="Beige"/>
    <n v="123.53"/>
    <n v="0"/>
    <n v="123.53"/>
    <x v="1"/>
    <n v="14"/>
    <n v="4.5999999999999996"/>
    <b v="0"/>
    <m/>
    <n v="28"/>
    <n v="0"/>
    <s v=""/>
    <x v="0"/>
  </r>
  <r>
    <s v="FB000018"/>
    <x v="1"/>
    <x v="5"/>
    <x v="1"/>
    <s v="L"/>
    <s v="Navy"/>
    <n v="102.35"/>
    <n v="0"/>
    <n v="102.35"/>
    <x v="1"/>
    <n v="14"/>
    <n v="3.5"/>
    <b v="0"/>
    <m/>
    <n v="28"/>
    <n v="0"/>
    <s v=""/>
    <x v="0"/>
  </r>
  <r>
    <s v="FB000019"/>
    <x v="0"/>
    <x v="3"/>
    <x v="3"/>
    <s v="M"/>
    <s v="Purple"/>
    <n v="137.94999999999999"/>
    <n v="58.5"/>
    <n v="57.25"/>
    <x v="1"/>
    <n v="16"/>
    <n v="4.0999999999999996"/>
    <b v="0"/>
    <m/>
    <n v="28"/>
    <n v="936"/>
    <s v=""/>
    <x v="1"/>
  </r>
  <r>
    <s v="FB000020"/>
    <x v="0"/>
    <x v="2"/>
    <x v="3"/>
    <s v="XXL"/>
    <s v="Gray"/>
    <n v="142.59"/>
    <n v="0"/>
    <n v="142.59"/>
    <x v="1"/>
    <n v="1"/>
    <n v="3.7"/>
    <b v="0"/>
    <m/>
    <n v="28"/>
    <n v="0"/>
    <s v=""/>
    <x v="0"/>
  </r>
  <r>
    <s v="FB000021"/>
    <x v="4"/>
    <x v="3"/>
    <x v="2"/>
    <s v="L"/>
    <s v="Beige"/>
    <n v="33.33"/>
    <n v="21.8"/>
    <n v="26.06"/>
    <x v="1"/>
    <n v="42"/>
    <n v="2.8142857142857149"/>
    <b v="0"/>
    <m/>
    <n v="28"/>
    <n v="915.6"/>
    <s v=""/>
    <x v="1"/>
  </r>
  <r>
    <s v="FB000022"/>
    <x v="2"/>
    <x v="0"/>
    <x v="0"/>
    <m/>
    <s v="Brown"/>
    <n v="62.3"/>
    <n v="0"/>
    <n v="62.3"/>
    <x v="7"/>
    <n v="10"/>
    <n v="2.5"/>
    <b v="0"/>
    <m/>
    <n v="344"/>
    <n v="0"/>
    <s v=""/>
    <x v="0"/>
  </r>
  <r>
    <s v="FB000023"/>
    <x v="2"/>
    <x v="0"/>
    <x v="1"/>
    <m/>
    <s v="Pink"/>
    <n v="38.479999999999997"/>
    <n v="0"/>
    <n v="38.479999999999997"/>
    <x v="1"/>
    <n v="46"/>
    <n v="1.2"/>
    <b v="0"/>
    <m/>
    <n v="28"/>
    <n v="0"/>
    <s v=""/>
    <x v="0"/>
  </r>
  <r>
    <s v="FB000024"/>
    <x v="5"/>
    <x v="2"/>
    <x v="3"/>
    <s v="XL"/>
    <s v="Green"/>
    <n v="91.36"/>
    <n v="0"/>
    <n v="91.36"/>
    <x v="1"/>
    <n v="37"/>
    <n v="1.2"/>
    <b v="1"/>
    <s v="Size Issue"/>
    <n v="28"/>
    <n v="0"/>
    <n v="1"/>
    <x v="0"/>
  </r>
  <r>
    <s v="FB000025"/>
    <x v="1"/>
    <x v="7"/>
    <x v="2"/>
    <s v="XS"/>
    <s v="Blue"/>
    <n v="80.47"/>
    <n v="29.1"/>
    <n v="57.05"/>
    <x v="1"/>
    <n v="38"/>
    <n v="3.6"/>
    <b v="0"/>
    <m/>
    <n v="28"/>
    <n v="1105.8"/>
    <s v=""/>
    <x v="1"/>
  </r>
  <r>
    <s v="FB000026"/>
    <x v="4"/>
    <x v="1"/>
    <x v="0"/>
    <s v="M"/>
    <s v="Red"/>
    <n v="40.89"/>
    <n v="34"/>
    <n v="26.99"/>
    <x v="8"/>
    <n v="16"/>
    <n v="3.7"/>
    <b v="0"/>
    <m/>
    <n v="84"/>
    <n v="544"/>
    <s v=""/>
    <x v="1"/>
  </r>
  <r>
    <s v="FB000027"/>
    <x v="4"/>
    <x v="2"/>
    <x v="3"/>
    <s v="L"/>
    <s v="Red"/>
    <n v="47.04"/>
    <n v="36"/>
    <n v="30.11"/>
    <x v="1"/>
    <n v="25"/>
    <n v="1.1000000000000001"/>
    <b v="1"/>
    <s v="Damaged"/>
    <n v="28"/>
    <n v="900"/>
    <n v="1"/>
    <x v="1"/>
  </r>
  <r>
    <s v="FB000028"/>
    <x v="4"/>
    <x v="6"/>
    <x v="3"/>
    <s v="M"/>
    <s v="Blue"/>
    <n v="53.37"/>
    <n v="0"/>
    <n v="53.37"/>
    <x v="1"/>
    <n v="28"/>
    <n v="3.8"/>
    <b v="0"/>
    <m/>
    <n v="28"/>
    <n v="0"/>
    <s v=""/>
    <x v="0"/>
  </r>
  <r>
    <s v="FB000029"/>
    <x v="5"/>
    <x v="5"/>
    <x v="3"/>
    <s v="L"/>
    <s v="White"/>
    <n v="114.35"/>
    <n v="0"/>
    <n v="114.35"/>
    <x v="1"/>
    <n v="6"/>
    <n v="1.2"/>
    <b v="0"/>
    <m/>
    <n v="28"/>
    <n v="0"/>
    <s v=""/>
    <x v="0"/>
  </r>
  <r>
    <s v="FB000030"/>
    <x v="3"/>
    <x v="6"/>
    <x v="0"/>
    <s v="XL"/>
    <s v="Red"/>
    <n v="77.63"/>
    <n v="0"/>
    <n v="77.63"/>
    <x v="9"/>
    <n v="1"/>
    <n v="2.9083333333333328"/>
    <b v="0"/>
    <m/>
    <n v="314"/>
    <n v="0"/>
    <s v=""/>
    <x v="0"/>
  </r>
  <r>
    <s v="FB000031"/>
    <x v="3"/>
    <x v="1"/>
    <x v="3"/>
    <s v="S"/>
    <s v="Red"/>
    <n v="71.290000000000006"/>
    <n v="0"/>
    <n v="71.290000000000006"/>
    <x v="1"/>
    <n v="37"/>
    <n v="4.0999999999999996"/>
    <b v="1"/>
    <s v="Quality Issue"/>
    <n v="28"/>
    <n v="0"/>
    <n v="1"/>
    <x v="0"/>
  </r>
  <r>
    <s v="FB000032"/>
    <x v="1"/>
    <x v="6"/>
    <x v="0"/>
    <s v="L"/>
    <s v="Purple"/>
    <n v="37.43"/>
    <n v="24.4"/>
    <n v="28.3"/>
    <x v="10"/>
    <n v="5"/>
    <n v="2.9074999999999998"/>
    <b v="0"/>
    <m/>
    <n v="140"/>
    <n v="122"/>
    <s v=""/>
    <x v="1"/>
  </r>
  <r>
    <s v="FB000033"/>
    <x v="3"/>
    <x v="0"/>
    <x v="0"/>
    <s v="XL"/>
    <s v="Purple"/>
    <n v="143.78"/>
    <n v="0"/>
    <n v="143.78"/>
    <x v="11"/>
    <n v="43"/>
    <n v="1.1000000000000001"/>
    <b v="0"/>
    <m/>
    <n v="322"/>
    <n v="0"/>
    <s v=""/>
    <x v="0"/>
  </r>
  <r>
    <s v="FB000034"/>
    <x v="1"/>
    <x v="2"/>
    <x v="3"/>
    <s v="XL"/>
    <s v="Gray"/>
    <n v="88.23"/>
    <n v="0"/>
    <n v="88.23"/>
    <x v="1"/>
    <n v="44"/>
    <n v="1.6"/>
    <b v="0"/>
    <m/>
    <n v="28"/>
    <n v="0"/>
    <s v=""/>
    <x v="0"/>
  </r>
  <r>
    <s v="FB000035"/>
    <x v="2"/>
    <x v="7"/>
    <x v="2"/>
    <m/>
    <s v="Navy"/>
    <n v="58.57"/>
    <n v="0"/>
    <n v="58.57"/>
    <x v="1"/>
    <n v="38"/>
    <n v="1.5"/>
    <b v="0"/>
    <m/>
    <n v="28"/>
    <n v="0"/>
    <s v=""/>
    <x v="0"/>
  </r>
  <r>
    <s v="FB000036"/>
    <x v="1"/>
    <x v="1"/>
    <x v="1"/>
    <s v="XXL"/>
    <s v="White"/>
    <n v="119.7"/>
    <n v="5.7"/>
    <n v="112.88"/>
    <x v="1"/>
    <n v="37"/>
    <n v="4.9000000000000004"/>
    <b v="0"/>
    <m/>
    <n v="28"/>
    <n v="210.9"/>
    <s v=""/>
    <x v="1"/>
  </r>
  <r>
    <s v="FB000037"/>
    <x v="4"/>
    <x v="2"/>
    <x v="2"/>
    <s v="XXL"/>
    <s v="Green"/>
    <n v="97.06"/>
    <n v="47.8"/>
    <n v="50.67"/>
    <x v="1"/>
    <n v="31"/>
    <n v="4.0999999999999996"/>
    <b v="0"/>
    <m/>
    <n v="28"/>
    <n v="1481.8"/>
    <s v=""/>
    <x v="1"/>
  </r>
  <r>
    <s v="FB000038"/>
    <x v="5"/>
    <x v="2"/>
    <x v="3"/>
    <s v="L"/>
    <s v="White"/>
    <n v="110.09"/>
    <n v="0"/>
    <n v="110.09"/>
    <x v="1"/>
    <n v="32"/>
    <n v="3.4"/>
    <b v="0"/>
    <m/>
    <n v="28"/>
    <n v="0"/>
    <s v=""/>
    <x v="0"/>
  </r>
  <r>
    <s v="FB000039"/>
    <x v="3"/>
    <x v="0"/>
    <x v="1"/>
    <s v="XS"/>
    <s v="Green"/>
    <n v="198.42"/>
    <n v="14.2"/>
    <n v="170.24"/>
    <x v="1"/>
    <n v="10"/>
    <n v="2.9153846153846157"/>
    <b v="0"/>
    <m/>
    <n v="28"/>
    <n v="142"/>
    <s v=""/>
    <x v="1"/>
  </r>
  <r>
    <s v="FB000040"/>
    <x v="4"/>
    <x v="2"/>
    <x v="1"/>
    <m/>
    <s v="Purple"/>
    <n v="101.72"/>
    <n v="0"/>
    <n v="101.72"/>
    <x v="1"/>
    <n v="40"/>
    <n v="3.0384615384615379"/>
    <b v="0"/>
    <m/>
    <n v="28"/>
    <n v="0"/>
    <s v=""/>
    <x v="0"/>
  </r>
  <r>
    <s v="FB000041"/>
    <x v="1"/>
    <x v="1"/>
    <x v="3"/>
    <s v="S"/>
    <s v="White"/>
    <n v="117.86"/>
    <n v="0"/>
    <n v="117.86"/>
    <x v="1"/>
    <n v="6"/>
    <n v="3.34"/>
    <b v="0"/>
    <m/>
    <n v="28"/>
    <n v="0"/>
    <s v=""/>
    <x v="0"/>
  </r>
  <r>
    <s v="FB000042"/>
    <x v="1"/>
    <x v="5"/>
    <x v="3"/>
    <s v="M"/>
    <s v="Green"/>
    <n v="78.86"/>
    <n v="0"/>
    <n v="78.86"/>
    <x v="1"/>
    <n v="22"/>
    <n v="4.3"/>
    <b v="0"/>
    <m/>
    <n v="28"/>
    <n v="0"/>
    <s v=""/>
    <x v="0"/>
  </r>
  <r>
    <s v="FB000043"/>
    <x v="0"/>
    <x v="0"/>
    <x v="1"/>
    <s v="XS"/>
    <s v="Navy"/>
    <n v="216.16"/>
    <n v="51.4"/>
    <n v="105.05"/>
    <x v="1"/>
    <n v="36"/>
    <n v="4"/>
    <b v="0"/>
    <m/>
    <n v="28"/>
    <n v="1850.3999999999999"/>
    <s v=""/>
    <x v="1"/>
  </r>
  <r>
    <s v="FB000044"/>
    <x v="3"/>
    <x v="0"/>
    <x v="0"/>
    <s v="XL"/>
    <s v="Pink"/>
    <n v="129.85"/>
    <n v="0"/>
    <n v="129.85"/>
    <x v="5"/>
    <n v="36"/>
    <n v="3.3"/>
    <b v="0"/>
    <m/>
    <n v="131"/>
    <n v="0"/>
    <s v=""/>
    <x v="0"/>
  </r>
  <r>
    <s v="FB000045"/>
    <x v="1"/>
    <x v="2"/>
    <x v="1"/>
    <s v="XXL"/>
    <s v="Green"/>
    <n v="111.3"/>
    <n v="0"/>
    <n v="111.3"/>
    <x v="1"/>
    <n v="11"/>
    <n v="1.7"/>
    <b v="0"/>
    <m/>
    <n v="28"/>
    <n v="0"/>
    <s v=""/>
    <x v="0"/>
  </r>
  <r>
    <s v="FB000046"/>
    <x v="5"/>
    <x v="1"/>
    <x v="3"/>
    <s v="XL"/>
    <s v="Brown"/>
    <n v="73.650000000000006"/>
    <n v="0"/>
    <n v="73.650000000000006"/>
    <x v="1"/>
    <n v="33"/>
    <n v="3.6"/>
    <b v="0"/>
    <m/>
    <n v="28"/>
    <n v="0"/>
    <s v=""/>
    <x v="0"/>
  </r>
  <r>
    <s v="FB000047"/>
    <x v="3"/>
    <x v="3"/>
    <x v="3"/>
    <s v="L"/>
    <s v="Pink"/>
    <n v="147.13"/>
    <n v="30.3"/>
    <n v="102.55"/>
    <x v="1"/>
    <n v="13"/>
    <n v="4.4000000000000004"/>
    <b v="0"/>
    <m/>
    <n v="28"/>
    <n v="393.90000000000003"/>
    <s v=""/>
    <x v="1"/>
  </r>
  <r>
    <s v="FB000048"/>
    <x v="2"/>
    <x v="5"/>
    <x v="1"/>
    <m/>
    <s v="Green"/>
    <n v="44.6"/>
    <n v="53.9"/>
    <n v="20.56"/>
    <x v="1"/>
    <n v="42"/>
    <n v="2.4"/>
    <b v="0"/>
    <m/>
    <n v="28"/>
    <n v="2263.7999999999997"/>
    <s v=""/>
    <x v="1"/>
  </r>
  <r>
    <s v="FB000049"/>
    <x v="4"/>
    <x v="7"/>
    <x v="3"/>
    <s v="XL"/>
    <s v="White"/>
    <n v="101.8"/>
    <n v="0"/>
    <n v="101.8"/>
    <x v="1"/>
    <n v="7"/>
    <n v="2.8"/>
    <b v="0"/>
    <m/>
    <n v="28"/>
    <n v="0"/>
    <s v=""/>
    <x v="0"/>
  </r>
  <r>
    <s v="FB000050"/>
    <x v="2"/>
    <x v="2"/>
    <x v="3"/>
    <m/>
    <s v="Brown"/>
    <n v="16.52"/>
    <n v="55.9"/>
    <n v="7.29"/>
    <x v="1"/>
    <n v="43"/>
    <n v="2.8694444444444449"/>
    <b v="0"/>
    <m/>
    <n v="28"/>
    <n v="2403.6999999999998"/>
    <s v=""/>
    <x v="1"/>
  </r>
  <r>
    <s v="FB000051"/>
    <x v="4"/>
    <x v="4"/>
    <x v="2"/>
    <s v="M"/>
    <s v="Beige"/>
    <n v="50.91"/>
    <n v="0"/>
    <n v="50.91"/>
    <x v="1"/>
    <n v="3"/>
    <n v="1.8"/>
    <b v="0"/>
    <m/>
    <n v="28"/>
    <n v="0"/>
    <s v=""/>
    <x v="0"/>
  </r>
  <r>
    <s v="FB000052"/>
    <x v="0"/>
    <x v="7"/>
    <x v="0"/>
    <s v="S"/>
    <s v="White"/>
    <n v="222.26"/>
    <n v="0"/>
    <n v="222.26"/>
    <x v="12"/>
    <n v="50"/>
    <n v="4.5"/>
    <b v="0"/>
    <m/>
    <n v="123"/>
    <n v="0"/>
    <s v=""/>
    <x v="0"/>
  </r>
  <r>
    <s v="FB000053"/>
    <x v="3"/>
    <x v="6"/>
    <x v="3"/>
    <s v="S"/>
    <s v="Navy"/>
    <n v="104.14"/>
    <n v="57.1"/>
    <n v="44.68"/>
    <x v="1"/>
    <n v="14"/>
    <n v="1.8"/>
    <b v="0"/>
    <m/>
    <n v="28"/>
    <n v="799.4"/>
    <s v=""/>
    <x v="1"/>
  </r>
  <r>
    <s v="FB000054"/>
    <x v="0"/>
    <x v="0"/>
    <x v="0"/>
    <s v="S"/>
    <s v="White"/>
    <n v="166.76"/>
    <n v="0"/>
    <n v="166.76"/>
    <x v="13"/>
    <n v="21"/>
    <n v="4.2"/>
    <b v="0"/>
    <m/>
    <n v="83"/>
    <n v="0"/>
    <s v=""/>
    <x v="0"/>
  </r>
  <r>
    <s v="FB000055"/>
    <x v="2"/>
    <x v="2"/>
    <x v="2"/>
    <m/>
    <s v="Black"/>
    <n v="44.13"/>
    <n v="50.9"/>
    <n v="21.67"/>
    <x v="1"/>
    <n v="21"/>
    <n v="3"/>
    <b v="0"/>
    <m/>
    <n v="28"/>
    <n v="1068.8999999999999"/>
    <s v=""/>
    <x v="1"/>
  </r>
  <r>
    <s v="FB000056"/>
    <x v="0"/>
    <x v="6"/>
    <x v="3"/>
    <s v="S"/>
    <s v="Green"/>
    <n v="121.29"/>
    <n v="15.2"/>
    <n v="102.85"/>
    <x v="1"/>
    <n v="42"/>
    <n v="2.9034482758620692"/>
    <b v="0"/>
    <m/>
    <n v="28"/>
    <n v="638.4"/>
    <s v=""/>
    <x v="1"/>
  </r>
  <r>
    <s v="FB000057"/>
    <x v="1"/>
    <x v="4"/>
    <x v="0"/>
    <s v="S"/>
    <s v="Beige"/>
    <n v="73.709999999999994"/>
    <n v="0"/>
    <n v="73.709999999999994"/>
    <x v="14"/>
    <n v="35"/>
    <n v="3.9"/>
    <b v="1"/>
    <s v="Quality Issue"/>
    <n v="55"/>
    <n v="0"/>
    <n v="1"/>
    <x v="0"/>
  </r>
  <r>
    <s v="FB000058"/>
    <x v="4"/>
    <x v="0"/>
    <x v="0"/>
    <s v="XL"/>
    <s v="Brown"/>
    <n v="84.07"/>
    <n v="26.3"/>
    <n v="61.96"/>
    <x v="15"/>
    <n v="19"/>
    <n v="2.2999999999999998"/>
    <b v="1"/>
    <s v="Size Issue"/>
    <n v="313"/>
    <n v="499.7"/>
    <n v="1"/>
    <x v="1"/>
  </r>
  <r>
    <s v="FB000059"/>
    <x v="1"/>
    <x v="3"/>
    <x v="3"/>
    <s v="XS"/>
    <s v="Black"/>
    <n v="28.59"/>
    <n v="0"/>
    <n v="28.59"/>
    <x v="1"/>
    <n v="39"/>
    <n v="1.4"/>
    <b v="0"/>
    <m/>
    <n v="28"/>
    <n v="0"/>
    <s v=""/>
    <x v="0"/>
  </r>
  <r>
    <s v="FB000060"/>
    <x v="3"/>
    <x v="3"/>
    <x v="1"/>
    <s v="XXL"/>
    <s v="Blue"/>
    <n v="166.49"/>
    <n v="2.6"/>
    <n v="162.16"/>
    <x v="1"/>
    <n v="27"/>
    <n v="2.9804347826086954"/>
    <b v="0"/>
    <m/>
    <n v="28"/>
    <n v="70.2"/>
    <s v=""/>
    <x v="1"/>
  </r>
  <r>
    <s v="FB000061"/>
    <x v="3"/>
    <x v="5"/>
    <x v="3"/>
    <s v="M"/>
    <s v="White"/>
    <n v="145.94999999999999"/>
    <n v="6.6"/>
    <n v="136.32"/>
    <x v="1"/>
    <n v="15"/>
    <n v="4"/>
    <b v="0"/>
    <m/>
    <n v="28"/>
    <n v="99"/>
    <s v=""/>
    <x v="1"/>
  </r>
  <r>
    <s v="FB000062"/>
    <x v="0"/>
    <x v="6"/>
    <x v="2"/>
    <s v="M"/>
    <s v="Purple"/>
    <n v="218.42"/>
    <n v="0"/>
    <n v="218.42"/>
    <x v="1"/>
    <n v="33"/>
    <n v="4.4000000000000004"/>
    <b v="1"/>
    <s v="Changed Mind"/>
    <n v="28"/>
    <n v="0"/>
    <n v="1"/>
    <x v="0"/>
  </r>
  <r>
    <s v="FB000063"/>
    <x v="2"/>
    <x v="7"/>
    <x v="1"/>
    <m/>
    <s v="White"/>
    <n v="46.17"/>
    <n v="1.1000000000000001"/>
    <n v="45.66"/>
    <x v="1"/>
    <n v="30"/>
    <n v="1.9"/>
    <b v="0"/>
    <m/>
    <n v="28"/>
    <n v="33"/>
    <s v=""/>
    <x v="1"/>
  </r>
  <r>
    <s v="FB000064"/>
    <x v="3"/>
    <x v="4"/>
    <x v="3"/>
    <m/>
    <s v="Green"/>
    <n v="106.18"/>
    <n v="18"/>
    <n v="87.07"/>
    <x v="1"/>
    <n v="11"/>
    <n v="4.5"/>
    <b v="0"/>
    <m/>
    <n v="28"/>
    <n v="198"/>
    <s v=""/>
    <x v="1"/>
  </r>
  <r>
    <s v="FB000065"/>
    <x v="1"/>
    <x v="0"/>
    <x v="1"/>
    <s v="XS"/>
    <s v="Gray"/>
    <n v="93.33"/>
    <n v="2.4"/>
    <n v="91.09"/>
    <x v="1"/>
    <n v="20"/>
    <n v="4.2"/>
    <b v="0"/>
    <m/>
    <n v="28"/>
    <n v="48"/>
    <s v=""/>
    <x v="1"/>
  </r>
  <r>
    <s v="FB000066"/>
    <x v="4"/>
    <x v="3"/>
    <x v="0"/>
    <s v="XS"/>
    <s v="White"/>
    <n v="86.54"/>
    <n v="21.7"/>
    <n v="67.760000000000005"/>
    <x v="16"/>
    <n v="21"/>
    <n v="3.6"/>
    <b v="1"/>
    <s v="Changed Mind"/>
    <n v="94"/>
    <n v="455.7"/>
    <n v="1"/>
    <x v="1"/>
  </r>
  <r>
    <s v="FB000067"/>
    <x v="2"/>
    <x v="5"/>
    <x v="3"/>
    <m/>
    <s v="Green"/>
    <n v="55.57"/>
    <n v="0"/>
    <n v="55.57"/>
    <x v="1"/>
    <n v="44"/>
    <n v="3.8"/>
    <b v="0"/>
    <m/>
    <n v="28"/>
    <n v="0"/>
    <s v=""/>
    <x v="0"/>
  </r>
  <r>
    <s v="FB000068"/>
    <x v="1"/>
    <x v="7"/>
    <x v="0"/>
    <s v="XL"/>
    <s v="Black"/>
    <n v="76.5"/>
    <n v="0"/>
    <n v="76.5"/>
    <x v="17"/>
    <n v="17"/>
    <n v="4.5999999999999996"/>
    <b v="0"/>
    <m/>
    <n v="220"/>
    <n v="0"/>
    <s v=""/>
    <x v="0"/>
  </r>
  <r>
    <s v="FB000069"/>
    <x v="5"/>
    <x v="7"/>
    <x v="0"/>
    <s v="XS"/>
    <s v="Green"/>
    <n v="137.19"/>
    <n v="9.5"/>
    <n v="124.16"/>
    <x v="18"/>
    <n v="17"/>
    <n v="2.9636363636363638"/>
    <b v="0"/>
    <m/>
    <n v="155"/>
    <n v="161.5"/>
    <s v=""/>
    <x v="1"/>
  </r>
  <r>
    <s v="FB000070"/>
    <x v="1"/>
    <x v="0"/>
    <x v="3"/>
    <s v="XL"/>
    <s v="Purple"/>
    <n v="48.92"/>
    <n v="19.8"/>
    <n v="39.229999999999997"/>
    <x v="1"/>
    <n v="17"/>
    <n v="2.6"/>
    <b v="0"/>
    <m/>
    <n v="28"/>
    <n v="336.6"/>
    <s v=""/>
    <x v="1"/>
  </r>
  <r>
    <s v="FB000071"/>
    <x v="3"/>
    <x v="5"/>
    <x v="1"/>
    <s v="XL"/>
    <s v="White"/>
    <n v="69.819999999999993"/>
    <n v="0"/>
    <n v="69.819999999999993"/>
    <x v="1"/>
    <n v="46"/>
    <n v="3.0068965517241386"/>
    <b v="1"/>
    <s v="Wrong Item"/>
    <n v="28"/>
    <n v="0"/>
    <n v="1"/>
    <x v="0"/>
  </r>
  <r>
    <s v="FB000072"/>
    <x v="0"/>
    <x v="3"/>
    <x v="3"/>
    <s v="XXL"/>
    <s v="Red"/>
    <n v="199.39"/>
    <n v="7.4"/>
    <n v="184.64"/>
    <x v="1"/>
    <n v="49"/>
    <n v="2.4137931034482762"/>
    <b v="0"/>
    <m/>
    <n v="28"/>
    <n v="362.6"/>
    <s v=""/>
    <x v="1"/>
  </r>
  <r>
    <s v="FB000073"/>
    <x v="0"/>
    <x v="2"/>
    <x v="3"/>
    <s v="M"/>
    <s v="White"/>
    <n v="222.09"/>
    <n v="55.2"/>
    <n v="99.5"/>
    <x v="1"/>
    <n v="21"/>
    <n v="4.5"/>
    <b v="0"/>
    <m/>
    <n v="28"/>
    <n v="1159.2"/>
    <s v=""/>
    <x v="1"/>
  </r>
  <r>
    <s v="FB000074"/>
    <x v="1"/>
    <x v="3"/>
    <x v="2"/>
    <s v="XS"/>
    <s v="Red"/>
    <n v="112.86"/>
    <n v="0"/>
    <n v="112.86"/>
    <x v="1"/>
    <n v="8"/>
    <n v="2.9"/>
    <b v="0"/>
    <m/>
    <n v="28"/>
    <n v="0"/>
    <s v=""/>
    <x v="0"/>
  </r>
  <r>
    <s v="FB000075"/>
    <x v="5"/>
    <x v="3"/>
    <x v="0"/>
    <s v="XS"/>
    <s v="Green"/>
    <n v="100.96"/>
    <n v="0"/>
    <n v="100.96"/>
    <x v="19"/>
    <n v="32"/>
    <n v="3.3"/>
    <b v="0"/>
    <m/>
    <n v="116"/>
    <n v="0"/>
    <s v=""/>
    <x v="0"/>
  </r>
  <r>
    <s v="FB000076"/>
    <x v="0"/>
    <x v="6"/>
    <x v="0"/>
    <s v="XL"/>
    <s v="Green"/>
    <n v="243.56"/>
    <n v="48"/>
    <n v="126.65"/>
    <x v="20"/>
    <n v="22"/>
    <n v="4.4000000000000004"/>
    <b v="1"/>
    <s v="Changed Mind"/>
    <n v="324"/>
    <n v="1056"/>
    <n v="1"/>
    <x v="1"/>
  </r>
  <r>
    <s v="FB000077"/>
    <x v="5"/>
    <x v="3"/>
    <x v="0"/>
    <s v="XXL"/>
    <s v="Red"/>
    <n v="153.32"/>
    <n v="0"/>
    <n v="153.32"/>
    <x v="21"/>
    <n v="43"/>
    <n v="2.9"/>
    <b v="0"/>
    <m/>
    <n v="355"/>
    <n v="0"/>
    <s v=""/>
    <x v="0"/>
  </r>
  <r>
    <s v="FB000078"/>
    <x v="2"/>
    <x v="1"/>
    <x v="2"/>
    <m/>
    <s v="Purple"/>
    <n v="42.95"/>
    <n v="22.5"/>
    <n v="33.29"/>
    <x v="1"/>
    <n v="7"/>
    <n v="1.9"/>
    <b v="1"/>
    <s v="Size Issue"/>
    <n v="28"/>
    <n v="157.5"/>
    <n v="1"/>
    <x v="1"/>
  </r>
  <r>
    <s v="FB000079"/>
    <x v="1"/>
    <x v="4"/>
    <x v="3"/>
    <s v="S"/>
    <s v="Green"/>
    <n v="30.79"/>
    <n v="0"/>
    <n v="30.79"/>
    <x v="1"/>
    <n v="36"/>
    <n v="3.4"/>
    <b v="0"/>
    <m/>
    <n v="28"/>
    <n v="0"/>
    <s v=""/>
    <x v="0"/>
  </r>
  <r>
    <s v="FB000080"/>
    <x v="2"/>
    <x v="1"/>
    <x v="2"/>
    <m/>
    <s v="Brown"/>
    <n v="59.85"/>
    <n v="0"/>
    <n v="59.85"/>
    <x v="1"/>
    <n v="38"/>
    <n v="4"/>
    <b v="0"/>
    <m/>
    <n v="28"/>
    <n v="0"/>
    <s v=""/>
    <x v="0"/>
  </r>
  <r>
    <s v="FB000081"/>
    <x v="1"/>
    <x v="2"/>
    <x v="0"/>
    <s v="S"/>
    <s v="Navy"/>
    <n v="78.16"/>
    <n v="19.100000000000001"/>
    <n v="63.23"/>
    <x v="22"/>
    <n v="23"/>
    <n v="2.953125"/>
    <b v="0"/>
    <m/>
    <n v="40"/>
    <n v="439.3"/>
    <s v=""/>
    <x v="1"/>
  </r>
  <r>
    <s v="FB000082"/>
    <x v="1"/>
    <x v="5"/>
    <x v="2"/>
    <s v="M"/>
    <s v="White"/>
    <n v="113.17"/>
    <n v="19.100000000000001"/>
    <n v="91.55"/>
    <x v="1"/>
    <n v="15"/>
    <n v="4.9000000000000004"/>
    <b v="0"/>
    <m/>
    <n v="28"/>
    <n v="286.5"/>
    <s v=""/>
    <x v="1"/>
  </r>
  <r>
    <s v="FB000083"/>
    <x v="5"/>
    <x v="5"/>
    <x v="1"/>
    <s v="S"/>
    <s v="Blue"/>
    <n v="174.13"/>
    <n v="0"/>
    <n v="174.13"/>
    <x v="1"/>
    <n v="34"/>
    <n v="3.7"/>
    <b v="0"/>
    <m/>
    <n v="28"/>
    <n v="0"/>
    <s v=""/>
    <x v="0"/>
  </r>
  <r>
    <s v="FB000084"/>
    <x v="3"/>
    <x v="0"/>
    <x v="3"/>
    <s v="XS"/>
    <s v="Purple"/>
    <n v="191.96"/>
    <n v="0"/>
    <n v="191.96"/>
    <x v="1"/>
    <n v="50"/>
    <n v="2.9153846153846157"/>
    <b v="0"/>
    <m/>
    <n v="28"/>
    <n v="0"/>
    <s v=""/>
    <x v="0"/>
  </r>
  <r>
    <s v="FB000085"/>
    <x v="0"/>
    <x v="5"/>
    <x v="0"/>
    <s v="XL"/>
    <s v="Beige"/>
    <n v="222.55"/>
    <n v="22.6"/>
    <n v="172.25"/>
    <x v="23"/>
    <n v="50"/>
    <n v="3.0305555555555546"/>
    <b v="0"/>
    <m/>
    <n v="205"/>
    <n v="1130"/>
    <s v=""/>
    <x v="1"/>
  </r>
  <r>
    <s v="FB000086"/>
    <x v="4"/>
    <x v="7"/>
    <x v="1"/>
    <s v="XS"/>
    <s v="Black"/>
    <n v="37.85"/>
    <n v="11.9"/>
    <n v="33.35"/>
    <x v="1"/>
    <n v="45"/>
    <n v="3.4"/>
    <b v="1"/>
    <s v="Changed Mind"/>
    <n v="28"/>
    <n v="535.5"/>
    <n v="1"/>
    <x v="1"/>
  </r>
  <r>
    <s v="FB000087"/>
    <x v="0"/>
    <x v="1"/>
    <x v="3"/>
    <s v="M"/>
    <s v="Gray"/>
    <n v="241.09"/>
    <n v="0"/>
    <n v="241.09"/>
    <x v="1"/>
    <n v="26"/>
    <n v="3.15"/>
    <b v="0"/>
    <m/>
    <n v="28"/>
    <n v="0"/>
    <s v=""/>
    <x v="0"/>
  </r>
  <r>
    <s v="FB000088"/>
    <x v="5"/>
    <x v="2"/>
    <x v="0"/>
    <s v="S"/>
    <s v="Navy"/>
    <n v="136.97"/>
    <n v="0"/>
    <n v="136.97"/>
    <x v="15"/>
    <n v="17"/>
    <n v="4.4000000000000004"/>
    <b v="1"/>
    <s v="Quality Issue"/>
    <n v="313"/>
    <n v="0"/>
    <n v="1"/>
    <x v="0"/>
  </r>
  <r>
    <s v="FB000089"/>
    <x v="3"/>
    <x v="4"/>
    <x v="0"/>
    <s v="M"/>
    <s v="Blue"/>
    <n v="113.79"/>
    <n v="55.3"/>
    <n v="50.86"/>
    <x v="24"/>
    <n v="47"/>
    <n v="4.0999999999999996"/>
    <b v="0"/>
    <m/>
    <n v="248"/>
    <n v="2599.1"/>
    <s v=""/>
    <x v="1"/>
  </r>
  <r>
    <s v="FB000090"/>
    <x v="4"/>
    <x v="4"/>
    <x v="3"/>
    <s v="XXL"/>
    <s v="White"/>
    <n v="93.23"/>
    <n v="40"/>
    <n v="55.94"/>
    <x v="1"/>
    <n v="46"/>
    <n v="1.9"/>
    <b v="0"/>
    <m/>
    <n v="28"/>
    <n v="1840"/>
    <s v=""/>
    <x v="1"/>
  </r>
  <r>
    <s v="FB000091"/>
    <x v="3"/>
    <x v="1"/>
    <x v="0"/>
    <s v="S"/>
    <s v="Navy"/>
    <n v="106.24"/>
    <n v="6.4"/>
    <n v="99.44"/>
    <x v="25"/>
    <n v="50"/>
    <n v="1.5"/>
    <b v="0"/>
    <m/>
    <n v="359"/>
    <n v="320"/>
    <s v=""/>
    <x v="1"/>
  </r>
  <r>
    <s v="FB000092"/>
    <x v="2"/>
    <x v="0"/>
    <x v="1"/>
    <m/>
    <s v="Brown"/>
    <n v="30.95"/>
    <n v="0"/>
    <n v="30.95"/>
    <x v="1"/>
    <n v="27"/>
    <n v="3.1"/>
    <b v="1"/>
    <s v="Changed Mind"/>
    <n v="28"/>
    <n v="0"/>
    <n v="1"/>
    <x v="0"/>
  </r>
  <r>
    <s v="FB000093"/>
    <x v="3"/>
    <x v="0"/>
    <x v="3"/>
    <s v="S"/>
    <s v="Black"/>
    <n v="76.92"/>
    <n v="49.5"/>
    <n v="38.840000000000003"/>
    <x v="1"/>
    <n v="7"/>
    <n v="1.1000000000000001"/>
    <b v="0"/>
    <m/>
    <n v="28"/>
    <n v="346.5"/>
    <s v=""/>
    <x v="1"/>
  </r>
  <r>
    <s v="FB000094"/>
    <x v="4"/>
    <x v="4"/>
    <x v="2"/>
    <s v="XS"/>
    <s v="Beige"/>
    <n v="80.64"/>
    <n v="0"/>
    <n v="80.64"/>
    <x v="1"/>
    <n v="26"/>
    <n v="3.0659090909090896"/>
    <b v="0"/>
    <m/>
    <n v="28"/>
    <n v="0"/>
    <s v=""/>
    <x v="0"/>
  </r>
  <r>
    <s v="FB000095"/>
    <x v="4"/>
    <x v="0"/>
    <x v="2"/>
    <s v="XS"/>
    <s v="Beige"/>
    <n v="32.46"/>
    <n v="52.4"/>
    <n v="15.45"/>
    <x v="1"/>
    <n v="14"/>
    <n v="3.9"/>
    <b v="0"/>
    <m/>
    <n v="28"/>
    <n v="733.6"/>
    <s v=""/>
    <x v="1"/>
  </r>
  <r>
    <s v="FB000096"/>
    <x v="2"/>
    <x v="6"/>
    <x v="3"/>
    <m/>
    <s v="Black"/>
    <n v="54.79"/>
    <n v="0"/>
    <n v="54.79"/>
    <x v="1"/>
    <n v="12"/>
    <n v="4.5"/>
    <b v="0"/>
    <m/>
    <n v="28"/>
    <n v="0"/>
    <s v=""/>
    <x v="0"/>
  </r>
  <r>
    <s v="FB000097"/>
    <x v="4"/>
    <x v="4"/>
    <x v="1"/>
    <s v="M"/>
    <s v="Pink"/>
    <n v="71.14"/>
    <n v="56.4"/>
    <n v="31.02"/>
    <x v="1"/>
    <n v="12"/>
    <n v="3.4"/>
    <b v="0"/>
    <m/>
    <n v="28"/>
    <n v="676.8"/>
    <s v=""/>
    <x v="1"/>
  </r>
  <r>
    <s v="FB000098"/>
    <x v="4"/>
    <x v="5"/>
    <x v="3"/>
    <s v="XXL"/>
    <s v="Navy"/>
    <n v="57.85"/>
    <n v="0"/>
    <n v="57.85"/>
    <x v="1"/>
    <n v="36"/>
    <n v="3.5"/>
    <b v="0"/>
    <m/>
    <n v="28"/>
    <n v="0"/>
    <s v=""/>
    <x v="0"/>
  </r>
  <r>
    <s v="FB000099"/>
    <x v="4"/>
    <x v="0"/>
    <x v="3"/>
    <s v="XS"/>
    <s v="Green"/>
    <n v="33.369999999999997"/>
    <n v="3"/>
    <n v="32.369999999999997"/>
    <x v="1"/>
    <n v="40"/>
    <n v="1.3"/>
    <b v="0"/>
    <m/>
    <n v="28"/>
    <n v="120"/>
    <s v=""/>
    <x v="1"/>
  </r>
  <r>
    <s v="FB000100"/>
    <x v="1"/>
    <x v="6"/>
    <x v="3"/>
    <s v="L"/>
    <s v="Black"/>
    <n v="91.83"/>
    <n v="0"/>
    <n v="91.83"/>
    <x v="1"/>
    <n v="39"/>
    <n v="4.9000000000000004"/>
    <b v="0"/>
    <m/>
    <n v="28"/>
    <n v="0"/>
    <s v=""/>
    <x v="0"/>
  </r>
  <r>
    <s v="FB000101"/>
    <x v="4"/>
    <x v="0"/>
    <x v="2"/>
    <s v="L"/>
    <s v="White"/>
    <n v="60.12"/>
    <n v="19.5"/>
    <n v="48.4"/>
    <x v="1"/>
    <n v="42"/>
    <n v="1"/>
    <b v="0"/>
    <m/>
    <n v="28"/>
    <n v="819"/>
    <s v=""/>
    <x v="1"/>
  </r>
  <r>
    <s v="FB000102"/>
    <x v="5"/>
    <x v="2"/>
    <x v="1"/>
    <s v="S"/>
    <s v="White"/>
    <n v="163.5"/>
    <n v="0"/>
    <n v="163.5"/>
    <x v="1"/>
    <n v="34"/>
    <n v="4.9000000000000004"/>
    <b v="0"/>
    <m/>
    <n v="28"/>
    <n v="0"/>
    <s v=""/>
    <x v="0"/>
  </r>
  <r>
    <s v="FB000103"/>
    <x v="5"/>
    <x v="1"/>
    <x v="0"/>
    <s v="S"/>
    <s v="Beige"/>
    <n v="126.37"/>
    <n v="0"/>
    <n v="126.37"/>
    <x v="26"/>
    <n v="25"/>
    <n v="1.8"/>
    <b v="0"/>
    <m/>
    <n v="299"/>
    <n v="0"/>
    <s v=""/>
    <x v="0"/>
  </r>
  <r>
    <s v="FB000104"/>
    <x v="4"/>
    <x v="1"/>
    <x v="1"/>
    <s v="L"/>
    <s v="Navy"/>
    <n v="50.01"/>
    <n v="58.2"/>
    <n v="20.9"/>
    <x v="1"/>
    <n v="32"/>
    <n v="4.8"/>
    <b v="0"/>
    <m/>
    <n v="28"/>
    <n v="1862.4"/>
    <s v=""/>
    <x v="1"/>
  </r>
  <r>
    <s v="FB000105"/>
    <x v="3"/>
    <x v="4"/>
    <x v="1"/>
    <s v="S"/>
    <s v="Red"/>
    <n v="84.31"/>
    <n v="0"/>
    <n v="84.31"/>
    <x v="1"/>
    <n v="10"/>
    <n v="3.9"/>
    <b v="0"/>
    <m/>
    <n v="28"/>
    <n v="0"/>
    <s v=""/>
    <x v="0"/>
  </r>
  <r>
    <s v="FB000106"/>
    <x v="4"/>
    <x v="2"/>
    <x v="0"/>
    <s v="XL"/>
    <s v="Beige"/>
    <n v="100.98"/>
    <n v="0"/>
    <n v="100.98"/>
    <x v="27"/>
    <n v="21"/>
    <n v="2.8"/>
    <b v="0"/>
    <m/>
    <n v="78"/>
    <n v="0"/>
    <s v=""/>
    <x v="0"/>
  </r>
  <r>
    <s v="FB000107"/>
    <x v="4"/>
    <x v="2"/>
    <x v="3"/>
    <s v="M"/>
    <s v="Beige"/>
    <n v="38.020000000000003"/>
    <n v="0"/>
    <n v="38.020000000000003"/>
    <x v="1"/>
    <n v="44"/>
    <n v="4.7"/>
    <b v="0"/>
    <m/>
    <n v="28"/>
    <n v="0"/>
    <s v=""/>
    <x v="0"/>
  </r>
  <r>
    <s v="FB000108"/>
    <x v="4"/>
    <x v="4"/>
    <x v="2"/>
    <s v="XL"/>
    <s v="Blue"/>
    <n v="63.85"/>
    <n v="0"/>
    <n v="63.85"/>
    <x v="1"/>
    <n v="41"/>
    <n v="3.0659090909090896"/>
    <b v="0"/>
    <m/>
    <n v="28"/>
    <n v="0"/>
    <s v=""/>
    <x v="0"/>
  </r>
  <r>
    <s v="FB000109"/>
    <x v="3"/>
    <x v="4"/>
    <x v="2"/>
    <s v="XS"/>
    <s v="Navy"/>
    <n v="183.15"/>
    <n v="0"/>
    <n v="183.15"/>
    <x v="1"/>
    <n v="23"/>
    <n v="4.0999999999999996"/>
    <b v="0"/>
    <m/>
    <n v="28"/>
    <n v="0"/>
    <s v=""/>
    <x v="0"/>
  </r>
  <r>
    <s v="FB000110"/>
    <x v="5"/>
    <x v="0"/>
    <x v="1"/>
    <s v="S"/>
    <s v="Gray"/>
    <n v="91"/>
    <n v="59.5"/>
    <n v="36.86"/>
    <x v="1"/>
    <n v="5"/>
    <n v="3.9"/>
    <b v="0"/>
    <m/>
    <n v="28"/>
    <n v="297.5"/>
    <s v=""/>
    <x v="1"/>
  </r>
  <r>
    <s v="FB000111"/>
    <x v="0"/>
    <x v="1"/>
    <x v="0"/>
    <s v="L"/>
    <s v="Black"/>
    <n v="92.83"/>
    <n v="0"/>
    <n v="92.83"/>
    <x v="28"/>
    <n v="9"/>
    <n v="1.2"/>
    <b v="0"/>
    <m/>
    <n v="45"/>
    <n v="0"/>
    <s v=""/>
    <x v="0"/>
  </r>
  <r>
    <s v="FB000112"/>
    <x v="2"/>
    <x v="2"/>
    <x v="1"/>
    <m/>
    <s v="Brown"/>
    <n v="34.450000000000003"/>
    <n v="0"/>
    <n v="34.450000000000003"/>
    <x v="1"/>
    <n v="4"/>
    <n v="4.5"/>
    <b v="0"/>
    <m/>
    <n v="28"/>
    <n v="0"/>
    <s v=""/>
    <x v="0"/>
  </r>
  <r>
    <s v="FB000113"/>
    <x v="5"/>
    <x v="4"/>
    <x v="2"/>
    <s v="S"/>
    <s v="Purple"/>
    <n v="128.15"/>
    <n v="50"/>
    <n v="64.08"/>
    <x v="1"/>
    <n v="28"/>
    <n v="3.2"/>
    <b v="0"/>
    <m/>
    <n v="28"/>
    <n v="1400"/>
    <s v=""/>
    <x v="1"/>
  </r>
  <r>
    <s v="FB000114"/>
    <x v="1"/>
    <x v="3"/>
    <x v="3"/>
    <s v="XXL"/>
    <s v="Red"/>
    <n v="99.62"/>
    <n v="33.799999999999997"/>
    <n v="65.95"/>
    <x v="1"/>
    <n v="27"/>
    <n v="2.1"/>
    <b v="0"/>
    <m/>
    <n v="28"/>
    <n v="912.59999999999991"/>
    <s v=""/>
    <x v="1"/>
  </r>
  <r>
    <s v="FB000115"/>
    <x v="4"/>
    <x v="7"/>
    <x v="1"/>
    <s v="S"/>
    <s v="Pink"/>
    <n v="87.39"/>
    <n v="25.5"/>
    <n v="65.11"/>
    <x v="1"/>
    <n v="8"/>
    <n v="2.2999999999999998"/>
    <b v="0"/>
    <m/>
    <n v="28"/>
    <n v="204"/>
    <s v=""/>
    <x v="1"/>
  </r>
  <r>
    <s v="FB000116"/>
    <x v="1"/>
    <x v="0"/>
    <x v="0"/>
    <s v="XXL"/>
    <s v="Brown"/>
    <n v="49.67"/>
    <n v="0"/>
    <n v="49.67"/>
    <x v="29"/>
    <n v="37"/>
    <n v="2.2999999999999998"/>
    <b v="0"/>
    <m/>
    <n v="362"/>
    <n v="0"/>
    <s v=""/>
    <x v="0"/>
  </r>
  <r>
    <s v="FB000117"/>
    <x v="2"/>
    <x v="1"/>
    <x v="2"/>
    <m/>
    <s v="Brown"/>
    <n v="72.040000000000006"/>
    <n v="0"/>
    <n v="72.040000000000006"/>
    <x v="1"/>
    <n v="48"/>
    <n v="3.1288461538461547"/>
    <b v="1"/>
    <s v="Wrong Item"/>
    <n v="28"/>
    <n v="0"/>
    <n v="1"/>
    <x v="0"/>
  </r>
  <r>
    <s v="FB000118"/>
    <x v="5"/>
    <x v="0"/>
    <x v="0"/>
    <s v="M"/>
    <s v="Navy"/>
    <n v="133.82"/>
    <n v="0"/>
    <n v="133.82"/>
    <x v="30"/>
    <n v="12"/>
    <n v="1.7"/>
    <b v="0"/>
    <m/>
    <n v="282"/>
    <n v="0"/>
    <s v=""/>
    <x v="0"/>
  </r>
  <r>
    <s v="FB000119"/>
    <x v="4"/>
    <x v="1"/>
    <x v="1"/>
    <s v="S"/>
    <s v="Black"/>
    <n v="62.93"/>
    <n v="0"/>
    <n v="62.93"/>
    <x v="1"/>
    <n v="49"/>
    <n v="3.0846153846153843"/>
    <b v="0"/>
    <m/>
    <n v="28"/>
    <n v="0"/>
    <s v=""/>
    <x v="0"/>
  </r>
  <r>
    <s v="FB000120"/>
    <x v="0"/>
    <x v="0"/>
    <x v="0"/>
    <s v="L"/>
    <s v="Red"/>
    <n v="248.58"/>
    <n v="0"/>
    <n v="248.58"/>
    <x v="31"/>
    <n v="27"/>
    <n v="1.5"/>
    <b v="0"/>
    <m/>
    <n v="61"/>
    <n v="0"/>
    <s v=""/>
    <x v="0"/>
  </r>
  <r>
    <s v="FB000121"/>
    <x v="3"/>
    <x v="1"/>
    <x v="2"/>
    <s v="XXL"/>
    <s v="Navy"/>
    <n v="61.08"/>
    <n v="0"/>
    <n v="61.08"/>
    <x v="1"/>
    <n v="27"/>
    <n v="2.8205128205128198"/>
    <b v="1"/>
    <s v="Changed Mind"/>
    <n v="28"/>
    <n v="0"/>
    <n v="1"/>
    <x v="0"/>
  </r>
  <r>
    <s v="FB000122"/>
    <x v="4"/>
    <x v="6"/>
    <x v="1"/>
    <s v="S"/>
    <s v="Red"/>
    <n v="109.12"/>
    <n v="0"/>
    <n v="109.12"/>
    <x v="1"/>
    <n v="34"/>
    <n v="3.1799999999999997"/>
    <b v="0"/>
    <m/>
    <n v="28"/>
    <n v="0"/>
    <s v=""/>
    <x v="0"/>
  </r>
  <r>
    <s v="FB000123"/>
    <x v="0"/>
    <x v="0"/>
    <x v="1"/>
    <s v="XXL"/>
    <s v="Purple"/>
    <n v="82.91"/>
    <n v="45.9"/>
    <n v="44.85"/>
    <x v="1"/>
    <n v="24"/>
    <n v="2.7030303030303036"/>
    <b v="1"/>
    <s v="Quality Issue"/>
    <n v="28"/>
    <n v="1101.5999999999999"/>
    <n v="1"/>
    <x v="1"/>
  </r>
  <r>
    <s v="FB000124"/>
    <x v="3"/>
    <x v="4"/>
    <x v="3"/>
    <s v="XS"/>
    <s v="Purple"/>
    <n v="113.53"/>
    <n v="10.9"/>
    <n v="101.16"/>
    <x v="1"/>
    <n v="40"/>
    <n v="2.8"/>
    <b v="0"/>
    <m/>
    <n v="28"/>
    <n v="436"/>
    <s v=""/>
    <x v="1"/>
  </r>
  <r>
    <s v="FB000125"/>
    <x v="2"/>
    <x v="1"/>
    <x v="1"/>
    <m/>
    <s v="Brown"/>
    <n v="38.89"/>
    <n v="51.5"/>
    <n v="18.86"/>
    <x v="1"/>
    <n v="28"/>
    <n v="4.3"/>
    <b v="0"/>
    <m/>
    <n v="28"/>
    <n v="1442"/>
    <s v=""/>
    <x v="1"/>
  </r>
  <r>
    <s v="FB000126"/>
    <x v="5"/>
    <x v="6"/>
    <x v="0"/>
    <s v="XXL"/>
    <s v="Black"/>
    <n v="53.01"/>
    <n v="45.9"/>
    <n v="28.68"/>
    <x v="32"/>
    <n v="37"/>
    <n v="3.7"/>
    <b v="0"/>
    <m/>
    <n v="232"/>
    <n v="1698.3"/>
    <s v=""/>
    <x v="1"/>
  </r>
  <r>
    <s v="FB000127"/>
    <x v="3"/>
    <x v="5"/>
    <x v="0"/>
    <s v="XXL"/>
    <s v="Blue"/>
    <n v="81.64"/>
    <n v="0"/>
    <n v="81.64"/>
    <x v="33"/>
    <n v="50"/>
    <n v="1.1000000000000001"/>
    <b v="0"/>
    <m/>
    <n v="271"/>
    <n v="0"/>
    <s v=""/>
    <x v="0"/>
  </r>
  <r>
    <s v="FB000128"/>
    <x v="3"/>
    <x v="5"/>
    <x v="0"/>
    <s v="XXL"/>
    <s v="White"/>
    <n v="125.24"/>
    <n v="21.5"/>
    <n v="98.31"/>
    <x v="29"/>
    <n v="7"/>
    <n v="2.9"/>
    <b v="0"/>
    <m/>
    <n v="362"/>
    <n v="150.5"/>
    <s v=""/>
    <x v="1"/>
  </r>
  <r>
    <s v="FB000129"/>
    <x v="0"/>
    <x v="5"/>
    <x v="0"/>
    <s v="XS"/>
    <s v="Pink"/>
    <n v="98.61"/>
    <n v="0"/>
    <n v="98.61"/>
    <x v="34"/>
    <n v="1"/>
    <n v="2.6"/>
    <b v="0"/>
    <m/>
    <n v="182"/>
    <n v="0"/>
    <s v=""/>
    <x v="0"/>
  </r>
  <r>
    <s v="FB000130"/>
    <x v="3"/>
    <x v="6"/>
    <x v="2"/>
    <s v="XS"/>
    <s v="Blue"/>
    <n v="77.540000000000006"/>
    <n v="0"/>
    <n v="77.540000000000006"/>
    <x v="1"/>
    <n v="36"/>
    <n v="3.4"/>
    <b v="0"/>
    <m/>
    <n v="28"/>
    <n v="0"/>
    <s v=""/>
    <x v="0"/>
  </r>
  <r>
    <s v="FB000131"/>
    <x v="5"/>
    <x v="2"/>
    <x v="0"/>
    <s v="XL"/>
    <s v="Purple"/>
    <n v="79.13"/>
    <n v="0"/>
    <n v="79.13"/>
    <x v="35"/>
    <n v="11"/>
    <n v="3.6"/>
    <b v="0"/>
    <m/>
    <n v="291"/>
    <n v="0"/>
    <s v=""/>
    <x v="0"/>
  </r>
  <r>
    <s v="FB000132"/>
    <x v="4"/>
    <x v="3"/>
    <x v="0"/>
    <s v="S"/>
    <s v="Green"/>
    <n v="96.11"/>
    <n v="0"/>
    <n v="96.11"/>
    <x v="36"/>
    <n v="13"/>
    <n v="4.2"/>
    <b v="0"/>
    <m/>
    <n v="144"/>
    <n v="0"/>
    <s v=""/>
    <x v="0"/>
  </r>
  <r>
    <s v="FB000133"/>
    <x v="1"/>
    <x v="3"/>
    <x v="0"/>
    <s v="XL"/>
    <s v="White"/>
    <n v="116.61"/>
    <n v="0"/>
    <n v="116.61"/>
    <x v="37"/>
    <n v="31"/>
    <n v="2.9742857142857138"/>
    <b v="0"/>
    <m/>
    <n v="303"/>
    <n v="0"/>
    <s v=""/>
    <x v="0"/>
  </r>
  <r>
    <s v="FB000134"/>
    <x v="2"/>
    <x v="5"/>
    <x v="1"/>
    <m/>
    <s v="Blue"/>
    <n v="57.8"/>
    <n v="27"/>
    <n v="42.19"/>
    <x v="1"/>
    <n v="9"/>
    <n v="1.8"/>
    <b v="0"/>
    <m/>
    <n v="28"/>
    <n v="243"/>
    <s v=""/>
    <x v="1"/>
  </r>
  <r>
    <s v="FB000135"/>
    <x v="1"/>
    <x v="4"/>
    <x v="0"/>
    <s v="S"/>
    <s v="White"/>
    <n v="110.78"/>
    <n v="0"/>
    <n v="110.78"/>
    <x v="38"/>
    <n v="9"/>
    <n v="1.4"/>
    <b v="0"/>
    <m/>
    <n v="233"/>
    <n v="0"/>
    <s v=""/>
    <x v="0"/>
  </r>
  <r>
    <s v="FB000136"/>
    <x v="1"/>
    <x v="6"/>
    <x v="0"/>
    <s v="L"/>
    <s v="Black"/>
    <n v="112.63"/>
    <n v="0"/>
    <n v="112.63"/>
    <x v="20"/>
    <n v="50"/>
    <n v="3.6"/>
    <b v="1"/>
    <s v="Quality Issue"/>
    <n v="324"/>
    <n v="0"/>
    <n v="1"/>
    <x v="0"/>
  </r>
  <r>
    <s v="FB000137"/>
    <x v="1"/>
    <x v="4"/>
    <x v="3"/>
    <s v="XS"/>
    <s v="Purple"/>
    <n v="89.36"/>
    <n v="0"/>
    <n v="89.36"/>
    <x v="1"/>
    <n v="24"/>
    <n v="4.3"/>
    <b v="1"/>
    <s v="Damaged"/>
    <n v="28"/>
    <n v="0"/>
    <n v="1"/>
    <x v="0"/>
  </r>
  <r>
    <s v="FB000138"/>
    <x v="0"/>
    <x v="7"/>
    <x v="2"/>
    <s v="M"/>
    <s v="Pink"/>
    <n v="127.99"/>
    <n v="0"/>
    <n v="127.99"/>
    <x v="1"/>
    <n v="16"/>
    <n v="2.9718749999999998"/>
    <b v="0"/>
    <m/>
    <n v="28"/>
    <n v="0"/>
    <s v=""/>
    <x v="0"/>
  </r>
  <r>
    <s v="FB000139"/>
    <x v="4"/>
    <x v="0"/>
    <x v="1"/>
    <s v="XXL"/>
    <s v="Beige"/>
    <n v="54.88"/>
    <n v="58.8"/>
    <n v="22.61"/>
    <x v="1"/>
    <n v="50"/>
    <n v="3.5"/>
    <b v="0"/>
    <m/>
    <n v="28"/>
    <n v="2940"/>
    <s v=""/>
    <x v="1"/>
  </r>
  <r>
    <s v="FB000140"/>
    <x v="3"/>
    <x v="1"/>
    <x v="0"/>
    <s v="L"/>
    <s v="White"/>
    <n v="154.13"/>
    <n v="0"/>
    <n v="154.13"/>
    <x v="39"/>
    <n v="31"/>
    <n v="4.0999999999999996"/>
    <b v="1"/>
    <s v="Size Issue"/>
    <n v="337"/>
    <n v="0"/>
    <n v="1"/>
    <x v="0"/>
  </r>
  <r>
    <s v="FB000141"/>
    <x v="5"/>
    <x v="5"/>
    <x v="0"/>
    <s v="XS"/>
    <s v="Gray"/>
    <n v="131.5"/>
    <n v="0"/>
    <n v="131.5"/>
    <x v="40"/>
    <n v="5"/>
    <n v="3.1874999999999991"/>
    <b v="0"/>
    <m/>
    <n v="304"/>
    <n v="0"/>
    <s v=""/>
    <x v="0"/>
  </r>
  <r>
    <s v="FB000142"/>
    <x v="0"/>
    <x v="6"/>
    <x v="3"/>
    <s v="M"/>
    <s v="Blue"/>
    <n v="133.26"/>
    <n v="0"/>
    <n v="133.26"/>
    <x v="1"/>
    <n v="29"/>
    <n v="1.3"/>
    <b v="0"/>
    <m/>
    <n v="28"/>
    <n v="0"/>
    <s v=""/>
    <x v="0"/>
  </r>
  <r>
    <s v="FB000143"/>
    <x v="3"/>
    <x v="7"/>
    <x v="1"/>
    <s v="XL"/>
    <s v="Red"/>
    <n v="173.91"/>
    <n v="0"/>
    <n v="173.91"/>
    <x v="1"/>
    <n v="21"/>
    <n v="3.2576923076923077"/>
    <b v="0"/>
    <m/>
    <n v="28"/>
    <n v="0"/>
    <s v=""/>
    <x v="0"/>
  </r>
  <r>
    <s v="FB000144"/>
    <x v="1"/>
    <x v="4"/>
    <x v="0"/>
    <s v="L"/>
    <s v="Beige"/>
    <n v="102.99"/>
    <n v="0"/>
    <n v="102.99"/>
    <x v="41"/>
    <n v="41"/>
    <n v="3.9"/>
    <b v="0"/>
    <m/>
    <n v="49"/>
    <n v="0"/>
    <s v=""/>
    <x v="0"/>
  </r>
  <r>
    <s v="FB000145"/>
    <x v="0"/>
    <x v="0"/>
    <x v="0"/>
    <s v="L"/>
    <s v="Beige"/>
    <n v="87.78"/>
    <n v="45.3"/>
    <n v="48.02"/>
    <x v="42"/>
    <n v="34"/>
    <n v="1.8"/>
    <b v="0"/>
    <m/>
    <n v="198"/>
    <n v="1540.1999999999998"/>
    <s v=""/>
    <x v="1"/>
  </r>
  <r>
    <s v="FB000146"/>
    <x v="1"/>
    <x v="1"/>
    <x v="1"/>
    <m/>
    <s v="Beige"/>
    <n v="91.8"/>
    <n v="15.8"/>
    <n v="77.3"/>
    <x v="1"/>
    <n v="30"/>
    <n v="4.2"/>
    <b v="0"/>
    <m/>
    <n v="28"/>
    <n v="474"/>
    <s v=""/>
    <x v="1"/>
  </r>
  <r>
    <s v="FB000147"/>
    <x v="1"/>
    <x v="0"/>
    <x v="1"/>
    <s v="L"/>
    <s v="White"/>
    <n v="107.32"/>
    <n v="25.4"/>
    <n v="80.06"/>
    <x v="1"/>
    <n v="50"/>
    <n v="4.4000000000000004"/>
    <b v="0"/>
    <m/>
    <n v="28"/>
    <n v="1270"/>
    <s v=""/>
    <x v="1"/>
  </r>
  <r>
    <s v="FB000148"/>
    <x v="4"/>
    <x v="2"/>
    <x v="0"/>
    <s v="XXL"/>
    <s v="Brown"/>
    <n v="67.69"/>
    <n v="57.3"/>
    <n v="28.9"/>
    <x v="43"/>
    <n v="50"/>
    <n v="4.5999999999999996"/>
    <b v="0"/>
    <m/>
    <n v="41"/>
    <n v="2865"/>
    <s v=""/>
    <x v="1"/>
  </r>
  <r>
    <s v="FB000149"/>
    <x v="1"/>
    <x v="5"/>
    <x v="3"/>
    <s v="M"/>
    <s v="Beige"/>
    <n v="68.11"/>
    <n v="46"/>
    <n v="36.78"/>
    <x v="1"/>
    <n v="3"/>
    <n v="2.5"/>
    <b v="0"/>
    <m/>
    <n v="28"/>
    <n v="138"/>
    <s v=""/>
    <x v="1"/>
  </r>
  <r>
    <s v="FB000150"/>
    <x v="3"/>
    <x v="2"/>
    <x v="0"/>
    <s v="L"/>
    <s v="Blue"/>
    <n v="94.29"/>
    <n v="0"/>
    <n v="94.29"/>
    <x v="44"/>
    <n v="18"/>
    <n v="1.7"/>
    <b v="0"/>
    <m/>
    <n v="353"/>
    <n v="0"/>
    <s v=""/>
    <x v="0"/>
  </r>
  <r>
    <s v="FB000151"/>
    <x v="1"/>
    <x v="5"/>
    <x v="1"/>
    <s v="XL"/>
    <s v="Gray"/>
    <n v="94.97"/>
    <n v="0"/>
    <n v="94.97"/>
    <x v="1"/>
    <n v="46"/>
    <n v="4.3"/>
    <b v="0"/>
    <m/>
    <n v="28"/>
    <n v="0"/>
    <s v=""/>
    <x v="0"/>
  </r>
  <r>
    <s v="FB000152"/>
    <x v="3"/>
    <x v="2"/>
    <x v="1"/>
    <s v="M"/>
    <s v="Navy"/>
    <n v="65.87"/>
    <n v="11.4"/>
    <n v="58.36"/>
    <x v="1"/>
    <n v="15"/>
    <n v="3.9"/>
    <b v="0"/>
    <m/>
    <n v="28"/>
    <n v="171"/>
    <s v=""/>
    <x v="1"/>
  </r>
  <r>
    <s v="FB000153"/>
    <x v="5"/>
    <x v="0"/>
    <x v="1"/>
    <s v="XXL"/>
    <s v="Blue"/>
    <n v="155.06"/>
    <n v="29.4"/>
    <n v="109.47"/>
    <x v="1"/>
    <n v="5"/>
    <n v="3.6"/>
    <b v="0"/>
    <m/>
    <n v="28"/>
    <n v="147"/>
    <s v=""/>
    <x v="1"/>
  </r>
  <r>
    <s v="FB000154"/>
    <x v="0"/>
    <x v="0"/>
    <x v="1"/>
    <s v="L"/>
    <s v="Brown"/>
    <n v="172.59"/>
    <n v="0"/>
    <n v="172.59"/>
    <x v="1"/>
    <n v="1"/>
    <n v="2.1"/>
    <b v="0"/>
    <m/>
    <n v="28"/>
    <n v="0"/>
    <s v=""/>
    <x v="0"/>
  </r>
  <r>
    <s v="FB000155"/>
    <x v="5"/>
    <x v="4"/>
    <x v="3"/>
    <s v="M"/>
    <s v="Blue"/>
    <n v="68.72"/>
    <n v="0"/>
    <n v="68.72"/>
    <x v="1"/>
    <n v="28"/>
    <n v="1.7"/>
    <b v="1"/>
    <s v="Quality Issue"/>
    <n v="28"/>
    <n v="0"/>
    <n v="1"/>
    <x v="0"/>
  </r>
  <r>
    <s v="FB000156"/>
    <x v="1"/>
    <x v="2"/>
    <x v="0"/>
    <s v="XL"/>
    <s v="Blue"/>
    <n v="28.78"/>
    <n v="0"/>
    <n v="28.78"/>
    <x v="45"/>
    <n v="21"/>
    <n v="2.953125"/>
    <b v="0"/>
    <m/>
    <n v="335"/>
    <n v="0"/>
    <s v=""/>
    <x v="0"/>
  </r>
  <r>
    <s v="FB000157"/>
    <x v="0"/>
    <x v="4"/>
    <x v="1"/>
    <s v="XXL"/>
    <s v="Black"/>
    <n v="110.32"/>
    <n v="28.3"/>
    <n v="79.099999999999994"/>
    <x v="1"/>
    <n v="49"/>
    <n v="3.3"/>
    <b v="0"/>
    <m/>
    <n v="28"/>
    <n v="1386.7"/>
    <s v=""/>
    <x v="1"/>
  </r>
  <r>
    <s v="FB000158"/>
    <x v="3"/>
    <x v="3"/>
    <x v="3"/>
    <s v="XXL"/>
    <s v="Black"/>
    <n v="194.24"/>
    <n v="0"/>
    <n v="194.24"/>
    <x v="1"/>
    <n v="17"/>
    <n v="1.2"/>
    <b v="1"/>
    <s v="Changed Mind"/>
    <n v="28"/>
    <n v="0"/>
    <n v="1"/>
    <x v="0"/>
  </r>
  <r>
    <s v="FB000159"/>
    <x v="3"/>
    <x v="6"/>
    <x v="2"/>
    <s v="XS"/>
    <s v="Beige"/>
    <n v="175.91"/>
    <n v="0"/>
    <n v="175.91"/>
    <x v="1"/>
    <n v="4"/>
    <n v="2.8"/>
    <b v="0"/>
    <m/>
    <n v="28"/>
    <n v="0"/>
    <s v=""/>
    <x v="0"/>
  </r>
  <r>
    <s v="FB000160"/>
    <x v="4"/>
    <x v="3"/>
    <x v="1"/>
    <s v="XXL"/>
    <s v="Gray"/>
    <n v="79.34"/>
    <n v="0"/>
    <n v="79.34"/>
    <x v="1"/>
    <n v="30"/>
    <n v="4.4000000000000004"/>
    <b v="0"/>
    <m/>
    <n v="28"/>
    <n v="0"/>
    <s v=""/>
    <x v="0"/>
  </r>
  <r>
    <s v="FB000161"/>
    <x v="4"/>
    <x v="4"/>
    <x v="3"/>
    <s v="M"/>
    <s v="Green"/>
    <n v="111.88"/>
    <n v="0"/>
    <n v="111.88"/>
    <x v="1"/>
    <n v="41"/>
    <n v="4.5"/>
    <b v="0"/>
    <m/>
    <n v="28"/>
    <n v="0"/>
    <s v=""/>
    <x v="0"/>
  </r>
  <r>
    <s v="FB000162"/>
    <x v="2"/>
    <x v="6"/>
    <x v="0"/>
    <m/>
    <s v="Navy"/>
    <n v="42.84"/>
    <n v="40.6"/>
    <n v="25.45"/>
    <x v="46"/>
    <n v="18"/>
    <n v="2.6"/>
    <b v="0"/>
    <m/>
    <n v="356"/>
    <n v="730.80000000000007"/>
    <s v=""/>
    <x v="1"/>
  </r>
  <r>
    <s v="FB000163"/>
    <x v="4"/>
    <x v="6"/>
    <x v="0"/>
    <s v="XXL"/>
    <s v="Navy"/>
    <n v="26.28"/>
    <n v="1.1000000000000001"/>
    <n v="25.99"/>
    <x v="47"/>
    <n v="35"/>
    <n v="5"/>
    <b v="0"/>
    <m/>
    <n v="75"/>
    <n v="38.5"/>
    <s v=""/>
    <x v="1"/>
  </r>
  <r>
    <s v="FB000164"/>
    <x v="2"/>
    <x v="4"/>
    <x v="0"/>
    <m/>
    <s v="Green"/>
    <n v="23.11"/>
    <n v="0"/>
    <n v="23.11"/>
    <x v="48"/>
    <n v="2"/>
    <n v="1.4"/>
    <b v="0"/>
    <m/>
    <n v="351"/>
    <n v="0"/>
    <s v=""/>
    <x v="0"/>
  </r>
  <r>
    <s v="FB000165"/>
    <x v="3"/>
    <x v="0"/>
    <x v="1"/>
    <s v="M"/>
    <s v="White"/>
    <n v="168.36"/>
    <n v="0"/>
    <n v="168.36"/>
    <x v="1"/>
    <n v="47"/>
    <n v="2.9153846153846157"/>
    <b v="1"/>
    <s v="Damaged"/>
    <n v="28"/>
    <n v="0"/>
    <n v="1"/>
    <x v="0"/>
  </r>
  <r>
    <s v="FB000166"/>
    <x v="3"/>
    <x v="6"/>
    <x v="2"/>
    <s v="XL"/>
    <s v="Green"/>
    <n v="99.26"/>
    <n v="0"/>
    <n v="99.26"/>
    <x v="1"/>
    <n v="33"/>
    <n v="2.9083333333333328"/>
    <b v="1"/>
    <s v="Quality Issue"/>
    <n v="28"/>
    <n v="0"/>
    <n v="1"/>
    <x v="0"/>
  </r>
  <r>
    <s v="FB000167"/>
    <x v="2"/>
    <x v="3"/>
    <x v="0"/>
    <m/>
    <s v="Black"/>
    <n v="53.66"/>
    <n v="0"/>
    <n v="53.66"/>
    <x v="49"/>
    <n v="40"/>
    <n v="2.8"/>
    <b v="0"/>
    <m/>
    <n v="258"/>
    <n v="0"/>
    <s v=""/>
    <x v="0"/>
  </r>
  <r>
    <s v="FB000168"/>
    <x v="2"/>
    <x v="5"/>
    <x v="3"/>
    <m/>
    <s v="Gray"/>
    <n v="69.709999999999994"/>
    <n v="18"/>
    <n v="57.16"/>
    <x v="1"/>
    <n v="34"/>
    <n v="4.2"/>
    <b v="1"/>
    <s v="Color Mismatch"/>
    <n v="28"/>
    <n v="612"/>
    <n v="1"/>
    <x v="1"/>
  </r>
  <r>
    <s v="FB000169"/>
    <x v="5"/>
    <x v="7"/>
    <x v="2"/>
    <s v="XXL"/>
    <s v="Gray"/>
    <n v="60.3"/>
    <n v="21.4"/>
    <n v="47.4"/>
    <x v="1"/>
    <n v="4"/>
    <n v="3.6"/>
    <b v="0"/>
    <m/>
    <n v="28"/>
    <n v="85.6"/>
    <s v=""/>
    <x v="1"/>
  </r>
  <r>
    <s v="FB000170"/>
    <x v="3"/>
    <x v="2"/>
    <x v="1"/>
    <s v="XXL"/>
    <s v="Red"/>
    <n v="113.58"/>
    <n v="0"/>
    <n v="113.58"/>
    <x v="1"/>
    <n v="33"/>
    <n v="4.9000000000000004"/>
    <b v="1"/>
    <s v="Wrong Item"/>
    <n v="28"/>
    <n v="0"/>
    <n v="1"/>
    <x v="0"/>
  </r>
  <r>
    <s v="FB000171"/>
    <x v="4"/>
    <x v="5"/>
    <x v="2"/>
    <s v="XS"/>
    <s v="Brown"/>
    <n v="54.86"/>
    <n v="1.7"/>
    <n v="53.93"/>
    <x v="1"/>
    <n v="40"/>
    <n v="2.5"/>
    <b v="0"/>
    <m/>
    <n v="28"/>
    <n v="68"/>
    <s v=""/>
    <x v="1"/>
  </r>
  <r>
    <s v="FB000172"/>
    <x v="1"/>
    <x v="0"/>
    <x v="1"/>
    <s v="XS"/>
    <s v="Red"/>
    <n v="92.25"/>
    <n v="0"/>
    <n v="92.25"/>
    <x v="1"/>
    <n v="13"/>
    <n v="2.8"/>
    <b v="1"/>
    <s v="Damaged"/>
    <n v="28"/>
    <n v="0"/>
    <n v="1"/>
    <x v="0"/>
  </r>
  <r>
    <s v="FB000173"/>
    <x v="2"/>
    <x v="5"/>
    <x v="1"/>
    <m/>
    <s v="White"/>
    <n v="54.07"/>
    <n v="0"/>
    <n v="54.07"/>
    <x v="1"/>
    <n v="47"/>
    <n v="4.5999999999999996"/>
    <b v="0"/>
    <m/>
    <n v="28"/>
    <n v="0"/>
    <s v=""/>
    <x v="0"/>
  </r>
  <r>
    <s v="FB000174"/>
    <x v="3"/>
    <x v="2"/>
    <x v="1"/>
    <s v="XL"/>
    <s v="Red"/>
    <n v="104.4"/>
    <n v="0"/>
    <n v="104.4"/>
    <x v="1"/>
    <n v="41"/>
    <n v="3.4"/>
    <b v="0"/>
    <m/>
    <n v="28"/>
    <n v="0"/>
    <s v=""/>
    <x v="0"/>
  </r>
  <r>
    <s v="FB000175"/>
    <x v="5"/>
    <x v="5"/>
    <x v="0"/>
    <s v="M"/>
    <s v="Gray"/>
    <n v="45.97"/>
    <n v="0"/>
    <n v="45.97"/>
    <x v="50"/>
    <n v="37"/>
    <n v="3.2"/>
    <b v="1"/>
    <s v="Quality Issue"/>
    <n v="371"/>
    <n v="0"/>
    <n v="1"/>
    <x v="0"/>
  </r>
  <r>
    <s v="FB000176"/>
    <x v="1"/>
    <x v="5"/>
    <x v="3"/>
    <s v="XXL"/>
    <s v="Black"/>
    <n v="28.79"/>
    <n v="0"/>
    <n v="28.79"/>
    <x v="1"/>
    <n v="4"/>
    <n v="4.4000000000000004"/>
    <b v="0"/>
    <m/>
    <n v="28"/>
    <n v="0"/>
    <s v=""/>
    <x v="0"/>
  </r>
  <r>
    <s v="FB000177"/>
    <x v="0"/>
    <x v="1"/>
    <x v="1"/>
    <s v="M"/>
    <s v="Gray"/>
    <n v="204.21"/>
    <n v="0"/>
    <n v="204.21"/>
    <x v="1"/>
    <n v="5"/>
    <n v="3.3"/>
    <b v="0"/>
    <m/>
    <n v="28"/>
    <n v="0"/>
    <s v=""/>
    <x v="0"/>
  </r>
  <r>
    <s v="FB000178"/>
    <x v="3"/>
    <x v="3"/>
    <x v="2"/>
    <s v="XXL"/>
    <s v="Pink"/>
    <n v="190.75"/>
    <n v="20"/>
    <n v="152.6"/>
    <x v="1"/>
    <n v="47"/>
    <n v="2.9804347826086954"/>
    <b v="0"/>
    <m/>
    <n v="28"/>
    <n v="940"/>
    <s v=""/>
    <x v="1"/>
  </r>
  <r>
    <s v="FB000179"/>
    <x v="1"/>
    <x v="7"/>
    <x v="1"/>
    <s v="XS"/>
    <s v="Brown"/>
    <n v="33.01"/>
    <n v="39.200000000000003"/>
    <n v="20.07"/>
    <x v="1"/>
    <n v="16"/>
    <n v="3.7"/>
    <b v="0"/>
    <m/>
    <n v="28"/>
    <n v="627.20000000000005"/>
    <s v=""/>
    <x v="1"/>
  </r>
  <r>
    <s v="FB000180"/>
    <x v="2"/>
    <x v="2"/>
    <x v="0"/>
    <m/>
    <s v="Blue"/>
    <n v="47.61"/>
    <n v="39.799999999999997"/>
    <n v="28.66"/>
    <x v="51"/>
    <n v="18"/>
    <n v="1.3"/>
    <b v="0"/>
    <m/>
    <n v="274"/>
    <n v="716.4"/>
    <s v=""/>
    <x v="1"/>
  </r>
  <r>
    <s v="FB000181"/>
    <x v="0"/>
    <x v="4"/>
    <x v="0"/>
    <s v="XS"/>
    <s v="Red"/>
    <n v="137.16"/>
    <n v="0"/>
    <n v="137.16"/>
    <x v="52"/>
    <n v="34"/>
    <n v="3.2"/>
    <b v="0"/>
    <m/>
    <n v="342"/>
    <n v="0"/>
    <s v=""/>
    <x v="0"/>
  </r>
  <r>
    <s v="FB000182"/>
    <x v="1"/>
    <x v="6"/>
    <x v="2"/>
    <s v="M"/>
    <s v="Navy"/>
    <n v="108.49"/>
    <n v="0"/>
    <n v="108.49"/>
    <x v="1"/>
    <n v="7"/>
    <n v="3.3"/>
    <b v="0"/>
    <m/>
    <n v="28"/>
    <n v="0"/>
    <s v=""/>
    <x v="0"/>
  </r>
  <r>
    <s v="FB000183"/>
    <x v="1"/>
    <x v="2"/>
    <x v="1"/>
    <s v="XL"/>
    <s v="Green"/>
    <n v="106.49"/>
    <n v="0"/>
    <n v="106.49"/>
    <x v="1"/>
    <n v="23"/>
    <n v="4"/>
    <b v="0"/>
    <m/>
    <n v="28"/>
    <n v="0"/>
    <s v=""/>
    <x v="0"/>
  </r>
  <r>
    <s v="FB000184"/>
    <x v="1"/>
    <x v="3"/>
    <x v="1"/>
    <s v="XXL"/>
    <s v="Pink"/>
    <n v="114.86"/>
    <n v="0"/>
    <n v="114.86"/>
    <x v="1"/>
    <n v="48"/>
    <n v="1.1000000000000001"/>
    <b v="0"/>
    <m/>
    <n v="28"/>
    <n v="0"/>
    <s v=""/>
    <x v="0"/>
  </r>
  <r>
    <s v="FB000185"/>
    <x v="5"/>
    <x v="0"/>
    <x v="2"/>
    <s v="L"/>
    <s v="Blue"/>
    <n v="121.68"/>
    <n v="0"/>
    <n v="121.68"/>
    <x v="1"/>
    <n v="9"/>
    <n v="1.5"/>
    <b v="0"/>
    <m/>
    <n v="28"/>
    <n v="0"/>
    <s v=""/>
    <x v="0"/>
  </r>
  <r>
    <s v="FB000186"/>
    <x v="4"/>
    <x v="0"/>
    <x v="3"/>
    <s v="XXL"/>
    <s v="Black"/>
    <n v="74.08"/>
    <n v="3.9"/>
    <n v="71.19"/>
    <x v="1"/>
    <n v="37"/>
    <n v="1.7"/>
    <b v="0"/>
    <m/>
    <n v="28"/>
    <n v="144.29999999999998"/>
    <s v=""/>
    <x v="1"/>
  </r>
  <r>
    <s v="FB000187"/>
    <x v="1"/>
    <x v="6"/>
    <x v="2"/>
    <s v="M"/>
    <s v="Blue"/>
    <n v="92.37"/>
    <n v="35.9"/>
    <n v="59.21"/>
    <x v="1"/>
    <n v="20"/>
    <n v="2.9074999999999998"/>
    <b v="0"/>
    <m/>
    <n v="28"/>
    <n v="718"/>
    <s v=""/>
    <x v="1"/>
  </r>
  <r>
    <s v="FB000188"/>
    <x v="1"/>
    <x v="1"/>
    <x v="3"/>
    <s v="XXL"/>
    <s v="Beige"/>
    <n v="34.06"/>
    <n v="0"/>
    <n v="34.06"/>
    <x v="1"/>
    <n v="39"/>
    <n v="4.5"/>
    <b v="0"/>
    <m/>
    <n v="28"/>
    <n v="0"/>
    <s v=""/>
    <x v="0"/>
  </r>
  <r>
    <s v="FB000189"/>
    <x v="5"/>
    <x v="0"/>
    <x v="3"/>
    <s v="L"/>
    <s v="Pink"/>
    <n v="173.42"/>
    <n v="0"/>
    <n v="173.42"/>
    <x v="1"/>
    <n v="47"/>
    <n v="4.2"/>
    <b v="0"/>
    <m/>
    <n v="28"/>
    <n v="0"/>
    <s v=""/>
    <x v="0"/>
  </r>
  <r>
    <s v="FB000190"/>
    <x v="4"/>
    <x v="1"/>
    <x v="0"/>
    <s v="XXL"/>
    <s v="Brown"/>
    <n v="66.510000000000005"/>
    <n v="0"/>
    <n v="66.510000000000005"/>
    <x v="53"/>
    <n v="32"/>
    <n v="2.1"/>
    <b v="0"/>
    <m/>
    <n v="334"/>
    <n v="0"/>
    <s v=""/>
    <x v="0"/>
  </r>
  <r>
    <s v="FB000191"/>
    <x v="4"/>
    <x v="1"/>
    <x v="2"/>
    <s v="XXL"/>
    <s v="Blue"/>
    <n v="72.44"/>
    <n v="7.1"/>
    <n v="67.3"/>
    <x v="1"/>
    <n v="10"/>
    <n v="1.8"/>
    <b v="0"/>
    <m/>
    <n v="28"/>
    <n v="71"/>
    <s v=""/>
    <x v="1"/>
  </r>
  <r>
    <s v="FB000192"/>
    <x v="1"/>
    <x v="5"/>
    <x v="2"/>
    <s v="S"/>
    <s v="Black"/>
    <n v="81.2"/>
    <n v="0"/>
    <n v="81.2"/>
    <x v="1"/>
    <n v="3"/>
    <n v="1.5"/>
    <b v="0"/>
    <m/>
    <n v="28"/>
    <n v="0"/>
    <s v=""/>
    <x v="0"/>
  </r>
  <r>
    <s v="FB000193"/>
    <x v="0"/>
    <x v="6"/>
    <x v="3"/>
    <s v="XXL"/>
    <s v="Red"/>
    <n v="104.5"/>
    <n v="12.3"/>
    <n v="91.65"/>
    <x v="1"/>
    <n v="42"/>
    <n v="2.9034482758620692"/>
    <b v="0"/>
    <m/>
    <n v="28"/>
    <n v="516.6"/>
    <s v=""/>
    <x v="1"/>
  </r>
  <r>
    <s v="FB000194"/>
    <x v="5"/>
    <x v="6"/>
    <x v="1"/>
    <s v="XL"/>
    <s v="Pink"/>
    <n v="57.53"/>
    <n v="13"/>
    <n v="50.05"/>
    <x v="1"/>
    <n v="12"/>
    <n v="4.0999999999999996"/>
    <b v="0"/>
    <m/>
    <n v="28"/>
    <n v="156"/>
    <s v=""/>
    <x v="1"/>
  </r>
  <r>
    <s v="FB000195"/>
    <x v="3"/>
    <x v="2"/>
    <x v="3"/>
    <s v="XXL"/>
    <s v="Gray"/>
    <n v="142.58000000000001"/>
    <n v="0"/>
    <n v="142.58000000000001"/>
    <x v="1"/>
    <n v="25"/>
    <n v="4.8"/>
    <b v="1"/>
    <s v="Quality Issue"/>
    <n v="28"/>
    <n v="0"/>
    <n v="1"/>
    <x v="0"/>
  </r>
  <r>
    <s v="FB000196"/>
    <x v="5"/>
    <x v="0"/>
    <x v="2"/>
    <s v="XXL"/>
    <s v="Green"/>
    <n v="162.22999999999999"/>
    <n v="29.4"/>
    <n v="114.53"/>
    <x v="1"/>
    <n v="41"/>
    <n v="4"/>
    <b v="1"/>
    <s v="Quality Issue"/>
    <n v="28"/>
    <n v="1205.3999999999999"/>
    <n v="1"/>
    <x v="1"/>
  </r>
  <r>
    <s v="FB000197"/>
    <x v="4"/>
    <x v="5"/>
    <x v="0"/>
    <s v="XXL"/>
    <s v="Red"/>
    <n v="32.1"/>
    <n v="51.7"/>
    <n v="15.5"/>
    <x v="54"/>
    <n v="27"/>
    <n v="3.0575757575757576"/>
    <b v="0"/>
    <m/>
    <n v="284"/>
    <n v="1395.9"/>
    <s v=""/>
    <x v="1"/>
  </r>
  <r>
    <s v="FB000198"/>
    <x v="3"/>
    <x v="1"/>
    <x v="2"/>
    <s v="L"/>
    <s v="Black"/>
    <n v="162.41"/>
    <n v="42.7"/>
    <n v="93.06"/>
    <x v="1"/>
    <n v="22"/>
    <n v="4.8"/>
    <b v="0"/>
    <m/>
    <n v="28"/>
    <n v="939.40000000000009"/>
    <s v=""/>
    <x v="1"/>
  </r>
  <r>
    <s v="FB000199"/>
    <x v="1"/>
    <x v="2"/>
    <x v="2"/>
    <s v="M"/>
    <s v="Gray"/>
    <n v="77.459999999999994"/>
    <n v="57.5"/>
    <n v="32.92"/>
    <x v="1"/>
    <n v="23"/>
    <n v="4"/>
    <b v="0"/>
    <m/>
    <n v="28"/>
    <n v="1322.5"/>
    <s v=""/>
    <x v="1"/>
  </r>
  <r>
    <s v="FB000200"/>
    <x v="1"/>
    <x v="4"/>
    <x v="2"/>
    <s v="XXL"/>
    <s v="Blue"/>
    <n v="103.42"/>
    <n v="56.1"/>
    <n v="45.4"/>
    <x v="1"/>
    <n v="4"/>
    <n v="4.7"/>
    <b v="0"/>
    <m/>
    <n v="28"/>
    <n v="224.4"/>
    <s v=""/>
    <x v="1"/>
  </r>
  <r>
    <s v="FB000201"/>
    <x v="4"/>
    <x v="0"/>
    <x v="0"/>
    <s v="XS"/>
    <s v="Green"/>
    <n v="42.91"/>
    <n v="33.299999999999997"/>
    <n v="28.62"/>
    <x v="54"/>
    <n v="18"/>
    <n v="2.9210526315789478"/>
    <b v="0"/>
    <m/>
    <n v="284"/>
    <n v="599.4"/>
    <s v=""/>
    <x v="1"/>
  </r>
  <r>
    <s v="FB000202"/>
    <x v="3"/>
    <x v="0"/>
    <x v="3"/>
    <s v="XL"/>
    <s v="Green"/>
    <n v="144.91999999999999"/>
    <n v="17"/>
    <n v="120.28"/>
    <x v="1"/>
    <n v="32"/>
    <n v="2"/>
    <b v="0"/>
    <m/>
    <n v="28"/>
    <n v="544"/>
    <s v=""/>
    <x v="1"/>
  </r>
  <r>
    <s v="FB000203"/>
    <x v="3"/>
    <x v="2"/>
    <x v="3"/>
    <s v="XS"/>
    <s v="Black"/>
    <n v="93.07"/>
    <n v="23.9"/>
    <n v="70.83"/>
    <x v="1"/>
    <n v="10"/>
    <n v="3.5"/>
    <b v="1"/>
    <s v="Changed Mind"/>
    <n v="28"/>
    <n v="239"/>
    <n v="1"/>
    <x v="1"/>
  </r>
  <r>
    <s v="FB000204"/>
    <x v="0"/>
    <x v="4"/>
    <x v="3"/>
    <s v="S"/>
    <s v="Red"/>
    <n v="119.96"/>
    <n v="0"/>
    <n v="119.96"/>
    <x v="1"/>
    <n v="20"/>
    <n v="1.1000000000000001"/>
    <b v="0"/>
    <m/>
    <n v="28"/>
    <n v="0"/>
    <s v=""/>
    <x v="0"/>
  </r>
  <r>
    <s v="FB000205"/>
    <x v="2"/>
    <x v="7"/>
    <x v="3"/>
    <m/>
    <s v="Gray"/>
    <n v="42.04"/>
    <n v="50.9"/>
    <n v="20.64"/>
    <x v="1"/>
    <n v="43"/>
    <n v="2.2999999999999998"/>
    <b v="1"/>
    <s v="Wrong Item"/>
    <n v="28"/>
    <n v="2188.6999999999998"/>
    <n v="1"/>
    <x v="1"/>
  </r>
  <r>
    <s v="FB000206"/>
    <x v="2"/>
    <x v="2"/>
    <x v="1"/>
    <m/>
    <s v="Red"/>
    <n v="54.45"/>
    <n v="0"/>
    <n v="54.45"/>
    <x v="1"/>
    <n v="12"/>
    <n v="2.7"/>
    <b v="0"/>
    <m/>
    <n v="28"/>
    <n v="0"/>
    <s v=""/>
    <x v="0"/>
  </r>
  <r>
    <s v="FB000207"/>
    <x v="1"/>
    <x v="3"/>
    <x v="0"/>
    <s v="M"/>
    <s v="Green"/>
    <n v="66.95"/>
    <n v="36.4"/>
    <n v="42.58"/>
    <x v="55"/>
    <n v="44"/>
    <n v="1.9"/>
    <b v="1"/>
    <s v="Quality Issue"/>
    <n v="340"/>
    <n v="1601.6"/>
    <n v="1"/>
    <x v="1"/>
  </r>
  <r>
    <s v="FB000208"/>
    <x v="1"/>
    <x v="5"/>
    <x v="0"/>
    <s v="XL"/>
    <s v="Beige"/>
    <n v="116.96"/>
    <n v="8.8000000000000007"/>
    <n v="106.67"/>
    <x v="56"/>
    <n v="33"/>
    <n v="1.6"/>
    <b v="0"/>
    <m/>
    <n v="127"/>
    <n v="290.40000000000003"/>
    <s v=""/>
    <x v="1"/>
  </r>
  <r>
    <s v="FB000209"/>
    <x v="1"/>
    <x v="7"/>
    <x v="2"/>
    <s v="XXL"/>
    <s v="Pink"/>
    <n v="111.14"/>
    <n v="0"/>
    <n v="111.14"/>
    <x v="1"/>
    <n v="49"/>
    <n v="1.6"/>
    <b v="0"/>
    <m/>
    <n v="28"/>
    <n v="0"/>
    <s v=""/>
    <x v="0"/>
  </r>
  <r>
    <s v="FB000210"/>
    <x v="1"/>
    <x v="2"/>
    <x v="2"/>
    <s v="XS"/>
    <s v="Blue"/>
    <n v="59.6"/>
    <n v="0"/>
    <n v="59.6"/>
    <x v="1"/>
    <n v="40"/>
    <n v="2.1"/>
    <b v="0"/>
    <m/>
    <n v="28"/>
    <n v="0"/>
    <s v=""/>
    <x v="0"/>
  </r>
  <r>
    <s v="FB000211"/>
    <x v="1"/>
    <x v="5"/>
    <x v="0"/>
    <s v="S"/>
    <s v="Gray"/>
    <n v="25.49"/>
    <n v="16.7"/>
    <n v="21.23"/>
    <x v="57"/>
    <n v="32"/>
    <n v="2.9846153846153847"/>
    <b v="0"/>
    <m/>
    <n v="103"/>
    <n v="534.4"/>
    <s v=""/>
    <x v="1"/>
  </r>
  <r>
    <s v="FB000212"/>
    <x v="1"/>
    <x v="0"/>
    <x v="0"/>
    <s v="M"/>
    <s v="Black"/>
    <n v="82.94"/>
    <n v="0"/>
    <n v="82.94"/>
    <x v="58"/>
    <n v="46"/>
    <n v="1.5"/>
    <b v="0"/>
    <m/>
    <n v="48"/>
    <n v="0"/>
    <s v=""/>
    <x v="0"/>
  </r>
  <r>
    <s v="FB000213"/>
    <x v="1"/>
    <x v="1"/>
    <x v="0"/>
    <s v="L"/>
    <s v="Blue"/>
    <n v="99.71"/>
    <n v="0"/>
    <n v="99.71"/>
    <x v="59"/>
    <n v="23"/>
    <n v="1.4"/>
    <b v="0"/>
    <m/>
    <n v="378"/>
    <n v="0"/>
    <s v=""/>
    <x v="0"/>
  </r>
  <r>
    <s v="FB000214"/>
    <x v="2"/>
    <x v="2"/>
    <x v="2"/>
    <m/>
    <s v="Black"/>
    <n v="69.739999999999995"/>
    <n v="0"/>
    <n v="69.739999999999995"/>
    <x v="1"/>
    <n v="11"/>
    <n v="3.3"/>
    <b v="1"/>
    <s v="Changed Mind"/>
    <n v="28"/>
    <n v="0"/>
    <n v="1"/>
    <x v="0"/>
  </r>
  <r>
    <s v="FB000215"/>
    <x v="4"/>
    <x v="4"/>
    <x v="3"/>
    <s v="XXL"/>
    <s v="Green"/>
    <n v="57.19"/>
    <n v="0"/>
    <n v="57.19"/>
    <x v="1"/>
    <n v="12"/>
    <n v="2.5"/>
    <b v="0"/>
    <m/>
    <n v="28"/>
    <n v="0"/>
    <s v=""/>
    <x v="0"/>
  </r>
  <r>
    <s v="FB000216"/>
    <x v="1"/>
    <x v="4"/>
    <x v="3"/>
    <s v="XXL"/>
    <s v="Red"/>
    <n v="58.65"/>
    <n v="0"/>
    <n v="58.65"/>
    <x v="1"/>
    <n v="4"/>
    <n v="1.1000000000000001"/>
    <b v="0"/>
    <m/>
    <n v="28"/>
    <n v="0"/>
    <s v=""/>
    <x v="0"/>
  </r>
  <r>
    <s v="FB000217"/>
    <x v="0"/>
    <x v="1"/>
    <x v="2"/>
    <s v="XL"/>
    <s v="Pink"/>
    <n v="110.22"/>
    <n v="0"/>
    <n v="110.22"/>
    <x v="1"/>
    <n v="4"/>
    <n v="1.6"/>
    <b v="0"/>
    <m/>
    <n v="28"/>
    <n v="0"/>
    <s v=""/>
    <x v="0"/>
  </r>
  <r>
    <s v="FB000218"/>
    <x v="1"/>
    <x v="0"/>
    <x v="3"/>
    <s v="XXL"/>
    <s v="Pink"/>
    <n v="69.36"/>
    <n v="0"/>
    <n v="69.36"/>
    <x v="1"/>
    <n v="25"/>
    <n v="2.9181818181818175"/>
    <b v="0"/>
    <m/>
    <n v="28"/>
    <n v="0"/>
    <s v=""/>
    <x v="0"/>
  </r>
  <r>
    <s v="FB000219"/>
    <x v="4"/>
    <x v="0"/>
    <x v="1"/>
    <s v="S"/>
    <s v="Black"/>
    <n v="87.03"/>
    <n v="0"/>
    <n v="87.03"/>
    <x v="1"/>
    <n v="39"/>
    <n v="4.3"/>
    <b v="0"/>
    <m/>
    <n v="28"/>
    <n v="0"/>
    <s v=""/>
    <x v="0"/>
  </r>
  <r>
    <s v="FB000220"/>
    <x v="5"/>
    <x v="0"/>
    <x v="1"/>
    <s v="XXL"/>
    <s v="Brown"/>
    <n v="160.6"/>
    <n v="18.399999999999999"/>
    <n v="131.05000000000001"/>
    <x v="1"/>
    <n v="41"/>
    <n v="3"/>
    <b v="0"/>
    <m/>
    <n v="28"/>
    <n v="754.4"/>
    <s v=""/>
    <x v="1"/>
  </r>
  <r>
    <s v="FB000221"/>
    <x v="0"/>
    <x v="4"/>
    <x v="0"/>
    <s v="XS"/>
    <s v="Purple"/>
    <n v="167.02"/>
    <n v="0"/>
    <n v="167.02"/>
    <x v="60"/>
    <n v="26"/>
    <n v="2.6"/>
    <b v="1"/>
    <s v="Size Issue"/>
    <n v="216"/>
    <n v="0"/>
    <n v="1"/>
    <x v="0"/>
  </r>
  <r>
    <s v="FB000222"/>
    <x v="1"/>
    <x v="0"/>
    <x v="3"/>
    <s v="XXL"/>
    <s v="Gray"/>
    <n v="26.09"/>
    <n v="0"/>
    <n v="26.09"/>
    <x v="1"/>
    <n v="32"/>
    <n v="4.5999999999999996"/>
    <b v="1"/>
    <s v="Damaged"/>
    <n v="28"/>
    <n v="0"/>
    <n v="1"/>
    <x v="0"/>
  </r>
  <r>
    <s v="FB000223"/>
    <x v="0"/>
    <x v="4"/>
    <x v="3"/>
    <s v="XL"/>
    <s v="Brown"/>
    <n v="246.65"/>
    <n v="0"/>
    <n v="246.65"/>
    <x v="1"/>
    <n v="17"/>
    <n v="2.9"/>
    <b v="1"/>
    <s v="Damaged"/>
    <n v="28"/>
    <n v="0"/>
    <n v="1"/>
    <x v="0"/>
  </r>
  <r>
    <s v="FB000224"/>
    <x v="0"/>
    <x v="7"/>
    <x v="3"/>
    <s v="S"/>
    <s v="Red"/>
    <n v="206.91"/>
    <n v="0"/>
    <n v="206.91"/>
    <x v="1"/>
    <n v="34"/>
    <n v="2.2999999999999998"/>
    <b v="0"/>
    <m/>
    <n v="28"/>
    <n v="0"/>
    <s v=""/>
    <x v="0"/>
  </r>
  <r>
    <s v="FB000225"/>
    <x v="5"/>
    <x v="6"/>
    <x v="1"/>
    <s v="XL"/>
    <s v="Black"/>
    <n v="85.08"/>
    <n v="0"/>
    <n v="85.08"/>
    <x v="1"/>
    <n v="29"/>
    <n v="2.980952380952381"/>
    <b v="0"/>
    <m/>
    <n v="28"/>
    <n v="0"/>
    <s v=""/>
    <x v="0"/>
  </r>
  <r>
    <s v="FB000226"/>
    <x v="0"/>
    <x v="7"/>
    <x v="0"/>
    <s v="XXL"/>
    <s v="White"/>
    <n v="240.32"/>
    <n v="54.8"/>
    <n v="108.62"/>
    <x v="61"/>
    <n v="3"/>
    <n v="4.5"/>
    <b v="0"/>
    <m/>
    <n v="250"/>
    <n v="164.39999999999998"/>
    <s v=""/>
    <x v="1"/>
  </r>
  <r>
    <s v="FB000227"/>
    <x v="5"/>
    <x v="1"/>
    <x v="2"/>
    <s v="XXL"/>
    <s v="Red"/>
    <n v="130.12"/>
    <n v="1.4"/>
    <n v="128.30000000000001"/>
    <x v="1"/>
    <n v="0"/>
    <n v="5"/>
    <b v="0"/>
    <m/>
    <n v="28"/>
    <n v="0"/>
    <s v=""/>
    <x v="1"/>
  </r>
  <r>
    <s v="FB000228"/>
    <x v="4"/>
    <x v="4"/>
    <x v="0"/>
    <s v="XS"/>
    <s v="Black"/>
    <n v="42.29"/>
    <n v="15.8"/>
    <n v="35.61"/>
    <x v="62"/>
    <n v="11"/>
    <n v="1.6"/>
    <b v="0"/>
    <m/>
    <n v="305"/>
    <n v="173.8"/>
    <s v=""/>
    <x v="1"/>
  </r>
  <r>
    <s v="FB000229"/>
    <x v="0"/>
    <x v="4"/>
    <x v="0"/>
    <s v="S"/>
    <s v="Beige"/>
    <n v="191.54"/>
    <n v="0"/>
    <n v="191.54"/>
    <x v="63"/>
    <n v="18"/>
    <n v="1.2"/>
    <b v="0"/>
    <m/>
    <n v="328"/>
    <n v="0"/>
    <s v=""/>
    <x v="0"/>
  </r>
  <r>
    <s v="FB000230"/>
    <x v="2"/>
    <x v="5"/>
    <x v="0"/>
    <m/>
    <s v="Beige"/>
    <n v="42.23"/>
    <n v="0"/>
    <n v="42.23"/>
    <x v="64"/>
    <n v="15"/>
    <n v="3.2731707317073173"/>
    <b v="0"/>
    <m/>
    <n v="51"/>
    <n v="0"/>
    <s v=""/>
    <x v="0"/>
  </r>
  <r>
    <s v="FB000231"/>
    <x v="3"/>
    <x v="4"/>
    <x v="3"/>
    <s v="S"/>
    <s v="Gray"/>
    <n v="109.76"/>
    <n v="0"/>
    <n v="109.76"/>
    <x v="1"/>
    <n v="16"/>
    <n v="4.3"/>
    <b v="0"/>
    <m/>
    <n v="28"/>
    <n v="0"/>
    <s v=""/>
    <x v="0"/>
  </r>
  <r>
    <s v="FB000232"/>
    <x v="2"/>
    <x v="3"/>
    <x v="3"/>
    <m/>
    <s v="Red"/>
    <n v="76.8"/>
    <n v="43.3"/>
    <n v="43.55"/>
    <x v="1"/>
    <n v="24"/>
    <n v="2.5131578947368416"/>
    <b v="0"/>
    <m/>
    <n v="28"/>
    <n v="1039.1999999999998"/>
    <s v=""/>
    <x v="1"/>
  </r>
  <r>
    <s v="FB000233"/>
    <x v="5"/>
    <x v="7"/>
    <x v="1"/>
    <m/>
    <s v="Black"/>
    <n v="56.34"/>
    <n v="22.4"/>
    <n v="43.72"/>
    <x v="1"/>
    <n v="37"/>
    <n v="2.5"/>
    <b v="1"/>
    <s v="Wrong Item"/>
    <n v="28"/>
    <n v="828.8"/>
    <n v="1"/>
    <x v="1"/>
  </r>
  <r>
    <s v="FB000234"/>
    <x v="1"/>
    <x v="6"/>
    <x v="2"/>
    <m/>
    <s v="Beige"/>
    <n v="88.41"/>
    <n v="0"/>
    <n v="88.41"/>
    <x v="1"/>
    <n v="24"/>
    <n v="4.4000000000000004"/>
    <b v="0"/>
    <m/>
    <n v="28"/>
    <n v="0"/>
    <s v=""/>
    <x v="0"/>
  </r>
  <r>
    <s v="FB000235"/>
    <x v="1"/>
    <x v="6"/>
    <x v="0"/>
    <s v="S"/>
    <s v="Black"/>
    <n v="25.96"/>
    <n v="0"/>
    <n v="25.96"/>
    <x v="53"/>
    <n v="2"/>
    <n v="1.4"/>
    <b v="0"/>
    <m/>
    <n v="334"/>
    <n v="0"/>
    <s v=""/>
    <x v="0"/>
  </r>
  <r>
    <s v="FB000236"/>
    <x v="4"/>
    <x v="0"/>
    <x v="0"/>
    <s v="XXL"/>
    <s v="Red"/>
    <n v="60.25"/>
    <n v="0"/>
    <n v="60.25"/>
    <x v="65"/>
    <n v="25"/>
    <n v="4.0999999999999996"/>
    <b v="0"/>
    <m/>
    <n v="383"/>
    <n v="0"/>
    <s v=""/>
    <x v="0"/>
  </r>
  <r>
    <s v="FB000237"/>
    <x v="2"/>
    <x v="4"/>
    <x v="2"/>
    <m/>
    <s v="Red"/>
    <n v="52.33"/>
    <n v="19.100000000000001"/>
    <n v="42.33"/>
    <x v="1"/>
    <n v="4"/>
    <n v="2.7333333333333334"/>
    <b v="0"/>
    <m/>
    <n v="28"/>
    <n v="76.400000000000006"/>
    <s v=""/>
    <x v="1"/>
  </r>
  <r>
    <s v="FB000238"/>
    <x v="2"/>
    <x v="3"/>
    <x v="2"/>
    <m/>
    <s v="White"/>
    <n v="67.61"/>
    <n v="0"/>
    <n v="67.61"/>
    <x v="1"/>
    <n v="14"/>
    <n v="1.8"/>
    <b v="0"/>
    <m/>
    <n v="28"/>
    <n v="0"/>
    <s v=""/>
    <x v="0"/>
  </r>
  <r>
    <s v="FB000239"/>
    <x v="3"/>
    <x v="7"/>
    <x v="0"/>
    <s v="L"/>
    <s v="Brown"/>
    <n v="136"/>
    <n v="0"/>
    <n v="136"/>
    <x v="66"/>
    <n v="46"/>
    <n v="4.5"/>
    <b v="0"/>
    <m/>
    <n v="33"/>
    <n v="0"/>
    <s v=""/>
    <x v="0"/>
  </r>
  <r>
    <s v="FB000240"/>
    <x v="3"/>
    <x v="0"/>
    <x v="2"/>
    <m/>
    <s v="Brown"/>
    <n v="74.48"/>
    <n v="0"/>
    <n v="74.48"/>
    <x v="1"/>
    <n v="24"/>
    <n v="3.7"/>
    <b v="0"/>
    <m/>
    <n v="28"/>
    <n v="0"/>
    <s v=""/>
    <x v="0"/>
  </r>
  <r>
    <s v="FB000241"/>
    <x v="5"/>
    <x v="7"/>
    <x v="2"/>
    <s v="XS"/>
    <s v="Pink"/>
    <n v="101.39"/>
    <n v="0"/>
    <n v="101.39"/>
    <x v="1"/>
    <n v="33"/>
    <n v="2.4"/>
    <b v="1"/>
    <s v="Size Issue"/>
    <n v="28"/>
    <n v="0"/>
    <n v="1"/>
    <x v="0"/>
  </r>
  <r>
    <s v="FB000242"/>
    <x v="5"/>
    <x v="7"/>
    <x v="2"/>
    <s v="XXL"/>
    <s v="Green"/>
    <n v="169.68"/>
    <n v="41.7"/>
    <n v="98.92"/>
    <x v="1"/>
    <n v="43"/>
    <n v="4.5999999999999996"/>
    <b v="0"/>
    <m/>
    <n v="28"/>
    <n v="1793.1000000000001"/>
    <s v=""/>
    <x v="1"/>
  </r>
  <r>
    <s v="FB000243"/>
    <x v="2"/>
    <x v="7"/>
    <x v="1"/>
    <m/>
    <s v="Purple"/>
    <n v="52.45"/>
    <n v="0"/>
    <n v="52.45"/>
    <x v="1"/>
    <n v="34"/>
    <n v="2.1"/>
    <b v="0"/>
    <m/>
    <n v="28"/>
    <n v="0"/>
    <s v=""/>
    <x v="0"/>
  </r>
  <r>
    <s v="FB000244"/>
    <x v="3"/>
    <x v="1"/>
    <x v="3"/>
    <s v="XXL"/>
    <s v="Pink"/>
    <n v="153.85"/>
    <n v="47.6"/>
    <n v="80.62"/>
    <x v="1"/>
    <n v="12"/>
    <n v="3.1"/>
    <b v="0"/>
    <m/>
    <n v="28"/>
    <n v="571.20000000000005"/>
    <s v=""/>
    <x v="1"/>
  </r>
  <r>
    <s v="FB000245"/>
    <x v="4"/>
    <x v="3"/>
    <x v="2"/>
    <s v="M"/>
    <s v="Brown"/>
    <n v="32.700000000000003"/>
    <n v="50.5"/>
    <n v="16.190000000000001"/>
    <x v="1"/>
    <n v="46"/>
    <n v="1.3"/>
    <b v="0"/>
    <m/>
    <n v="28"/>
    <n v="2323"/>
    <s v=""/>
    <x v="1"/>
  </r>
  <r>
    <s v="FB000246"/>
    <x v="0"/>
    <x v="1"/>
    <x v="2"/>
    <s v="L"/>
    <s v="Navy"/>
    <n v="104.27"/>
    <n v="54.6"/>
    <n v="47.34"/>
    <x v="1"/>
    <n v="42"/>
    <n v="4.2"/>
    <b v="0"/>
    <m/>
    <n v="28"/>
    <n v="2293.2000000000003"/>
    <s v=""/>
    <x v="1"/>
  </r>
  <r>
    <s v="FB000247"/>
    <x v="5"/>
    <x v="7"/>
    <x v="3"/>
    <s v="M"/>
    <s v="Gray"/>
    <n v="80.040000000000006"/>
    <n v="50.9"/>
    <n v="39.299999999999997"/>
    <x v="1"/>
    <n v="45"/>
    <n v="2.9636363636363638"/>
    <b v="0"/>
    <m/>
    <n v="28"/>
    <n v="2290.5"/>
    <s v=""/>
    <x v="1"/>
  </r>
  <r>
    <s v="FB000248"/>
    <x v="4"/>
    <x v="2"/>
    <x v="0"/>
    <s v="M"/>
    <s v="Black"/>
    <n v="72.069999999999993"/>
    <n v="0"/>
    <n v="72.069999999999993"/>
    <x v="67"/>
    <n v="20"/>
    <n v="3.0384615384615379"/>
    <b v="1"/>
    <s v="Color Mismatch"/>
    <n v="118"/>
    <n v="0"/>
    <n v="1"/>
    <x v="0"/>
  </r>
  <r>
    <s v="FB000249"/>
    <x v="0"/>
    <x v="0"/>
    <x v="2"/>
    <s v="M"/>
    <s v="Green"/>
    <n v="220.99"/>
    <n v="0"/>
    <n v="220.99"/>
    <x v="1"/>
    <n v="42"/>
    <n v="3.6"/>
    <b v="0"/>
    <m/>
    <n v="28"/>
    <n v="0"/>
    <s v=""/>
    <x v="0"/>
  </r>
  <r>
    <s v="FB000250"/>
    <x v="0"/>
    <x v="1"/>
    <x v="2"/>
    <s v="XS"/>
    <s v="Black"/>
    <n v="117.36"/>
    <n v="14.6"/>
    <n v="100.23"/>
    <x v="1"/>
    <n v="33"/>
    <n v="3.15"/>
    <b v="1"/>
    <s v="Size Issue"/>
    <n v="28"/>
    <n v="481.8"/>
    <n v="1"/>
    <x v="1"/>
  </r>
  <r>
    <s v="FB000251"/>
    <x v="0"/>
    <x v="2"/>
    <x v="0"/>
    <s v="L"/>
    <s v="Navy"/>
    <n v="198.76"/>
    <n v="48.8"/>
    <n v="101.77"/>
    <x v="68"/>
    <n v="36"/>
    <n v="3"/>
    <b v="0"/>
    <m/>
    <n v="130"/>
    <n v="1756.8"/>
    <s v=""/>
    <x v="1"/>
  </r>
  <r>
    <s v="FB000252"/>
    <x v="0"/>
    <x v="4"/>
    <x v="2"/>
    <s v="L"/>
    <s v="Black"/>
    <n v="121.03"/>
    <n v="0"/>
    <n v="121.03"/>
    <x v="1"/>
    <n v="14"/>
    <n v="1.6"/>
    <b v="1"/>
    <s v="Changed Mind"/>
    <n v="28"/>
    <n v="0"/>
    <n v="1"/>
    <x v="0"/>
  </r>
  <r>
    <s v="FB000253"/>
    <x v="1"/>
    <x v="4"/>
    <x v="2"/>
    <s v="L"/>
    <s v="White"/>
    <n v="88.62"/>
    <n v="0"/>
    <n v="88.62"/>
    <x v="1"/>
    <n v="48"/>
    <n v="2.4"/>
    <b v="0"/>
    <m/>
    <n v="28"/>
    <n v="0"/>
    <s v=""/>
    <x v="0"/>
  </r>
  <r>
    <s v="FB000254"/>
    <x v="3"/>
    <x v="4"/>
    <x v="3"/>
    <s v="XL"/>
    <s v="Green"/>
    <n v="88.94"/>
    <n v="0"/>
    <n v="88.94"/>
    <x v="1"/>
    <n v="29"/>
    <n v="3.9"/>
    <b v="0"/>
    <m/>
    <n v="28"/>
    <n v="0"/>
    <s v=""/>
    <x v="0"/>
  </r>
  <r>
    <s v="FB000255"/>
    <x v="4"/>
    <x v="0"/>
    <x v="1"/>
    <s v="S"/>
    <s v="Black"/>
    <n v="115.7"/>
    <n v="17.8"/>
    <n v="95.11"/>
    <x v="1"/>
    <n v="32"/>
    <n v="1.7"/>
    <b v="0"/>
    <m/>
    <n v="28"/>
    <n v="569.6"/>
    <s v=""/>
    <x v="1"/>
  </r>
  <r>
    <s v="FB000256"/>
    <x v="4"/>
    <x v="7"/>
    <x v="2"/>
    <s v="XXL"/>
    <s v="Black"/>
    <n v="75.66"/>
    <n v="0"/>
    <n v="75.66"/>
    <x v="1"/>
    <n v="20"/>
    <n v="3"/>
    <b v="0"/>
    <m/>
    <n v="28"/>
    <n v="0"/>
    <s v=""/>
    <x v="0"/>
  </r>
  <r>
    <s v="FB000257"/>
    <x v="2"/>
    <x v="5"/>
    <x v="1"/>
    <m/>
    <s v="Green"/>
    <n v="42.11"/>
    <n v="0"/>
    <n v="42.11"/>
    <x v="1"/>
    <n v="26"/>
    <n v="4"/>
    <b v="0"/>
    <m/>
    <n v="28"/>
    <n v="0"/>
    <s v=""/>
    <x v="0"/>
  </r>
  <r>
    <s v="FB000258"/>
    <x v="0"/>
    <x v="4"/>
    <x v="0"/>
    <s v="XXL"/>
    <s v="Beige"/>
    <n v="247.9"/>
    <n v="4.3"/>
    <n v="237.24"/>
    <x v="69"/>
    <n v="25"/>
    <n v="4.5999999999999996"/>
    <b v="0"/>
    <m/>
    <n v="252"/>
    <n v="107.5"/>
    <s v=""/>
    <x v="1"/>
  </r>
  <r>
    <s v="FB000259"/>
    <x v="3"/>
    <x v="2"/>
    <x v="0"/>
    <s v="XL"/>
    <s v="Beige"/>
    <n v="143.44999999999999"/>
    <n v="0"/>
    <n v="143.44999999999999"/>
    <x v="70"/>
    <n v="39"/>
    <n v="3.1936170212765949"/>
    <b v="1"/>
    <s v="Quality Issue"/>
    <n v="341"/>
    <n v="0"/>
    <n v="1"/>
    <x v="0"/>
  </r>
  <r>
    <s v="FB000260"/>
    <x v="2"/>
    <x v="2"/>
    <x v="1"/>
    <m/>
    <s v="Beige"/>
    <n v="24.96"/>
    <n v="44.7"/>
    <n v="13.8"/>
    <x v="1"/>
    <n v="44"/>
    <n v="2.8694444444444449"/>
    <b v="0"/>
    <m/>
    <n v="28"/>
    <n v="1966.8000000000002"/>
    <s v=""/>
    <x v="1"/>
  </r>
  <r>
    <s v="FB000261"/>
    <x v="0"/>
    <x v="7"/>
    <x v="3"/>
    <s v="XL"/>
    <s v="Navy"/>
    <n v="109.74"/>
    <n v="0"/>
    <n v="109.74"/>
    <x v="1"/>
    <n v="45"/>
    <n v="1.9"/>
    <b v="0"/>
    <m/>
    <n v="28"/>
    <n v="0"/>
    <s v=""/>
    <x v="0"/>
  </r>
  <r>
    <s v="FB000262"/>
    <x v="5"/>
    <x v="4"/>
    <x v="3"/>
    <s v="XL"/>
    <s v="Blue"/>
    <n v="161.13999999999999"/>
    <n v="0"/>
    <n v="161.13999999999999"/>
    <x v="1"/>
    <n v="44"/>
    <n v="1.6"/>
    <b v="0"/>
    <m/>
    <n v="28"/>
    <n v="0"/>
    <s v=""/>
    <x v="0"/>
  </r>
  <r>
    <s v="FB000263"/>
    <x v="0"/>
    <x v="2"/>
    <x v="0"/>
    <s v="XXL"/>
    <s v="Brown"/>
    <n v="220.14"/>
    <n v="9.1999999999999993"/>
    <n v="199.89"/>
    <x v="71"/>
    <n v="23"/>
    <n v="4.8"/>
    <b v="0"/>
    <m/>
    <n v="68"/>
    <n v="211.6"/>
    <s v=""/>
    <x v="1"/>
  </r>
  <r>
    <s v="FB000264"/>
    <x v="5"/>
    <x v="7"/>
    <x v="3"/>
    <s v="S"/>
    <s v="Pink"/>
    <n v="57.33"/>
    <n v="0"/>
    <n v="57.33"/>
    <x v="1"/>
    <n v="23"/>
    <n v="2"/>
    <b v="0"/>
    <m/>
    <n v="28"/>
    <n v="0"/>
    <s v=""/>
    <x v="0"/>
  </r>
  <r>
    <s v="FB000265"/>
    <x v="4"/>
    <x v="0"/>
    <x v="2"/>
    <s v="XXL"/>
    <s v="Blue"/>
    <n v="108.24"/>
    <n v="0"/>
    <n v="108.24"/>
    <x v="1"/>
    <n v="8"/>
    <n v="2.2999999999999998"/>
    <b v="0"/>
    <m/>
    <n v="28"/>
    <n v="0"/>
    <s v=""/>
    <x v="0"/>
  </r>
  <r>
    <s v="FB000266"/>
    <x v="2"/>
    <x v="2"/>
    <x v="3"/>
    <m/>
    <s v="Gray"/>
    <n v="67.930000000000007"/>
    <n v="0"/>
    <n v="67.930000000000007"/>
    <x v="1"/>
    <n v="22"/>
    <n v="4.5999999999999996"/>
    <b v="0"/>
    <m/>
    <n v="28"/>
    <n v="0"/>
    <s v=""/>
    <x v="0"/>
  </r>
  <r>
    <s v="FB000267"/>
    <x v="5"/>
    <x v="0"/>
    <x v="1"/>
    <s v="XS"/>
    <s v="Blue"/>
    <n v="168.96"/>
    <n v="0"/>
    <n v="168.96"/>
    <x v="1"/>
    <n v="9"/>
    <n v="3.0424242424242425"/>
    <b v="0"/>
    <m/>
    <n v="28"/>
    <n v="0"/>
    <s v=""/>
    <x v="0"/>
  </r>
  <r>
    <s v="FB000268"/>
    <x v="1"/>
    <x v="5"/>
    <x v="2"/>
    <s v="S"/>
    <s v="White"/>
    <n v="90.63"/>
    <n v="0"/>
    <n v="90.63"/>
    <x v="1"/>
    <n v="33"/>
    <n v="4.2"/>
    <b v="0"/>
    <m/>
    <n v="28"/>
    <n v="0"/>
    <s v=""/>
    <x v="0"/>
  </r>
  <r>
    <s v="FB000269"/>
    <x v="2"/>
    <x v="3"/>
    <x v="0"/>
    <m/>
    <s v="Green"/>
    <n v="72.3"/>
    <n v="0.4"/>
    <n v="72.010000000000005"/>
    <x v="24"/>
    <n v="38"/>
    <n v="3"/>
    <b v="1"/>
    <s v="Color Mismatch"/>
    <n v="248"/>
    <n v="15.200000000000001"/>
    <n v="1"/>
    <x v="1"/>
  </r>
  <r>
    <s v="FB000270"/>
    <x v="4"/>
    <x v="4"/>
    <x v="1"/>
    <s v="S"/>
    <s v="Beige"/>
    <n v="27.98"/>
    <n v="0"/>
    <n v="27.98"/>
    <x v="1"/>
    <n v="0"/>
    <n v="3"/>
    <b v="0"/>
    <m/>
    <n v="28"/>
    <n v="0"/>
    <s v=""/>
    <x v="0"/>
  </r>
  <r>
    <s v="FB000271"/>
    <x v="5"/>
    <x v="7"/>
    <x v="3"/>
    <m/>
    <s v="Navy"/>
    <n v="92.73"/>
    <n v="0"/>
    <n v="92.73"/>
    <x v="1"/>
    <n v="15"/>
    <n v="1.4"/>
    <b v="0"/>
    <m/>
    <n v="28"/>
    <n v="0"/>
    <s v=""/>
    <x v="0"/>
  </r>
  <r>
    <s v="FB000272"/>
    <x v="4"/>
    <x v="3"/>
    <x v="3"/>
    <s v="XXL"/>
    <s v="White"/>
    <n v="64.28"/>
    <n v="0"/>
    <n v="64.28"/>
    <x v="1"/>
    <n v="46"/>
    <n v="3"/>
    <b v="0"/>
    <m/>
    <n v="28"/>
    <n v="0"/>
    <s v=""/>
    <x v="0"/>
  </r>
  <r>
    <s v="FB000273"/>
    <x v="5"/>
    <x v="5"/>
    <x v="2"/>
    <s v="M"/>
    <s v="Black"/>
    <n v="133.12"/>
    <n v="0"/>
    <n v="133.12"/>
    <x v="1"/>
    <n v="35"/>
    <n v="1.9"/>
    <b v="0"/>
    <m/>
    <n v="28"/>
    <n v="0"/>
    <s v=""/>
    <x v="0"/>
  </r>
  <r>
    <s v="FB000274"/>
    <x v="1"/>
    <x v="6"/>
    <x v="1"/>
    <s v="XXL"/>
    <s v="Brown"/>
    <n v="70.36"/>
    <n v="0"/>
    <n v="70.36"/>
    <x v="1"/>
    <n v="0"/>
    <n v="2.9074999999999998"/>
    <b v="0"/>
    <m/>
    <n v="28"/>
    <n v="0"/>
    <s v=""/>
    <x v="0"/>
  </r>
  <r>
    <s v="FB000275"/>
    <x v="0"/>
    <x v="1"/>
    <x v="3"/>
    <s v="XL"/>
    <s v="Pink"/>
    <n v="199.01"/>
    <n v="0"/>
    <n v="199.01"/>
    <x v="1"/>
    <n v="8"/>
    <n v="4.4000000000000004"/>
    <b v="0"/>
    <m/>
    <n v="28"/>
    <n v="0"/>
    <s v=""/>
    <x v="0"/>
  </r>
  <r>
    <s v="FB000276"/>
    <x v="4"/>
    <x v="4"/>
    <x v="3"/>
    <s v="L"/>
    <s v="Navy"/>
    <n v="62.41"/>
    <n v="37.1"/>
    <n v="39.26"/>
    <x v="1"/>
    <n v="6"/>
    <n v="4.0999999999999996"/>
    <b v="0"/>
    <m/>
    <n v="28"/>
    <n v="222.60000000000002"/>
    <s v=""/>
    <x v="1"/>
  </r>
  <r>
    <s v="FB000277"/>
    <x v="3"/>
    <x v="1"/>
    <x v="3"/>
    <s v="XS"/>
    <s v="Black"/>
    <n v="71.44"/>
    <n v="0"/>
    <n v="71.44"/>
    <x v="1"/>
    <n v="45"/>
    <n v="4"/>
    <b v="0"/>
    <m/>
    <n v="28"/>
    <n v="0"/>
    <s v=""/>
    <x v="0"/>
  </r>
  <r>
    <s v="FB000278"/>
    <x v="5"/>
    <x v="0"/>
    <x v="1"/>
    <m/>
    <s v="Blue"/>
    <n v="89.69"/>
    <n v="0"/>
    <n v="89.69"/>
    <x v="1"/>
    <n v="50"/>
    <n v="4.3"/>
    <b v="0"/>
    <m/>
    <n v="28"/>
    <n v="0"/>
    <s v=""/>
    <x v="0"/>
  </r>
  <r>
    <s v="FB000279"/>
    <x v="0"/>
    <x v="3"/>
    <x v="0"/>
    <s v="XXL"/>
    <s v="Gray"/>
    <n v="161.65"/>
    <n v="10.199999999999999"/>
    <n v="145.16"/>
    <x v="72"/>
    <n v="42"/>
    <n v="2.4137931034482762"/>
    <b v="0"/>
    <m/>
    <n v="157"/>
    <n v="428.4"/>
    <s v=""/>
    <x v="1"/>
  </r>
  <r>
    <s v="FB000280"/>
    <x v="2"/>
    <x v="1"/>
    <x v="1"/>
    <m/>
    <s v="White"/>
    <n v="46.59"/>
    <n v="0"/>
    <n v="46.59"/>
    <x v="1"/>
    <n v="29"/>
    <n v="4.8"/>
    <b v="0"/>
    <m/>
    <n v="28"/>
    <n v="0"/>
    <s v=""/>
    <x v="0"/>
  </r>
  <r>
    <s v="FB000281"/>
    <x v="2"/>
    <x v="0"/>
    <x v="2"/>
    <m/>
    <s v="Pink"/>
    <n v="74.2"/>
    <n v="0"/>
    <n v="74.2"/>
    <x v="1"/>
    <n v="22"/>
    <n v="1.7"/>
    <b v="0"/>
    <m/>
    <n v="28"/>
    <n v="0"/>
    <s v=""/>
    <x v="0"/>
  </r>
  <r>
    <s v="FB000282"/>
    <x v="4"/>
    <x v="1"/>
    <x v="2"/>
    <s v="S"/>
    <s v="Brown"/>
    <n v="99.67"/>
    <n v="0"/>
    <n v="99.67"/>
    <x v="1"/>
    <n v="13"/>
    <n v="5"/>
    <b v="0"/>
    <m/>
    <n v="28"/>
    <n v="0"/>
    <s v=""/>
    <x v="0"/>
  </r>
  <r>
    <s v="FB000283"/>
    <x v="3"/>
    <x v="7"/>
    <x v="2"/>
    <s v="XS"/>
    <s v="Purple"/>
    <n v="112.74"/>
    <n v="23"/>
    <n v="86.81"/>
    <x v="1"/>
    <n v="37"/>
    <n v="1"/>
    <b v="0"/>
    <m/>
    <n v="28"/>
    <n v="851"/>
    <s v=""/>
    <x v="1"/>
  </r>
  <r>
    <s v="FB000284"/>
    <x v="1"/>
    <x v="2"/>
    <x v="3"/>
    <s v="S"/>
    <s v="Black"/>
    <n v="95.82"/>
    <n v="39.4"/>
    <n v="58.07"/>
    <x v="1"/>
    <n v="6"/>
    <n v="2.953125"/>
    <b v="1"/>
    <s v="Damaged"/>
    <n v="28"/>
    <n v="236.39999999999998"/>
    <n v="1"/>
    <x v="1"/>
  </r>
  <r>
    <s v="FB000285"/>
    <x v="3"/>
    <x v="5"/>
    <x v="1"/>
    <s v="M"/>
    <s v="Green"/>
    <n v="157.41999999999999"/>
    <n v="0"/>
    <n v="157.41999999999999"/>
    <x v="1"/>
    <n v="38"/>
    <n v="2.4"/>
    <b v="0"/>
    <m/>
    <n v="28"/>
    <n v="0"/>
    <s v=""/>
    <x v="0"/>
  </r>
  <r>
    <s v="FB000286"/>
    <x v="2"/>
    <x v="0"/>
    <x v="2"/>
    <m/>
    <s v="Red"/>
    <n v="60.17"/>
    <n v="14.1"/>
    <n v="51.69"/>
    <x v="1"/>
    <n v="38"/>
    <n v="5"/>
    <b v="0"/>
    <m/>
    <n v="28"/>
    <n v="535.79999999999995"/>
    <s v=""/>
    <x v="1"/>
  </r>
  <r>
    <s v="FB000287"/>
    <x v="0"/>
    <x v="3"/>
    <x v="1"/>
    <s v="XL"/>
    <s v="Pink"/>
    <n v="169.03"/>
    <n v="0"/>
    <n v="169.03"/>
    <x v="1"/>
    <n v="16"/>
    <n v="1.7"/>
    <b v="0"/>
    <m/>
    <n v="28"/>
    <n v="0"/>
    <s v=""/>
    <x v="0"/>
  </r>
  <r>
    <s v="FB000288"/>
    <x v="5"/>
    <x v="1"/>
    <x v="2"/>
    <s v="S"/>
    <s v="Pink"/>
    <n v="175.86"/>
    <n v="0"/>
    <n v="175.86"/>
    <x v="1"/>
    <n v="0"/>
    <n v="4.5999999999999996"/>
    <b v="0"/>
    <m/>
    <n v="28"/>
    <n v="0"/>
    <s v=""/>
    <x v="0"/>
  </r>
  <r>
    <s v="FB000289"/>
    <x v="3"/>
    <x v="3"/>
    <x v="3"/>
    <m/>
    <s v="Brown"/>
    <n v="169.75"/>
    <n v="0"/>
    <n v="169.75"/>
    <x v="1"/>
    <n v="5"/>
    <n v="2.7"/>
    <b v="0"/>
    <m/>
    <n v="28"/>
    <n v="0"/>
    <s v=""/>
    <x v="0"/>
  </r>
  <r>
    <s v="FB000290"/>
    <x v="2"/>
    <x v="4"/>
    <x v="3"/>
    <m/>
    <s v="Red"/>
    <n v="51.77"/>
    <n v="24.3"/>
    <n v="39.19"/>
    <x v="1"/>
    <n v="50"/>
    <n v="3.7"/>
    <b v="0"/>
    <m/>
    <n v="28"/>
    <n v="1215"/>
    <s v=""/>
    <x v="1"/>
  </r>
  <r>
    <s v="FB000291"/>
    <x v="1"/>
    <x v="3"/>
    <x v="2"/>
    <s v="M"/>
    <s v="Black"/>
    <n v="83.09"/>
    <n v="0"/>
    <n v="83.09"/>
    <x v="1"/>
    <n v="22"/>
    <n v="2.2999999999999998"/>
    <b v="0"/>
    <m/>
    <n v="28"/>
    <n v="0"/>
    <s v=""/>
    <x v="0"/>
  </r>
  <r>
    <s v="FB000292"/>
    <x v="0"/>
    <x v="5"/>
    <x v="1"/>
    <s v="XS"/>
    <s v="Purple"/>
    <n v="176.1"/>
    <n v="0"/>
    <n v="176.1"/>
    <x v="1"/>
    <n v="12"/>
    <n v="4.5999999999999996"/>
    <b v="0"/>
    <m/>
    <n v="28"/>
    <n v="0"/>
    <s v=""/>
    <x v="0"/>
  </r>
  <r>
    <s v="FB000293"/>
    <x v="4"/>
    <x v="3"/>
    <x v="2"/>
    <s v="M"/>
    <s v="Blue"/>
    <n v="69.11"/>
    <n v="0"/>
    <n v="69.11"/>
    <x v="1"/>
    <n v="18"/>
    <n v="3.9"/>
    <b v="0"/>
    <m/>
    <n v="28"/>
    <n v="0"/>
    <s v=""/>
    <x v="0"/>
  </r>
  <r>
    <s v="FB000294"/>
    <x v="3"/>
    <x v="0"/>
    <x v="0"/>
    <s v="S"/>
    <s v="Purple"/>
    <n v="117.85"/>
    <n v="0"/>
    <n v="117.85"/>
    <x v="73"/>
    <n v="34"/>
    <n v="3.3"/>
    <b v="0"/>
    <m/>
    <n v="254"/>
    <n v="0"/>
    <s v=""/>
    <x v="0"/>
  </r>
  <r>
    <s v="FB000295"/>
    <x v="3"/>
    <x v="2"/>
    <x v="2"/>
    <s v="M"/>
    <s v="Purple"/>
    <n v="96.17"/>
    <n v="36"/>
    <n v="61.55"/>
    <x v="1"/>
    <n v="45"/>
    <n v="3.5"/>
    <b v="0"/>
    <m/>
    <n v="28"/>
    <n v="1620"/>
    <s v=""/>
    <x v="1"/>
  </r>
  <r>
    <s v="FB000296"/>
    <x v="3"/>
    <x v="0"/>
    <x v="0"/>
    <s v="XXL"/>
    <s v="Red"/>
    <n v="80.14"/>
    <n v="0"/>
    <n v="80.14"/>
    <x v="74"/>
    <n v="10"/>
    <n v="5"/>
    <b v="0"/>
    <m/>
    <n v="156"/>
    <n v="0"/>
    <s v=""/>
    <x v="0"/>
  </r>
  <r>
    <s v="FB000297"/>
    <x v="2"/>
    <x v="6"/>
    <x v="3"/>
    <m/>
    <s v="Pink"/>
    <n v="55.08"/>
    <n v="13"/>
    <n v="47.92"/>
    <x v="1"/>
    <n v="17"/>
    <n v="3.9"/>
    <b v="0"/>
    <m/>
    <n v="28"/>
    <n v="221"/>
    <s v=""/>
    <x v="1"/>
  </r>
  <r>
    <s v="FB000298"/>
    <x v="5"/>
    <x v="3"/>
    <x v="2"/>
    <s v="S"/>
    <s v="Pink"/>
    <n v="165.84"/>
    <n v="50.4"/>
    <n v="82.26"/>
    <x v="1"/>
    <n v="17"/>
    <n v="3.2"/>
    <b v="1"/>
    <s v="Damaged"/>
    <n v="28"/>
    <n v="856.8"/>
    <n v="1"/>
    <x v="1"/>
  </r>
  <r>
    <s v="FB000299"/>
    <x v="5"/>
    <x v="6"/>
    <x v="3"/>
    <s v="XXL"/>
    <s v="Red"/>
    <n v="82.7"/>
    <n v="0"/>
    <n v="82.7"/>
    <x v="1"/>
    <n v="20"/>
    <n v="4"/>
    <b v="0"/>
    <m/>
    <n v="28"/>
    <n v="0"/>
    <s v=""/>
    <x v="0"/>
  </r>
  <r>
    <s v="FB000300"/>
    <x v="0"/>
    <x v="2"/>
    <x v="0"/>
    <s v="S"/>
    <s v="Purple"/>
    <n v="222.86"/>
    <n v="6.6"/>
    <n v="208.15"/>
    <x v="49"/>
    <n v="29"/>
    <n v="2.1"/>
    <b v="0"/>
    <m/>
    <n v="258"/>
    <n v="191.39999999999998"/>
    <s v=""/>
    <x v="1"/>
  </r>
  <r>
    <s v="FB000301"/>
    <x v="1"/>
    <x v="3"/>
    <x v="1"/>
    <s v="L"/>
    <s v="Gray"/>
    <n v="107.15"/>
    <n v="0"/>
    <n v="107.15"/>
    <x v="1"/>
    <n v="33"/>
    <n v="2.9742857142857138"/>
    <b v="1"/>
    <s v="Wrong Item"/>
    <n v="28"/>
    <n v="0"/>
    <n v="1"/>
    <x v="0"/>
  </r>
  <r>
    <s v="FB000302"/>
    <x v="3"/>
    <x v="4"/>
    <x v="2"/>
    <s v="XXL"/>
    <s v="Gray"/>
    <n v="85.54"/>
    <n v="0"/>
    <n v="85.54"/>
    <x v="1"/>
    <n v="30"/>
    <n v="3.3021276595744684"/>
    <b v="0"/>
    <m/>
    <n v="28"/>
    <n v="0"/>
    <s v=""/>
    <x v="0"/>
  </r>
  <r>
    <s v="FB000303"/>
    <x v="4"/>
    <x v="3"/>
    <x v="3"/>
    <s v="XL"/>
    <s v="Green"/>
    <n v="34.36"/>
    <n v="5.4"/>
    <n v="32.5"/>
    <x v="1"/>
    <n v="49"/>
    <n v="4.5"/>
    <b v="0"/>
    <m/>
    <n v="28"/>
    <n v="264.60000000000002"/>
    <s v=""/>
    <x v="1"/>
  </r>
  <r>
    <s v="FB000304"/>
    <x v="4"/>
    <x v="3"/>
    <x v="1"/>
    <s v="XL"/>
    <s v="Black"/>
    <n v="111.25"/>
    <n v="42.2"/>
    <n v="64.3"/>
    <x v="1"/>
    <n v="34"/>
    <n v="3"/>
    <b v="0"/>
    <m/>
    <n v="28"/>
    <n v="1434.8000000000002"/>
    <s v=""/>
    <x v="1"/>
  </r>
  <r>
    <s v="FB000305"/>
    <x v="1"/>
    <x v="0"/>
    <x v="0"/>
    <s v="XXL"/>
    <s v="Pink"/>
    <n v="39.97"/>
    <n v="35.200000000000003"/>
    <n v="25.9"/>
    <x v="75"/>
    <n v="15"/>
    <n v="2.2999999999999998"/>
    <b v="0"/>
    <m/>
    <n v="224"/>
    <n v="528"/>
    <s v=""/>
    <x v="1"/>
  </r>
  <r>
    <s v="FB000306"/>
    <x v="3"/>
    <x v="7"/>
    <x v="3"/>
    <s v="M"/>
    <s v="White"/>
    <n v="60.34"/>
    <n v="0"/>
    <n v="60.34"/>
    <x v="1"/>
    <n v="4"/>
    <n v="3.2576923076923077"/>
    <b v="0"/>
    <m/>
    <n v="28"/>
    <n v="0"/>
    <s v=""/>
    <x v="0"/>
  </r>
  <r>
    <s v="FB000307"/>
    <x v="2"/>
    <x v="6"/>
    <x v="3"/>
    <m/>
    <s v="Blue"/>
    <n v="17.7"/>
    <n v="0"/>
    <n v="17.7"/>
    <x v="1"/>
    <n v="42"/>
    <n v="3.9"/>
    <b v="0"/>
    <m/>
    <n v="28"/>
    <n v="0"/>
    <s v=""/>
    <x v="0"/>
  </r>
  <r>
    <s v="FB000308"/>
    <x v="4"/>
    <x v="3"/>
    <x v="3"/>
    <s v="M"/>
    <s v="White"/>
    <n v="57.88"/>
    <n v="0"/>
    <n v="57.88"/>
    <x v="1"/>
    <n v="39"/>
    <n v="3"/>
    <b v="0"/>
    <m/>
    <n v="28"/>
    <n v="0"/>
    <s v=""/>
    <x v="0"/>
  </r>
  <r>
    <s v="FB000309"/>
    <x v="1"/>
    <x v="3"/>
    <x v="3"/>
    <s v="S"/>
    <s v="Blue"/>
    <n v="25.15"/>
    <n v="0"/>
    <n v="25.15"/>
    <x v="1"/>
    <n v="34"/>
    <n v="2.6"/>
    <b v="0"/>
    <m/>
    <n v="28"/>
    <n v="0"/>
    <s v=""/>
    <x v="0"/>
  </r>
  <r>
    <s v="FB000310"/>
    <x v="0"/>
    <x v="3"/>
    <x v="0"/>
    <s v="L"/>
    <s v="Purple"/>
    <n v="157.44999999999999"/>
    <n v="0"/>
    <n v="157.44999999999999"/>
    <x v="76"/>
    <n v="7"/>
    <n v="2.9"/>
    <b v="0"/>
    <m/>
    <n v="100"/>
    <n v="0"/>
    <s v=""/>
    <x v="0"/>
  </r>
  <r>
    <s v="FB000311"/>
    <x v="4"/>
    <x v="4"/>
    <x v="1"/>
    <s v="L"/>
    <s v="Purple"/>
    <n v="65.72"/>
    <n v="9.1"/>
    <n v="59.74"/>
    <x v="1"/>
    <n v="10"/>
    <n v="2.8"/>
    <b v="1"/>
    <s v="Quality Issue"/>
    <n v="28"/>
    <n v="91"/>
    <n v="1"/>
    <x v="1"/>
  </r>
  <r>
    <s v="FB000312"/>
    <x v="5"/>
    <x v="7"/>
    <x v="1"/>
    <s v="XXL"/>
    <s v="Brown"/>
    <n v="92.8"/>
    <n v="0"/>
    <n v="92.8"/>
    <x v="1"/>
    <n v="25"/>
    <n v="2.5"/>
    <b v="0"/>
    <m/>
    <n v="28"/>
    <n v="0"/>
    <s v=""/>
    <x v="0"/>
  </r>
  <r>
    <s v="FB000313"/>
    <x v="5"/>
    <x v="2"/>
    <x v="1"/>
    <s v="XL"/>
    <s v="Blue"/>
    <n v="88.65"/>
    <n v="0"/>
    <n v="88.65"/>
    <x v="1"/>
    <n v="11"/>
    <n v="3.3"/>
    <b v="0"/>
    <m/>
    <n v="28"/>
    <n v="0"/>
    <s v=""/>
    <x v="0"/>
  </r>
  <r>
    <s v="FB000314"/>
    <x v="1"/>
    <x v="0"/>
    <x v="1"/>
    <s v="XXL"/>
    <s v="Beige"/>
    <n v="47.07"/>
    <n v="57.4"/>
    <n v="20.05"/>
    <x v="1"/>
    <n v="24"/>
    <n v="1.3"/>
    <b v="1"/>
    <s v="Size Issue"/>
    <n v="28"/>
    <n v="1377.6"/>
    <n v="1"/>
    <x v="1"/>
  </r>
  <r>
    <s v="FB000315"/>
    <x v="0"/>
    <x v="5"/>
    <x v="3"/>
    <s v="XS"/>
    <s v="Red"/>
    <n v="101.75"/>
    <n v="0"/>
    <n v="101.75"/>
    <x v="1"/>
    <n v="7"/>
    <n v="3.1"/>
    <b v="0"/>
    <m/>
    <n v="28"/>
    <n v="0"/>
    <s v=""/>
    <x v="0"/>
  </r>
  <r>
    <s v="FB000316"/>
    <x v="5"/>
    <x v="3"/>
    <x v="0"/>
    <s v="XS"/>
    <s v="Blue"/>
    <n v="131.08000000000001"/>
    <n v="7.5"/>
    <n v="121.25"/>
    <x v="77"/>
    <n v="20"/>
    <n v="4.5"/>
    <b v="1"/>
    <s v="Wrong Item"/>
    <n v="273"/>
    <n v="150"/>
    <n v="1"/>
    <x v="1"/>
  </r>
  <r>
    <s v="FB000317"/>
    <x v="1"/>
    <x v="0"/>
    <x v="2"/>
    <s v="XS"/>
    <s v="Black"/>
    <n v="82.06"/>
    <n v="26.1"/>
    <n v="60.64"/>
    <x v="1"/>
    <n v="32"/>
    <n v="1.5"/>
    <b v="0"/>
    <m/>
    <n v="28"/>
    <n v="835.2"/>
    <s v=""/>
    <x v="1"/>
  </r>
  <r>
    <s v="FB000318"/>
    <x v="5"/>
    <x v="4"/>
    <x v="3"/>
    <s v="L"/>
    <s v="Purple"/>
    <n v="66.31"/>
    <n v="0"/>
    <n v="66.31"/>
    <x v="1"/>
    <n v="47"/>
    <n v="3.9"/>
    <b v="0"/>
    <m/>
    <n v="28"/>
    <n v="0"/>
    <s v=""/>
    <x v="0"/>
  </r>
  <r>
    <s v="FB000319"/>
    <x v="2"/>
    <x v="1"/>
    <x v="2"/>
    <m/>
    <s v="Green"/>
    <n v="26.03"/>
    <n v="0"/>
    <n v="26.03"/>
    <x v="1"/>
    <n v="15"/>
    <n v="3.8"/>
    <b v="0"/>
    <m/>
    <n v="28"/>
    <n v="0"/>
    <s v=""/>
    <x v="0"/>
  </r>
  <r>
    <s v="FB000320"/>
    <x v="3"/>
    <x v="1"/>
    <x v="0"/>
    <s v="S"/>
    <s v="Beige"/>
    <n v="152.53"/>
    <n v="0"/>
    <n v="152.53"/>
    <x v="78"/>
    <n v="24"/>
    <n v="4.2"/>
    <b v="0"/>
    <m/>
    <n v="286"/>
    <n v="0"/>
    <s v=""/>
    <x v="0"/>
  </r>
  <r>
    <s v="FB000321"/>
    <x v="4"/>
    <x v="3"/>
    <x v="2"/>
    <s v="S"/>
    <s v="Beige"/>
    <n v="26.16"/>
    <n v="16.2"/>
    <n v="21.92"/>
    <x v="1"/>
    <n v="13"/>
    <n v="2.2999999999999998"/>
    <b v="0"/>
    <m/>
    <n v="28"/>
    <n v="210.6"/>
    <s v=""/>
    <x v="1"/>
  </r>
  <r>
    <s v="FB000322"/>
    <x v="5"/>
    <x v="1"/>
    <x v="1"/>
    <s v="XXL"/>
    <s v="Blue"/>
    <n v="89.17"/>
    <n v="10.8"/>
    <n v="79.540000000000006"/>
    <x v="1"/>
    <n v="27"/>
    <n v="3.3"/>
    <b v="0"/>
    <m/>
    <n v="28"/>
    <n v="291.60000000000002"/>
    <s v=""/>
    <x v="1"/>
  </r>
  <r>
    <s v="FB000323"/>
    <x v="4"/>
    <x v="4"/>
    <x v="0"/>
    <m/>
    <s v="White"/>
    <n v="106.37"/>
    <n v="0"/>
    <n v="106.37"/>
    <x v="79"/>
    <n v="37"/>
    <n v="4.9000000000000004"/>
    <b v="0"/>
    <m/>
    <n v="150"/>
    <n v="0"/>
    <s v=""/>
    <x v="0"/>
  </r>
  <r>
    <s v="FB000324"/>
    <x v="5"/>
    <x v="3"/>
    <x v="2"/>
    <s v="XL"/>
    <s v="White"/>
    <n v="80.95"/>
    <n v="36.799999999999997"/>
    <n v="51.16"/>
    <x v="1"/>
    <n v="16"/>
    <n v="2.5"/>
    <b v="0"/>
    <m/>
    <n v="28"/>
    <n v="588.79999999999995"/>
    <s v=""/>
    <x v="1"/>
  </r>
  <r>
    <s v="FB000325"/>
    <x v="0"/>
    <x v="2"/>
    <x v="3"/>
    <s v="M"/>
    <s v="Navy"/>
    <n v="169.84"/>
    <n v="50.2"/>
    <n v="84.58"/>
    <x v="1"/>
    <n v="21"/>
    <n v="3"/>
    <b v="1"/>
    <s v="Quality Issue"/>
    <n v="28"/>
    <n v="1054.2"/>
    <n v="1"/>
    <x v="1"/>
  </r>
  <r>
    <s v="FB000326"/>
    <x v="5"/>
    <x v="7"/>
    <x v="2"/>
    <s v="M"/>
    <s v="Green"/>
    <n v="159.4"/>
    <n v="8.8000000000000007"/>
    <n v="145.37"/>
    <x v="1"/>
    <n v="43"/>
    <n v="4.5"/>
    <b v="0"/>
    <m/>
    <n v="28"/>
    <n v="378.40000000000003"/>
    <s v=""/>
    <x v="1"/>
  </r>
  <r>
    <s v="FB000327"/>
    <x v="4"/>
    <x v="7"/>
    <x v="1"/>
    <s v="S"/>
    <s v="Black"/>
    <n v="106.53"/>
    <n v="46.5"/>
    <n v="56.99"/>
    <x v="1"/>
    <n v="17"/>
    <n v="3.1021739130434773"/>
    <b v="0"/>
    <m/>
    <n v="28"/>
    <n v="790.5"/>
    <s v=""/>
    <x v="1"/>
  </r>
  <r>
    <s v="FB000328"/>
    <x v="2"/>
    <x v="6"/>
    <x v="0"/>
    <m/>
    <s v="Black"/>
    <n v="78.81"/>
    <n v="44.7"/>
    <n v="43.58"/>
    <x v="21"/>
    <n v="34"/>
    <n v="1.4"/>
    <b v="0"/>
    <m/>
    <n v="355"/>
    <n v="1519.8000000000002"/>
    <s v=""/>
    <x v="1"/>
  </r>
  <r>
    <s v="FB000329"/>
    <x v="0"/>
    <x v="1"/>
    <x v="3"/>
    <s v="XS"/>
    <s v="Gray"/>
    <n v="117.45"/>
    <n v="29.5"/>
    <n v="82.8"/>
    <x v="1"/>
    <n v="43"/>
    <n v="1.2"/>
    <b v="0"/>
    <m/>
    <n v="28"/>
    <n v="1268.5"/>
    <s v=""/>
    <x v="1"/>
  </r>
  <r>
    <s v="FB000330"/>
    <x v="2"/>
    <x v="6"/>
    <x v="0"/>
    <m/>
    <s v="Beige"/>
    <n v="76.94"/>
    <n v="0"/>
    <n v="76.94"/>
    <x v="80"/>
    <n v="21"/>
    <n v="4.3"/>
    <b v="0"/>
    <m/>
    <n v="82"/>
    <n v="0"/>
    <s v=""/>
    <x v="0"/>
  </r>
  <r>
    <s v="FB000331"/>
    <x v="0"/>
    <x v="6"/>
    <x v="3"/>
    <s v="L"/>
    <s v="White"/>
    <n v="232.19"/>
    <n v="0"/>
    <n v="232.19"/>
    <x v="1"/>
    <n v="31"/>
    <n v="1.3"/>
    <b v="1"/>
    <s v="Changed Mind"/>
    <n v="28"/>
    <n v="0"/>
    <n v="1"/>
    <x v="0"/>
  </r>
  <r>
    <s v="FB000332"/>
    <x v="5"/>
    <x v="7"/>
    <x v="2"/>
    <s v="XS"/>
    <s v="Navy"/>
    <n v="80.400000000000006"/>
    <n v="52.1"/>
    <n v="38.51"/>
    <x v="1"/>
    <n v="7"/>
    <n v="1.2"/>
    <b v="0"/>
    <m/>
    <n v="28"/>
    <n v="364.7"/>
    <s v=""/>
    <x v="1"/>
  </r>
  <r>
    <s v="FB000333"/>
    <x v="4"/>
    <x v="3"/>
    <x v="3"/>
    <s v="XL"/>
    <s v="Black"/>
    <n v="102.82"/>
    <n v="0"/>
    <n v="102.82"/>
    <x v="1"/>
    <n v="50"/>
    <n v="3.6"/>
    <b v="0"/>
    <m/>
    <n v="28"/>
    <n v="0"/>
    <s v=""/>
    <x v="0"/>
  </r>
  <r>
    <s v="FB000334"/>
    <x v="2"/>
    <x v="0"/>
    <x v="0"/>
    <m/>
    <s v="Navy"/>
    <n v="48.5"/>
    <n v="0"/>
    <n v="48.5"/>
    <x v="81"/>
    <n v="46"/>
    <n v="2.9116666666666675"/>
    <b v="0"/>
    <m/>
    <n v="117"/>
    <n v="0"/>
    <s v=""/>
    <x v="0"/>
  </r>
  <r>
    <s v="FB000335"/>
    <x v="4"/>
    <x v="3"/>
    <x v="2"/>
    <m/>
    <s v="Pink"/>
    <n v="88.4"/>
    <n v="0"/>
    <n v="88.4"/>
    <x v="1"/>
    <n v="1"/>
    <n v="1.4"/>
    <b v="0"/>
    <m/>
    <n v="28"/>
    <n v="0"/>
    <s v=""/>
    <x v="0"/>
  </r>
  <r>
    <s v="FB000336"/>
    <x v="3"/>
    <x v="3"/>
    <x v="1"/>
    <s v="S"/>
    <s v="Black"/>
    <n v="112.5"/>
    <n v="0"/>
    <n v="112.5"/>
    <x v="1"/>
    <n v="11"/>
    <n v="4.3"/>
    <b v="0"/>
    <m/>
    <n v="28"/>
    <n v="0"/>
    <s v=""/>
    <x v="0"/>
  </r>
  <r>
    <s v="FB000337"/>
    <x v="4"/>
    <x v="0"/>
    <x v="2"/>
    <s v="XXL"/>
    <s v="Gray"/>
    <n v="97.95"/>
    <n v="11.1"/>
    <n v="87.08"/>
    <x v="1"/>
    <n v="25"/>
    <n v="2.4"/>
    <b v="0"/>
    <m/>
    <n v="28"/>
    <n v="277.5"/>
    <s v=""/>
    <x v="1"/>
  </r>
  <r>
    <s v="FB000338"/>
    <x v="0"/>
    <x v="4"/>
    <x v="3"/>
    <s v="M"/>
    <s v="Pink"/>
    <n v="114.51"/>
    <n v="36.9"/>
    <n v="72.260000000000005"/>
    <x v="1"/>
    <n v="33"/>
    <n v="1.5"/>
    <b v="0"/>
    <m/>
    <n v="28"/>
    <n v="1217.7"/>
    <s v=""/>
    <x v="1"/>
  </r>
  <r>
    <s v="FB000339"/>
    <x v="4"/>
    <x v="0"/>
    <x v="1"/>
    <s v="XS"/>
    <s v="Brown"/>
    <n v="27.85"/>
    <n v="0"/>
    <n v="27.85"/>
    <x v="1"/>
    <n v="0"/>
    <n v="1.5"/>
    <b v="0"/>
    <m/>
    <n v="28"/>
    <n v="0"/>
    <s v=""/>
    <x v="0"/>
  </r>
  <r>
    <s v="FB000340"/>
    <x v="3"/>
    <x v="5"/>
    <x v="0"/>
    <s v="XL"/>
    <s v="Blue"/>
    <n v="82.08"/>
    <n v="40.6"/>
    <n v="48.76"/>
    <x v="57"/>
    <n v="43"/>
    <n v="2.5"/>
    <b v="1"/>
    <s v="Quality Issue"/>
    <n v="103"/>
    <n v="1745.8"/>
    <n v="1"/>
    <x v="1"/>
  </r>
  <r>
    <s v="FB000341"/>
    <x v="4"/>
    <x v="3"/>
    <x v="3"/>
    <s v="S"/>
    <s v="Black"/>
    <n v="116.41"/>
    <n v="40.700000000000003"/>
    <n v="69.03"/>
    <x v="1"/>
    <n v="23"/>
    <n v="1.2"/>
    <b v="0"/>
    <m/>
    <n v="28"/>
    <n v="936.1"/>
    <s v=""/>
    <x v="1"/>
  </r>
  <r>
    <s v="FB000342"/>
    <x v="4"/>
    <x v="5"/>
    <x v="0"/>
    <s v="M"/>
    <s v="White"/>
    <n v="95.61"/>
    <n v="0"/>
    <n v="95.61"/>
    <x v="82"/>
    <n v="47"/>
    <n v="4.7"/>
    <b v="1"/>
    <s v="Quality Issue"/>
    <n v="85"/>
    <n v="0"/>
    <n v="1"/>
    <x v="0"/>
  </r>
  <r>
    <s v="FB000343"/>
    <x v="3"/>
    <x v="3"/>
    <x v="2"/>
    <s v="M"/>
    <s v="White"/>
    <n v="70.040000000000006"/>
    <n v="0"/>
    <n v="70.040000000000006"/>
    <x v="1"/>
    <n v="12"/>
    <n v="2.4"/>
    <b v="0"/>
    <m/>
    <n v="28"/>
    <n v="0"/>
    <s v=""/>
    <x v="0"/>
  </r>
  <r>
    <s v="FB000344"/>
    <x v="3"/>
    <x v="2"/>
    <x v="1"/>
    <s v="S"/>
    <s v="Gray"/>
    <n v="112.59"/>
    <n v="54"/>
    <n v="51.79"/>
    <x v="1"/>
    <n v="17"/>
    <n v="4"/>
    <b v="0"/>
    <m/>
    <n v="28"/>
    <n v="918"/>
    <s v=""/>
    <x v="1"/>
  </r>
  <r>
    <s v="FB000345"/>
    <x v="2"/>
    <x v="0"/>
    <x v="3"/>
    <m/>
    <s v="Purple"/>
    <n v="26.8"/>
    <n v="0.9"/>
    <n v="26.56"/>
    <x v="1"/>
    <n v="25"/>
    <n v="1.2"/>
    <b v="1"/>
    <s v="Color Mismatch"/>
    <n v="28"/>
    <n v="22.5"/>
    <n v="1"/>
    <x v="1"/>
  </r>
  <r>
    <s v="FB000346"/>
    <x v="1"/>
    <x v="4"/>
    <x v="3"/>
    <s v="L"/>
    <s v="Blue"/>
    <n v="50.09"/>
    <n v="0"/>
    <n v="50.09"/>
    <x v="1"/>
    <n v="47"/>
    <n v="4"/>
    <b v="0"/>
    <m/>
    <n v="28"/>
    <n v="0"/>
    <s v=""/>
    <x v="0"/>
  </r>
  <r>
    <s v="FB000347"/>
    <x v="4"/>
    <x v="3"/>
    <x v="0"/>
    <s v="XS"/>
    <s v="Green"/>
    <n v="92.84"/>
    <n v="4.2"/>
    <n v="88.94"/>
    <x v="38"/>
    <n v="0"/>
    <n v="2.8142857142857149"/>
    <b v="1"/>
    <s v="Size Issue"/>
    <n v="233"/>
    <n v="0"/>
    <n v="1"/>
    <x v="1"/>
  </r>
  <r>
    <s v="FB000348"/>
    <x v="1"/>
    <x v="1"/>
    <x v="3"/>
    <s v="XXL"/>
    <s v="Gray"/>
    <n v="114.63"/>
    <n v="0"/>
    <n v="114.63"/>
    <x v="1"/>
    <n v="47"/>
    <n v="3.8"/>
    <b v="1"/>
    <s v="Changed Mind"/>
    <n v="28"/>
    <n v="0"/>
    <n v="1"/>
    <x v="0"/>
  </r>
  <r>
    <s v="FB000349"/>
    <x v="2"/>
    <x v="6"/>
    <x v="3"/>
    <m/>
    <s v="Purple"/>
    <n v="21.9"/>
    <n v="29.2"/>
    <n v="15.51"/>
    <x v="1"/>
    <n v="35"/>
    <n v="2"/>
    <b v="0"/>
    <m/>
    <n v="28"/>
    <n v="1022"/>
    <s v=""/>
    <x v="1"/>
  </r>
  <r>
    <s v="FB000350"/>
    <x v="5"/>
    <x v="0"/>
    <x v="0"/>
    <s v="XS"/>
    <s v="Navy"/>
    <n v="100.55"/>
    <n v="46.7"/>
    <n v="53.59"/>
    <x v="83"/>
    <n v="30"/>
    <n v="3.0424242424242425"/>
    <b v="0"/>
    <m/>
    <n v="214"/>
    <n v="1401"/>
    <s v=""/>
    <x v="1"/>
  </r>
  <r>
    <s v="FB000351"/>
    <x v="2"/>
    <x v="7"/>
    <x v="3"/>
    <m/>
    <s v="Brown"/>
    <n v="47.45"/>
    <n v="16.399999999999999"/>
    <n v="39.67"/>
    <x v="1"/>
    <n v="33"/>
    <n v="1.7"/>
    <b v="0"/>
    <m/>
    <n v="28"/>
    <n v="541.19999999999993"/>
    <s v=""/>
    <x v="1"/>
  </r>
  <r>
    <s v="FB000352"/>
    <x v="4"/>
    <x v="4"/>
    <x v="3"/>
    <s v="XL"/>
    <s v="Brown"/>
    <n v="113.21"/>
    <n v="0"/>
    <n v="113.21"/>
    <x v="1"/>
    <n v="8"/>
    <n v="2.7"/>
    <b v="0"/>
    <m/>
    <n v="28"/>
    <n v="0"/>
    <s v=""/>
    <x v="0"/>
  </r>
  <r>
    <s v="FB000353"/>
    <x v="5"/>
    <x v="2"/>
    <x v="0"/>
    <s v="XS"/>
    <s v="Black"/>
    <n v="163.27000000000001"/>
    <n v="0"/>
    <n v="163.27000000000001"/>
    <x v="84"/>
    <n v="24"/>
    <n v="2.5"/>
    <b v="0"/>
    <m/>
    <n v="133"/>
    <n v="0"/>
    <s v=""/>
    <x v="0"/>
  </r>
  <r>
    <s v="FB000354"/>
    <x v="2"/>
    <x v="1"/>
    <x v="2"/>
    <m/>
    <s v="Black"/>
    <n v="44.58"/>
    <n v="0"/>
    <n v="44.58"/>
    <x v="1"/>
    <n v="21"/>
    <n v="3.1288461538461547"/>
    <b v="0"/>
    <m/>
    <n v="28"/>
    <n v="0"/>
    <s v=""/>
    <x v="0"/>
  </r>
  <r>
    <s v="FB000355"/>
    <x v="5"/>
    <x v="7"/>
    <x v="3"/>
    <s v="L"/>
    <s v="Red"/>
    <n v="166.53"/>
    <n v="0"/>
    <n v="166.53"/>
    <x v="1"/>
    <n v="28"/>
    <n v="1.7"/>
    <b v="0"/>
    <m/>
    <n v="28"/>
    <n v="0"/>
    <s v=""/>
    <x v="0"/>
  </r>
  <r>
    <s v="FB000356"/>
    <x v="3"/>
    <x v="2"/>
    <x v="3"/>
    <s v="XL"/>
    <s v="Pink"/>
    <n v="144.61000000000001"/>
    <n v="0"/>
    <n v="144.61000000000001"/>
    <x v="1"/>
    <n v="21"/>
    <n v="2.5"/>
    <b v="0"/>
    <m/>
    <n v="28"/>
    <n v="0"/>
    <s v=""/>
    <x v="0"/>
  </r>
  <r>
    <s v="FB000357"/>
    <x v="2"/>
    <x v="3"/>
    <x v="2"/>
    <m/>
    <s v="Navy"/>
    <n v="31"/>
    <n v="0"/>
    <n v="31"/>
    <x v="1"/>
    <n v="29"/>
    <n v="1.9"/>
    <b v="0"/>
    <m/>
    <n v="28"/>
    <n v="0"/>
    <s v=""/>
    <x v="0"/>
  </r>
  <r>
    <s v="FB000358"/>
    <x v="2"/>
    <x v="7"/>
    <x v="1"/>
    <m/>
    <s v="Pink"/>
    <n v="68.569999999999993"/>
    <n v="29.4"/>
    <n v="48.41"/>
    <x v="1"/>
    <n v="4"/>
    <n v="3.5"/>
    <b v="0"/>
    <m/>
    <n v="28"/>
    <n v="117.6"/>
    <s v=""/>
    <x v="1"/>
  </r>
  <r>
    <s v="FB000359"/>
    <x v="5"/>
    <x v="7"/>
    <x v="3"/>
    <s v="L"/>
    <s v="Red"/>
    <n v="73.040000000000006"/>
    <n v="56.5"/>
    <n v="31.77"/>
    <x v="1"/>
    <n v="15"/>
    <n v="3"/>
    <b v="1"/>
    <s v="Changed Mind"/>
    <n v="28"/>
    <n v="847.5"/>
    <n v="1"/>
    <x v="1"/>
  </r>
  <r>
    <s v="FB000360"/>
    <x v="1"/>
    <x v="4"/>
    <x v="0"/>
    <s v="L"/>
    <s v="Purple"/>
    <n v="95.19"/>
    <n v="0"/>
    <n v="95.19"/>
    <x v="85"/>
    <n v="13"/>
    <n v="4.0999999999999996"/>
    <b v="0"/>
    <m/>
    <n v="206"/>
    <n v="0"/>
    <s v=""/>
    <x v="0"/>
  </r>
  <r>
    <s v="FB000361"/>
    <x v="1"/>
    <x v="6"/>
    <x v="1"/>
    <s v="XS"/>
    <s v="Purple"/>
    <n v="104.94"/>
    <n v="0"/>
    <n v="104.94"/>
    <x v="1"/>
    <n v="42"/>
    <n v="2"/>
    <b v="0"/>
    <m/>
    <n v="28"/>
    <n v="0"/>
    <s v=""/>
    <x v="0"/>
  </r>
  <r>
    <s v="FB000362"/>
    <x v="4"/>
    <x v="6"/>
    <x v="0"/>
    <s v="XXL"/>
    <s v="Beige"/>
    <n v="97.29"/>
    <n v="0"/>
    <n v="97.29"/>
    <x v="86"/>
    <n v="42"/>
    <n v="4.5"/>
    <b v="0"/>
    <m/>
    <n v="36"/>
    <n v="0"/>
    <s v=""/>
    <x v="0"/>
  </r>
  <r>
    <s v="FB000363"/>
    <x v="3"/>
    <x v="3"/>
    <x v="1"/>
    <s v="L"/>
    <s v="White"/>
    <n v="83.05"/>
    <n v="39.799999999999997"/>
    <n v="50"/>
    <x v="1"/>
    <n v="5"/>
    <n v="3.4"/>
    <b v="0"/>
    <m/>
    <n v="28"/>
    <n v="199"/>
    <s v=""/>
    <x v="1"/>
  </r>
  <r>
    <s v="FB000364"/>
    <x v="0"/>
    <x v="1"/>
    <x v="2"/>
    <s v="S"/>
    <s v="Beige"/>
    <n v="86.13"/>
    <n v="0"/>
    <n v="86.13"/>
    <x v="1"/>
    <n v="28"/>
    <n v="2.7"/>
    <b v="0"/>
    <m/>
    <n v="28"/>
    <n v="0"/>
    <s v=""/>
    <x v="0"/>
  </r>
  <r>
    <s v="FB000365"/>
    <x v="4"/>
    <x v="2"/>
    <x v="3"/>
    <s v="S"/>
    <s v="White"/>
    <n v="104.13"/>
    <n v="28.7"/>
    <n v="74.239999999999995"/>
    <x v="1"/>
    <n v="23"/>
    <n v="3.1"/>
    <b v="0"/>
    <m/>
    <n v="28"/>
    <n v="660.1"/>
    <s v=""/>
    <x v="1"/>
  </r>
  <r>
    <s v="FB000366"/>
    <x v="2"/>
    <x v="1"/>
    <x v="2"/>
    <m/>
    <s v="Green"/>
    <n v="41.7"/>
    <n v="0"/>
    <n v="41.7"/>
    <x v="1"/>
    <n v="18"/>
    <n v="3.2"/>
    <b v="0"/>
    <m/>
    <n v="28"/>
    <n v="0"/>
    <s v=""/>
    <x v="0"/>
  </r>
  <r>
    <s v="FB000367"/>
    <x v="0"/>
    <x v="2"/>
    <x v="0"/>
    <s v="L"/>
    <s v="White"/>
    <n v="80.11"/>
    <n v="0"/>
    <n v="80.11"/>
    <x v="10"/>
    <n v="34"/>
    <n v="1.8"/>
    <b v="0"/>
    <m/>
    <n v="140"/>
    <n v="0"/>
    <s v=""/>
    <x v="0"/>
  </r>
  <r>
    <s v="FB000368"/>
    <x v="1"/>
    <x v="5"/>
    <x v="2"/>
    <s v="L"/>
    <s v="White"/>
    <n v="97.84"/>
    <n v="0"/>
    <n v="97.84"/>
    <x v="1"/>
    <n v="16"/>
    <n v="2.9846153846153847"/>
    <b v="0"/>
    <m/>
    <n v="28"/>
    <n v="0"/>
    <s v=""/>
    <x v="0"/>
  </r>
  <r>
    <s v="FB000369"/>
    <x v="4"/>
    <x v="6"/>
    <x v="2"/>
    <s v="XL"/>
    <s v="Beige"/>
    <n v="77.37"/>
    <n v="35.200000000000003"/>
    <n v="50.14"/>
    <x v="1"/>
    <n v="14"/>
    <n v="2.2999999999999998"/>
    <b v="0"/>
    <m/>
    <n v="28"/>
    <n v="492.80000000000007"/>
    <s v=""/>
    <x v="1"/>
  </r>
  <r>
    <s v="FB000370"/>
    <x v="2"/>
    <x v="4"/>
    <x v="2"/>
    <m/>
    <s v="Red"/>
    <n v="36.35"/>
    <n v="37.6"/>
    <n v="22.68"/>
    <x v="1"/>
    <n v="49"/>
    <n v="4"/>
    <b v="1"/>
    <s v="Changed Mind"/>
    <n v="28"/>
    <n v="1842.4"/>
    <n v="1"/>
    <x v="1"/>
  </r>
  <r>
    <s v="FB000371"/>
    <x v="0"/>
    <x v="2"/>
    <x v="1"/>
    <s v="XXL"/>
    <s v="Green"/>
    <n v="181.04"/>
    <n v="20.2"/>
    <n v="144.47"/>
    <x v="1"/>
    <n v="17"/>
    <n v="3.0177777777777774"/>
    <b v="1"/>
    <s v="Size Issue"/>
    <n v="28"/>
    <n v="343.4"/>
    <n v="1"/>
    <x v="1"/>
  </r>
  <r>
    <s v="FB000372"/>
    <x v="0"/>
    <x v="0"/>
    <x v="0"/>
    <s v="XL"/>
    <s v="Black"/>
    <n v="158.37"/>
    <n v="0"/>
    <n v="158.37"/>
    <x v="87"/>
    <n v="33"/>
    <n v="2.7030303030303036"/>
    <b v="0"/>
    <m/>
    <n v="200"/>
    <n v="0"/>
    <s v=""/>
    <x v="0"/>
  </r>
  <r>
    <s v="FB000373"/>
    <x v="3"/>
    <x v="7"/>
    <x v="3"/>
    <s v="XXL"/>
    <s v="Purple"/>
    <n v="91.98"/>
    <n v="0"/>
    <n v="91.98"/>
    <x v="1"/>
    <n v="48"/>
    <n v="3.9"/>
    <b v="0"/>
    <m/>
    <n v="28"/>
    <n v="0"/>
    <s v=""/>
    <x v="0"/>
  </r>
  <r>
    <s v="FB000374"/>
    <x v="3"/>
    <x v="0"/>
    <x v="1"/>
    <s v="S"/>
    <s v="Brown"/>
    <n v="140.29"/>
    <n v="55.3"/>
    <n v="62.71"/>
    <x v="1"/>
    <n v="5"/>
    <n v="4.4000000000000004"/>
    <b v="0"/>
    <m/>
    <n v="28"/>
    <n v="276.5"/>
    <s v=""/>
    <x v="1"/>
  </r>
  <r>
    <s v="FB000375"/>
    <x v="1"/>
    <x v="1"/>
    <x v="0"/>
    <s v="XL"/>
    <s v="Red"/>
    <n v="26.01"/>
    <n v="0"/>
    <n v="26.01"/>
    <x v="88"/>
    <n v="9"/>
    <n v="4"/>
    <b v="0"/>
    <m/>
    <n v="192"/>
    <n v="0"/>
    <s v=""/>
    <x v="0"/>
  </r>
  <r>
    <s v="FB000376"/>
    <x v="1"/>
    <x v="7"/>
    <x v="1"/>
    <s v="XL"/>
    <s v="Blue"/>
    <n v="51.06"/>
    <n v="9.5"/>
    <n v="46.21"/>
    <x v="1"/>
    <n v="34"/>
    <n v="1.1000000000000001"/>
    <b v="0"/>
    <m/>
    <n v="28"/>
    <n v="323"/>
    <s v=""/>
    <x v="1"/>
  </r>
  <r>
    <s v="FB000377"/>
    <x v="0"/>
    <x v="6"/>
    <x v="2"/>
    <s v="XS"/>
    <s v="Red"/>
    <n v="132.91999999999999"/>
    <n v="0"/>
    <n v="132.91999999999999"/>
    <x v="1"/>
    <n v="36"/>
    <n v="1.2"/>
    <b v="0"/>
    <m/>
    <n v="28"/>
    <n v="0"/>
    <s v=""/>
    <x v="0"/>
  </r>
  <r>
    <s v="FB000378"/>
    <x v="2"/>
    <x v="6"/>
    <x v="2"/>
    <m/>
    <s v="Purple"/>
    <n v="16.57"/>
    <n v="0"/>
    <n v="16.57"/>
    <x v="1"/>
    <n v="17"/>
    <n v="3.2720930232558145"/>
    <b v="0"/>
    <m/>
    <n v="28"/>
    <n v="0"/>
    <s v=""/>
    <x v="0"/>
  </r>
  <r>
    <s v="FB000379"/>
    <x v="4"/>
    <x v="7"/>
    <x v="1"/>
    <s v="XS"/>
    <s v="Black"/>
    <n v="78.599999999999994"/>
    <n v="45.8"/>
    <n v="42.6"/>
    <x v="1"/>
    <n v="6"/>
    <n v="2.7"/>
    <b v="0"/>
    <m/>
    <n v="28"/>
    <n v="274.79999999999995"/>
    <s v=""/>
    <x v="1"/>
  </r>
  <r>
    <s v="FB000380"/>
    <x v="2"/>
    <x v="3"/>
    <x v="3"/>
    <m/>
    <s v="Brown"/>
    <n v="69.38"/>
    <n v="0"/>
    <n v="69.38"/>
    <x v="1"/>
    <n v="43"/>
    <n v="2.4"/>
    <b v="0"/>
    <m/>
    <n v="28"/>
    <n v="0"/>
    <s v=""/>
    <x v="0"/>
  </r>
  <r>
    <s v="FB000381"/>
    <x v="2"/>
    <x v="3"/>
    <x v="2"/>
    <m/>
    <s v="Pink"/>
    <n v="23.58"/>
    <n v="0"/>
    <n v="23.58"/>
    <x v="1"/>
    <n v="16"/>
    <n v="1.3"/>
    <b v="0"/>
    <m/>
    <n v="28"/>
    <n v="0"/>
    <s v=""/>
    <x v="0"/>
  </r>
  <r>
    <s v="FB000382"/>
    <x v="1"/>
    <x v="4"/>
    <x v="0"/>
    <s v="XS"/>
    <s v="Navy"/>
    <n v="119.91"/>
    <n v="27.8"/>
    <n v="86.58"/>
    <x v="55"/>
    <n v="12"/>
    <n v="1.7"/>
    <b v="0"/>
    <m/>
    <n v="340"/>
    <n v="333.6"/>
    <s v=""/>
    <x v="1"/>
  </r>
  <r>
    <s v="FB000383"/>
    <x v="0"/>
    <x v="4"/>
    <x v="3"/>
    <s v="M"/>
    <s v="Black"/>
    <n v="111.05"/>
    <n v="1.4"/>
    <n v="109.5"/>
    <x v="1"/>
    <n v="7"/>
    <n v="2.8"/>
    <b v="0"/>
    <m/>
    <n v="28"/>
    <n v="9.7999999999999989"/>
    <s v=""/>
    <x v="1"/>
  </r>
  <r>
    <s v="FB000384"/>
    <x v="2"/>
    <x v="2"/>
    <x v="3"/>
    <m/>
    <s v="Gray"/>
    <n v="60.22"/>
    <n v="0"/>
    <n v="60.22"/>
    <x v="1"/>
    <n v="6"/>
    <n v="2.1"/>
    <b v="0"/>
    <m/>
    <n v="28"/>
    <n v="0"/>
    <s v=""/>
    <x v="0"/>
  </r>
  <r>
    <s v="FB000385"/>
    <x v="0"/>
    <x v="6"/>
    <x v="1"/>
    <s v="M"/>
    <s v="Navy"/>
    <n v="133.52000000000001"/>
    <n v="0"/>
    <n v="133.52000000000001"/>
    <x v="1"/>
    <n v="27"/>
    <n v="3.6"/>
    <b v="0"/>
    <m/>
    <n v="28"/>
    <n v="0"/>
    <s v=""/>
    <x v="0"/>
  </r>
  <r>
    <s v="FB000386"/>
    <x v="5"/>
    <x v="2"/>
    <x v="0"/>
    <s v="XL"/>
    <s v="Brown"/>
    <n v="54.97"/>
    <n v="49.6"/>
    <n v="27.7"/>
    <x v="89"/>
    <n v="48"/>
    <n v="4.5"/>
    <b v="0"/>
    <m/>
    <n v="330"/>
    <n v="2380.8000000000002"/>
    <s v=""/>
    <x v="1"/>
  </r>
  <r>
    <s v="FB000387"/>
    <x v="1"/>
    <x v="1"/>
    <x v="1"/>
    <s v="L"/>
    <s v="White"/>
    <n v="85.94"/>
    <n v="0"/>
    <n v="85.94"/>
    <x v="1"/>
    <n v="42"/>
    <n v="4.3"/>
    <b v="0"/>
    <m/>
    <n v="28"/>
    <n v="0"/>
    <s v=""/>
    <x v="0"/>
  </r>
  <r>
    <s v="FB000388"/>
    <x v="2"/>
    <x v="4"/>
    <x v="2"/>
    <m/>
    <s v="Black"/>
    <n v="24.64"/>
    <n v="0"/>
    <n v="24.64"/>
    <x v="1"/>
    <n v="6"/>
    <n v="4.4000000000000004"/>
    <b v="0"/>
    <m/>
    <n v="28"/>
    <n v="0"/>
    <s v=""/>
    <x v="0"/>
  </r>
  <r>
    <s v="FB000389"/>
    <x v="2"/>
    <x v="2"/>
    <x v="0"/>
    <m/>
    <s v="Blue"/>
    <n v="28.82"/>
    <n v="0"/>
    <n v="28.82"/>
    <x v="90"/>
    <n v="30"/>
    <n v="2.8"/>
    <b v="0"/>
    <m/>
    <n v="315"/>
    <n v="0"/>
    <s v=""/>
    <x v="0"/>
  </r>
  <r>
    <s v="FB000390"/>
    <x v="3"/>
    <x v="7"/>
    <x v="3"/>
    <s v="L"/>
    <s v="Pink"/>
    <n v="79.59"/>
    <n v="24.3"/>
    <n v="60.25"/>
    <x v="1"/>
    <n v="37"/>
    <n v="1.7"/>
    <b v="0"/>
    <m/>
    <n v="28"/>
    <n v="899.1"/>
    <s v=""/>
    <x v="1"/>
  </r>
  <r>
    <s v="FB000391"/>
    <x v="5"/>
    <x v="6"/>
    <x v="2"/>
    <s v="XL"/>
    <s v="Blue"/>
    <n v="49.44"/>
    <n v="0"/>
    <n v="49.44"/>
    <x v="1"/>
    <n v="19"/>
    <n v="3.4"/>
    <b v="0"/>
    <m/>
    <n v="28"/>
    <n v="0"/>
    <s v=""/>
    <x v="0"/>
  </r>
  <r>
    <s v="FB000392"/>
    <x v="1"/>
    <x v="3"/>
    <x v="1"/>
    <s v="XS"/>
    <s v="Blue"/>
    <n v="41.46"/>
    <n v="0"/>
    <n v="41.46"/>
    <x v="1"/>
    <n v="36"/>
    <n v="3.5"/>
    <b v="0"/>
    <m/>
    <n v="28"/>
    <n v="0"/>
    <s v=""/>
    <x v="0"/>
  </r>
  <r>
    <s v="FB000393"/>
    <x v="5"/>
    <x v="1"/>
    <x v="2"/>
    <s v="XS"/>
    <s v="Beige"/>
    <n v="131.76"/>
    <n v="35.4"/>
    <n v="85.12"/>
    <x v="1"/>
    <n v="21"/>
    <n v="4.7"/>
    <b v="0"/>
    <m/>
    <n v="28"/>
    <n v="743.4"/>
    <s v=""/>
    <x v="1"/>
  </r>
  <r>
    <s v="FB000394"/>
    <x v="4"/>
    <x v="3"/>
    <x v="2"/>
    <s v="M"/>
    <s v="Blue"/>
    <n v="56.53"/>
    <n v="27.9"/>
    <n v="40.76"/>
    <x v="1"/>
    <n v="22"/>
    <n v="2.8142857142857149"/>
    <b v="0"/>
    <m/>
    <n v="28"/>
    <n v="613.79999999999995"/>
    <s v=""/>
    <x v="1"/>
  </r>
  <r>
    <s v="FB000395"/>
    <x v="1"/>
    <x v="0"/>
    <x v="1"/>
    <m/>
    <s v="Blue"/>
    <n v="111.72"/>
    <n v="33.299999999999997"/>
    <n v="74.52"/>
    <x v="1"/>
    <n v="47"/>
    <n v="2"/>
    <b v="1"/>
    <s v="Quality Issue"/>
    <n v="28"/>
    <n v="1565.1"/>
    <n v="1"/>
    <x v="1"/>
  </r>
  <r>
    <s v="FB000396"/>
    <x v="1"/>
    <x v="0"/>
    <x v="1"/>
    <s v="L"/>
    <s v="Beige"/>
    <n v="99.96"/>
    <n v="47.6"/>
    <n v="52.38"/>
    <x v="1"/>
    <n v="18"/>
    <n v="2"/>
    <b v="1"/>
    <s v="Quality Issue"/>
    <n v="28"/>
    <n v="856.80000000000007"/>
    <n v="1"/>
    <x v="1"/>
  </r>
  <r>
    <s v="FB000397"/>
    <x v="5"/>
    <x v="1"/>
    <x v="2"/>
    <s v="XS"/>
    <s v="Red"/>
    <n v="110.04"/>
    <n v="57.1"/>
    <n v="47.21"/>
    <x v="1"/>
    <n v="0"/>
    <n v="4.7"/>
    <b v="0"/>
    <m/>
    <n v="28"/>
    <n v="0"/>
    <s v=""/>
    <x v="1"/>
  </r>
  <r>
    <s v="FB000398"/>
    <x v="5"/>
    <x v="7"/>
    <x v="1"/>
    <s v="L"/>
    <s v="Blue"/>
    <n v="141.84"/>
    <n v="0"/>
    <n v="141.84"/>
    <x v="1"/>
    <n v="39"/>
    <n v="1.7"/>
    <b v="0"/>
    <m/>
    <n v="28"/>
    <n v="0"/>
    <s v=""/>
    <x v="0"/>
  </r>
  <r>
    <s v="FB000399"/>
    <x v="2"/>
    <x v="4"/>
    <x v="1"/>
    <m/>
    <s v="Brown"/>
    <n v="32.630000000000003"/>
    <n v="42.9"/>
    <n v="18.63"/>
    <x v="1"/>
    <n v="5"/>
    <n v="1.1000000000000001"/>
    <b v="0"/>
    <m/>
    <n v="28"/>
    <n v="214.5"/>
    <s v=""/>
    <x v="1"/>
  </r>
  <r>
    <s v="FB000400"/>
    <x v="0"/>
    <x v="0"/>
    <x v="0"/>
    <s v="L"/>
    <s v="Black"/>
    <n v="189.68"/>
    <n v="40.799999999999997"/>
    <n v="112.29"/>
    <x v="91"/>
    <n v="27"/>
    <n v="1.8"/>
    <b v="1"/>
    <s v="Damaged"/>
    <n v="347"/>
    <n v="1101.5999999999999"/>
    <n v="1"/>
    <x v="1"/>
  </r>
  <r>
    <s v="FB000401"/>
    <x v="5"/>
    <x v="5"/>
    <x v="2"/>
    <s v="XL"/>
    <s v="Pink"/>
    <n v="150.88999999999999"/>
    <n v="46.8"/>
    <n v="80.27"/>
    <x v="1"/>
    <n v="18"/>
    <n v="4.9000000000000004"/>
    <b v="0"/>
    <m/>
    <n v="28"/>
    <n v="842.4"/>
    <s v=""/>
    <x v="1"/>
  </r>
  <r>
    <s v="FB000402"/>
    <x v="2"/>
    <x v="6"/>
    <x v="2"/>
    <m/>
    <s v="Navy"/>
    <n v="42.66"/>
    <n v="21.5"/>
    <n v="33.49"/>
    <x v="1"/>
    <n v="16"/>
    <n v="3.2720930232558145"/>
    <b v="0"/>
    <m/>
    <n v="28"/>
    <n v="344"/>
    <s v=""/>
    <x v="1"/>
  </r>
  <r>
    <s v="FB000403"/>
    <x v="2"/>
    <x v="1"/>
    <x v="2"/>
    <m/>
    <s v="Red"/>
    <n v="62.05"/>
    <n v="0"/>
    <n v="62.05"/>
    <x v="1"/>
    <n v="50"/>
    <n v="1.4"/>
    <b v="1"/>
    <s v="Changed Mind"/>
    <n v="28"/>
    <n v="0"/>
    <n v="1"/>
    <x v="0"/>
  </r>
  <r>
    <s v="FB000404"/>
    <x v="2"/>
    <x v="2"/>
    <x v="1"/>
    <m/>
    <s v="Green"/>
    <n v="74.319999999999993"/>
    <n v="0"/>
    <n v="74.319999999999993"/>
    <x v="1"/>
    <n v="4"/>
    <n v="2.2000000000000002"/>
    <b v="0"/>
    <m/>
    <n v="28"/>
    <n v="0"/>
    <s v=""/>
    <x v="0"/>
  </r>
  <r>
    <s v="FB000405"/>
    <x v="0"/>
    <x v="1"/>
    <x v="1"/>
    <s v="XS"/>
    <s v="Navy"/>
    <n v="217.34"/>
    <n v="0"/>
    <n v="217.34"/>
    <x v="1"/>
    <n v="4"/>
    <n v="4.2"/>
    <b v="0"/>
    <m/>
    <n v="28"/>
    <n v="0"/>
    <s v=""/>
    <x v="0"/>
  </r>
  <r>
    <s v="FB000406"/>
    <x v="1"/>
    <x v="0"/>
    <x v="3"/>
    <s v="XL"/>
    <s v="White"/>
    <n v="111.14"/>
    <n v="56.7"/>
    <n v="48.12"/>
    <x v="1"/>
    <n v="29"/>
    <n v="1.5"/>
    <b v="0"/>
    <m/>
    <n v="28"/>
    <n v="1644.3000000000002"/>
    <s v=""/>
    <x v="1"/>
  </r>
  <r>
    <s v="FB000407"/>
    <x v="3"/>
    <x v="4"/>
    <x v="1"/>
    <s v="XL"/>
    <s v="Navy"/>
    <n v="62.5"/>
    <n v="0"/>
    <n v="62.5"/>
    <x v="1"/>
    <n v="0"/>
    <n v="1.9"/>
    <b v="1"/>
    <s v="Changed Mind"/>
    <n v="28"/>
    <n v="0"/>
    <n v="1"/>
    <x v="0"/>
  </r>
  <r>
    <s v="FB000408"/>
    <x v="0"/>
    <x v="2"/>
    <x v="1"/>
    <s v="XS"/>
    <s v="Blue"/>
    <n v="165.88"/>
    <n v="3.4"/>
    <n v="160.24"/>
    <x v="1"/>
    <n v="42"/>
    <n v="2.4"/>
    <b v="0"/>
    <m/>
    <n v="28"/>
    <n v="142.79999999999998"/>
    <s v=""/>
    <x v="1"/>
  </r>
  <r>
    <s v="FB000409"/>
    <x v="0"/>
    <x v="6"/>
    <x v="2"/>
    <s v="XS"/>
    <s v="Brown"/>
    <n v="179.8"/>
    <n v="0"/>
    <n v="179.8"/>
    <x v="1"/>
    <n v="25"/>
    <n v="1.7"/>
    <b v="0"/>
    <m/>
    <n v="28"/>
    <n v="0"/>
    <s v=""/>
    <x v="0"/>
  </r>
  <r>
    <s v="FB000410"/>
    <x v="2"/>
    <x v="0"/>
    <x v="3"/>
    <m/>
    <s v="Beige"/>
    <n v="34.15"/>
    <n v="0"/>
    <n v="34.15"/>
    <x v="1"/>
    <n v="27"/>
    <n v="4.0999999999999996"/>
    <b v="0"/>
    <m/>
    <n v="28"/>
    <n v="0"/>
    <s v=""/>
    <x v="0"/>
  </r>
  <r>
    <s v="FB000411"/>
    <x v="1"/>
    <x v="6"/>
    <x v="0"/>
    <s v="XS"/>
    <s v="Green"/>
    <n v="101.88"/>
    <n v="0"/>
    <n v="101.88"/>
    <x v="92"/>
    <n v="46"/>
    <n v="2.9074999999999998"/>
    <b v="1"/>
    <s v="Size Issue"/>
    <n v="173"/>
    <n v="0"/>
    <n v="1"/>
    <x v="0"/>
  </r>
  <r>
    <s v="FB000412"/>
    <x v="3"/>
    <x v="2"/>
    <x v="3"/>
    <s v="XL"/>
    <s v="Blue"/>
    <n v="187.58"/>
    <n v="0"/>
    <n v="187.58"/>
    <x v="1"/>
    <n v="46"/>
    <n v="2.9"/>
    <b v="0"/>
    <m/>
    <n v="28"/>
    <n v="0"/>
    <s v=""/>
    <x v="0"/>
  </r>
  <r>
    <s v="FB000413"/>
    <x v="0"/>
    <x v="5"/>
    <x v="2"/>
    <s v="L"/>
    <s v="Pink"/>
    <n v="145.02000000000001"/>
    <n v="0"/>
    <n v="145.02000000000001"/>
    <x v="1"/>
    <n v="36"/>
    <n v="2.6"/>
    <b v="0"/>
    <m/>
    <n v="28"/>
    <n v="0"/>
    <s v=""/>
    <x v="0"/>
  </r>
  <r>
    <s v="FB000414"/>
    <x v="4"/>
    <x v="6"/>
    <x v="3"/>
    <s v="XS"/>
    <s v="Blue"/>
    <n v="101.61"/>
    <n v="26.9"/>
    <n v="74.28"/>
    <x v="1"/>
    <n v="38"/>
    <n v="3.4"/>
    <b v="1"/>
    <s v="Damaged"/>
    <n v="28"/>
    <n v="1022.1999999999999"/>
    <n v="1"/>
    <x v="1"/>
  </r>
  <r>
    <s v="FB000415"/>
    <x v="5"/>
    <x v="4"/>
    <x v="2"/>
    <s v="XXL"/>
    <s v="Beige"/>
    <n v="71.14"/>
    <n v="0"/>
    <n v="71.14"/>
    <x v="1"/>
    <n v="33"/>
    <n v="3.1"/>
    <b v="0"/>
    <m/>
    <n v="28"/>
    <n v="0"/>
    <s v=""/>
    <x v="0"/>
  </r>
  <r>
    <s v="FB000416"/>
    <x v="5"/>
    <x v="5"/>
    <x v="3"/>
    <s v="M"/>
    <s v="Green"/>
    <n v="55.21"/>
    <n v="0"/>
    <n v="55.21"/>
    <x v="1"/>
    <n v="2"/>
    <n v="3.8"/>
    <b v="1"/>
    <s v="Wrong Item"/>
    <n v="28"/>
    <n v="0"/>
    <n v="1"/>
    <x v="0"/>
  </r>
  <r>
    <s v="FB000417"/>
    <x v="1"/>
    <x v="0"/>
    <x v="3"/>
    <s v="XXL"/>
    <s v="Black"/>
    <n v="94.96"/>
    <n v="35.4"/>
    <n v="61.34"/>
    <x v="1"/>
    <n v="34"/>
    <n v="3.9"/>
    <b v="0"/>
    <m/>
    <n v="28"/>
    <n v="1203.5999999999999"/>
    <s v=""/>
    <x v="1"/>
  </r>
  <r>
    <s v="FB000418"/>
    <x v="3"/>
    <x v="3"/>
    <x v="0"/>
    <s v="M"/>
    <s v="Purple"/>
    <n v="138.69"/>
    <n v="0"/>
    <n v="138.69"/>
    <x v="93"/>
    <n v="0"/>
    <n v="2.9"/>
    <b v="0"/>
    <m/>
    <n v="275"/>
    <n v="0"/>
    <s v=""/>
    <x v="0"/>
  </r>
  <r>
    <s v="FB000419"/>
    <x v="0"/>
    <x v="6"/>
    <x v="0"/>
    <s v="XXL"/>
    <s v="Navy"/>
    <n v="175.7"/>
    <n v="0"/>
    <n v="175.7"/>
    <x v="88"/>
    <n v="20"/>
    <n v="3"/>
    <b v="0"/>
    <m/>
    <n v="192"/>
    <n v="0"/>
    <s v=""/>
    <x v="0"/>
  </r>
  <r>
    <s v="FB000420"/>
    <x v="3"/>
    <x v="1"/>
    <x v="3"/>
    <s v="XS"/>
    <s v="Black"/>
    <n v="145.18"/>
    <n v="35.700000000000003"/>
    <n v="93.35"/>
    <x v="1"/>
    <n v="25"/>
    <n v="2.2000000000000002"/>
    <b v="0"/>
    <m/>
    <n v="28"/>
    <n v="892.50000000000011"/>
    <s v=""/>
    <x v="1"/>
  </r>
  <r>
    <s v="FB000421"/>
    <x v="5"/>
    <x v="3"/>
    <x v="3"/>
    <s v="M"/>
    <s v="Black"/>
    <n v="169.34"/>
    <n v="44.6"/>
    <n v="93.81"/>
    <x v="1"/>
    <n v="37"/>
    <n v="2.7"/>
    <b v="0"/>
    <m/>
    <n v="28"/>
    <n v="1650.2"/>
    <s v=""/>
    <x v="1"/>
  </r>
  <r>
    <s v="FB000422"/>
    <x v="1"/>
    <x v="1"/>
    <x v="3"/>
    <s v="L"/>
    <s v="Red"/>
    <n v="103.14"/>
    <n v="0"/>
    <n v="103.14"/>
    <x v="1"/>
    <n v="13"/>
    <n v="4.5"/>
    <b v="0"/>
    <m/>
    <n v="28"/>
    <n v="0"/>
    <s v=""/>
    <x v="0"/>
  </r>
  <r>
    <s v="FB000423"/>
    <x v="1"/>
    <x v="3"/>
    <x v="2"/>
    <s v="M"/>
    <s v="Beige"/>
    <n v="97.47"/>
    <n v="32"/>
    <n v="66.28"/>
    <x v="1"/>
    <n v="27"/>
    <n v="3"/>
    <b v="0"/>
    <m/>
    <n v="28"/>
    <n v="864"/>
    <s v=""/>
    <x v="1"/>
  </r>
  <r>
    <s v="FB000424"/>
    <x v="5"/>
    <x v="5"/>
    <x v="0"/>
    <s v="M"/>
    <s v="Navy"/>
    <n v="50.69"/>
    <n v="26.3"/>
    <n v="37.36"/>
    <x v="3"/>
    <n v="37"/>
    <n v="4.0999999999999996"/>
    <b v="0"/>
    <m/>
    <n v="309"/>
    <n v="973.1"/>
    <s v=""/>
    <x v="1"/>
  </r>
  <r>
    <s v="FB000425"/>
    <x v="0"/>
    <x v="2"/>
    <x v="2"/>
    <s v="XL"/>
    <s v="Black"/>
    <n v="127.75"/>
    <n v="0"/>
    <n v="127.75"/>
    <x v="1"/>
    <n v="32"/>
    <n v="3.6"/>
    <b v="0"/>
    <m/>
    <n v="28"/>
    <n v="0"/>
    <s v=""/>
    <x v="0"/>
  </r>
  <r>
    <s v="FB000426"/>
    <x v="1"/>
    <x v="7"/>
    <x v="1"/>
    <s v="XL"/>
    <s v="Black"/>
    <n v="111.64"/>
    <n v="0"/>
    <n v="111.64"/>
    <x v="1"/>
    <n v="13"/>
    <n v="4.8"/>
    <b v="0"/>
    <m/>
    <n v="28"/>
    <n v="0"/>
    <s v=""/>
    <x v="0"/>
  </r>
  <r>
    <s v="FB000427"/>
    <x v="3"/>
    <x v="1"/>
    <x v="2"/>
    <m/>
    <s v="Purple"/>
    <n v="134.6"/>
    <n v="11.6"/>
    <n v="118.99"/>
    <x v="1"/>
    <n v="47"/>
    <n v="3.9"/>
    <b v="0"/>
    <m/>
    <n v="28"/>
    <n v="545.19999999999993"/>
    <s v=""/>
    <x v="1"/>
  </r>
  <r>
    <s v="FB000428"/>
    <x v="4"/>
    <x v="0"/>
    <x v="0"/>
    <s v="XXL"/>
    <s v="Purple"/>
    <n v="56.05"/>
    <n v="0"/>
    <n v="56.05"/>
    <x v="41"/>
    <n v="9"/>
    <n v="2.9210526315789478"/>
    <b v="0"/>
    <m/>
    <n v="49"/>
    <n v="0"/>
    <s v=""/>
    <x v="0"/>
  </r>
  <r>
    <s v="FB000429"/>
    <x v="5"/>
    <x v="2"/>
    <x v="2"/>
    <s v="XL"/>
    <s v="Purple"/>
    <n v="106.2"/>
    <n v="0"/>
    <n v="106.2"/>
    <x v="1"/>
    <n v="35"/>
    <n v="4.5"/>
    <b v="0"/>
    <m/>
    <n v="28"/>
    <n v="0"/>
    <s v=""/>
    <x v="0"/>
  </r>
  <r>
    <s v="FB000430"/>
    <x v="3"/>
    <x v="3"/>
    <x v="2"/>
    <m/>
    <s v="Green"/>
    <n v="104.26"/>
    <n v="20.6"/>
    <n v="82.78"/>
    <x v="1"/>
    <n v="31"/>
    <n v="3"/>
    <b v="0"/>
    <m/>
    <n v="28"/>
    <n v="638.6"/>
    <s v=""/>
    <x v="1"/>
  </r>
  <r>
    <s v="FB000431"/>
    <x v="2"/>
    <x v="1"/>
    <x v="0"/>
    <m/>
    <s v="Purple"/>
    <n v="24.53"/>
    <n v="0"/>
    <n v="24.53"/>
    <x v="94"/>
    <n v="44"/>
    <n v="4.2"/>
    <b v="0"/>
    <m/>
    <n v="379"/>
    <n v="0"/>
    <s v=""/>
    <x v="0"/>
  </r>
  <r>
    <s v="FB000432"/>
    <x v="3"/>
    <x v="3"/>
    <x v="0"/>
    <s v="L"/>
    <s v="Green"/>
    <n v="131.25"/>
    <n v="0"/>
    <n v="131.25"/>
    <x v="95"/>
    <n v="12"/>
    <n v="1.6"/>
    <b v="0"/>
    <m/>
    <n v="77"/>
    <n v="0"/>
    <s v=""/>
    <x v="0"/>
  </r>
  <r>
    <s v="FB000433"/>
    <x v="4"/>
    <x v="7"/>
    <x v="2"/>
    <s v="M"/>
    <s v="Red"/>
    <n v="72.849999999999994"/>
    <n v="0"/>
    <n v="72.849999999999994"/>
    <x v="1"/>
    <n v="25"/>
    <n v="3.8"/>
    <b v="0"/>
    <m/>
    <n v="28"/>
    <n v="0"/>
    <s v=""/>
    <x v="0"/>
  </r>
  <r>
    <s v="FB000434"/>
    <x v="3"/>
    <x v="0"/>
    <x v="1"/>
    <s v="XS"/>
    <s v="Green"/>
    <n v="135.38999999999999"/>
    <n v="0"/>
    <n v="135.38999999999999"/>
    <x v="1"/>
    <n v="26"/>
    <n v="3.9"/>
    <b v="0"/>
    <m/>
    <n v="28"/>
    <n v="0"/>
    <s v=""/>
    <x v="0"/>
  </r>
  <r>
    <s v="FB000435"/>
    <x v="3"/>
    <x v="0"/>
    <x v="1"/>
    <s v="XL"/>
    <s v="Navy"/>
    <n v="166.94"/>
    <n v="4.2"/>
    <n v="159.93"/>
    <x v="1"/>
    <n v="17"/>
    <n v="2.6"/>
    <b v="1"/>
    <s v="Color Mismatch"/>
    <n v="28"/>
    <n v="71.400000000000006"/>
    <n v="1"/>
    <x v="1"/>
  </r>
  <r>
    <s v="FB000436"/>
    <x v="3"/>
    <x v="2"/>
    <x v="0"/>
    <s v="XL"/>
    <s v="Green"/>
    <n v="135.36000000000001"/>
    <n v="41.7"/>
    <n v="78.91"/>
    <x v="96"/>
    <n v="17"/>
    <n v="4.3"/>
    <b v="0"/>
    <m/>
    <n v="257"/>
    <n v="708.90000000000009"/>
    <s v=""/>
    <x v="1"/>
  </r>
  <r>
    <s v="FB000437"/>
    <x v="4"/>
    <x v="5"/>
    <x v="0"/>
    <s v="L"/>
    <s v="Blue"/>
    <n v="96.05"/>
    <n v="0"/>
    <n v="96.05"/>
    <x v="25"/>
    <n v="15"/>
    <n v="4"/>
    <b v="0"/>
    <m/>
    <n v="359"/>
    <n v="0"/>
    <s v=""/>
    <x v="0"/>
  </r>
  <r>
    <s v="FB000438"/>
    <x v="0"/>
    <x v="4"/>
    <x v="3"/>
    <s v="L"/>
    <s v="Red"/>
    <n v="116.1"/>
    <n v="0"/>
    <n v="116.1"/>
    <x v="1"/>
    <n v="27"/>
    <n v="3.6"/>
    <b v="1"/>
    <s v="Changed Mind"/>
    <n v="28"/>
    <n v="0"/>
    <n v="1"/>
    <x v="0"/>
  </r>
  <r>
    <s v="FB000439"/>
    <x v="3"/>
    <x v="3"/>
    <x v="2"/>
    <s v="L"/>
    <s v="Black"/>
    <n v="91.53"/>
    <n v="0"/>
    <n v="91.53"/>
    <x v="1"/>
    <n v="8"/>
    <n v="1.5"/>
    <b v="0"/>
    <m/>
    <n v="28"/>
    <n v="0"/>
    <s v=""/>
    <x v="0"/>
  </r>
  <r>
    <s v="FB000440"/>
    <x v="4"/>
    <x v="0"/>
    <x v="1"/>
    <s v="XS"/>
    <s v="Gray"/>
    <n v="102.16"/>
    <n v="0"/>
    <n v="102.16"/>
    <x v="1"/>
    <n v="50"/>
    <n v="2.9210526315789478"/>
    <b v="0"/>
    <m/>
    <n v="28"/>
    <n v="0"/>
    <s v=""/>
    <x v="0"/>
  </r>
  <r>
    <s v="FB000441"/>
    <x v="3"/>
    <x v="1"/>
    <x v="1"/>
    <s v="L"/>
    <s v="Gray"/>
    <n v="67.739999999999995"/>
    <n v="3.3"/>
    <n v="65.5"/>
    <x v="1"/>
    <n v="23"/>
    <n v="1.5"/>
    <b v="0"/>
    <m/>
    <n v="28"/>
    <n v="75.899999999999991"/>
    <s v=""/>
    <x v="1"/>
  </r>
  <r>
    <s v="FB000442"/>
    <x v="2"/>
    <x v="2"/>
    <x v="1"/>
    <m/>
    <s v="Green"/>
    <n v="38.340000000000003"/>
    <n v="0"/>
    <n v="38.340000000000003"/>
    <x v="1"/>
    <n v="14"/>
    <n v="1.4"/>
    <b v="0"/>
    <m/>
    <n v="28"/>
    <n v="0"/>
    <s v=""/>
    <x v="0"/>
  </r>
  <r>
    <s v="FB000443"/>
    <x v="2"/>
    <x v="0"/>
    <x v="1"/>
    <m/>
    <s v="Gray"/>
    <n v="60.49"/>
    <n v="0"/>
    <n v="60.49"/>
    <x v="1"/>
    <n v="30"/>
    <n v="2.5"/>
    <b v="0"/>
    <m/>
    <n v="28"/>
    <n v="0"/>
    <s v=""/>
    <x v="0"/>
  </r>
  <r>
    <s v="FB000444"/>
    <x v="0"/>
    <x v="2"/>
    <x v="0"/>
    <s v="L"/>
    <s v="Navy"/>
    <n v="90.27"/>
    <n v="0"/>
    <n v="90.27"/>
    <x v="10"/>
    <n v="35"/>
    <n v="4.2"/>
    <b v="0"/>
    <m/>
    <n v="140"/>
    <n v="0"/>
    <s v=""/>
    <x v="0"/>
  </r>
  <r>
    <s v="FB000445"/>
    <x v="2"/>
    <x v="2"/>
    <x v="3"/>
    <m/>
    <s v="Red"/>
    <n v="45.42"/>
    <n v="0"/>
    <n v="45.42"/>
    <x v="1"/>
    <n v="36"/>
    <n v="1.3"/>
    <b v="0"/>
    <m/>
    <n v="28"/>
    <n v="0"/>
    <s v=""/>
    <x v="0"/>
  </r>
  <r>
    <s v="FB000446"/>
    <x v="1"/>
    <x v="5"/>
    <x v="0"/>
    <m/>
    <s v="Purple"/>
    <n v="58.56"/>
    <n v="0"/>
    <n v="58.56"/>
    <x v="97"/>
    <n v="21"/>
    <n v="2.2999999999999998"/>
    <b v="0"/>
    <m/>
    <n v="223"/>
    <n v="0"/>
    <s v=""/>
    <x v="0"/>
  </r>
  <r>
    <s v="FB000447"/>
    <x v="5"/>
    <x v="4"/>
    <x v="3"/>
    <s v="L"/>
    <s v="Pink"/>
    <n v="167.64"/>
    <n v="0"/>
    <n v="167.64"/>
    <x v="1"/>
    <n v="18"/>
    <n v="4.0999999999999996"/>
    <b v="0"/>
    <m/>
    <n v="28"/>
    <n v="0"/>
    <s v=""/>
    <x v="0"/>
  </r>
  <r>
    <s v="FB000448"/>
    <x v="0"/>
    <x v="0"/>
    <x v="2"/>
    <s v="XXL"/>
    <s v="Red"/>
    <n v="193.14"/>
    <n v="0"/>
    <n v="193.14"/>
    <x v="1"/>
    <n v="7"/>
    <n v="3.5"/>
    <b v="0"/>
    <m/>
    <n v="28"/>
    <n v="0"/>
    <s v=""/>
    <x v="0"/>
  </r>
  <r>
    <s v="FB000449"/>
    <x v="2"/>
    <x v="6"/>
    <x v="1"/>
    <m/>
    <s v="Gray"/>
    <n v="60.06"/>
    <n v="15.6"/>
    <n v="50.69"/>
    <x v="1"/>
    <n v="49"/>
    <n v="2"/>
    <b v="1"/>
    <s v="Color Mismatch"/>
    <n v="28"/>
    <n v="764.4"/>
    <n v="1"/>
    <x v="1"/>
  </r>
  <r>
    <s v="FB000450"/>
    <x v="4"/>
    <x v="2"/>
    <x v="2"/>
    <s v="M"/>
    <s v="Gray"/>
    <n v="35.369999999999997"/>
    <n v="0"/>
    <n v="35.369999999999997"/>
    <x v="1"/>
    <n v="29"/>
    <n v="4.7"/>
    <b v="0"/>
    <m/>
    <n v="28"/>
    <n v="0"/>
    <s v=""/>
    <x v="0"/>
  </r>
  <r>
    <s v="FB000451"/>
    <x v="2"/>
    <x v="3"/>
    <x v="3"/>
    <m/>
    <s v="Purple"/>
    <n v="39.85"/>
    <n v="0"/>
    <n v="39.85"/>
    <x v="1"/>
    <n v="28"/>
    <n v="2.4"/>
    <b v="0"/>
    <m/>
    <n v="28"/>
    <n v="0"/>
    <s v=""/>
    <x v="0"/>
  </r>
  <r>
    <s v="FB000452"/>
    <x v="1"/>
    <x v="0"/>
    <x v="1"/>
    <s v="XL"/>
    <s v="Black"/>
    <n v="85.34"/>
    <n v="59.4"/>
    <n v="34.65"/>
    <x v="1"/>
    <n v="5"/>
    <n v="4.9000000000000004"/>
    <b v="0"/>
    <m/>
    <n v="28"/>
    <n v="297"/>
    <s v=""/>
    <x v="1"/>
  </r>
  <r>
    <s v="FB000453"/>
    <x v="4"/>
    <x v="7"/>
    <x v="2"/>
    <s v="XXL"/>
    <s v="White"/>
    <n v="81.17"/>
    <n v="0"/>
    <n v="81.17"/>
    <x v="1"/>
    <n v="21"/>
    <n v="1.2"/>
    <b v="0"/>
    <m/>
    <n v="28"/>
    <n v="0"/>
    <s v=""/>
    <x v="0"/>
  </r>
  <r>
    <s v="FB000454"/>
    <x v="2"/>
    <x v="5"/>
    <x v="0"/>
    <m/>
    <s v="White"/>
    <n v="16.809999999999999"/>
    <n v="0"/>
    <n v="16.809999999999999"/>
    <x v="98"/>
    <n v="16"/>
    <n v="2.8"/>
    <b v="0"/>
    <m/>
    <n v="34"/>
    <n v="0"/>
    <s v=""/>
    <x v="0"/>
  </r>
  <r>
    <s v="FB000455"/>
    <x v="1"/>
    <x v="5"/>
    <x v="1"/>
    <s v="XL"/>
    <s v="Black"/>
    <n v="115.71"/>
    <n v="55"/>
    <n v="52.07"/>
    <x v="1"/>
    <n v="6"/>
    <n v="1.6"/>
    <b v="0"/>
    <m/>
    <n v="28"/>
    <n v="330"/>
    <s v=""/>
    <x v="1"/>
  </r>
  <r>
    <s v="FB000456"/>
    <x v="4"/>
    <x v="3"/>
    <x v="3"/>
    <s v="XXL"/>
    <s v="Pink"/>
    <n v="49.87"/>
    <n v="0"/>
    <n v="49.87"/>
    <x v="1"/>
    <n v="17"/>
    <n v="2.1"/>
    <b v="0"/>
    <m/>
    <n v="28"/>
    <n v="0"/>
    <s v=""/>
    <x v="0"/>
  </r>
  <r>
    <s v="FB000457"/>
    <x v="3"/>
    <x v="3"/>
    <x v="2"/>
    <s v="XS"/>
    <s v="Beige"/>
    <n v="107.96"/>
    <n v="52.9"/>
    <n v="50.85"/>
    <x v="1"/>
    <n v="2"/>
    <n v="4.9000000000000004"/>
    <b v="0"/>
    <m/>
    <n v="28"/>
    <n v="105.8"/>
    <s v=""/>
    <x v="1"/>
  </r>
  <r>
    <s v="FB000458"/>
    <x v="3"/>
    <x v="3"/>
    <x v="3"/>
    <s v="M"/>
    <s v="Black"/>
    <n v="138.35"/>
    <n v="31.7"/>
    <n v="94.49"/>
    <x v="1"/>
    <n v="3"/>
    <n v="2.5"/>
    <b v="0"/>
    <m/>
    <n v="28"/>
    <n v="95.1"/>
    <s v=""/>
    <x v="1"/>
  </r>
  <r>
    <s v="FB000459"/>
    <x v="1"/>
    <x v="6"/>
    <x v="0"/>
    <s v="XS"/>
    <s v="Red"/>
    <n v="32.01"/>
    <n v="0"/>
    <n v="32.01"/>
    <x v="81"/>
    <n v="43"/>
    <n v="3.4"/>
    <b v="1"/>
    <s v="Wrong Item"/>
    <n v="117"/>
    <n v="0"/>
    <n v="1"/>
    <x v="0"/>
  </r>
  <r>
    <s v="FB000460"/>
    <x v="5"/>
    <x v="4"/>
    <x v="2"/>
    <s v="XS"/>
    <s v="Black"/>
    <n v="129.08000000000001"/>
    <n v="50.6"/>
    <n v="63.77"/>
    <x v="1"/>
    <n v="10"/>
    <n v="4.4000000000000004"/>
    <b v="0"/>
    <m/>
    <n v="28"/>
    <n v="506"/>
    <s v=""/>
    <x v="1"/>
  </r>
  <r>
    <s v="FB000461"/>
    <x v="5"/>
    <x v="2"/>
    <x v="1"/>
    <s v="M"/>
    <s v="Gray"/>
    <n v="68.569999999999993"/>
    <n v="56.4"/>
    <n v="29.9"/>
    <x v="1"/>
    <n v="30"/>
    <n v="1.8"/>
    <b v="0"/>
    <m/>
    <n v="28"/>
    <n v="1692"/>
    <s v=""/>
    <x v="1"/>
  </r>
  <r>
    <s v="FB000462"/>
    <x v="2"/>
    <x v="4"/>
    <x v="1"/>
    <m/>
    <s v="Gray"/>
    <n v="46.46"/>
    <n v="0"/>
    <n v="46.46"/>
    <x v="1"/>
    <n v="30"/>
    <n v="2.7333333333333334"/>
    <b v="0"/>
    <m/>
    <n v="28"/>
    <n v="0"/>
    <s v=""/>
    <x v="0"/>
  </r>
  <r>
    <s v="FB000463"/>
    <x v="0"/>
    <x v="2"/>
    <x v="2"/>
    <s v="XXL"/>
    <s v="White"/>
    <n v="124.68"/>
    <n v="58.2"/>
    <n v="52.12"/>
    <x v="1"/>
    <n v="44"/>
    <n v="3.2"/>
    <b v="0"/>
    <m/>
    <n v="28"/>
    <n v="2560.8000000000002"/>
    <s v=""/>
    <x v="1"/>
  </r>
  <r>
    <s v="FB000464"/>
    <x v="4"/>
    <x v="4"/>
    <x v="0"/>
    <s v="XL"/>
    <s v="Red"/>
    <n v="36.85"/>
    <n v="0"/>
    <n v="36.85"/>
    <x v="99"/>
    <n v="0"/>
    <n v="4.4000000000000004"/>
    <b v="0"/>
    <m/>
    <n v="62"/>
    <n v="0"/>
    <s v=""/>
    <x v="0"/>
  </r>
  <r>
    <s v="FB000465"/>
    <x v="0"/>
    <x v="5"/>
    <x v="1"/>
    <s v="XS"/>
    <s v="Black"/>
    <n v="229.63"/>
    <n v="0.3"/>
    <n v="228.94"/>
    <x v="1"/>
    <n v="30"/>
    <n v="3.4"/>
    <b v="0"/>
    <m/>
    <n v="28"/>
    <n v="9"/>
    <s v=""/>
    <x v="1"/>
  </r>
  <r>
    <s v="FB000466"/>
    <x v="1"/>
    <x v="5"/>
    <x v="0"/>
    <s v="S"/>
    <s v="Navy"/>
    <n v="74.09"/>
    <n v="0"/>
    <n v="74.09"/>
    <x v="100"/>
    <n v="35"/>
    <n v="3.4"/>
    <b v="0"/>
    <m/>
    <n v="361"/>
    <n v="0"/>
    <s v=""/>
    <x v="0"/>
  </r>
  <r>
    <s v="FB000467"/>
    <x v="4"/>
    <x v="2"/>
    <x v="0"/>
    <s v="XS"/>
    <s v="Brown"/>
    <n v="27.22"/>
    <n v="0"/>
    <n v="27.22"/>
    <x v="25"/>
    <n v="14"/>
    <n v="2.4"/>
    <b v="0"/>
    <m/>
    <n v="359"/>
    <n v="0"/>
    <s v=""/>
    <x v="0"/>
  </r>
  <r>
    <s v="FB000468"/>
    <x v="1"/>
    <x v="5"/>
    <x v="0"/>
    <s v="L"/>
    <s v="Purple"/>
    <n v="32.64"/>
    <n v="1.4"/>
    <n v="32.18"/>
    <x v="101"/>
    <n v="29"/>
    <n v="1.5"/>
    <b v="1"/>
    <s v="Changed Mind"/>
    <n v="120"/>
    <n v="40.599999999999994"/>
    <n v="1"/>
    <x v="1"/>
  </r>
  <r>
    <s v="FB000469"/>
    <x v="2"/>
    <x v="0"/>
    <x v="3"/>
    <m/>
    <s v="Purple"/>
    <n v="30.25"/>
    <n v="11.8"/>
    <n v="26.68"/>
    <x v="1"/>
    <n v="30"/>
    <n v="3.4"/>
    <b v="0"/>
    <m/>
    <n v="28"/>
    <n v="354"/>
    <s v=""/>
    <x v="1"/>
  </r>
  <r>
    <s v="FB000470"/>
    <x v="0"/>
    <x v="1"/>
    <x v="3"/>
    <s v="S"/>
    <s v="Brown"/>
    <n v="180.57"/>
    <n v="0"/>
    <n v="180.57"/>
    <x v="1"/>
    <n v="28"/>
    <n v="3.15"/>
    <b v="0"/>
    <m/>
    <n v="28"/>
    <n v="0"/>
    <s v=""/>
    <x v="0"/>
  </r>
  <r>
    <s v="FB000471"/>
    <x v="4"/>
    <x v="1"/>
    <x v="3"/>
    <s v="XS"/>
    <s v="White"/>
    <n v="96.55"/>
    <n v="0"/>
    <n v="96.55"/>
    <x v="1"/>
    <n v="17"/>
    <n v="4.4000000000000004"/>
    <b v="0"/>
    <m/>
    <n v="28"/>
    <n v="0"/>
    <s v=""/>
    <x v="0"/>
  </r>
  <r>
    <s v="FB000472"/>
    <x v="4"/>
    <x v="5"/>
    <x v="2"/>
    <m/>
    <s v="Pink"/>
    <n v="68.53"/>
    <n v="54.3"/>
    <n v="31.32"/>
    <x v="1"/>
    <n v="38"/>
    <n v="2.9"/>
    <b v="0"/>
    <m/>
    <n v="28"/>
    <n v="2063.4"/>
    <s v=""/>
    <x v="1"/>
  </r>
  <r>
    <s v="FB000473"/>
    <x v="3"/>
    <x v="6"/>
    <x v="2"/>
    <s v="XS"/>
    <s v="White"/>
    <n v="71.94"/>
    <n v="0"/>
    <n v="71.94"/>
    <x v="1"/>
    <n v="45"/>
    <n v="3.3"/>
    <b v="0"/>
    <m/>
    <n v="28"/>
    <n v="0"/>
    <s v=""/>
    <x v="0"/>
  </r>
  <r>
    <s v="FB000474"/>
    <x v="3"/>
    <x v="6"/>
    <x v="2"/>
    <s v="L"/>
    <s v="Blue"/>
    <n v="80.72"/>
    <n v="9.9"/>
    <n v="72.73"/>
    <x v="1"/>
    <n v="37"/>
    <n v="2.5"/>
    <b v="0"/>
    <m/>
    <n v="28"/>
    <n v="366.3"/>
    <s v=""/>
    <x v="1"/>
  </r>
  <r>
    <s v="FB000475"/>
    <x v="0"/>
    <x v="0"/>
    <x v="1"/>
    <s v="L"/>
    <s v="Green"/>
    <n v="208.8"/>
    <n v="0"/>
    <n v="208.8"/>
    <x v="1"/>
    <n v="13"/>
    <n v="1.6"/>
    <b v="0"/>
    <m/>
    <n v="28"/>
    <n v="0"/>
    <s v=""/>
    <x v="0"/>
  </r>
  <r>
    <s v="FB000476"/>
    <x v="3"/>
    <x v="3"/>
    <x v="3"/>
    <s v="M"/>
    <s v="Navy"/>
    <n v="158.15"/>
    <n v="54.1"/>
    <n v="72.59"/>
    <x v="1"/>
    <n v="36"/>
    <n v="4.5"/>
    <b v="0"/>
    <m/>
    <n v="28"/>
    <n v="1947.6000000000001"/>
    <s v=""/>
    <x v="1"/>
  </r>
  <r>
    <s v="FB000477"/>
    <x v="1"/>
    <x v="0"/>
    <x v="2"/>
    <s v="S"/>
    <s v="White"/>
    <n v="85.92"/>
    <n v="0"/>
    <n v="85.92"/>
    <x v="1"/>
    <n v="12"/>
    <n v="2.9181818181818175"/>
    <b v="0"/>
    <m/>
    <n v="28"/>
    <n v="0"/>
    <s v=""/>
    <x v="0"/>
  </r>
  <r>
    <s v="FB000478"/>
    <x v="2"/>
    <x v="6"/>
    <x v="0"/>
    <m/>
    <s v="Pink"/>
    <n v="69.59"/>
    <n v="0"/>
    <n v="69.59"/>
    <x v="52"/>
    <n v="38"/>
    <n v="1.5"/>
    <b v="0"/>
    <m/>
    <n v="342"/>
    <n v="0"/>
    <s v=""/>
    <x v="0"/>
  </r>
  <r>
    <s v="FB000479"/>
    <x v="5"/>
    <x v="0"/>
    <x v="1"/>
    <s v="XL"/>
    <s v="Red"/>
    <n v="136.16999999999999"/>
    <n v="19.100000000000001"/>
    <n v="110.16"/>
    <x v="1"/>
    <n v="14"/>
    <n v="3.0424242424242425"/>
    <b v="0"/>
    <m/>
    <n v="28"/>
    <n v="267.40000000000003"/>
    <s v=""/>
    <x v="1"/>
  </r>
  <r>
    <s v="FB000480"/>
    <x v="3"/>
    <x v="3"/>
    <x v="0"/>
    <s v="XS"/>
    <s v="Pink"/>
    <n v="124.26"/>
    <n v="0"/>
    <n v="124.26"/>
    <x v="102"/>
    <n v="44"/>
    <n v="4"/>
    <b v="0"/>
    <m/>
    <n v="391"/>
    <n v="0"/>
    <s v=""/>
    <x v="0"/>
  </r>
  <r>
    <s v="FB000481"/>
    <x v="3"/>
    <x v="2"/>
    <x v="1"/>
    <s v="S"/>
    <s v="Black"/>
    <n v="129.33000000000001"/>
    <n v="0"/>
    <n v="129.33000000000001"/>
    <x v="1"/>
    <n v="15"/>
    <n v="3.1"/>
    <b v="0"/>
    <m/>
    <n v="28"/>
    <n v="0"/>
    <s v=""/>
    <x v="0"/>
  </r>
  <r>
    <s v="FB000482"/>
    <x v="5"/>
    <x v="4"/>
    <x v="0"/>
    <s v="S"/>
    <s v="Navy"/>
    <n v="123.93"/>
    <n v="30"/>
    <n v="86.75"/>
    <x v="98"/>
    <n v="39"/>
    <n v="1.9"/>
    <b v="0"/>
    <m/>
    <n v="34"/>
    <n v="1170"/>
    <s v=""/>
    <x v="1"/>
  </r>
  <r>
    <s v="FB000483"/>
    <x v="3"/>
    <x v="0"/>
    <x v="3"/>
    <s v="XS"/>
    <s v="Beige"/>
    <n v="62.76"/>
    <n v="0"/>
    <n v="62.76"/>
    <x v="1"/>
    <n v="12"/>
    <n v="4.7"/>
    <b v="0"/>
    <m/>
    <n v="28"/>
    <n v="0"/>
    <s v=""/>
    <x v="0"/>
  </r>
  <r>
    <s v="FB000484"/>
    <x v="3"/>
    <x v="1"/>
    <x v="0"/>
    <s v="XS"/>
    <s v="Blue"/>
    <n v="74.540000000000006"/>
    <n v="0"/>
    <n v="74.540000000000006"/>
    <x v="103"/>
    <n v="4"/>
    <n v="3.5"/>
    <b v="0"/>
    <m/>
    <n v="300"/>
    <n v="0"/>
    <s v=""/>
    <x v="0"/>
  </r>
  <r>
    <s v="FB000485"/>
    <x v="1"/>
    <x v="6"/>
    <x v="3"/>
    <s v="S"/>
    <s v="Pink"/>
    <n v="114.03"/>
    <n v="0"/>
    <n v="114.03"/>
    <x v="1"/>
    <n v="2"/>
    <n v="2.9074999999999998"/>
    <b v="0"/>
    <m/>
    <n v="28"/>
    <n v="0"/>
    <s v=""/>
    <x v="0"/>
  </r>
  <r>
    <s v="FB000486"/>
    <x v="2"/>
    <x v="6"/>
    <x v="2"/>
    <m/>
    <s v="White"/>
    <n v="20.59"/>
    <n v="27.6"/>
    <n v="14.91"/>
    <x v="1"/>
    <n v="36"/>
    <n v="3.2720930232558145"/>
    <b v="0"/>
    <m/>
    <n v="28"/>
    <n v="993.6"/>
    <s v=""/>
    <x v="1"/>
  </r>
  <r>
    <s v="FB000487"/>
    <x v="3"/>
    <x v="2"/>
    <x v="3"/>
    <s v="XL"/>
    <s v="Blue"/>
    <n v="167.86"/>
    <n v="0"/>
    <n v="167.86"/>
    <x v="1"/>
    <n v="17"/>
    <n v="3.2"/>
    <b v="0"/>
    <m/>
    <n v="28"/>
    <n v="0"/>
    <s v=""/>
    <x v="0"/>
  </r>
  <r>
    <s v="FB000488"/>
    <x v="2"/>
    <x v="1"/>
    <x v="2"/>
    <m/>
    <s v="Gray"/>
    <n v="62.2"/>
    <n v="37.700000000000003"/>
    <n v="38.75"/>
    <x v="1"/>
    <n v="16"/>
    <n v="3.1"/>
    <b v="0"/>
    <m/>
    <n v="28"/>
    <n v="603.20000000000005"/>
    <s v=""/>
    <x v="1"/>
  </r>
  <r>
    <s v="FB000489"/>
    <x v="0"/>
    <x v="2"/>
    <x v="2"/>
    <m/>
    <s v="Pink"/>
    <n v="223.69"/>
    <n v="6.3"/>
    <n v="209.6"/>
    <x v="1"/>
    <n v="18"/>
    <n v="1.9"/>
    <b v="0"/>
    <m/>
    <n v="28"/>
    <n v="113.39999999999999"/>
    <s v=""/>
    <x v="1"/>
  </r>
  <r>
    <s v="FB000490"/>
    <x v="2"/>
    <x v="3"/>
    <x v="3"/>
    <m/>
    <s v="Blue"/>
    <n v="67.13"/>
    <n v="0"/>
    <n v="67.13"/>
    <x v="1"/>
    <n v="3"/>
    <n v="1.4"/>
    <b v="0"/>
    <m/>
    <n v="28"/>
    <n v="0"/>
    <s v=""/>
    <x v="0"/>
  </r>
  <r>
    <s v="FB000491"/>
    <x v="5"/>
    <x v="0"/>
    <x v="3"/>
    <s v="M"/>
    <s v="Red"/>
    <n v="144.81"/>
    <n v="33.299999999999997"/>
    <n v="96.59"/>
    <x v="1"/>
    <n v="33"/>
    <n v="2.8"/>
    <b v="0"/>
    <m/>
    <n v="28"/>
    <n v="1098.8999999999999"/>
    <s v=""/>
    <x v="1"/>
  </r>
  <r>
    <s v="FB000492"/>
    <x v="0"/>
    <x v="6"/>
    <x v="1"/>
    <s v="XS"/>
    <s v="Purple"/>
    <n v="152.93"/>
    <n v="53"/>
    <n v="71.88"/>
    <x v="1"/>
    <n v="2"/>
    <n v="4.5999999999999996"/>
    <b v="1"/>
    <s v="Changed Mind"/>
    <n v="28"/>
    <n v="106"/>
    <n v="1"/>
    <x v="1"/>
  </r>
  <r>
    <s v="FB000493"/>
    <x v="5"/>
    <x v="7"/>
    <x v="3"/>
    <s v="XXL"/>
    <s v="White"/>
    <n v="111.29"/>
    <n v="0"/>
    <n v="111.29"/>
    <x v="1"/>
    <n v="48"/>
    <n v="4.9000000000000004"/>
    <b v="0"/>
    <m/>
    <n v="28"/>
    <n v="0"/>
    <s v=""/>
    <x v="0"/>
  </r>
  <r>
    <s v="FB000494"/>
    <x v="0"/>
    <x v="2"/>
    <x v="1"/>
    <s v="XS"/>
    <s v="Pink"/>
    <n v="159.18"/>
    <n v="0"/>
    <n v="159.18"/>
    <x v="1"/>
    <n v="38"/>
    <n v="2.4"/>
    <b v="1"/>
    <s v="Quality Issue"/>
    <n v="28"/>
    <n v="0"/>
    <n v="1"/>
    <x v="0"/>
  </r>
  <r>
    <s v="FB000495"/>
    <x v="0"/>
    <x v="0"/>
    <x v="1"/>
    <s v="XXL"/>
    <s v="White"/>
    <n v="215.93"/>
    <n v="0"/>
    <n v="215.93"/>
    <x v="1"/>
    <n v="43"/>
    <n v="3.5"/>
    <b v="0"/>
    <m/>
    <n v="28"/>
    <n v="0"/>
    <s v=""/>
    <x v="0"/>
  </r>
  <r>
    <s v="FB000496"/>
    <x v="1"/>
    <x v="5"/>
    <x v="0"/>
    <m/>
    <s v="Beige"/>
    <n v="51.69"/>
    <n v="33.4"/>
    <n v="34.43"/>
    <x v="104"/>
    <n v="36"/>
    <n v="3.4"/>
    <b v="0"/>
    <m/>
    <n v="392"/>
    <n v="1202.3999999999999"/>
    <s v=""/>
    <x v="1"/>
  </r>
  <r>
    <s v="FB000497"/>
    <x v="0"/>
    <x v="5"/>
    <x v="3"/>
    <s v="L"/>
    <s v="Pink"/>
    <n v="137.38"/>
    <n v="0"/>
    <n v="137.38"/>
    <x v="1"/>
    <n v="43"/>
    <n v="3.5"/>
    <b v="0"/>
    <m/>
    <n v="28"/>
    <n v="0"/>
    <s v=""/>
    <x v="0"/>
  </r>
  <r>
    <s v="FB000498"/>
    <x v="4"/>
    <x v="7"/>
    <x v="2"/>
    <s v="XXL"/>
    <s v="Green"/>
    <n v="96.7"/>
    <n v="38.799999999999997"/>
    <n v="59.18"/>
    <x v="1"/>
    <n v="46"/>
    <n v="1.7"/>
    <b v="0"/>
    <m/>
    <n v="28"/>
    <n v="1784.8"/>
    <s v=""/>
    <x v="1"/>
  </r>
  <r>
    <s v="FB000499"/>
    <x v="4"/>
    <x v="4"/>
    <x v="0"/>
    <s v="M"/>
    <s v="Purple"/>
    <n v="58.73"/>
    <n v="38.1"/>
    <n v="36.35"/>
    <x v="61"/>
    <n v="50"/>
    <n v="1.2"/>
    <b v="0"/>
    <m/>
    <n v="250"/>
    <n v="1905"/>
    <s v=""/>
    <x v="1"/>
  </r>
  <r>
    <s v="FB000500"/>
    <x v="0"/>
    <x v="6"/>
    <x v="1"/>
    <s v="S"/>
    <s v="Green"/>
    <n v="204.68"/>
    <n v="0"/>
    <n v="204.68"/>
    <x v="1"/>
    <n v="33"/>
    <n v="3.1"/>
    <b v="0"/>
    <m/>
    <n v="28"/>
    <n v="0"/>
    <s v=""/>
    <x v="0"/>
  </r>
  <r>
    <s v="FB000501"/>
    <x v="4"/>
    <x v="7"/>
    <x v="0"/>
    <s v="L"/>
    <s v="White"/>
    <n v="117.26"/>
    <n v="0"/>
    <n v="117.26"/>
    <x v="105"/>
    <n v="29"/>
    <n v="3.1021739130434773"/>
    <b v="0"/>
    <m/>
    <n v="343"/>
    <n v="0"/>
    <s v=""/>
    <x v="0"/>
  </r>
  <r>
    <s v="FB000502"/>
    <x v="0"/>
    <x v="6"/>
    <x v="3"/>
    <s v="XXL"/>
    <s v="White"/>
    <n v="91.95"/>
    <n v="0"/>
    <n v="91.95"/>
    <x v="1"/>
    <n v="1"/>
    <n v="2.5"/>
    <b v="0"/>
    <m/>
    <n v="28"/>
    <n v="0"/>
    <s v=""/>
    <x v="0"/>
  </r>
  <r>
    <s v="FB000503"/>
    <x v="4"/>
    <x v="6"/>
    <x v="2"/>
    <s v="XL"/>
    <s v="Navy"/>
    <n v="94.53"/>
    <n v="0"/>
    <n v="94.53"/>
    <x v="1"/>
    <n v="13"/>
    <n v="2.4"/>
    <b v="0"/>
    <m/>
    <n v="28"/>
    <n v="0"/>
    <s v=""/>
    <x v="0"/>
  </r>
  <r>
    <s v="FB000504"/>
    <x v="5"/>
    <x v="3"/>
    <x v="2"/>
    <s v="XXL"/>
    <s v="White"/>
    <n v="71.94"/>
    <n v="3"/>
    <n v="69.78"/>
    <x v="1"/>
    <n v="45"/>
    <n v="1.4"/>
    <b v="0"/>
    <m/>
    <n v="28"/>
    <n v="135"/>
    <s v=""/>
    <x v="1"/>
  </r>
  <r>
    <s v="FB000505"/>
    <x v="5"/>
    <x v="5"/>
    <x v="1"/>
    <s v="XL"/>
    <s v="Green"/>
    <n v="177.72"/>
    <n v="5.9"/>
    <n v="167.23"/>
    <x v="1"/>
    <n v="47"/>
    <n v="3.1874999999999991"/>
    <b v="0"/>
    <m/>
    <n v="28"/>
    <n v="277.3"/>
    <s v=""/>
    <x v="1"/>
  </r>
  <r>
    <s v="FB000506"/>
    <x v="2"/>
    <x v="0"/>
    <x v="3"/>
    <m/>
    <s v="White"/>
    <n v="34.4"/>
    <n v="0"/>
    <n v="34.4"/>
    <x v="1"/>
    <n v="43"/>
    <n v="3"/>
    <b v="1"/>
    <s v="Wrong Item"/>
    <n v="28"/>
    <n v="0"/>
    <n v="1"/>
    <x v="0"/>
  </r>
  <r>
    <s v="FB000507"/>
    <x v="4"/>
    <x v="2"/>
    <x v="0"/>
    <s v="M"/>
    <s v="Gray"/>
    <n v="119.72"/>
    <n v="0"/>
    <n v="119.72"/>
    <x v="106"/>
    <n v="18"/>
    <n v="3.7"/>
    <b v="0"/>
    <m/>
    <n v="228"/>
    <n v="0"/>
    <s v=""/>
    <x v="0"/>
  </r>
  <r>
    <s v="FB000508"/>
    <x v="2"/>
    <x v="4"/>
    <x v="3"/>
    <m/>
    <s v="Brown"/>
    <n v="44.09"/>
    <n v="0"/>
    <n v="44.09"/>
    <x v="1"/>
    <n v="2"/>
    <n v="2"/>
    <b v="0"/>
    <m/>
    <n v="28"/>
    <n v="0"/>
    <s v=""/>
    <x v="0"/>
  </r>
  <r>
    <s v="FB000509"/>
    <x v="4"/>
    <x v="3"/>
    <x v="0"/>
    <s v="XL"/>
    <s v="Purple"/>
    <n v="42.47"/>
    <n v="0"/>
    <n v="42.47"/>
    <x v="107"/>
    <n v="33"/>
    <n v="4.5"/>
    <b v="1"/>
    <s v="Changed Mind"/>
    <n v="293"/>
    <n v="0"/>
    <n v="1"/>
    <x v="0"/>
  </r>
  <r>
    <s v="FB000510"/>
    <x v="5"/>
    <x v="2"/>
    <x v="3"/>
    <s v="XL"/>
    <s v="Purple"/>
    <n v="68.430000000000007"/>
    <n v="0"/>
    <n v="68.430000000000007"/>
    <x v="1"/>
    <n v="16"/>
    <n v="2.9000000000000008"/>
    <b v="0"/>
    <m/>
    <n v="28"/>
    <n v="0"/>
    <s v=""/>
    <x v="0"/>
  </r>
  <r>
    <s v="FB000511"/>
    <x v="3"/>
    <x v="0"/>
    <x v="2"/>
    <s v="XS"/>
    <s v="Green"/>
    <n v="165.39"/>
    <n v="31.8"/>
    <n v="112.8"/>
    <x v="1"/>
    <n v="9"/>
    <n v="4.5999999999999996"/>
    <b v="0"/>
    <m/>
    <n v="28"/>
    <n v="286.2"/>
    <s v=""/>
    <x v="1"/>
  </r>
  <r>
    <s v="FB000512"/>
    <x v="2"/>
    <x v="5"/>
    <x v="1"/>
    <m/>
    <s v="Green"/>
    <n v="35.36"/>
    <n v="0"/>
    <n v="35.36"/>
    <x v="1"/>
    <n v="42"/>
    <n v="4.5"/>
    <b v="0"/>
    <m/>
    <n v="28"/>
    <n v="0"/>
    <s v=""/>
    <x v="0"/>
  </r>
  <r>
    <s v="FB000513"/>
    <x v="5"/>
    <x v="4"/>
    <x v="3"/>
    <s v="M"/>
    <s v="Navy"/>
    <n v="95.73"/>
    <n v="0"/>
    <n v="95.73"/>
    <x v="1"/>
    <n v="6"/>
    <n v="4.5999999999999996"/>
    <b v="0"/>
    <m/>
    <n v="28"/>
    <n v="0"/>
    <s v=""/>
    <x v="0"/>
  </r>
  <r>
    <s v="FB000514"/>
    <x v="2"/>
    <x v="2"/>
    <x v="0"/>
    <m/>
    <s v="Brown"/>
    <n v="72.28"/>
    <n v="51.3"/>
    <n v="35.200000000000003"/>
    <x v="87"/>
    <n v="31"/>
    <n v="1.9"/>
    <b v="0"/>
    <m/>
    <n v="200"/>
    <n v="1590.3"/>
    <s v=""/>
    <x v="1"/>
  </r>
  <r>
    <s v="FB000515"/>
    <x v="0"/>
    <x v="5"/>
    <x v="3"/>
    <m/>
    <s v="White"/>
    <n v="80.349999999999994"/>
    <n v="0"/>
    <n v="80.349999999999994"/>
    <x v="1"/>
    <n v="28"/>
    <n v="2.9"/>
    <b v="0"/>
    <m/>
    <n v="28"/>
    <n v="0"/>
    <s v=""/>
    <x v="0"/>
  </r>
  <r>
    <s v="FB000516"/>
    <x v="4"/>
    <x v="2"/>
    <x v="1"/>
    <s v="XL"/>
    <s v="Gray"/>
    <n v="119.04"/>
    <n v="0"/>
    <n v="119.04"/>
    <x v="1"/>
    <n v="35"/>
    <n v="1.4"/>
    <b v="0"/>
    <m/>
    <n v="28"/>
    <n v="0"/>
    <s v=""/>
    <x v="0"/>
  </r>
  <r>
    <s v="FB000517"/>
    <x v="1"/>
    <x v="6"/>
    <x v="1"/>
    <s v="XS"/>
    <s v="Brown"/>
    <n v="60.53"/>
    <n v="42.5"/>
    <n v="34.799999999999997"/>
    <x v="1"/>
    <n v="8"/>
    <n v="2.9074999999999998"/>
    <b v="1"/>
    <s v="Color Mismatch"/>
    <n v="28"/>
    <n v="340"/>
    <n v="1"/>
    <x v="1"/>
  </r>
  <r>
    <s v="FB000518"/>
    <x v="0"/>
    <x v="4"/>
    <x v="2"/>
    <s v="M"/>
    <s v="Navy"/>
    <n v="92.54"/>
    <n v="43.8"/>
    <n v="52.01"/>
    <x v="1"/>
    <n v="33"/>
    <n v="1.5"/>
    <b v="1"/>
    <s v="Damaged"/>
    <n v="28"/>
    <n v="1445.3999999999999"/>
    <n v="1"/>
    <x v="1"/>
  </r>
  <r>
    <s v="FB000519"/>
    <x v="2"/>
    <x v="1"/>
    <x v="2"/>
    <m/>
    <s v="Pink"/>
    <n v="28.4"/>
    <n v="0"/>
    <n v="28.4"/>
    <x v="1"/>
    <n v="4"/>
    <n v="3.1"/>
    <b v="0"/>
    <m/>
    <n v="28"/>
    <n v="0"/>
    <s v=""/>
    <x v="0"/>
  </r>
  <r>
    <s v="FB000520"/>
    <x v="4"/>
    <x v="0"/>
    <x v="3"/>
    <s v="M"/>
    <s v="Gray"/>
    <n v="91.65"/>
    <n v="0"/>
    <n v="91.65"/>
    <x v="1"/>
    <n v="40"/>
    <n v="3.8"/>
    <b v="0"/>
    <m/>
    <n v="28"/>
    <n v="0"/>
    <s v=""/>
    <x v="0"/>
  </r>
  <r>
    <s v="FB000521"/>
    <x v="2"/>
    <x v="3"/>
    <x v="2"/>
    <m/>
    <s v="Navy"/>
    <n v="72.569999999999993"/>
    <n v="0"/>
    <n v="72.569999999999993"/>
    <x v="1"/>
    <n v="27"/>
    <n v="2.5"/>
    <b v="0"/>
    <m/>
    <n v="28"/>
    <n v="0"/>
    <s v=""/>
    <x v="0"/>
  </r>
  <r>
    <s v="FB000522"/>
    <x v="4"/>
    <x v="4"/>
    <x v="2"/>
    <s v="L"/>
    <s v="Blue"/>
    <n v="39.049999999999997"/>
    <n v="0"/>
    <n v="39.049999999999997"/>
    <x v="1"/>
    <n v="10"/>
    <n v="3.5"/>
    <b v="0"/>
    <m/>
    <n v="28"/>
    <n v="0"/>
    <s v=""/>
    <x v="0"/>
  </r>
  <r>
    <s v="FB000523"/>
    <x v="5"/>
    <x v="0"/>
    <x v="1"/>
    <s v="S"/>
    <s v="Gray"/>
    <n v="113.21"/>
    <n v="0"/>
    <n v="113.21"/>
    <x v="1"/>
    <n v="12"/>
    <n v="4.4000000000000004"/>
    <b v="0"/>
    <m/>
    <n v="28"/>
    <n v="0"/>
    <s v=""/>
    <x v="0"/>
  </r>
  <r>
    <s v="FB000524"/>
    <x v="2"/>
    <x v="7"/>
    <x v="0"/>
    <m/>
    <s v="Navy"/>
    <n v="25.34"/>
    <n v="0"/>
    <n v="25.34"/>
    <x v="98"/>
    <n v="17"/>
    <n v="3.3"/>
    <b v="0"/>
    <m/>
    <n v="34"/>
    <n v="0"/>
    <s v=""/>
    <x v="0"/>
  </r>
  <r>
    <s v="FB000525"/>
    <x v="1"/>
    <x v="3"/>
    <x v="0"/>
    <s v="L"/>
    <s v="Black"/>
    <n v="98.16"/>
    <n v="56.7"/>
    <n v="42.5"/>
    <x v="108"/>
    <n v="44"/>
    <n v="2.6"/>
    <b v="0"/>
    <m/>
    <n v="210"/>
    <n v="2494.8000000000002"/>
    <s v=""/>
    <x v="1"/>
  </r>
  <r>
    <s v="FB000526"/>
    <x v="1"/>
    <x v="2"/>
    <x v="0"/>
    <s v="XS"/>
    <s v="Purple"/>
    <n v="60.54"/>
    <n v="0"/>
    <n v="60.54"/>
    <x v="109"/>
    <n v="35"/>
    <n v="1.7"/>
    <b v="0"/>
    <m/>
    <n v="146"/>
    <n v="0"/>
    <s v=""/>
    <x v="0"/>
  </r>
  <r>
    <s v="FB000527"/>
    <x v="5"/>
    <x v="0"/>
    <x v="1"/>
    <s v="S"/>
    <s v="Pink"/>
    <n v="132.61000000000001"/>
    <n v="7.4"/>
    <n v="122.8"/>
    <x v="1"/>
    <n v="0"/>
    <n v="4.2"/>
    <b v="0"/>
    <m/>
    <n v="28"/>
    <n v="0"/>
    <s v=""/>
    <x v="1"/>
  </r>
  <r>
    <s v="FB000528"/>
    <x v="0"/>
    <x v="5"/>
    <x v="2"/>
    <s v="XL"/>
    <s v="Pink"/>
    <n v="234.14"/>
    <n v="0"/>
    <n v="234.14"/>
    <x v="1"/>
    <n v="40"/>
    <n v="1.7"/>
    <b v="0"/>
    <m/>
    <n v="28"/>
    <n v="0"/>
    <s v=""/>
    <x v="0"/>
  </r>
  <r>
    <s v="FB000529"/>
    <x v="2"/>
    <x v="4"/>
    <x v="2"/>
    <m/>
    <s v="Black"/>
    <n v="31.86"/>
    <n v="48.2"/>
    <n v="16.5"/>
    <x v="1"/>
    <n v="32"/>
    <n v="4.5"/>
    <b v="0"/>
    <m/>
    <n v="28"/>
    <n v="1542.4"/>
    <s v=""/>
    <x v="1"/>
  </r>
  <r>
    <s v="FB000530"/>
    <x v="2"/>
    <x v="1"/>
    <x v="0"/>
    <m/>
    <s v="Gray"/>
    <n v="15.14"/>
    <n v="36.700000000000003"/>
    <n v="9.58"/>
    <x v="110"/>
    <n v="41"/>
    <n v="3.8"/>
    <b v="0"/>
    <m/>
    <n v="42"/>
    <n v="1504.7"/>
    <s v=""/>
    <x v="1"/>
  </r>
  <r>
    <s v="FB000531"/>
    <x v="3"/>
    <x v="4"/>
    <x v="1"/>
    <s v="XS"/>
    <s v="Purple"/>
    <n v="77.72"/>
    <n v="0"/>
    <n v="77.72"/>
    <x v="1"/>
    <n v="48"/>
    <n v="1.1000000000000001"/>
    <b v="0"/>
    <m/>
    <n v="28"/>
    <n v="0"/>
    <s v=""/>
    <x v="0"/>
  </r>
  <r>
    <s v="FB000532"/>
    <x v="2"/>
    <x v="0"/>
    <x v="0"/>
    <m/>
    <s v="Gray"/>
    <n v="78.040000000000006"/>
    <n v="0"/>
    <n v="78.040000000000006"/>
    <x v="111"/>
    <n v="38"/>
    <n v="4.9000000000000004"/>
    <b v="0"/>
    <m/>
    <n v="147"/>
    <n v="0"/>
    <s v=""/>
    <x v="0"/>
  </r>
  <r>
    <s v="FB000533"/>
    <x v="0"/>
    <x v="6"/>
    <x v="2"/>
    <s v="M"/>
    <s v="Brown"/>
    <n v="169.82"/>
    <n v="0"/>
    <n v="169.82"/>
    <x v="1"/>
    <n v="28"/>
    <n v="4"/>
    <b v="0"/>
    <m/>
    <n v="28"/>
    <n v="0"/>
    <s v=""/>
    <x v="0"/>
  </r>
  <r>
    <s v="FB000534"/>
    <x v="4"/>
    <x v="4"/>
    <x v="0"/>
    <s v="L"/>
    <s v="White"/>
    <n v="94.71"/>
    <n v="38.9"/>
    <n v="57.87"/>
    <x v="65"/>
    <n v="39"/>
    <n v="4.7"/>
    <b v="0"/>
    <m/>
    <n v="383"/>
    <n v="1517.1"/>
    <s v=""/>
    <x v="1"/>
  </r>
  <r>
    <s v="FB000535"/>
    <x v="3"/>
    <x v="5"/>
    <x v="0"/>
    <s v="XL"/>
    <s v="Red"/>
    <n v="112.6"/>
    <n v="22"/>
    <n v="87.83"/>
    <x v="112"/>
    <n v="29"/>
    <n v="2.1"/>
    <b v="1"/>
    <s v="Color Mismatch"/>
    <n v="43"/>
    <n v="638"/>
    <n v="1"/>
    <x v="1"/>
  </r>
  <r>
    <s v="FB000536"/>
    <x v="4"/>
    <x v="0"/>
    <x v="3"/>
    <s v="L"/>
    <s v="Purple"/>
    <n v="104.16"/>
    <n v="0"/>
    <n v="104.16"/>
    <x v="1"/>
    <n v="21"/>
    <n v="1.6"/>
    <b v="0"/>
    <m/>
    <n v="28"/>
    <n v="0"/>
    <s v=""/>
    <x v="0"/>
  </r>
  <r>
    <s v="FB000537"/>
    <x v="0"/>
    <x v="6"/>
    <x v="1"/>
    <s v="XXL"/>
    <s v="Gray"/>
    <n v="174.86"/>
    <n v="0"/>
    <n v="174.86"/>
    <x v="1"/>
    <n v="15"/>
    <n v="1.7"/>
    <b v="0"/>
    <m/>
    <n v="28"/>
    <n v="0"/>
    <s v=""/>
    <x v="0"/>
  </r>
  <r>
    <s v="FB000538"/>
    <x v="0"/>
    <x v="1"/>
    <x v="0"/>
    <s v="L"/>
    <s v="Purple"/>
    <n v="217.89"/>
    <n v="49.4"/>
    <n v="110.25"/>
    <x v="113"/>
    <n v="42"/>
    <n v="2.9"/>
    <b v="0"/>
    <m/>
    <n v="280"/>
    <n v="2074.7999999999997"/>
    <s v=""/>
    <x v="1"/>
  </r>
  <r>
    <s v="FB000539"/>
    <x v="3"/>
    <x v="3"/>
    <x v="1"/>
    <s v="L"/>
    <s v="Black"/>
    <n v="123.14"/>
    <n v="0"/>
    <n v="123.14"/>
    <x v="1"/>
    <n v="15"/>
    <n v="1.8"/>
    <b v="1"/>
    <s v="Wrong Item"/>
    <n v="28"/>
    <n v="0"/>
    <n v="1"/>
    <x v="0"/>
  </r>
  <r>
    <s v="FB000540"/>
    <x v="1"/>
    <x v="5"/>
    <x v="1"/>
    <s v="XL"/>
    <s v="Navy"/>
    <n v="103.96"/>
    <n v="0"/>
    <n v="103.96"/>
    <x v="1"/>
    <n v="23"/>
    <n v="3.3"/>
    <b v="0"/>
    <m/>
    <n v="28"/>
    <n v="0"/>
    <s v=""/>
    <x v="0"/>
  </r>
  <r>
    <s v="FB000541"/>
    <x v="5"/>
    <x v="4"/>
    <x v="0"/>
    <s v="XL"/>
    <s v="Blue"/>
    <n v="138.44999999999999"/>
    <n v="0"/>
    <n v="138.44999999999999"/>
    <x v="114"/>
    <n v="18"/>
    <n v="3.3"/>
    <b v="0"/>
    <m/>
    <n v="159"/>
    <n v="0"/>
    <s v=""/>
    <x v="0"/>
  </r>
  <r>
    <s v="FB000542"/>
    <x v="3"/>
    <x v="6"/>
    <x v="3"/>
    <s v="S"/>
    <s v="Black"/>
    <n v="165.1"/>
    <n v="0"/>
    <n v="165.1"/>
    <x v="1"/>
    <n v="7"/>
    <n v="2.9083333333333328"/>
    <b v="0"/>
    <m/>
    <n v="28"/>
    <n v="0"/>
    <s v=""/>
    <x v="0"/>
  </r>
  <r>
    <s v="FB000543"/>
    <x v="3"/>
    <x v="6"/>
    <x v="1"/>
    <s v="XXL"/>
    <s v="Gray"/>
    <n v="147.25"/>
    <n v="0"/>
    <n v="147.25"/>
    <x v="1"/>
    <n v="15"/>
    <n v="2.7"/>
    <b v="0"/>
    <m/>
    <n v="28"/>
    <n v="0"/>
    <s v=""/>
    <x v="0"/>
  </r>
  <r>
    <s v="FB000544"/>
    <x v="3"/>
    <x v="1"/>
    <x v="2"/>
    <s v="L"/>
    <s v="Pink"/>
    <n v="126.23"/>
    <n v="0"/>
    <n v="126.23"/>
    <x v="1"/>
    <n v="48"/>
    <n v="2.1"/>
    <b v="0"/>
    <m/>
    <n v="28"/>
    <n v="0"/>
    <s v=""/>
    <x v="0"/>
  </r>
  <r>
    <s v="FB000545"/>
    <x v="0"/>
    <x v="5"/>
    <x v="2"/>
    <s v="M"/>
    <s v="Navy"/>
    <n v="229.04"/>
    <n v="0"/>
    <n v="229.04"/>
    <x v="1"/>
    <n v="5"/>
    <n v="4.5"/>
    <b v="0"/>
    <m/>
    <n v="28"/>
    <n v="0"/>
    <s v=""/>
    <x v="0"/>
  </r>
  <r>
    <s v="FB000546"/>
    <x v="2"/>
    <x v="5"/>
    <x v="1"/>
    <m/>
    <s v="Gray"/>
    <n v="38.65"/>
    <n v="32.6"/>
    <n v="26.05"/>
    <x v="1"/>
    <n v="46"/>
    <n v="1.1000000000000001"/>
    <b v="0"/>
    <m/>
    <n v="28"/>
    <n v="1499.6000000000001"/>
    <s v=""/>
    <x v="1"/>
  </r>
  <r>
    <s v="FB000547"/>
    <x v="4"/>
    <x v="2"/>
    <x v="0"/>
    <s v="XS"/>
    <s v="Pink"/>
    <n v="80.819999999999993"/>
    <n v="0"/>
    <n v="80.819999999999993"/>
    <x v="115"/>
    <n v="42"/>
    <n v="3.0384615384615379"/>
    <b v="0"/>
    <m/>
    <n v="204"/>
    <n v="0"/>
    <s v=""/>
    <x v="0"/>
  </r>
  <r>
    <s v="FB000548"/>
    <x v="2"/>
    <x v="1"/>
    <x v="0"/>
    <m/>
    <s v="Beige"/>
    <n v="56.44"/>
    <n v="0"/>
    <n v="56.44"/>
    <x v="116"/>
    <n v="35"/>
    <n v="4"/>
    <b v="0"/>
    <m/>
    <n v="169"/>
    <n v="0"/>
    <s v=""/>
    <x v="0"/>
  </r>
  <r>
    <s v="FB000549"/>
    <x v="5"/>
    <x v="0"/>
    <x v="2"/>
    <s v="M"/>
    <s v="Beige"/>
    <n v="121.3"/>
    <n v="0"/>
    <n v="121.3"/>
    <x v="1"/>
    <n v="33"/>
    <n v="2.2999999999999998"/>
    <b v="0"/>
    <m/>
    <n v="28"/>
    <n v="0"/>
    <s v=""/>
    <x v="0"/>
  </r>
  <r>
    <s v="FB000550"/>
    <x v="4"/>
    <x v="6"/>
    <x v="2"/>
    <m/>
    <s v="Black"/>
    <n v="101.98"/>
    <n v="28.4"/>
    <n v="73.02"/>
    <x v="1"/>
    <n v="40"/>
    <n v="4.5"/>
    <b v="0"/>
    <m/>
    <n v="28"/>
    <n v="1136"/>
    <s v=""/>
    <x v="1"/>
  </r>
  <r>
    <s v="FB000551"/>
    <x v="4"/>
    <x v="2"/>
    <x v="0"/>
    <s v="L"/>
    <s v="Red"/>
    <n v="89.99"/>
    <n v="0"/>
    <n v="89.99"/>
    <x v="117"/>
    <n v="26"/>
    <n v="4.0999999999999996"/>
    <b v="0"/>
    <m/>
    <n v="187"/>
    <n v="0"/>
    <s v=""/>
    <x v="0"/>
  </r>
  <r>
    <s v="FB000552"/>
    <x v="3"/>
    <x v="7"/>
    <x v="3"/>
    <s v="XXL"/>
    <s v="Green"/>
    <n v="64.31"/>
    <n v="34.5"/>
    <n v="42.12"/>
    <x v="1"/>
    <n v="48"/>
    <n v="4.5"/>
    <b v="0"/>
    <m/>
    <n v="28"/>
    <n v="1656"/>
    <s v=""/>
    <x v="1"/>
  </r>
  <r>
    <s v="FB000553"/>
    <x v="5"/>
    <x v="0"/>
    <x v="0"/>
    <s v="L"/>
    <s v="Beige"/>
    <n v="168.92"/>
    <n v="0"/>
    <n v="168.92"/>
    <x v="64"/>
    <n v="11"/>
    <n v="4.4000000000000004"/>
    <b v="0"/>
    <m/>
    <n v="51"/>
    <n v="0"/>
    <s v=""/>
    <x v="0"/>
  </r>
  <r>
    <s v="FB000554"/>
    <x v="4"/>
    <x v="6"/>
    <x v="3"/>
    <s v="XL"/>
    <s v="Navy"/>
    <n v="86.46"/>
    <n v="49.5"/>
    <n v="43.66"/>
    <x v="1"/>
    <n v="19"/>
    <n v="4.3"/>
    <b v="0"/>
    <m/>
    <n v="28"/>
    <n v="940.5"/>
    <s v=""/>
    <x v="1"/>
  </r>
  <r>
    <s v="FB000555"/>
    <x v="1"/>
    <x v="7"/>
    <x v="1"/>
    <s v="XS"/>
    <s v="Red"/>
    <n v="36.840000000000003"/>
    <n v="18.899999999999999"/>
    <n v="29.88"/>
    <x v="1"/>
    <n v="39"/>
    <n v="1.2"/>
    <b v="0"/>
    <m/>
    <n v="28"/>
    <n v="737.09999999999991"/>
    <s v=""/>
    <x v="1"/>
  </r>
  <r>
    <s v="FB000556"/>
    <x v="1"/>
    <x v="5"/>
    <x v="0"/>
    <s v="XS"/>
    <s v="Pink"/>
    <n v="38.5"/>
    <n v="0"/>
    <n v="38.5"/>
    <x v="118"/>
    <n v="2"/>
    <n v="3.2"/>
    <b v="0"/>
    <m/>
    <n v="181"/>
    <n v="0"/>
    <s v=""/>
    <x v="0"/>
  </r>
  <r>
    <s v="FB000557"/>
    <x v="4"/>
    <x v="3"/>
    <x v="1"/>
    <m/>
    <s v="Beige"/>
    <n v="68.02"/>
    <n v="37.700000000000003"/>
    <n v="42.38"/>
    <x v="1"/>
    <n v="40"/>
    <n v="2.1"/>
    <b v="0"/>
    <m/>
    <n v="28"/>
    <n v="1508"/>
    <s v=""/>
    <x v="1"/>
  </r>
  <r>
    <s v="FB000558"/>
    <x v="5"/>
    <x v="1"/>
    <x v="2"/>
    <s v="M"/>
    <s v="Brown"/>
    <n v="117.23"/>
    <n v="0"/>
    <n v="117.23"/>
    <x v="1"/>
    <n v="30"/>
    <n v="3.1666666666666665"/>
    <b v="1"/>
    <s v="Changed Mind"/>
    <n v="28"/>
    <n v="0"/>
    <n v="1"/>
    <x v="0"/>
  </r>
  <r>
    <s v="FB000559"/>
    <x v="1"/>
    <x v="5"/>
    <x v="0"/>
    <s v="S"/>
    <s v="Navy"/>
    <n v="79.33"/>
    <n v="0"/>
    <n v="79.33"/>
    <x v="60"/>
    <n v="10"/>
    <n v="3.4"/>
    <b v="1"/>
    <s v="Changed Mind"/>
    <n v="216"/>
    <n v="0"/>
    <n v="1"/>
    <x v="0"/>
  </r>
  <r>
    <s v="FB000560"/>
    <x v="4"/>
    <x v="3"/>
    <x v="3"/>
    <s v="L"/>
    <s v="Green"/>
    <n v="75.819999999999993"/>
    <n v="42.7"/>
    <n v="43.44"/>
    <x v="1"/>
    <n v="11"/>
    <n v="2"/>
    <b v="0"/>
    <m/>
    <n v="28"/>
    <n v="469.70000000000005"/>
    <s v=""/>
    <x v="1"/>
  </r>
  <r>
    <s v="FB000561"/>
    <x v="5"/>
    <x v="5"/>
    <x v="0"/>
    <s v="M"/>
    <s v="White"/>
    <n v="141.41999999999999"/>
    <n v="0"/>
    <n v="141.41999999999999"/>
    <x v="119"/>
    <n v="10"/>
    <n v="2.5"/>
    <b v="0"/>
    <m/>
    <n v="162"/>
    <n v="0"/>
    <s v=""/>
    <x v="0"/>
  </r>
  <r>
    <s v="FB000562"/>
    <x v="3"/>
    <x v="1"/>
    <x v="0"/>
    <s v="L"/>
    <s v="Black"/>
    <n v="124.2"/>
    <n v="0"/>
    <n v="124.2"/>
    <x v="50"/>
    <n v="24"/>
    <n v="1"/>
    <b v="0"/>
    <m/>
    <n v="371"/>
    <n v="0"/>
    <s v=""/>
    <x v="0"/>
  </r>
  <r>
    <s v="FB000563"/>
    <x v="4"/>
    <x v="7"/>
    <x v="1"/>
    <s v="L"/>
    <s v="Navy"/>
    <n v="48.42"/>
    <n v="0"/>
    <n v="48.42"/>
    <x v="1"/>
    <n v="6"/>
    <n v="4.3"/>
    <b v="0"/>
    <m/>
    <n v="28"/>
    <n v="0"/>
    <s v=""/>
    <x v="0"/>
  </r>
  <r>
    <s v="FB000564"/>
    <x v="5"/>
    <x v="4"/>
    <x v="2"/>
    <s v="XS"/>
    <s v="Gray"/>
    <n v="119.4"/>
    <n v="0"/>
    <n v="119.4"/>
    <x v="1"/>
    <n v="45"/>
    <n v="4.2"/>
    <b v="0"/>
    <m/>
    <n v="28"/>
    <n v="0"/>
    <s v=""/>
    <x v="0"/>
  </r>
  <r>
    <s v="FB000565"/>
    <x v="3"/>
    <x v="3"/>
    <x v="3"/>
    <s v="M"/>
    <s v="Brown"/>
    <n v="186.07"/>
    <n v="0"/>
    <n v="186.07"/>
    <x v="1"/>
    <n v="41"/>
    <n v="2.6"/>
    <b v="0"/>
    <m/>
    <n v="28"/>
    <n v="0"/>
    <s v=""/>
    <x v="0"/>
  </r>
  <r>
    <s v="FB000566"/>
    <x v="3"/>
    <x v="3"/>
    <x v="3"/>
    <s v="XL"/>
    <s v="Brown"/>
    <n v="109.46"/>
    <n v="0"/>
    <n v="109.46"/>
    <x v="1"/>
    <n v="38"/>
    <n v="4.0999999999999996"/>
    <b v="0"/>
    <m/>
    <n v="28"/>
    <n v="0"/>
    <s v=""/>
    <x v="0"/>
  </r>
  <r>
    <s v="FB000567"/>
    <x v="5"/>
    <x v="6"/>
    <x v="1"/>
    <s v="S"/>
    <s v="Gray"/>
    <n v="116.18"/>
    <n v="42.7"/>
    <n v="66.569999999999993"/>
    <x v="1"/>
    <n v="3"/>
    <n v="3.5"/>
    <b v="0"/>
    <m/>
    <n v="28"/>
    <n v="128.10000000000002"/>
    <s v=""/>
    <x v="1"/>
  </r>
  <r>
    <s v="FB000568"/>
    <x v="2"/>
    <x v="0"/>
    <x v="1"/>
    <m/>
    <s v="Green"/>
    <n v="41.29"/>
    <n v="26.3"/>
    <n v="30.43"/>
    <x v="1"/>
    <n v="5"/>
    <n v="4.7"/>
    <b v="0"/>
    <m/>
    <n v="28"/>
    <n v="131.5"/>
    <s v=""/>
    <x v="1"/>
  </r>
  <r>
    <s v="FB000569"/>
    <x v="1"/>
    <x v="1"/>
    <x v="1"/>
    <s v="S"/>
    <s v="Green"/>
    <n v="94.68"/>
    <n v="45"/>
    <n v="52.07"/>
    <x v="1"/>
    <n v="47"/>
    <n v="2.6"/>
    <b v="0"/>
    <m/>
    <n v="28"/>
    <n v="2115"/>
    <s v=""/>
    <x v="1"/>
  </r>
  <r>
    <s v="FB000570"/>
    <x v="2"/>
    <x v="0"/>
    <x v="0"/>
    <m/>
    <s v="White"/>
    <n v="48.55"/>
    <n v="32.700000000000003"/>
    <n v="32.67"/>
    <x v="39"/>
    <n v="39"/>
    <n v="2.8"/>
    <b v="0"/>
    <m/>
    <n v="337"/>
    <n v="1275.3000000000002"/>
    <s v=""/>
    <x v="1"/>
  </r>
  <r>
    <s v="FB000571"/>
    <x v="1"/>
    <x v="6"/>
    <x v="3"/>
    <s v="M"/>
    <s v="Purple"/>
    <n v="75.22"/>
    <n v="0"/>
    <n v="75.22"/>
    <x v="1"/>
    <n v="22"/>
    <n v="2.1"/>
    <b v="1"/>
    <s v="Size Issue"/>
    <n v="28"/>
    <n v="0"/>
    <n v="1"/>
    <x v="0"/>
  </r>
  <r>
    <s v="FB000572"/>
    <x v="3"/>
    <x v="4"/>
    <x v="3"/>
    <s v="XS"/>
    <s v="White"/>
    <n v="98.95"/>
    <n v="30.3"/>
    <n v="68.97"/>
    <x v="1"/>
    <n v="16"/>
    <n v="3.3021276595744684"/>
    <b v="0"/>
    <m/>
    <n v="28"/>
    <n v="484.8"/>
    <s v=""/>
    <x v="1"/>
  </r>
  <r>
    <s v="FB000573"/>
    <x v="1"/>
    <x v="4"/>
    <x v="0"/>
    <s v="XL"/>
    <s v="Brown"/>
    <n v="39.56"/>
    <n v="0"/>
    <n v="39.56"/>
    <x v="120"/>
    <n v="15"/>
    <n v="2.9657142857142857"/>
    <b v="0"/>
    <m/>
    <n v="225"/>
    <n v="0"/>
    <s v=""/>
    <x v="0"/>
  </r>
  <r>
    <s v="FB000574"/>
    <x v="0"/>
    <x v="1"/>
    <x v="1"/>
    <s v="S"/>
    <s v="White"/>
    <n v="153.88"/>
    <n v="0"/>
    <n v="153.88"/>
    <x v="1"/>
    <n v="42"/>
    <n v="2.2000000000000002"/>
    <b v="0"/>
    <m/>
    <n v="28"/>
    <n v="0"/>
    <s v=""/>
    <x v="0"/>
  </r>
  <r>
    <s v="FB000575"/>
    <x v="2"/>
    <x v="5"/>
    <x v="3"/>
    <m/>
    <s v="Beige"/>
    <n v="68.87"/>
    <n v="0"/>
    <n v="68.87"/>
    <x v="1"/>
    <n v="9"/>
    <n v="1.1000000000000001"/>
    <b v="0"/>
    <m/>
    <n v="28"/>
    <n v="0"/>
    <s v=""/>
    <x v="0"/>
  </r>
  <r>
    <s v="FB000576"/>
    <x v="4"/>
    <x v="5"/>
    <x v="2"/>
    <s v="M"/>
    <s v="Pink"/>
    <n v="25.56"/>
    <n v="38.9"/>
    <n v="15.62"/>
    <x v="1"/>
    <n v="48"/>
    <n v="3.0575757575757576"/>
    <b v="0"/>
    <m/>
    <n v="28"/>
    <n v="1867.1999999999998"/>
    <s v=""/>
    <x v="1"/>
  </r>
  <r>
    <s v="FB000577"/>
    <x v="0"/>
    <x v="4"/>
    <x v="2"/>
    <s v="XXL"/>
    <s v="White"/>
    <n v="246.49"/>
    <n v="0"/>
    <n v="246.49"/>
    <x v="1"/>
    <n v="20"/>
    <n v="4.8"/>
    <b v="0"/>
    <m/>
    <n v="28"/>
    <n v="0"/>
    <s v=""/>
    <x v="0"/>
  </r>
  <r>
    <s v="FB000578"/>
    <x v="2"/>
    <x v="4"/>
    <x v="2"/>
    <m/>
    <s v="Green"/>
    <n v="52.41"/>
    <n v="0"/>
    <n v="52.41"/>
    <x v="1"/>
    <n v="14"/>
    <n v="2.7333333333333334"/>
    <b v="0"/>
    <m/>
    <n v="28"/>
    <n v="0"/>
    <s v=""/>
    <x v="0"/>
  </r>
  <r>
    <s v="FB000579"/>
    <x v="1"/>
    <x v="0"/>
    <x v="3"/>
    <s v="M"/>
    <s v="Navy"/>
    <n v="33.770000000000003"/>
    <n v="0"/>
    <n v="33.770000000000003"/>
    <x v="1"/>
    <n v="12"/>
    <n v="3.8"/>
    <b v="0"/>
    <m/>
    <n v="28"/>
    <n v="0"/>
    <s v=""/>
    <x v="0"/>
  </r>
  <r>
    <s v="FB000580"/>
    <x v="3"/>
    <x v="4"/>
    <x v="3"/>
    <s v="M"/>
    <s v="Pink"/>
    <n v="96.7"/>
    <n v="0"/>
    <n v="96.7"/>
    <x v="1"/>
    <n v="28"/>
    <n v="3"/>
    <b v="0"/>
    <m/>
    <n v="28"/>
    <n v="0"/>
    <s v=""/>
    <x v="0"/>
  </r>
  <r>
    <s v="FB000581"/>
    <x v="5"/>
    <x v="4"/>
    <x v="0"/>
    <s v="M"/>
    <s v="Red"/>
    <n v="95.81"/>
    <n v="0"/>
    <n v="95.81"/>
    <x v="81"/>
    <n v="47"/>
    <n v="4.9000000000000004"/>
    <b v="0"/>
    <m/>
    <n v="117"/>
    <n v="0"/>
    <s v=""/>
    <x v="0"/>
  </r>
  <r>
    <s v="FB000582"/>
    <x v="1"/>
    <x v="6"/>
    <x v="2"/>
    <s v="M"/>
    <s v="Brown"/>
    <n v="41.58"/>
    <n v="0"/>
    <n v="41.58"/>
    <x v="1"/>
    <n v="3"/>
    <n v="1.6"/>
    <b v="0"/>
    <m/>
    <n v="28"/>
    <n v="0"/>
    <s v=""/>
    <x v="0"/>
  </r>
  <r>
    <s v="FB000583"/>
    <x v="1"/>
    <x v="1"/>
    <x v="3"/>
    <s v="XL"/>
    <s v="Gray"/>
    <n v="46.67"/>
    <n v="6.6"/>
    <n v="43.59"/>
    <x v="1"/>
    <n v="35"/>
    <n v="1.3"/>
    <b v="1"/>
    <s v="Quality Issue"/>
    <n v="28"/>
    <n v="231"/>
    <n v="1"/>
    <x v="1"/>
  </r>
  <r>
    <s v="FB000584"/>
    <x v="4"/>
    <x v="0"/>
    <x v="1"/>
    <s v="L"/>
    <s v="Beige"/>
    <n v="25.98"/>
    <n v="59.4"/>
    <n v="10.55"/>
    <x v="1"/>
    <n v="40"/>
    <n v="2.9210526315789478"/>
    <b v="0"/>
    <m/>
    <n v="28"/>
    <n v="2376"/>
    <s v=""/>
    <x v="1"/>
  </r>
  <r>
    <s v="FB000585"/>
    <x v="0"/>
    <x v="1"/>
    <x v="3"/>
    <s v="L"/>
    <s v="Beige"/>
    <n v="204.82"/>
    <n v="14"/>
    <n v="176.15"/>
    <x v="1"/>
    <n v="27"/>
    <n v="3.8"/>
    <b v="0"/>
    <m/>
    <n v="28"/>
    <n v="378"/>
    <s v=""/>
    <x v="1"/>
  </r>
  <r>
    <s v="FB000586"/>
    <x v="1"/>
    <x v="0"/>
    <x v="1"/>
    <s v="XXL"/>
    <s v="Pink"/>
    <n v="43.43"/>
    <n v="47.1"/>
    <n v="22.97"/>
    <x v="1"/>
    <n v="44"/>
    <n v="4.7"/>
    <b v="0"/>
    <m/>
    <n v="28"/>
    <n v="2072.4"/>
    <s v=""/>
    <x v="1"/>
  </r>
  <r>
    <s v="FB000587"/>
    <x v="2"/>
    <x v="4"/>
    <x v="3"/>
    <m/>
    <s v="Blue"/>
    <n v="40.5"/>
    <n v="40.5"/>
    <n v="24.1"/>
    <x v="1"/>
    <n v="25"/>
    <n v="2.9"/>
    <b v="0"/>
    <m/>
    <n v="28"/>
    <n v="1012.5"/>
    <s v=""/>
    <x v="1"/>
  </r>
  <r>
    <s v="FB000588"/>
    <x v="4"/>
    <x v="7"/>
    <x v="1"/>
    <s v="M"/>
    <s v="Red"/>
    <n v="73.59"/>
    <n v="16.600000000000001"/>
    <n v="61.37"/>
    <x v="1"/>
    <n v="34"/>
    <n v="4"/>
    <b v="0"/>
    <m/>
    <n v="28"/>
    <n v="564.40000000000009"/>
    <s v=""/>
    <x v="1"/>
  </r>
  <r>
    <s v="FB000589"/>
    <x v="2"/>
    <x v="5"/>
    <x v="3"/>
    <m/>
    <s v="Navy"/>
    <n v="17.670000000000002"/>
    <n v="0"/>
    <n v="17.670000000000002"/>
    <x v="1"/>
    <n v="29"/>
    <n v="4.3"/>
    <b v="0"/>
    <m/>
    <n v="28"/>
    <n v="0"/>
    <s v=""/>
    <x v="0"/>
  </r>
  <r>
    <s v="FB000590"/>
    <x v="5"/>
    <x v="6"/>
    <x v="1"/>
    <s v="S"/>
    <s v="Green"/>
    <n v="70.010000000000005"/>
    <n v="28"/>
    <n v="50.41"/>
    <x v="1"/>
    <n v="23"/>
    <n v="2.980952380952381"/>
    <b v="0"/>
    <m/>
    <n v="28"/>
    <n v="644"/>
    <s v=""/>
    <x v="1"/>
  </r>
  <r>
    <s v="FB000591"/>
    <x v="3"/>
    <x v="3"/>
    <x v="2"/>
    <s v="XS"/>
    <s v="Red"/>
    <n v="79.319999999999993"/>
    <n v="33.700000000000003"/>
    <n v="52.59"/>
    <x v="1"/>
    <n v="38"/>
    <n v="3"/>
    <b v="1"/>
    <s v="Size Issue"/>
    <n v="28"/>
    <n v="1280.6000000000001"/>
    <n v="1"/>
    <x v="1"/>
  </r>
  <r>
    <s v="FB000592"/>
    <x v="2"/>
    <x v="0"/>
    <x v="3"/>
    <m/>
    <s v="Beige"/>
    <n v="45.24"/>
    <n v="0"/>
    <n v="45.24"/>
    <x v="1"/>
    <n v="20"/>
    <n v="3"/>
    <b v="1"/>
    <s v="Quality Issue"/>
    <n v="28"/>
    <n v="0"/>
    <n v="1"/>
    <x v="0"/>
  </r>
  <r>
    <s v="FB000593"/>
    <x v="1"/>
    <x v="4"/>
    <x v="3"/>
    <s v="XXL"/>
    <s v="Red"/>
    <n v="63.51"/>
    <n v="13.6"/>
    <n v="54.87"/>
    <x v="1"/>
    <n v="19"/>
    <n v="2.9657142857142857"/>
    <b v="0"/>
    <m/>
    <n v="28"/>
    <n v="258.39999999999998"/>
    <s v=""/>
    <x v="1"/>
  </r>
  <r>
    <s v="FB000594"/>
    <x v="4"/>
    <x v="5"/>
    <x v="1"/>
    <s v="XXL"/>
    <s v="White"/>
    <n v="55.23"/>
    <n v="33.6"/>
    <n v="36.67"/>
    <x v="1"/>
    <n v="9"/>
    <n v="3.0575757575757576"/>
    <b v="0"/>
    <m/>
    <n v="28"/>
    <n v="302.40000000000003"/>
    <s v=""/>
    <x v="1"/>
  </r>
  <r>
    <s v="FB000595"/>
    <x v="5"/>
    <x v="2"/>
    <x v="2"/>
    <s v="M"/>
    <s v="Navy"/>
    <n v="137.59"/>
    <n v="0"/>
    <n v="137.59"/>
    <x v="1"/>
    <n v="18"/>
    <n v="2.9000000000000008"/>
    <b v="0"/>
    <m/>
    <n v="28"/>
    <n v="0"/>
    <s v=""/>
    <x v="0"/>
  </r>
  <r>
    <s v="FB000596"/>
    <x v="3"/>
    <x v="4"/>
    <x v="2"/>
    <m/>
    <s v="White"/>
    <n v="65.8"/>
    <n v="0"/>
    <n v="65.8"/>
    <x v="1"/>
    <n v="46"/>
    <n v="3.2"/>
    <b v="0"/>
    <m/>
    <n v="28"/>
    <n v="0"/>
    <s v=""/>
    <x v="0"/>
  </r>
  <r>
    <s v="FB000597"/>
    <x v="3"/>
    <x v="1"/>
    <x v="1"/>
    <s v="XL"/>
    <s v="Blue"/>
    <n v="88.42"/>
    <n v="0"/>
    <n v="88.42"/>
    <x v="1"/>
    <n v="44"/>
    <n v="3.4"/>
    <b v="1"/>
    <s v="Damaged"/>
    <n v="28"/>
    <n v="0"/>
    <n v="1"/>
    <x v="0"/>
  </r>
  <r>
    <s v="FB000598"/>
    <x v="5"/>
    <x v="3"/>
    <x v="2"/>
    <s v="M"/>
    <s v="Red"/>
    <n v="75.540000000000006"/>
    <n v="0"/>
    <n v="75.540000000000006"/>
    <x v="1"/>
    <n v="6"/>
    <n v="4.5999999999999996"/>
    <b v="0"/>
    <m/>
    <n v="28"/>
    <n v="0"/>
    <s v=""/>
    <x v="0"/>
  </r>
  <r>
    <s v="FB000599"/>
    <x v="3"/>
    <x v="4"/>
    <x v="0"/>
    <s v="L"/>
    <s v="White"/>
    <n v="185.13"/>
    <n v="0"/>
    <n v="185.13"/>
    <x v="81"/>
    <n v="49"/>
    <n v="4.9000000000000004"/>
    <b v="0"/>
    <m/>
    <n v="117"/>
    <n v="0"/>
    <s v=""/>
    <x v="0"/>
  </r>
  <r>
    <s v="FB000600"/>
    <x v="0"/>
    <x v="3"/>
    <x v="2"/>
    <s v="L"/>
    <s v="Black"/>
    <n v="132.58000000000001"/>
    <n v="0"/>
    <n v="132.58000000000001"/>
    <x v="1"/>
    <n v="45"/>
    <n v="1.6"/>
    <b v="0"/>
    <m/>
    <n v="28"/>
    <n v="0"/>
    <s v=""/>
    <x v="0"/>
  </r>
  <r>
    <s v="FB000601"/>
    <x v="4"/>
    <x v="0"/>
    <x v="2"/>
    <s v="M"/>
    <s v="White"/>
    <n v="93.38"/>
    <n v="0"/>
    <n v="93.38"/>
    <x v="1"/>
    <n v="7"/>
    <n v="3.5"/>
    <b v="0"/>
    <m/>
    <n v="28"/>
    <n v="0"/>
    <s v=""/>
    <x v="0"/>
  </r>
  <r>
    <s v="FB000602"/>
    <x v="2"/>
    <x v="5"/>
    <x v="2"/>
    <m/>
    <s v="Black"/>
    <n v="47.28"/>
    <n v="0"/>
    <n v="47.28"/>
    <x v="1"/>
    <n v="38"/>
    <n v="4.2"/>
    <b v="0"/>
    <m/>
    <n v="28"/>
    <n v="0"/>
    <s v=""/>
    <x v="0"/>
  </r>
  <r>
    <s v="FB000603"/>
    <x v="4"/>
    <x v="2"/>
    <x v="0"/>
    <s v="L"/>
    <s v="Green"/>
    <n v="59.88"/>
    <n v="0"/>
    <n v="59.88"/>
    <x v="121"/>
    <n v="33"/>
    <n v="2.9"/>
    <b v="0"/>
    <m/>
    <n v="326"/>
    <n v="0"/>
    <s v=""/>
    <x v="0"/>
  </r>
  <r>
    <s v="FB000604"/>
    <x v="5"/>
    <x v="4"/>
    <x v="1"/>
    <s v="XXL"/>
    <s v="Black"/>
    <n v="140.07"/>
    <n v="0"/>
    <n v="140.07"/>
    <x v="1"/>
    <n v="15"/>
    <n v="2.7"/>
    <b v="0"/>
    <m/>
    <n v="28"/>
    <n v="0"/>
    <s v=""/>
    <x v="0"/>
  </r>
  <r>
    <s v="FB000605"/>
    <x v="2"/>
    <x v="1"/>
    <x v="1"/>
    <m/>
    <s v="Black"/>
    <n v="66.599999999999994"/>
    <n v="0"/>
    <n v="66.599999999999994"/>
    <x v="1"/>
    <n v="47"/>
    <n v="4"/>
    <b v="0"/>
    <m/>
    <n v="28"/>
    <n v="0"/>
    <s v=""/>
    <x v="0"/>
  </r>
  <r>
    <s v="FB000606"/>
    <x v="2"/>
    <x v="6"/>
    <x v="3"/>
    <m/>
    <s v="Purple"/>
    <n v="39.82"/>
    <n v="35.4"/>
    <n v="25.72"/>
    <x v="1"/>
    <n v="9"/>
    <n v="4.5999999999999996"/>
    <b v="0"/>
    <m/>
    <n v="28"/>
    <n v="318.59999999999997"/>
    <s v=""/>
    <x v="1"/>
  </r>
  <r>
    <s v="FB000607"/>
    <x v="2"/>
    <x v="0"/>
    <x v="2"/>
    <m/>
    <s v="Red"/>
    <n v="70.739999999999995"/>
    <n v="0"/>
    <n v="70.739999999999995"/>
    <x v="1"/>
    <n v="49"/>
    <n v="1.8"/>
    <b v="0"/>
    <m/>
    <n v="28"/>
    <n v="0"/>
    <s v=""/>
    <x v="0"/>
  </r>
  <r>
    <s v="FB000608"/>
    <x v="5"/>
    <x v="0"/>
    <x v="0"/>
    <s v="M"/>
    <s v="Red"/>
    <n v="95.33"/>
    <n v="0"/>
    <n v="95.33"/>
    <x v="122"/>
    <n v="36"/>
    <n v="3.0424242424242425"/>
    <b v="1"/>
    <s v="Quality Issue"/>
    <n v="88"/>
    <n v="0"/>
    <n v="1"/>
    <x v="0"/>
  </r>
  <r>
    <s v="FB000609"/>
    <x v="2"/>
    <x v="7"/>
    <x v="0"/>
    <m/>
    <s v="Red"/>
    <n v="32.619999999999997"/>
    <n v="29.1"/>
    <n v="23.13"/>
    <x v="123"/>
    <n v="9"/>
    <n v="1.4"/>
    <b v="0"/>
    <m/>
    <n v="38"/>
    <n v="261.90000000000003"/>
    <s v=""/>
    <x v="1"/>
  </r>
  <r>
    <s v="FB000610"/>
    <x v="4"/>
    <x v="3"/>
    <x v="3"/>
    <s v="XL"/>
    <s v="Purple"/>
    <n v="41.07"/>
    <n v="0"/>
    <n v="41.07"/>
    <x v="1"/>
    <n v="10"/>
    <n v="4.8"/>
    <b v="0"/>
    <m/>
    <n v="28"/>
    <n v="0"/>
    <s v=""/>
    <x v="0"/>
  </r>
  <r>
    <s v="FB000611"/>
    <x v="4"/>
    <x v="0"/>
    <x v="1"/>
    <s v="XL"/>
    <s v="Gray"/>
    <n v="43.1"/>
    <n v="0"/>
    <n v="43.1"/>
    <x v="1"/>
    <n v="34"/>
    <n v="4.9000000000000004"/>
    <b v="0"/>
    <m/>
    <n v="28"/>
    <n v="0"/>
    <s v=""/>
    <x v="0"/>
  </r>
  <r>
    <s v="FB000612"/>
    <x v="0"/>
    <x v="5"/>
    <x v="1"/>
    <s v="XXL"/>
    <s v="Navy"/>
    <n v="102.03"/>
    <n v="27.9"/>
    <n v="73.56"/>
    <x v="1"/>
    <n v="21"/>
    <n v="2.2000000000000002"/>
    <b v="1"/>
    <s v="Size Issue"/>
    <n v="28"/>
    <n v="585.9"/>
    <n v="1"/>
    <x v="1"/>
  </r>
  <r>
    <s v="FB000613"/>
    <x v="2"/>
    <x v="3"/>
    <x v="1"/>
    <m/>
    <s v="Red"/>
    <n v="54.11"/>
    <n v="0"/>
    <n v="54.11"/>
    <x v="1"/>
    <n v="15"/>
    <n v="2.6"/>
    <b v="0"/>
    <m/>
    <n v="28"/>
    <n v="0"/>
    <s v=""/>
    <x v="0"/>
  </r>
  <r>
    <s v="FB000614"/>
    <x v="2"/>
    <x v="3"/>
    <x v="1"/>
    <m/>
    <s v="Purple"/>
    <n v="43.5"/>
    <n v="0"/>
    <n v="43.5"/>
    <x v="1"/>
    <n v="35"/>
    <n v="2.8"/>
    <b v="0"/>
    <m/>
    <n v="28"/>
    <n v="0"/>
    <s v=""/>
    <x v="0"/>
  </r>
  <r>
    <s v="FB000615"/>
    <x v="2"/>
    <x v="2"/>
    <x v="1"/>
    <m/>
    <s v="Pink"/>
    <n v="66"/>
    <n v="0"/>
    <n v="66"/>
    <x v="1"/>
    <n v="19"/>
    <n v="2.6"/>
    <b v="0"/>
    <m/>
    <n v="28"/>
    <n v="0"/>
    <s v=""/>
    <x v="0"/>
  </r>
  <r>
    <s v="FB000616"/>
    <x v="4"/>
    <x v="2"/>
    <x v="3"/>
    <s v="M"/>
    <s v="White"/>
    <n v="38.85"/>
    <n v="0"/>
    <n v="38.85"/>
    <x v="1"/>
    <n v="10"/>
    <n v="3.8"/>
    <b v="0"/>
    <m/>
    <n v="28"/>
    <n v="0"/>
    <s v=""/>
    <x v="0"/>
  </r>
  <r>
    <s v="FB000617"/>
    <x v="2"/>
    <x v="0"/>
    <x v="3"/>
    <m/>
    <s v="Beige"/>
    <n v="61.29"/>
    <n v="0"/>
    <n v="61.29"/>
    <x v="1"/>
    <n v="15"/>
    <n v="4"/>
    <b v="0"/>
    <m/>
    <n v="28"/>
    <n v="0"/>
    <s v=""/>
    <x v="0"/>
  </r>
  <r>
    <s v="FB000618"/>
    <x v="4"/>
    <x v="4"/>
    <x v="0"/>
    <s v="XS"/>
    <s v="Beige"/>
    <n v="90.66"/>
    <n v="0"/>
    <n v="90.66"/>
    <x v="124"/>
    <n v="49"/>
    <n v="2.4"/>
    <b v="1"/>
    <s v="Color Mismatch"/>
    <n v="167"/>
    <n v="0"/>
    <n v="1"/>
    <x v="0"/>
  </r>
  <r>
    <s v="FB000619"/>
    <x v="5"/>
    <x v="3"/>
    <x v="2"/>
    <s v="XL"/>
    <s v="Green"/>
    <n v="119.96"/>
    <n v="0"/>
    <n v="119.96"/>
    <x v="1"/>
    <n v="5"/>
    <n v="5"/>
    <b v="0"/>
    <m/>
    <n v="28"/>
    <n v="0"/>
    <s v=""/>
    <x v="0"/>
  </r>
  <r>
    <s v="FB000620"/>
    <x v="3"/>
    <x v="7"/>
    <x v="2"/>
    <s v="XXL"/>
    <s v="Red"/>
    <n v="130.21"/>
    <n v="0"/>
    <n v="130.21"/>
    <x v="1"/>
    <n v="50"/>
    <n v="4.7"/>
    <b v="0"/>
    <m/>
    <n v="28"/>
    <n v="0"/>
    <s v=""/>
    <x v="0"/>
  </r>
  <r>
    <s v="FB000621"/>
    <x v="1"/>
    <x v="2"/>
    <x v="1"/>
    <s v="XS"/>
    <s v="Red"/>
    <n v="49.68"/>
    <n v="0"/>
    <n v="49.68"/>
    <x v="1"/>
    <n v="15"/>
    <n v="2.8"/>
    <b v="0"/>
    <m/>
    <n v="28"/>
    <n v="0"/>
    <s v=""/>
    <x v="0"/>
  </r>
  <r>
    <s v="FB000622"/>
    <x v="2"/>
    <x v="0"/>
    <x v="0"/>
    <m/>
    <s v="Purple"/>
    <n v="46.58"/>
    <n v="0"/>
    <n v="46.58"/>
    <x v="105"/>
    <n v="42"/>
    <n v="1.7"/>
    <b v="0"/>
    <m/>
    <n v="343"/>
    <n v="0"/>
    <s v=""/>
    <x v="0"/>
  </r>
  <r>
    <s v="FB000623"/>
    <x v="2"/>
    <x v="3"/>
    <x v="3"/>
    <m/>
    <s v="Brown"/>
    <n v="69.88"/>
    <n v="0"/>
    <n v="69.88"/>
    <x v="1"/>
    <n v="8"/>
    <n v="2.8"/>
    <b v="0"/>
    <m/>
    <n v="28"/>
    <n v="0"/>
    <s v=""/>
    <x v="0"/>
  </r>
  <r>
    <s v="FB000624"/>
    <x v="2"/>
    <x v="7"/>
    <x v="2"/>
    <m/>
    <s v="Green"/>
    <n v="32.15"/>
    <n v="0"/>
    <n v="32.15"/>
    <x v="1"/>
    <n v="17"/>
    <n v="1.9"/>
    <b v="1"/>
    <s v="Quality Issue"/>
    <n v="28"/>
    <n v="0"/>
    <n v="1"/>
    <x v="0"/>
  </r>
  <r>
    <s v="FB000625"/>
    <x v="4"/>
    <x v="7"/>
    <x v="3"/>
    <s v="S"/>
    <s v="Black"/>
    <n v="36.340000000000003"/>
    <n v="0"/>
    <n v="36.340000000000003"/>
    <x v="1"/>
    <n v="6"/>
    <n v="4.5"/>
    <b v="1"/>
    <s v="Damaged"/>
    <n v="28"/>
    <n v="0"/>
    <n v="1"/>
    <x v="0"/>
  </r>
  <r>
    <s v="FB000626"/>
    <x v="4"/>
    <x v="3"/>
    <x v="2"/>
    <s v="M"/>
    <s v="Beige"/>
    <n v="93.01"/>
    <n v="0"/>
    <n v="93.01"/>
    <x v="1"/>
    <n v="34"/>
    <n v="1.4"/>
    <b v="0"/>
    <m/>
    <n v="28"/>
    <n v="0"/>
    <s v=""/>
    <x v="0"/>
  </r>
  <r>
    <s v="FB000627"/>
    <x v="1"/>
    <x v="6"/>
    <x v="1"/>
    <s v="S"/>
    <s v="Brown"/>
    <n v="75"/>
    <n v="0"/>
    <n v="75"/>
    <x v="1"/>
    <n v="19"/>
    <n v="1.6"/>
    <b v="0"/>
    <m/>
    <n v="28"/>
    <n v="0"/>
    <s v=""/>
    <x v="0"/>
  </r>
  <r>
    <s v="FB000628"/>
    <x v="0"/>
    <x v="0"/>
    <x v="2"/>
    <s v="M"/>
    <s v="Blue"/>
    <n v="81.63"/>
    <n v="12.4"/>
    <n v="71.510000000000005"/>
    <x v="1"/>
    <n v="3"/>
    <n v="2.7030303030303036"/>
    <b v="0"/>
    <m/>
    <n v="28"/>
    <n v="37.200000000000003"/>
    <s v=""/>
    <x v="1"/>
  </r>
  <r>
    <s v="FB000629"/>
    <x v="4"/>
    <x v="1"/>
    <x v="0"/>
    <s v="XL"/>
    <s v="Gray"/>
    <n v="109.81"/>
    <n v="0"/>
    <n v="109.81"/>
    <x v="43"/>
    <n v="17"/>
    <n v="1.9"/>
    <b v="0"/>
    <m/>
    <n v="41"/>
    <n v="0"/>
    <s v=""/>
    <x v="0"/>
  </r>
  <r>
    <s v="FB000630"/>
    <x v="4"/>
    <x v="5"/>
    <x v="2"/>
    <m/>
    <s v="Black"/>
    <n v="47.7"/>
    <n v="0"/>
    <n v="47.7"/>
    <x v="1"/>
    <n v="14"/>
    <n v="2.2999999999999998"/>
    <b v="0"/>
    <m/>
    <n v="28"/>
    <n v="0"/>
    <s v=""/>
    <x v="0"/>
  </r>
  <r>
    <s v="FB000631"/>
    <x v="1"/>
    <x v="2"/>
    <x v="1"/>
    <s v="S"/>
    <s v="Red"/>
    <n v="96.08"/>
    <n v="0"/>
    <n v="96.08"/>
    <x v="1"/>
    <n v="7"/>
    <n v="2.5"/>
    <b v="0"/>
    <m/>
    <n v="28"/>
    <n v="0"/>
    <s v=""/>
    <x v="0"/>
  </r>
  <r>
    <s v="FB000632"/>
    <x v="1"/>
    <x v="4"/>
    <x v="1"/>
    <s v="XS"/>
    <s v="Brown"/>
    <n v="28"/>
    <n v="2.6"/>
    <n v="27.27"/>
    <x v="1"/>
    <n v="2"/>
    <n v="2.9657142857142857"/>
    <b v="0"/>
    <m/>
    <n v="28"/>
    <n v="5.2"/>
    <s v=""/>
    <x v="1"/>
  </r>
  <r>
    <s v="FB000633"/>
    <x v="4"/>
    <x v="0"/>
    <x v="1"/>
    <s v="S"/>
    <s v="Brown"/>
    <n v="52.43"/>
    <n v="6.4"/>
    <n v="49.07"/>
    <x v="1"/>
    <n v="42"/>
    <n v="2.6"/>
    <b v="0"/>
    <m/>
    <n v="28"/>
    <n v="268.8"/>
    <s v=""/>
    <x v="1"/>
  </r>
  <r>
    <s v="FB000634"/>
    <x v="2"/>
    <x v="6"/>
    <x v="3"/>
    <m/>
    <s v="Pink"/>
    <n v="67.95"/>
    <n v="18.3"/>
    <n v="55.52"/>
    <x v="1"/>
    <n v="37"/>
    <n v="3.2720930232558145"/>
    <b v="0"/>
    <m/>
    <n v="28"/>
    <n v="677.1"/>
    <s v=""/>
    <x v="1"/>
  </r>
  <r>
    <s v="FB000635"/>
    <x v="5"/>
    <x v="5"/>
    <x v="2"/>
    <m/>
    <s v="Red"/>
    <n v="131.91999999999999"/>
    <n v="0"/>
    <n v="131.91999999999999"/>
    <x v="1"/>
    <n v="10"/>
    <n v="2.5"/>
    <b v="0"/>
    <m/>
    <n v="28"/>
    <n v="0"/>
    <s v=""/>
    <x v="0"/>
  </r>
  <r>
    <s v="FB000636"/>
    <x v="0"/>
    <x v="5"/>
    <x v="0"/>
    <s v="XS"/>
    <s v="White"/>
    <n v="205.77"/>
    <n v="0"/>
    <n v="205.77"/>
    <x v="125"/>
    <n v="38"/>
    <n v="1"/>
    <b v="0"/>
    <m/>
    <n v="215"/>
    <n v="0"/>
    <s v=""/>
    <x v="0"/>
  </r>
  <r>
    <s v="FB000637"/>
    <x v="1"/>
    <x v="1"/>
    <x v="1"/>
    <s v="XL"/>
    <s v="White"/>
    <n v="97.88"/>
    <n v="11.3"/>
    <n v="86.82"/>
    <x v="1"/>
    <n v="27"/>
    <n v="1.3"/>
    <b v="0"/>
    <m/>
    <n v="28"/>
    <n v="305.10000000000002"/>
    <s v=""/>
    <x v="1"/>
  </r>
  <r>
    <s v="FB000638"/>
    <x v="3"/>
    <x v="0"/>
    <x v="3"/>
    <s v="L"/>
    <s v="Gray"/>
    <n v="109.55"/>
    <n v="0"/>
    <n v="109.55"/>
    <x v="1"/>
    <n v="32"/>
    <n v="1.4"/>
    <b v="0"/>
    <m/>
    <n v="28"/>
    <n v="0"/>
    <s v=""/>
    <x v="0"/>
  </r>
  <r>
    <s v="FB000639"/>
    <x v="4"/>
    <x v="0"/>
    <x v="2"/>
    <s v="L"/>
    <s v="Gray"/>
    <n v="52.94"/>
    <n v="10.6"/>
    <n v="47.33"/>
    <x v="1"/>
    <n v="50"/>
    <n v="2.7"/>
    <b v="0"/>
    <m/>
    <n v="28"/>
    <n v="530"/>
    <s v=""/>
    <x v="1"/>
  </r>
  <r>
    <s v="FB000640"/>
    <x v="4"/>
    <x v="2"/>
    <x v="1"/>
    <s v="XS"/>
    <s v="Pink"/>
    <n v="70.83"/>
    <n v="18"/>
    <n v="58.08"/>
    <x v="1"/>
    <n v="21"/>
    <n v="2.9"/>
    <b v="0"/>
    <m/>
    <n v="28"/>
    <n v="378"/>
    <s v=""/>
    <x v="1"/>
  </r>
  <r>
    <s v="FB000641"/>
    <x v="5"/>
    <x v="3"/>
    <x v="2"/>
    <s v="L"/>
    <s v="Navy"/>
    <n v="53.17"/>
    <n v="0"/>
    <n v="53.17"/>
    <x v="1"/>
    <n v="14"/>
    <n v="4.5"/>
    <b v="1"/>
    <s v="Changed Mind"/>
    <n v="28"/>
    <n v="0"/>
    <n v="1"/>
    <x v="0"/>
  </r>
  <r>
    <s v="FB000642"/>
    <x v="4"/>
    <x v="2"/>
    <x v="3"/>
    <s v="XS"/>
    <s v="Beige"/>
    <n v="119.56"/>
    <n v="46.2"/>
    <n v="64.319999999999993"/>
    <x v="1"/>
    <n v="14"/>
    <n v="3.0384615384615379"/>
    <b v="0"/>
    <m/>
    <n v="28"/>
    <n v="646.80000000000007"/>
    <s v=""/>
    <x v="1"/>
  </r>
  <r>
    <s v="FB000643"/>
    <x v="5"/>
    <x v="3"/>
    <x v="1"/>
    <s v="S"/>
    <s v="Blue"/>
    <n v="144.43"/>
    <n v="0"/>
    <n v="144.43"/>
    <x v="1"/>
    <n v="41"/>
    <n v="3.6"/>
    <b v="0"/>
    <m/>
    <n v="28"/>
    <n v="0"/>
    <s v=""/>
    <x v="0"/>
  </r>
  <r>
    <s v="FB000644"/>
    <x v="0"/>
    <x v="3"/>
    <x v="0"/>
    <s v="S"/>
    <s v="Purple"/>
    <n v="172.93"/>
    <n v="0"/>
    <n v="172.93"/>
    <x v="36"/>
    <n v="43"/>
    <n v="4.7"/>
    <b v="1"/>
    <s v="Quality Issue"/>
    <n v="144"/>
    <n v="0"/>
    <n v="1"/>
    <x v="0"/>
  </r>
  <r>
    <s v="FB000645"/>
    <x v="0"/>
    <x v="6"/>
    <x v="1"/>
    <s v="XL"/>
    <s v="Beige"/>
    <n v="191.95"/>
    <n v="40.4"/>
    <n v="114.4"/>
    <x v="1"/>
    <n v="21"/>
    <n v="2.9"/>
    <b v="0"/>
    <m/>
    <n v="28"/>
    <n v="848.4"/>
    <s v=""/>
    <x v="1"/>
  </r>
  <r>
    <s v="FB000646"/>
    <x v="5"/>
    <x v="4"/>
    <x v="1"/>
    <s v="M"/>
    <s v="Black"/>
    <n v="128.56"/>
    <n v="0"/>
    <n v="128.56"/>
    <x v="1"/>
    <n v="45"/>
    <n v="2.4"/>
    <b v="0"/>
    <m/>
    <n v="28"/>
    <n v="0"/>
    <s v=""/>
    <x v="0"/>
  </r>
  <r>
    <s v="FB000647"/>
    <x v="5"/>
    <x v="4"/>
    <x v="3"/>
    <s v="L"/>
    <s v="White"/>
    <n v="123.08"/>
    <n v="53"/>
    <n v="57.85"/>
    <x v="1"/>
    <n v="38"/>
    <n v="2.5"/>
    <b v="0"/>
    <m/>
    <n v="28"/>
    <n v="2014"/>
    <s v=""/>
    <x v="1"/>
  </r>
  <r>
    <s v="FB000648"/>
    <x v="0"/>
    <x v="5"/>
    <x v="0"/>
    <s v="S"/>
    <s v="Purple"/>
    <n v="119.78"/>
    <n v="0"/>
    <n v="119.78"/>
    <x v="126"/>
    <n v="22"/>
    <n v="1.5"/>
    <b v="1"/>
    <s v="Color Mismatch"/>
    <n v="152"/>
    <n v="0"/>
    <n v="1"/>
    <x v="0"/>
  </r>
  <r>
    <s v="FB000649"/>
    <x v="4"/>
    <x v="2"/>
    <x v="3"/>
    <s v="XS"/>
    <s v="White"/>
    <n v="110.6"/>
    <n v="0"/>
    <n v="110.6"/>
    <x v="1"/>
    <n v="19"/>
    <n v="3.0384615384615379"/>
    <b v="1"/>
    <s v="Color Mismatch"/>
    <n v="28"/>
    <n v="0"/>
    <n v="1"/>
    <x v="0"/>
  </r>
  <r>
    <s v="FB000650"/>
    <x v="1"/>
    <x v="0"/>
    <x v="0"/>
    <s v="S"/>
    <s v="Purple"/>
    <n v="58.16"/>
    <n v="0"/>
    <n v="58.16"/>
    <x v="127"/>
    <n v="29"/>
    <n v="4.0999999999999996"/>
    <b v="0"/>
    <m/>
    <n v="63"/>
    <n v="0"/>
    <s v=""/>
    <x v="0"/>
  </r>
  <r>
    <s v="FB000651"/>
    <x v="0"/>
    <x v="3"/>
    <x v="2"/>
    <s v="S"/>
    <s v="Green"/>
    <n v="208.82"/>
    <n v="0"/>
    <n v="208.82"/>
    <x v="1"/>
    <n v="45"/>
    <n v="1.8"/>
    <b v="0"/>
    <m/>
    <n v="28"/>
    <n v="0"/>
    <s v=""/>
    <x v="0"/>
  </r>
  <r>
    <s v="FB000652"/>
    <x v="3"/>
    <x v="5"/>
    <x v="1"/>
    <s v="M"/>
    <s v="Black"/>
    <n v="192.74"/>
    <n v="0"/>
    <n v="192.74"/>
    <x v="1"/>
    <n v="43"/>
    <n v="4.3"/>
    <b v="0"/>
    <m/>
    <n v="28"/>
    <n v="0"/>
    <s v=""/>
    <x v="0"/>
  </r>
  <r>
    <s v="FB000653"/>
    <x v="2"/>
    <x v="6"/>
    <x v="2"/>
    <m/>
    <s v="Red"/>
    <n v="71.819999999999993"/>
    <n v="18.399999999999999"/>
    <n v="58.61"/>
    <x v="1"/>
    <n v="50"/>
    <n v="1.9"/>
    <b v="0"/>
    <m/>
    <n v="28"/>
    <n v="919.99999999999989"/>
    <s v=""/>
    <x v="1"/>
  </r>
  <r>
    <s v="FB000654"/>
    <x v="3"/>
    <x v="0"/>
    <x v="3"/>
    <s v="XS"/>
    <s v="Red"/>
    <n v="145.4"/>
    <n v="0"/>
    <n v="145.4"/>
    <x v="1"/>
    <n v="14"/>
    <n v="2"/>
    <b v="0"/>
    <m/>
    <n v="28"/>
    <n v="0"/>
    <s v=""/>
    <x v="0"/>
  </r>
  <r>
    <s v="FB000655"/>
    <x v="4"/>
    <x v="3"/>
    <x v="3"/>
    <s v="XXL"/>
    <s v="Brown"/>
    <n v="51.94"/>
    <n v="0"/>
    <n v="51.94"/>
    <x v="1"/>
    <n v="9"/>
    <n v="3.2"/>
    <b v="0"/>
    <m/>
    <n v="28"/>
    <n v="0"/>
    <s v=""/>
    <x v="0"/>
  </r>
  <r>
    <s v="FB000656"/>
    <x v="2"/>
    <x v="5"/>
    <x v="0"/>
    <m/>
    <s v="Black"/>
    <n v="77.48"/>
    <n v="0"/>
    <n v="77.48"/>
    <x v="128"/>
    <n v="49"/>
    <n v="3.3"/>
    <b v="1"/>
    <s v="Quality Issue"/>
    <n v="331"/>
    <n v="0"/>
    <n v="1"/>
    <x v="0"/>
  </r>
  <r>
    <s v="FB000657"/>
    <x v="5"/>
    <x v="3"/>
    <x v="3"/>
    <s v="L"/>
    <s v="Black"/>
    <n v="59.66"/>
    <n v="45.2"/>
    <n v="32.69"/>
    <x v="1"/>
    <n v="14"/>
    <n v="2.6"/>
    <b v="0"/>
    <m/>
    <n v="28"/>
    <n v="632.80000000000007"/>
    <s v=""/>
    <x v="1"/>
  </r>
  <r>
    <s v="FB000658"/>
    <x v="4"/>
    <x v="1"/>
    <x v="3"/>
    <s v="S"/>
    <s v="Red"/>
    <n v="102.07"/>
    <n v="0"/>
    <n v="102.07"/>
    <x v="1"/>
    <n v="26"/>
    <n v="3.0846153846153843"/>
    <b v="1"/>
    <s v="Color Mismatch"/>
    <n v="28"/>
    <n v="0"/>
    <n v="1"/>
    <x v="0"/>
  </r>
  <r>
    <s v="FB000659"/>
    <x v="2"/>
    <x v="2"/>
    <x v="0"/>
    <m/>
    <s v="Gray"/>
    <n v="48.57"/>
    <n v="0"/>
    <n v="48.57"/>
    <x v="33"/>
    <n v="12"/>
    <n v="4.7"/>
    <b v="0"/>
    <m/>
    <n v="271"/>
    <n v="0"/>
    <s v=""/>
    <x v="0"/>
  </r>
  <r>
    <s v="FB000660"/>
    <x v="3"/>
    <x v="6"/>
    <x v="3"/>
    <s v="M"/>
    <s v="Navy"/>
    <n v="121.55"/>
    <n v="0"/>
    <n v="121.55"/>
    <x v="1"/>
    <n v="16"/>
    <n v="2.9083333333333328"/>
    <b v="1"/>
    <s v="Damaged"/>
    <n v="28"/>
    <n v="0"/>
    <n v="1"/>
    <x v="0"/>
  </r>
  <r>
    <s v="FB000661"/>
    <x v="2"/>
    <x v="5"/>
    <x v="1"/>
    <m/>
    <s v="Navy"/>
    <n v="59.22"/>
    <n v="44.8"/>
    <n v="32.69"/>
    <x v="1"/>
    <n v="21"/>
    <n v="2"/>
    <b v="0"/>
    <m/>
    <n v="28"/>
    <n v="940.8"/>
    <s v=""/>
    <x v="1"/>
  </r>
  <r>
    <s v="FB000662"/>
    <x v="1"/>
    <x v="5"/>
    <x v="0"/>
    <s v="XS"/>
    <s v="Beige"/>
    <n v="58.5"/>
    <n v="2.1"/>
    <n v="57.27"/>
    <x v="57"/>
    <n v="24"/>
    <n v="3.9"/>
    <b v="0"/>
    <m/>
    <n v="103"/>
    <n v="50.400000000000006"/>
    <s v=""/>
    <x v="1"/>
  </r>
  <r>
    <s v="FB000663"/>
    <x v="2"/>
    <x v="7"/>
    <x v="2"/>
    <m/>
    <s v="Green"/>
    <n v="73.849999999999994"/>
    <n v="0"/>
    <n v="73.849999999999994"/>
    <x v="1"/>
    <n v="46"/>
    <n v="2"/>
    <b v="0"/>
    <m/>
    <n v="28"/>
    <n v="0"/>
    <s v=""/>
    <x v="0"/>
  </r>
  <r>
    <s v="FB000664"/>
    <x v="4"/>
    <x v="4"/>
    <x v="3"/>
    <s v="XXL"/>
    <s v="Red"/>
    <n v="114.32"/>
    <n v="36.5"/>
    <n v="72.59"/>
    <x v="1"/>
    <n v="41"/>
    <n v="4.0999999999999996"/>
    <b v="0"/>
    <m/>
    <n v="28"/>
    <n v="1496.5"/>
    <s v=""/>
    <x v="1"/>
  </r>
  <r>
    <s v="FB000665"/>
    <x v="4"/>
    <x v="7"/>
    <x v="3"/>
    <s v="XS"/>
    <s v="Gray"/>
    <n v="91.4"/>
    <n v="11"/>
    <n v="81.349999999999994"/>
    <x v="1"/>
    <n v="18"/>
    <n v="1.6"/>
    <b v="0"/>
    <m/>
    <n v="28"/>
    <n v="198"/>
    <s v=""/>
    <x v="1"/>
  </r>
  <r>
    <s v="FB000666"/>
    <x v="2"/>
    <x v="7"/>
    <x v="1"/>
    <m/>
    <s v="Navy"/>
    <n v="69.77"/>
    <n v="0"/>
    <n v="69.77"/>
    <x v="1"/>
    <n v="30"/>
    <n v="2.8636363636363633"/>
    <b v="1"/>
    <s v="Color Mismatch"/>
    <n v="28"/>
    <n v="0"/>
    <n v="1"/>
    <x v="0"/>
  </r>
  <r>
    <s v="FB000667"/>
    <x v="1"/>
    <x v="4"/>
    <x v="3"/>
    <s v="L"/>
    <s v="Black"/>
    <n v="72.95"/>
    <n v="0"/>
    <n v="72.95"/>
    <x v="1"/>
    <n v="27"/>
    <n v="4.8"/>
    <b v="0"/>
    <m/>
    <n v="28"/>
    <n v="0"/>
    <s v=""/>
    <x v="0"/>
  </r>
  <r>
    <s v="FB000668"/>
    <x v="4"/>
    <x v="5"/>
    <x v="3"/>
    <s v="XL"/>
    <s v="Beige"/>
    <n v="63.99"/>
    <n v="42.2"/>
    <n v="36.99"/>
    <x v="1"/>
    <n v="35"/>
    <n v="3.2"/>
    <b v="0"/>
    <m/>
    <n v="28"/>
    <n v="1477"/>
    <s v=""/>
    <x v="1"/>
  </r>
  <r>
    <s v="FB000669"/>
    <x v="5"/>
    <x v="2"/>
    <x v="3"/>
    <s v="XL"/>
    <s v="Blue"/>
    <n v="74.84"/>
    <n v="51.9"/>
    <n v="36"/>
    <x v="1"/>
    <n v="35"/>
    <n v="2.5"/>
    <b v="0"/>
    <m/>
    <n v="28"/>
    <n v="1816.5"/>
    <s v=""/>
    <x v="1"/>
  </r>
  <r>
    <s v="FB000670"/>
    <x v="0"/>
    <x v="4"/>
    <x v="0"/>
    <s v="XS"/>
    <s v="Black"/>
    <n v="158.84"/>
    <n v="0"/>
    <n v="158.84"/>
    <x v="10"/>
    <n v="30"/>
    <n v="4.5999999999999996"/>
    <b v="0"/>
    <m/>
    <n v="140"/>
    <n v="0"/>
    <s v=""/>
    <x v="0"/>
  </r>
  <r>
    <s v="FB000671"/>
    <x v="3"/>
    <x v="3"/>
    <x v="0"/>
    <s v="M"/>
    <s v="Brown"/>
    <n v="96.36"/>
    <n v="58.6"/>
    <n v="39.89"/>
    <x v="23"/>
    <n v="16"/>
    <n v="3.9"/>
    <b v="0"/>
    <m/>
    <n v="205"/>
    <n v="937.6"/>
    <s v=""/>
    <x v="1"/>
  </r>
  <r>
    <s v="FB000672"/>
    <x v="4"/>
    <x v="4"/>
    <x v="0"/>
    <s v="XS"/>
    <s v="Purple"/>
    <n v="51.06"/>
    <n v="13.9"/>
    <n v="43.96"/>
    <x v="65"/>
    <n v="16"/>
    <n v="1.3"/>
    <b v="0"/>
    <m/>
    <n v="383"/>
    <n v="222.4"/>
    <s v=""/>
    <x v="1"/>
  </r>
  <r>
    <s v="FB000673"/>
    <x v="4"/>
    <x v="2"/>
    <x v="3"/>
    <s v="L"/>
    <s v="Navy"/>
    <n v="49.75"/>
    <n v="26.4"/>
    <n v="36.619999999999997"/>
    <x v="1"/>
    <n v="24"/>
    <n v="3.8"/>
    <b v="0"/>
    <m/>
    <n v="28"/>
    <n v="633.59999999999991"/>
    <s v=""/>
    <x v="1"/>
  </r>
  <r>
    <s v="FB000674"/>
    <x v="5"/>
    <x v="3"/>
    <x v="0"/>
    <s v="XS"/>
    <s v="Pink"/>
    <n v="148.97999999999999"/>
    <n v="0"/>
    <n v="148.97999999999999"/>
    <x v="129"/>
    <n v="11"/>
    <n v="2.2000000000000002"/>
    <b v="1"/>
    <s v="Wrong Item"/>
    <n v="312"/>
    <n v="0"/>
    <n v="1"/>
    <x v="0"/>
  </r>
  <r>
    <s v="FB000675"/>
    <x v="2"/>
    <x v="6"/>
    <x v="1"/>
    <m/>
    <s v="Gray"/>
    <n v="72.239999999999995"/>
    <n v="0"/>
    <n v="72.239999999999995"/>
    <x v="1"/>
    <n v="35"/>
    <n v="4.0999999999999996"/>
    <b v="0"/>
    <m/>
    <n v="28"/>
    <n v="0"/>
    <s v=""/>
    <x v="0"/>
  </r>
  <r>
    <s v="FB000676"/>
    <x v="1"/>
    <x v="3"/>
    <x v="1"/>
    <s v="XS"/>
    <s v="Blue"/>
    <n v="94.92"/>
    <n v="0"/>
    <n v="94.92"/>
    <x v="1"/>
    <n v="5"/>
    <n v="3.3"/>
    <b v="0"/>
    <m/>
    <n v="28"/>
    <n v="0"/>
    <s v=""/>
    <x v="0"/>
  </r>
  <r>
    <s v="FB000677"/>
    <x v="0"/>
    <x v="2"/>
    <x v="2"/>
    <s v="XXL"/>
    <s v="Brown"/>
    <n v="91.08"/>
    <n v="0"/>
    <n v="91.08"/>
    <x v="1"/>
    <n v="47"/>
    <n v="4.9000000000000004"/>
    <b v="0"/>
    <m/>
    <n v="28"/>
    <n v="0"/>
    <s v=""/>
    <x v="0"/>
  </r>
  <r>
    <s v="FB000678"/>
    <x v="2"/>
    <x v="2"/>
    <x v="2"/>
    <m/>
    <s v="Brown"/>
    <n v="49.72"/>
    <n v="58.3"/>
    <n v="20.73"/>
    <x v="1"/>
    <n v="4"/>
    <n v="1.6"/>
    <b v="0"/>
    <m/>
    <n v="28"/>
    <n v="233.2"/>
    <s v=""/>
    <x v="1"/>
  </r>
  <r>
    <s v="FB000679"/>
    <x v="2"/>
    <x v="6"/>
    <x v="1"/>
    <m/>
    <s v="Purple"/>
    <n v="23.09"/>
    <n v="7.1"/>
    <n v="21.45"/>
    <x v="1"/>
    <n v="11"/>
    <n v="1.2"/>
    <b v="0"/>
    <m/>
    <n v="28"/>
    <n v="78.099999999999994"/>
    <s v=""/>
    <x v="1"/>
  </r>
  <r>
    <s v="FB000680"/>
    <x v="2"/>
    <x v="0"/>
    <x v="0"/>
    <m/>
    <s v="Red"/>
    <n v="49.95"/>
    <n v="0"/>
    <n v="49.95"/>
    <x v="48"/>
    <n v="29"/>
    <n v="4.3"/>
    <b v="0"/>
    <m/>
    <n v="351"/>
    <n v="0"/>
    <s v=""/>
    <x v="0"/>
  </r>
  <r>
    <s v="FB000681"/>
    <x v="2"/>
    <x v="7"/>
    <x v="1"/>
    <m/>
    <s v="Green"/>
    <n v="25.7"/>
    <n v="0"/>
    <n v="25.7"/>
    <x v="1"/>
    <n v="38"/>
    <n v="3.2"/>
    <b v="1"/>
    <s v="Quality Issue"/>
    <n v="28"/>
    <n v="0"/>
    <n v="1"/>
    <x v="0"/>
  </r>
  <r>
    <s v="FB000682"/>
    <x v="3"/>
    <x v="3"/>
    <x v="3"/>
    <s v="XS"/>
    <s v="Green"/>
    <n v="175.22"/>
    <n v="0"/>
    <n v="175.22"/>
    <x v="1"/>
    <n v="8"/>
    <n v="4.9000000000000004"/>
    <b v="0"/>
    <m/>
    <n v="28"/>
    <n v="0"/>
    <s v=""/>
    <x v="0"/>
  </r>
  <r>
    <s v="FB000683"/>
    <x v="4"/>
    <x v="5"/>
    <x v="3"/>
    <s v="XS"/>
    <s v="Gray"/>
    <n v="37.57"/>
    <n v="0"/>
    <n v="37.57"/>
    <x v="1"/>
    <n v="18"/>
    <n v="1.9"/>
    <b v="0"/>
    <m/>
    <n v="28"/>
    <n v="0"/>
    <s v=""/>
    <x v="0"/>
  </r>
  <r>
    <s v="FB000684"/>
    <x v="0"/>
    <x v="0"/>
    <x v="0"/>
    <s v="M"/>
    <s v="Green"/>
    <n v="245.87"/>
    <n v="0"/>
    <n v="245.87"/>
    <x v="130"/>
    <n v="27"/>
    <n v="2.6"/>
    <b v="0"/>
    <m/>
    <n v="71"/>
    <n v="0"/>
    <s v=""/>
    <x v="0"/>
  </r>
  <r>
    <s v="FB000685"/>
    <x v="4"/>
    <x v="2"/>
    <x v="1"/>
    <s v="XS"/>
    <s v="Red"/>
    <n v="116.92"/>
    <n v="0"/>
    <n v="116.92"/>
    <x v="1"/>
    <n v="13"/>
    <n v="3.2"/>
    <b v="0"/>
    <m/>
    <n v="28"/>
    <n v="0"/>
    <s v=""/>
    <x v="0"/>
  </r>
  <r>
    <s v="FB000686"/>
    <x v="5"/>
    <x v="5"/>
    <x v="1"/>
    <s v="L"/>
    <s v="Pink"/>
    <n v="103.11"/>
    <n v="0"/>
    <n v="103.11"/>
    <x v="1"/>
    <n v="17"/>
    <n v="3.1874999999999991"/>
    <b v="0"/>
    <m/>
    <n v="28"/>
    <n v="0"/>
    <s v=""/>
    <x v="0"/>
  </r>
  <r>
    <s v="FB000687"/>
    <x v="0"/>
    <x v="1"/>
    <x v="2"/>
    <s v="M"/>
    <s v="Purple"/>
    <n v="238.89"/>
    <n v="0.5"/>
    <n v="237.7"/>
    <x v="1"/>
    <n v="28"/>
    <n v="2.7"/>
    <b v="0"/>
    <m/>
    <n v="28"/>
    <n v="14"/>
    <s v=""/>
    <x v="1"/>
  </r>
  <r>
    <s v="FB000688"/>
    <x v="3"/>
    <x v="1"/>
    <x v="3"/>
    <s v="XS"/>
    <s v="Pink"/>
    <n v="86.81"/>
    <n v="12.6"/>
    <n v="75.87"/>
    <x v="1"/>
    <n v="6"/>
    <n v="1.7"/>
    <b v="0"/>
    <m/>
    <n v="28"/>
    <n v="75.599999999999994"/>
    <s v=""/>
    <x v="1"/>
  </r>
  <r>
    <s v="FB000689"/>
    <x v="4"/>
    <x v="3"/>
    <x v="3"/>
    <s v="XS"/>
    <s v="Blue"/>
    <n v="58.8"/>
    <n v="11.8"/>
    <n v="51.86"/>
    <x v="1"/>
    <n v="8"/>
    <n v="2.8142857142857149"/>
    <b v="0"/>
    <m/>
    <n v="28"/>
    <n v="94.4"/>
    <s v=""/>
    <x v="1"/>
  </r>
  <r>
    <s v="FB000690"/>
    <x v="4"/>
    <x v="5"/>
    <x v="0"/>
    <s v="XL"/>
    <s v="Beige"/>
    <n v="41.65"/>
    <n v="52"/>
    <n v="19.989999999999998"/>
    <x v="131"/>
    <n v="20"/>
    <n v="1.2"/>
    <b v="0"/>
    <m/>
    <n v="110"/>
    <n v="1040"/>
    <s v=""/>
    <x v="1"/>
  </r>
  <r>
    <s v="FB000691"/>
    <x v="1"/>
    <x v="4"/>
    <x v="0"/>
    <s v="XL"/>
    <s v="Black"/>
    <n v="61.67"/>
    <n v="46.4"/>
    <n v="33.06"/>
    <x v="132"/>
    <n v="50"/>
    <n v="2.7"/>
    <b v="0"/>
    <m/>
    <n v="50"/>
    <n v="2320"/>
    <s v=""/>
    <x v="1"/>
  </r>
  <r>
    <s v="FB000692"/>
    <x v="4"/>
    <x v="4"/>
    <x v="2"/>
    <s v="XS"/>
    <s v="Black"/>
    <n v="40.39"/>
    <n v="0"/>
    <n v="40.39"/>
    <x v="1"/>
    <n v="16"/>
    <n v="3.0659090909090896"/>
    <b v="0"/>
    <m/>
    <n v="28"/>
    <n v="0"/>
    <s v=""/>
    <x v="0"/>
  </r>
  <r>
    <s v="FB000693"/>
    <x v="1"/>
    <x v="5"/>
    <x v="2"/>
    <s v="XXL"/>
    <s v="Purple"/>
    <n v="95.13"/>
    <n v="45.4"/>
    <n v="51.94"/>
    <x v="1"/>
    <n v="46"/>
    <n v="2.5"/>
    <b v="0"/>
    <m/>
    <n v="28"/>
    <n v="2088.4"/>
    <s v=""/>
    <x v="1"/>
  </r>
  <r>
    <s v="FB000694"/>
    <x v="4"/>
    <x v="0"/>
    <x v="2"/>
    <s v="S"/>
    <s v="Green"/>
    <n v="115.14"/>
    <n v="0"/>
    <n v="115.14"/>
    <x v="1"/>
    <n v="43"/>
    <n v="2.5"/>
    <b v="0"/>
    <m/>
    <n v="28"/>
    <n v="0"/>
    <s v=""/>
    <x v="0"/>
  </r>
  <r>
    <s v="FB000695"/>
    <x v="1"/>
    <x v="4"/>
    <x v="3"/>
    <m/>
    <s v="Beige"/>
    <n v="59.58"/>
    <n v="0"/>
    <n v="59.58"/>
    <x v="1"/>
    <n v="27"/>
    <n v="3.3"/>
    <b v="0"/>
    <m/>
    <n v="28"/>
    <n v="0"/>
    <s v=""/>
    <x v="0"/>
  </r>
  <r>
    <s v="FB000696"/>
    <x v="3"/>
    <x v="1"/>
    <x v="0"/>
    <s v="M"/>
    <s v="Purple"/>
    <n v="169.89"/>
    <n v="0"/>
    <n v="169.89"/>
    <x v="64"/>
    <n v="12"/>
    <n v="1.2"/>
    <b v="0"/>
    <m/>
    <n v="51"/>
    <n v="0"/>
    <s v=""/>
    <x v="0"/>
  </r>
  <r>
    <s v="FB000697"/>
    <x v="3"/>
    <x v="3"/>
    <x v="1"/>
    <s v="S"/>
    <s v="Black"/>
    <n v="117.38"/>
    <n v="22.5"/>
    <n v="90.97"/>
    <x v="1"/>
    <n v="42"/>
    <n v="2.8"/>
    <b v="1"/>
    <s v="Color Mismatch"/>
    <n v="28"/>
    <n v="945"/>
    <n v="1"/>
    <x v="1"/>
  </r>
  <r>
    <s v="FB000698"/>
    <x v="1"/>
    <x v="3"/>
    <x v="1"/>
    <s v="S"/>
    <s v="Pink"/>
    <n v="118.95"/>
    <n v="0"/>
    <n v="118.95"/>
    <x v="1"/>
    <n v="18"/>
    <n v="1.9"/>
    <b v="1"/>
    <s v="Quality Issue"/>
    <n v="28"/>
    <n v="0"/>
    <n v="1"/>
    <x v="0"/>
  </r>
  <r>
    <s v="FB000699"/>
    <x v="2"/>
    <x v="1"/>
    <x v="2"/>
    <m/>
    <s v="Red"/>
    <n v="39.299999999999997"/>
    <n v="0"/>
    <n v="39.299999999999997"/>
    <x v="1"/>
    <n v="39"/>
    <n v="3.1288461538461547"/>
    <b v="0"/>
    <m/>
    <n v="28"/>
    <n v="0"/>
    <s v=""/>
    <x v="0"/>
  </r>
  <r>
    <s v="FB000700"/>
    <x v="1"/>
    <x v="4"/>
    <x v="1"/>
    <s v="L"/>
    <s v="Beige"/>
    <n v="74.3"/>
    <n v="0"/>
    <n v="74.3"/>
    <x v="1"/>
    <n v="31"/>
    <n v="3.8"/>
    <b v="1"/>
    <s v="Wrong Item"/>
    <n v="28"/>
    <n v="0"/>
    <n v="1"/>
    <x v="0"/>
  </r>
  <r>
    <s v="FB000701"/>
    <x v="4"/>
    <x v="4"/>
    <x v="0"/>
    <s v="XS"/>
    <s v="Brown"/>
    <n v="62.97"/>
    <n v="0"/>
    <n v="62.97"/>
    <x v="76"/>
    <n v="5"/>
    <n v="3.5"/>
    <b v="0"/>
    <m/>
    <n v="100"/>
    <n v="0"/>
    <s v=""/>
    <x v="0"/>
  </r>
  <r>
    <s v="FB000702"/>
    <x v="2"/>
    <x v="4"/>
    <x v="3"/>
    <m/>
    <s v="Gray"/>
    <n v="73.599999999999994"/>
    <n v="0"/>
    <n v="73.599999999999994"/>
    <x v="1"/>
    <n v="1"/>
    <n v="1.8"/>
    <b v="0"/>
    <m/>
    <n v="28"/>
    <n v="0"/>
    <s v=""/>
    <x v="0"/>
  </r>
  <r>
    <s v="FB000703"/>
    <x v="2"/>
    <x v="3"/>
    <x v="0"/>
    <m/>
    <s v="Black"/>
    <n v="77.849999999999994"/>
    <n v="34.9"/>
    <n v="50.68"/>
    <x v="133"/>
    <n v="11"/>
    <n v="2.5131578947368416"/>
    <b v="0"/>
    <m/>
    <n v="29"/>
    <n v="383.9"/>
    <s v=""/>
    <x v="1"/>
  </r>
  <r>
    <s v="FB000704"/>
    <x v="1"/>
    <x v="7"/>
    <x v="3"/>
    <m/>
    <s v="Red"/>
    <n v="94.31"/>
    <n v="0"/>
    <n v="94.31"/>
    <x v="1"/>
    <n v="20"/>
    <n v="3"/>
    <b v="0"/>
    <m/>
    <n v="28"/>
    <n v="0"/>
    <s v=""/>
    <x v="0"/>
  </r>
  <r>
    <s v="FB000705"/>
    <x v="4"/>
    <x v="5"/>
    <x v="0"/>
    <m/>
    <s v="Navy"/>
    <n v="60.36"/>
    <n v="0"/>
    <n v="60.36"/>
    <x v="134"/>
    <n v="35"/>
    <n v="3.3"/>
    <b v="0"/>
    <m/>
    <n v="367"/>
    <n v="0"/>
    <s v=""/>
    <x v="0"/>
  </r>
  <r>
    <s v="FB000706"/>
    <x v="4"/>
    <x v="3"/>
    <x v="3"/>
    <s v="XXL"/>
    <s v="Brown"/>
    <n v="94.85"/>
    <n v="0"/>
    <n v="94.85"/>
    <x v="1"/>
    <n v="28"/>
    <n v="1.5"/>
    <b v="0"/>
    <m/>
    <n v="28"/>
    <n v="0"/>
    <s v=""/>
    <x v="0"/>
  </r>
  <r>
    <s v="FB000707"/>
    <x v="2"/>
    <x v="1"/>
    <x v="1"/>
    <m/>
    <s v="Blue"/>
    <n v="30.52"/>
    <n v="7.9"/>
    <n v="28.11"/>
    <x v="1"/>
    <n v="43"/>
    <n v="4.7"/>
    <b v="0"/>
    <m/>
    <n v="28"/>
    <n v="339.7"/>
    <s v=""/>
    <x v="1"/>
  </r>
  <r>
    <s v="FB000708"/>
    <x v="5"/>
    <x v="3"/>
    <x v="3"/>
    <s v="XS"/>
    <s v="Navy"/>
    <n v="97.06"/>
    <n v="0"/>
    <n v="97.06"/>
    <x v="1"/>
    <n v="24"/>
    <n v="3.9"/>
    <b v="0"/>
    <m/>
    <n v="28"/>
    <n v="0"/>
    <s v=""/>
    <x v="0"/>
  </r>
  <r>
    <s v="FB000709"/>
    <x v="4"/>
    <x v="7"/>
    <x v="3"/>
    <s v="M"/>
    <s v="Purple"/>
    <n v="57.85"/>
    <n v="35.4"/>
    <n v="37.369999999999997"/>
    <x v="1"/>
    <n v="17"/>
    <n v="3.1021739130434773"/>
    <b v="0"/>
    <m/>
    <n v="28"/>
    <n v="601.79999999999995"/>
    <s v=""/>
    <x v="1"/>
  </r>
  <r>
    <s v="FB000710"/>
    <x v="1"/>
    <x v="0"/>
    <x v="2"/>
    <s v="M"/>
    <s v="White"/>
    <n v="51.35"/>
    <n v="19.7"/>
    <n v="41.23"/>
    <x v="1"/>
    <n v="39"/>
    <n v="1.3"/>
    <b v="0"/>
    <m/>
    <n v="28"/>
    <n v="768.3"/>
    <s v=""/>
    <x v="1"/>
  </r>
  <r>
    <s v="FB000711"/>
    <x v="2"/>
    <x v="5"/>
    <x v="0"/>
    <m/>
    <s v="Black"/>
    <n v="61.34"/>
    <n v="45.4"/>
    <n v="33.49"/>
    <x v="135"/>
    <n v="46"/>
    <n v="3.2731707317073173"/>
    <b v="0"/>
    <m/>
    <n v="212"/>
    <n v="2088.4"/>
    <s v=""/>
    <x v="1"/>
  </r>
  <r>
    <s v="FB000712"/>
    <x v="0"/>
    <x v="2"/>
    <x v="3"/>
    <s v="L"/>
    <s v="Purple"/>
    <n v="189.28"/>
    <n v="0"/>
    <n v="189.28"/>
    <x v="1"/>
    <n v="41"/>
    <n v="2.7"/>
    <b v="1"/>
    <s v="Wrong Item"/>
    <n v="28"/>
    <n v="0"/>
    <n v="1"/>
    <x v="0"/>
  </r>
  <r>
    <s v="FB000713"/>
    <x v="1"/>
    <x v="2"/>
    <x v="3"/>
    <s v="XXL"/>
    <s v="Purple"/>
    <n v="86.67"/>
    <n v="35.799999999999997"/>
    <n v="55.64"/>
    <x v="1"/>
    <n v="2"/>
    <n v="4.9000000000000004"/>
    <b v="0"/>
    <m/>
    <n v="28"/>
    <n v="71.599999999999994"/>
    <s v=""/>
    <x v="1"/>
  </r>
  <r>
    <s v="FB000714"/>
    <x v="4"/>
    <x v="5"/>
    <x v="0"/>
    <s v="S"/>
    <s v="Navy"/>
    <n v="102.84"/>
    <n v="0"/>
    <n v="102.84"/>
    <x v="136"/>
    <n v="27"/>
    <n v="1.8"/>
    <b v="0"/>
    <m/>
    <n v="358"/>
    <n v="0"/>
    <s v=""/>
    <x v="0"/>
  </r>
  <r>
    <s v="FB000715"/>
    <x v="0"/>
    <x v="0"/>
    <x v="2"/>
    <s v="XXL"/>
    <s v="Green"/>
    <n v="225.21"/>
    <n v="0"/>
    <n v="225.21"/>
    <x v="1"/>
    <n v="27"/>
    <n v="3.1"/>
    <b v="1"/>
    <s v="Changed Mind"/>
    <n v="28"/>
    <n v="0"/>
    <n v="1"/>
    <x v="0"/>
  </r>
  <r>
    <s v="FB000716"/>
    <x v="5"/>
    <x v="1"/>
    <x v="1"/>
    <s v="XL"/>
    <s v="Gray"/>
    <n v="48.91"/>
    <n v="27.8"/>
    <n v="35.31"/>
    <x v="1"/>
    <n v="0"/>
    <n v="4.0999999999999996"/>
    <b v="0"/>
    <m/>
    <n v="28"/>
    <n v="0"/>
    <s v=""/>
    <x v="1"/>
  </r>
  <r>
    <s v="FB000717"/>
    <x v="0"/>
    <x v="7"/>
    <x v="2"/>
    <s v="L"/>
    <s v="Pink"/>
    <n v="145.93"/>
    <n v="0"/>
    <n v="145.93"/>
    <x v="1"/>
    <n v="19"/>
    <n v="1.5"/>
    <b v="0"/>
    <m/>
    <n v="28"/>
    <n v="0"/>
    <s v=""/>
    <x v="0"/>
  </r>
  <r>
    <s v="FB000718"/>
    <x v="0"/>
    <x v="2"/>
    <x v="1"/>
    <m/>
    <s v="Green"/>
    <n v="225.92"/>
    <n v="43.7"/>
    <n v="127.19"/>
    <x v="1"/>
    <n v="30"/>
    <n v="3.2"/>
    <b v="0"/>
    <m/>
    <n v="28"/>
    <n v="1311"/>
    <s v=""/>
    <x v="1"/>
  </r>
  <r>
    <s v="FB000719"/>
    <x v="0"/>
    <x v="1"/>
    <x v="3"/>
    <s v="XL"/>
    <s v="Green"/>
    <n v="202.18"/>
    <n v="39.700000000000003"/>
    <n v="121.91"/>
    <x v="1"/>
    <n v="20"/>
    <n v="4.0999999999999996"/>
    <b v="0"/>
    <m/>
    <n v="28"/>
    <n v="794"/>
    <s v=""/>
    <x v="1"/>
  </r>
  <r>
    <s v="FB000720"/>
    <x v="1"/>
    <x v="1"/>
    <x v="2"/>
    <s v="XL"/>
    <s v="Blue"/>
    <n v="51.85"/>
    <n v="0"/>
    <n v="51.85"/>
    <x v="1"/>
    <n v="28"/>
    <n v="3.34"/>
    <b v="0"/>
    <m/>
    <n v="28"/>
    <n v="0"/>
    <s v=""/>
    <x v="0"/>
  </r>
  <r>
    <s v="FB000721"/>
    <x v="1"/>
    <x v="1"/>
    <x v="3"/>
    <s v="L"/>
    <s v="Gray"/>
    <n v="75.34"/>
    <n v="0"/>
    <n v="75.34"/>
    <x v="1"/>
    <n v="21"/>
    <n v="3.34"/>
    <b v="0"/>
    <m/>
    <n v="28"/>
    <n v="0"/>
    <s v=""/>
    <x v="0"/>
  </r>
  <r>
    <s v="FB000722"/>
    <x v="3"/>
    <x v="6"/>
    <x v="0"/>
    <s v="S"/>
    <s v="Pink"/>
    <n v="92.09"/>
    <n v="54.9"/>
    <n v="41.53"/>
    <x v="137"/>
    <n v="44"/>
    <n v="2.2000000000000002"/>
    <b v="0"/>
    <m/>
    <n v="227"/>
    <n v="2415.6"/>
    <s v=""/>
    <x v="1"/>
  </r>
  <r>
    <s v="FB000723"/>
    <x v="2"/>
    <x v="0"/>
    <x v="2"/>
    <m/>
    <s v="Blue"/>
    <n v="56.39"/>
    <n v="0"/>
    <n v="56.39"/>
    <x v="1"/>
    <n v="49"/>
    <n v="4.2"/>
    <b v="0"/>
    <m/>
    <n v="28"/>
    <n v="0"/>
    <s v=""/>
    <x v="0"/>
  </r>
  <r>
    <s v="FB000724"/>
    <x v="1"/>
    <x v="3"/>
    <x v="2"/>
    <s v="L"/>
    <s v="Pink"/>
    <n v="108.75"/>
    <n v="0"/>
    <n v="108.75"/>
    <x v="1"/>
    <n v="38"/>
    <n v="3.8"/>
    <b v="0"/>
    <m/>
    <n v="28"/>
    <n v="0"/>
    <s v=""/>
    <x v="0"/>
  </r>
  <r>
    <s v="FB000725"/>
    <x v="5"/>
    <x v="1"/>
    <x v="0"/>
    <s v="S"/>
    <s v="Red"/>
    <n v="156.85"/>
    <n v="0"/>
    <n v="156.85"/>
    <x v="18"/>
    <n v="48"/>
    <n v="3.4"/>
    <b v="0"/>
    <m/>
    <n v="155"/>
    <n v="0"/>
    <s v=""/>
    <x v="0"/>
  </r>
  <r>
    <s v="FB000726"/>
    <x v="0"/>
    <x v="1"/>
    <x v="0"/>
    <s v="XS"/>
    <s v="Brown"/>
    <n v="168.13"/>
    <n v="0"/>
    <n v="168.13"/>
    <x v="138"/>
    <n v="42"/>
    <n v="2.5"/>
    <b v="0"/>
    <m/>
    <n v="138"/>
    <n v="0"/>
    <s v=""/>
    <x v="0"/>
  </r>
  <r>
    <s v="FB000727"/>
    <x v="3"/>
    <x v="7"/>
    <x v="3"/>
    <s v="S"/>
    <s v="Green"/>
    <n v="145.79"/>
    <n v="57"/>
    <n v="62.69"/>
    <x v="1"/>
    <n v="46"/>
    <n v="3.2576923076923077"/>
    <b v="0"/>
    <m/>
    <n v="28"/>
    <n v="2622"/>
    <s v=""/>
    <x v="1"/>
  </r>
  <r>
    <s v="FB000728"/>
    <x v="4"/>
    <x v="6"/>
    <x v="1"/>
    <s v="S"/>
    <s v="White"/>
    <n v="54.14"/>
    <n v="0"/>
    <n v="54.14"/>
    <x v="1"/>
    <n v="32"/>
    <n v="3.1799999999999997"/>
    <b v="0"/>
    <m/>
    <n v="28"/>
    <n v="0"/>
    <s v=""/>
    <x v="0"/>
  </r>
  <r>
    <s v="FB000729"/>
    <x v="2"/>
    <x v="0"/>
    <x v="2"/>
    <m/>
    <s v="Navy"/>
    <n v="45.64"/>
    <n v="0"/>
    <n v="45.64"/>
    <x v="1"/>
    <n v="36"/>
    <n v="3.6"/>
    <b v="1"/>
    <s v="Size Issue"/>
    <n v="28"/>
    <n v="0"/>
    <n v="1"/>
    <x v="0"/>
  </r>
  <r>
    <s v="FB000730"/>
    <x v="4"/>
    <x v="3"/>
    <x v="2"/>
    <s v="S"/>
    <s v="Red"/>
    <n v="46.76"/>
    <n v="0"/>
    <n v="46.76"/>
    <x v="1"/>
    <n v="38"/>
    <n v="2.7"/>
    <b v="0"/>
    <m/>
    <n v="28"/>
    <n v="0"/>
    <s v=""/>
    <x v="0"/>
  </r>
  <r>
    <s v="FB000731"/>
    <x v="5"/>
    <x v="2"/>
    <x v="1"/>
    <m/>
    <s v="Gray"/>
    <n v="75.23"/>
    <n v="0"/>
    <n v="75.23"/>
    <x v="1"/>
    <n v="42"/>
    <n v="1.7"/>
    <b v="1"/>
    <s v="Quality Issue"/>
    <n v="28"/>
    <n v="0"/>
    <n v="1"/>
    <x v="0"/>
  </r>
  <r>
    <s v="FB000732"/>
    <x v="5"/>
    <x v="3"/>
    <x v="3"/>
    <s v="XL"/>
    <s v="White"/>
    <n v="70.38"/>
    <n v="0"/>
    <n v="70.38"/>
    <x v="1"/>
    <n v="37"/>
    <n v="2"/>
    <b v="0"/>
    <m/>
    <n v="28"/>
    <n v="0"/>
    <s v=""/>
    <x v="0"/>
  </r>
  <r>
    <s v="FB000733"/>
    <x v="4"/>
    <x v="4"/>
    <x v="3"/>
    <s v="M"/>
    <s v="Pink"/>
    <n v="76.040000000000006"/>
    <n v="0"/>
    <n v="76.040000000000006"/>
    <x v="1"/>
    <n v="13"/>
    <n v="4.4000000000000004"/>
    <b v="0"/>
    <m/>
    <n v="28"/>
    <n v="0"/>
    <s v=""/>
    <x v="0"/>
  </r>
  <r>
    <s v="FB000734"/>
    <x v="3"/>
    <x v="1"/>
    <x v="3"/>
    <s v="XS"/>
    <s v="Black"/>
    <n v="110.82"/>
    <n v="15.7"/>
    <n v="93.42"/>
    <x v="1"/>
    <n v="43"/>
    <n v="2.8205128205128198"/>
    <b v="1"/>
    <s v="Size Issue"/>
    <n v="28"/>
    <n v="675.1"/>
    <n v="1"/>
    <x v="1"/>
  </r>
  <r>
    <s v="FB000735"/>
    <x v="2"/>
    <x v="7"/>
    <x v="2"/>
    <m/>
    <s v="Navy"/>
    <n v="47.47"/>
    <n v="0"/>
    <n v="47.47"/>
    <x v="1"/>
    <n v="42"/>
    <n v="4.7"/>
    <b v="0"/>
    <m/>
    <n v="28"/>
    <n v="0"/>
    <s v=""/>
    <x v="0"/>
  </r>
  <r>
    <s v="FB000736"/>
    <x v="2"/>
    <x v="6"/>
    <x v="0"/>
    <m/>
    <s v="Red"/>
    <n v="79.94"/>
    <n v="0"/>
    <n v="79.94"/>
    <x v="98"/>
    <n v="26"/>
    <n v="3.8"/>
    <b v="0"/>
    <m/>
    <n v="34"/>
    <n v="0"/>
    <s v=""/>
    <x v="0"/>
  </r>
  <r>
    <s v="FB000737"/>
    <x v="4"/>
    <x v="2"/>
    <x v="2"/>
    <s v="XXL"/>
    <s v="Navy"/>
    <n v="74.67"/>
    <n v="0"/>
    <n v="74.67"/>
    <x v="1"/>
    <n v="15"/>
    <n v="4.5999999999999996"/>
    <b v="0"/>
    <m/>
    <n v="28"/>
    <n v="0"/>
    <s v=""/>
    <x v="0"/>
  </r>
  <r>
    <s v="FB000738"/>
    <x v="5"/>
    <x v="7"/>
    <x v="2"/>
    <s v="XXL"/>
    <s v="Brown"/>
    <n v="63.79"/>
    <n v="35.5"/>
    <n v="41.14"/>
    <x v="1"/>
    <n v="15"/>
    <n v="3.1"/>
    <b v="1"/>
    <s v="Quality Issue"/>
    <n v="28"/>
    <n v="532.5"/>
    <n v="1"/>
    <x v="1"/>
  </r>
  <r>
    <s v="FB000739"/>
    <x v="4"/>
    <x v="5"/>
    <x v="2"/>
    <s v="XXL"/>
    <s v="Brown"/>
    <n v="49.6"/>
    <n v="0"/>
    <n v="49.6"/>
    <x v="1"/>
    <n v="32"/>
    <n v="4.7"/>
    <b v="0"/>
    <m/>
    <n v="28"/>
    <n v="0"/>
    <s v=""/>
    <x v="0"/>
  </r>
  <r>
    <s v="FB000740"/>
    <x v="1"/>
    <x v="0"/>
    <x v="0"/>
    <s v="XL"/>
    <s v="Red"/>
    <n v="57.91"/>
    <n v="0"/>
    <n v="57.91"/>
    <x v="139"/>
    <n v="33"/>
    <n v="3.9"/>
    <b v="0"/>
    <m/>
    <n v="174"/>
    <n v="0"/>
    <s v=""/>
    <x v="0"/>
  </r>
  <r>
    <s v="FB000741"/>
    <x v="5"/>
    <x v="1"/>
    <x v="3"/>
    <s v="XL"/>
    <s v="Pink"/>
    <n v="135.99"/>
    <n v="0"/>
    <n v="135.99"/>
    <x v="1"/>
    <n v="34"/>
    <n v="3"/>
    <b v="0"/>
    <m/>
    <n v="28"/>
    <n v="0"/>
    <s v=""/>
    <x v="0"/>
  </r>
  <r>
    <s v="FB000742"/>
    <x v="5"/>
    <x v="3"/>
    <x v="1"/>
    <s v="S"/>
    <s v="Purple"/>
    <n v="53.49"/>
    <n v="21.8"/>
    <n v="41.83"/>
    <x v="1"/>
    <n v="41"/>
    <n v="2.1"/>
    <b v="0"/>
    <m/>
    <n v="28"/>
    <n v="893.80000000000007"/>
    <s v=""/>
    <x v="1"/>
  </r>
  <r>
    <s v="FB000743"/>
    <x v="1"/>
    <x v="7"/>
    <x v="3"/>
    <s v="S"/>
    <s v="Pink"/>
    <n v="113.29"/>
    <n v="34"/>
    <n v="74.77"/>
    <x v="1"/>
    <n v="10"/>
    <n v="2.6870967741935483"/>
    <b v="0"/>
    <m/>
    <n v="28"/>
    <n v="340"/>
    <s v=""/>
    <x v="1"/>
  </r>
  <r>
    <s v="FB000744"/>
    <x v="1"/>
    <x v="4"/>
    <x v="1"/>
    <s v="L"/>
    <s v="White"/>
    <n v="110.87"/>
    <n v="6"/>
    <n v="104.22"/>
    <x v="1"/>
    <n v="15"/>
    <n v="2.9657142857142857"/>
    <b v="0"/>
    <m/>
    <n v="28"/>
    <n v="90"/>
    <s v=""/>
    <x v="1"/>
  </r>
  <r>
    <s v="FB000745"/>
    <x v="1"/>
    <x v="5"/>
    <x v="2"/>
    <m/>
    <s v="Navy"/>
    <n v="94.3"/>
    <n v="0"/>
    <n v="94.3"/>
    <x v="1"/>
    <n v="16"/>
    <n v="2.9846153846153847"/>
    <b v="0"/>
    <m/>
    <n v="28"/>
    <n v="0"/>
    <s v=""/>
    <x v="0"/>
  </r>
  <r>
    <s v="FB000746"/>
    <x v="2"/>
    <x v="7"/>
    <x v="0"/>
    <m/>
    <s v="Red"/>
    <n v="37.94"/>
    <n v="0"/>
    <n v="37.94"/>
    <x v="89"/>
    <n v="9"/>
    <n v="4.5999999999999996"/>
    <b v="0"/>
    <m/>
    <n v="330"/>
    <n v="0"/>
    <s v=""/>
    <x v="0"/>
  </r>
  <r>
    <s v="FB000747"/>
    <x v="0"/>
    <x v="5"/>
    <x v="1"/>
    <s v="XXL"/>
    <s v="Gray"/>
    <n v="200.24"/>
    <n v="23"/>
    <n v="154.18"/>
    <x v="1"/>
    <n v="38"/>
    <n v="3.0305555555555546"/>
    <b v="0"/>
    <m/>
    <n v="28"/>
    <n v="874"/>
    <s v=""/>
    <x v="1"/>
  </r>
  <r>
    <s v="FB000748"/>
    <x v="2"/>
    <x v="7"/>
    <x v="1"/>
    <m/>
    <s v="Purple"/>
    <n v="43.45"/>
    <n v="0"/>
    <n v="43.45"/>
    <x v="1"/>
    <n v="50"/>
    <n v="4"/>
    <b v="0"/>
    <m/>
    <n v="28"/>
    <n v="0"/>
    <s v=""/>
    <x v="0"/>
  </r>
  <r>
    <s v="FB000749"/>
    <x v="4"/>
    <x v="7"/>
    <x v="3"/>
    <s v="L"/>
    <s v="Red"/>
    <n v="76.92"/>
    <n v="9.6"/>
    <n v="69.540000000000006"/>
    <x v="1"/>
    <n v="20"/>
    <n v="2"/>
    <b v="0"/>
    <m/>
    <n v="28"/>
    <n v="192"/>
    <s v=""/>
    <x v="1"/>
  </r>
  <r>
    <s v="FB000750"/>
    <x v="2"/>
    <x v="7"/>
    <x v="2"/>
    <m/>
    <s v="White"/>
    <n v="21.09"/>
    <n v="0"/>
    <n v="21.09"/>
    <x v="1"/>
    <n v="33"/>
    <n v="4.0999999999999996"/>
    <b v="1"/>
    <s v="Size Issue"/>
    <n v="28"/>
    <n v="0"/>
    <n v="1"/>
    <x v="0"/>
  </r>
  <r>
    <s v="FB000751"/>
    <x v="5"/>
    <x v="2"/>
    <x v="1"/>
    <s v="XL"/>
    <s v="Green"/>
    <n v="55.47"/>
    <n v="0"/>
    <n v="55.47"/>
    <x v="1"/>
    <n v="18"/>
    <n v="2.9000000000000008"/>
    <b v="0"/>
    <m/>
    <n v="28"/>
    <n v="0"/>
    <s v=""/>
    <x v="0"/>
  </r>
  <r>
    <s v="FB000752"/>
    <x v="0"/>
    <x v="4"/>
    <x v="0"/>
    <s v="XXL"/>
    <s v="White"/>
    <n v="122.53"/>
    <n v="0"/>
    <n v="122.53"/>
    <x v="91"/>
    <n v="25"/>
    <n v="2.9228571428571426"/>
    <b v="0"/>
    <m/>
    <n v="347"/>
    <n v="0"/>
    <s v=""/>
    <x v="0"/>
  </r>
  <r>
    <s v="FB000753"/>
    <x v="2"/>
    <x v="1"/>
    <x v="3"/>
    <m/>
    <s v="Beige"/>
    <n v="61.13"/>
    <n v="0"/>
    <n v="61.13"/>
    <x v="1"/>
    <n v="34"/>
    <n v="2.6"/>
    <b v="0"/>
    <m/>
    <n v="28"/>
    <n v="0"/>
    <s v=""/>
    <x v="0"/>
  </r>
  <r>
    <s v="FB000754"/>
    <x v="0"/>
    <x v="1"/>
    <x v="0"/>
    <s v="XS"/>
    <s v="Brown"/>
    <n v="127.59"/>
    <n v="0"/>
    <n v="127.59"/>
    <x v="67"/>
    <n v="1"/>
    <n v="4.9000000000000004"/>
    <b v="0"/>
    <m/>
    <n v="118"/>
    <n v="0"/>
    <s v=""/>
    <x v="0"/>
  </r>
  <r>
    <s v="FB000755"/>
    <x v="2"/>
    <x v="5"/>
    <x v="3"/>
    <m/>
    <s v="Navy"/>
    <n v="73.040000000000006"/>
    <n v="0"/>
    <n v="73.040000000000006"/>
    <x v="1"/>
    <n v="44"/>
    <n v="4.2"/>
    <b v="0"/>
    <m/>
    <n v="28"/>
    <n v="0"/>
    <s v=""/>
    <x v="0"/>
  </r>
  <r>
    <s v="FB000756"/>
    <x v="0"/>
    <x v="1"/>
    <x v="1"/>
    <s v="XL"/>
    <s v="Beige"/>
    <n v="129.46"/>
    <n v="0"/>
    <n v="129.46"/>
    <x v="1"/>
    <n v="32"/>
    <n v="4"/>
    <b v="0"/>
    <m/>
    <n v="28"/>
    <n v="0"/>
    <s v=""/>
    <x v="0"/>
  </r>
  <r>
    <s v="FB000757"/>
    <x v="2"/>
    <x v="2"/>
    <x v="1"/>
    <m/>
    <s v="White"/>
    <n v="51.3"/>
    <n v="0"/>
    <n v="51.3"/>
    <x v="1"/>
    <n v="33"/>
    <n v="2.8694444444444449"/>
    <b v="0"/>
    <m/>
    <n v="28"/>
    <n v="0"/>
    <s v=""/>
    <x v="0"/>
  </r>
  <r>
    <s v="FB000758"/>
    <x v="5"/>
    <x v="4"/>
    <x v="0"/>
    <s v="L"/>
    <s v="Gray"/>
    <n v="173"/>
    <n v="0"/>
    <n v="173"/>
    <x v="36"/>
    <n v="13"/>
    <n v="3.9"/>
    <b v="0"/>
    <m/>
    <n v="144"/>
    <n v="0"/>
    <s v=""/>
    <x v="0"/>
  </r>
  <r>
    <s v="FB000759"/>
    <x v="2"/>
    <x v="1"/>
    <x v="3"/>
    <m/>
    <s v="Green"/>
    <n v="70.72"/>
    <n v="0"/>
    <n v="70.72"/>
    <x v="1"/>
    <n v="18"/>
    <n v="2.8"/>
    <b v="0"/>
    <m/>
    <n v="28"/>
    <n v="0"/>
    <s v=""/>
    <x v="0"/>
  </r>
  <r>
    <s v="FB000760"/>
    <x v="5"/>
    <x v="7"/>
    <x v="3"/>
    <s v="S"/>
    <s v="Black"/>
    <n v="126.37"/>
    <n v="0"/>
    <n v="126.37"/>
    <x v="1"/>
    <n v="42"/>
    <n v="2"/>
    <b v="0"/>
    <m/>
    <n v="28"/>
    <n v="0"/>
    <s v=""/>
    <x v="0"/>
  </r>
  <r>
    <s v="FB000761"/>
    <x v="4"/>
    <x v="0"/>
    <x v="1"/>
    <s v="XXL"/>
    <s v="Blue"/>
    <n v="84.19"/>
    <n v="9.6"/>
    <n v="76.11"/>
    <x v="1"/>
    <n v="45"/>
    <n v="2.1"/>
    <b v="0"/>
    <m/>
    <n v="28"/>
    <n v="432"/>
    <s v=""/>
    <x v="1"/>
  </r>
  <r>
    <s v="FB000762"/>
    <x v="2"/>
    <x v="7"/>
    <x v="3"/>
    <m/>
    <s v="Pink"/>
    <n v="59.39"/>
    <n v="44.6"/>
    <n v="32.9"/>
    <x v="1"/>
    <n v="41"/>
    <n v="2.2999999999999998"/>
    <b v="1"/>
    <s v="Color Mismatch"/>
    <n v="28"/>
    <n v="1828.6000000000001"/>
    <n v="1"/>
    <x v="1"/>
  </r>
  <r>
    <s v="FB000763"/>
    <x v="0"/>
    <x v="3"/>
    <x v="2"/>
    <s v="M"/>
    <s v="Green"/>
    <n v="195.38"/>
    <n v="0.3"/>
    <n v="194.79"/>
    <x v="1"/>
    <n v="30"/>
    <n v="2.9"/>
    <b v="0"/>
    <m/>
    <n v="28"/>
    <n v="9"/>
    <s v=""/>
    <x v="1"/>
  </r>
  <r>
    <s v="FB000764"/>
    <x v="5"/>
    <x v="6"/>
    <x v="0"/>
    <s v="S"/>
    <s v="White"/>
    <n v="107.64"/>
    <n v="7.5"/>
    <n v="99.57"/>
    <x v="136"/>
    <n v="21"/>
    <n v="4.5999999999999996"/>
    <b v="0"/>
    <m/>
    <n v="358"/>
    <n v="157.5"/>
    <s v=""/>
    <x v="1"/>
  </r>
  <r>
    <s v="FB000765"/>
    <x v="3"/>
    <x v="4"/>
    <x v="0"/>
    <s v="L"/>
    <s v="Blue"/>
    <n v="63.12"/>
    <n v="0"/>
    <n v="63.12"/>
    <x v="26"/>
    <n v="35"/>
    <n v="2.9"/>
    <b v="0"/>
    <m/>
    <n v="299"/>
    <n v="0"/>
    <s v=""/>
    <x v="0"/>
  </r>
  <r>
    <s v="FB000766"/>
    <x v="4"/>
    <x v="6"/>
    <x v="2"/>
    <s v="L"/>
    <s v="Blue"/>
    <n v="58.91"/>
    <n v="0"/>
    <n v="58.91"/>
    <x v="1"/>
    <n v="17"/>
    <n v="2"/>
    <b v="0"/>
    <m/>
    <n v="28"/>
    <n v="0"/>
    <s v=""/>
    <x v="0"/>
  </r>
  <r>
    <s v="FB000767"/>
    <x v="4"/>
    <x v="4"/>
    <x v="3"/>
    <s v="L"/>
    <s v="Green"/>
    <n v="93.27"/>
    <n v="0"/>
    <n v="93.27"/>
    <x v="1"/>
    <n v="18"/>
    <n v="3.7"/>
    <b v="0"/>
    <m/>
    <n v="28"/>
    <n v="0"/>
    <s v=""/>
    <x v="0"/>
  </r>
  <r>
    <s v="FB000768"/>
    <x v="5"/>
    <x v="7"/>
    <x v="0"/>
    <s v="XL"/>
    <s v="Green"/>
    <n v="147.88"/>
    <n v="36.799999999999997"/>
    <n v="93.46"/>
    <x v="140"/>
    <n v="37"/>
    <n v="3.3"/>
    <b v="0"/>
    <m/>
    <n v="360"/>
    <n v="1361.6"/>
    <s v=""/>
    <x v="1"/>
  </r>
  <r>
    <s v="FB000769"/>
    <x v="1"/>
    <x v="1"/>
    <x v="2"/>
    <s v="L"/>
    <s v="Gray"/>
    <n v="30.53"/>
    <n v="0"/>
    <n v="30.53"/>
    <x v="1"/>
    <n v="25"/>
    <n v="2.5"/>
    <b v="0"/>
    <m/>
    <n v="28"/>
    <n v="0"/>
    <s v=""/>
    <x v="0"/>
  </r>
  <r>
    <s v="FB000770"/>
    <x v="1"/>
    <x v="0"/>
    <x v="2"/>
    <s v="S"/>
    <s v="White"/>
    <n v="104.96"/>
    <n v="1.6"/>
    <n v="103.28"/>
    <x v="1"/>
    <n v="33"/>
    <n v="2"/>
    <b v="0"/>
    <m/>
    <n v="28"/>
    <n v="52.800000000000004"/>
    <s v=""/>
    <x v="1"/>
  </r>
  <r>
    <s v="FB000771"/>
    <x v="5"/>
    <x v="4"/>
    <x v="1"/>
    <s v="XS"/>
    <s v="Blue"/>
    <n v="75.52"/>
    <n v="0"/>
    <n v="75.52"/>
    <x v="1"/>
    <n v="2"/>
    <n v="2.8"/>
    <b v="0"/>
    <m/>
    <n v="28"/>
    <n v="0"/>
    <s v=""/>
    <x v="0"/>
  </r>
  <r>
    <s v="FB000772"/>
    <x v="4"/>
    <x v="6"/>
    <x v="1"/>
    <s v="M"/>
    <s v="Red"/>
    <n v="54.7"/>
    <n v="0"/>
    <n v="54.7"/>
    <x v="1"/>
    <n v="18"/>
    <n v="4.2"/>
    <b v="0"/>
    <m/>
    <n v="28"/>
    <n v="0"/>
    <s v=""/>
    <x v="0"/>
  </r>
  <r>
    <s v="FB000773"/>
    <x v="3"/>
    <x v="5"/>
    <x v="3"/>
    <s v="XS"/>
    <s v="Black"/>
    <n v="126.25"/>
    <n v="25.9"/>
    <n v="93.55"/>
    <x v="1"/>
    <n v="40"/>
    <n v="1.5"/>
    <b v="1"/>
    <s v="Size Issue"/>
    <n v="28"/>
    <n v="1036"/>
    <n v="1"/>
    <x v="1"/>
  </r>
  <r>
    <s v="FB000774"/>
    <x v="3"/>
    <x v="2"/>
    <x v="3"/>
    <s v="XS"/>
    <s v="Blue"/>
    <n v="63.86"/>
    <n v="52.8"/>
    <n v="30.14"/>
    <x v="1"/>
    <n v="23"/>
    <n v="3.1936170212765949"/>
    <b v="0"/>
    <m/>
    <n v="28"/>
    <n v="1214.3999999999999"/>
    <s v=""/>
    <x v="1"/>
  </r>
  <r>
    <s v="FB000775"/>
    <x v="2"/>
    <x v="1"/>
    <x v="1"/>
    <m/>
    <s v="Red"/>
    <n v="75.930000000000007"/>
    <n v="0"/>
    <n v="75.930000000000007"/>
    <x v="1"/>
    <n v="32"/>
    <n v="3.1"/>
    <b v="0"/>
    <m/>
    <n v="28"/>
    <n v="0"/>
    <s v=""/>
    <x v="0"/>
  </r>
  <r>
    <s v="FB000776"/>
    <x v="1"/>
    <x v="0"/>
    <x v="2"/>
    <s v="M"/>
    <s v="Brown"/>
    <n v="82.51"/>
    <n v="27.3"/>
    <n v="59.98"/>
    <x v="1"/>
    <n v="9"/>
    <n v="3.8"/>
    <b v="0"/>
    <m/>
    <n v="28"/>
    <n v="245.70000000000002"/>
    <s v=""/>
    <x v="1"/>
  </r>
  <r>
    <s v="FB000777"/>
    <x v="4"/>
    <x v="2"/>
    <x v="2"/>
    <s v="XXL"/>
    <s v="Green"/>
    <n v="46.02"/>
    <n v="0"/>
    <n v="46.02"/>
    <x v="1"/>
    <n v="21"/>
    <n v="1.1000000000000001"/>
    <b v="0"/>
    <m/>
    <n v="28"/>
    <n v="0"/>
    <s v=""/>
    <x v="0"/>
  </r>
  <r>
    <s v="FB000778"/>
    <x v="5"/>
    <x v="3"/>
    <x v="1"/>
    <s v="XXL"/>
    <s v="Brown"/>
    <n v="125.67"/>
    <n v="45.5"/>
    <n v="68.489999999999995"/>
    <x v="1"/>
    <n v="27"/>
    <n v="1.6"/>
    <b v="0"/>
    <m/>
    <n v="28"/>
    <n v="1228.5"/>
    <s v=""/>
    <x v="1"/>
  </r>
  <r>
    <s v="FB000779"/>
    <x v="3"/>
    <x v="3"/>
    <x v="1"/>
    <s v="S"/>
    <s v="Red"/>
    <n v="65.61"/>
    <n v="50.7"/>
    <n v="32.35"/>
    <x v="1"/>
    <n v="23"/>
    <n v="1.1000000000000001"/>
    <b v="0"/>
    <m/>
    <n v="28"/>
    <n v="1166.1000000000001"/>
    <s v=""/>
    <x v="1"/>
  </r>
  <r>
    <s v="FB000780"/>
    <x v="5"/>
    <x v="2"/>
    <x v="3"/>
    <s v="XS"/>
    <s v="Beige"/>
    <n v="91.61"/>
    <n v="0"/>
    <n v="91.61"/>
    <x v="1"/>
    <n v="31"/>
    <n v="1.4"/>
    <b v="0"/>
    <m/>
    <n v="28"/>
    <n v="0"/>
    <s v=""/>
    <x v="0"/>
  </r>
  <r>
    <s v="FB000781"/>
    <x v="0"/>
    <x v="4"/>
    <x v="3"/>
    <s v="XS"/>
    <s v="Pink"/>
    <n v="162.78"/>
    <n v="0"/>
    <n v="162.78"/>
    <x v="1"/>
    <n v="0"/>
    <n v="2.9228571428571426"/>
    <b v="0"/>
    <m/>
    <n v="28"/>
    <n v="0"/>
    <s v=""/>
    <x v="0"/>
  </r>
  <r>
    <s v="FB000782"/>
    <x v="0"/>
    <x v="3"/>
    <x v="1"/>
    <s v="M"/>
    <s v="Gray"/>
    <n v="134.35"/>
    <n v="35.299999999999997"/>
    <n v="86.92"/>
    <x v="1"/>
    <n v="36"/>
    <n v="2.4137931034482762"/>
    <b v="0"/>
    <m/>
    <n v="28"/>
    <n v="1270.8"/>
    <s v=""/>
    <x v="1"/>
  </r>
  <r>
    <s v="FB000783"/>
    <x v="4"/>
    <x v="3"/>
    <x v="0"/>
    <m/>
    <s v="Gray"/>
    <n v="77.739999999999995"/>
    <n v="38.799999999999997"/>
    <n v="47.58"/>
    <x v="141"/>
    <n v="23"/>
    <n v="4.3"/>
    <b v="0"/>
    <m/>
    <n v="54"/>
    <n v="892.4"/>
    <s v=""/>
    <x v="1"/>
  </r>
  <r>
    <s v="FB000784"/>
    <x v="2"/>
    <x v="6"/>
    <x v="3"/>
    <m/>
    <s v="Brown"/>
    <n v="49.33"/>
    <n v="59.9"/>
    <n v="19.78"/>
    <x v="1"/>
    <n v="47"/>
    <n v="3.2720930232558145"/>
    <b v="0"/>
    <m/>
    <n v="28"/>
    <n v="2815.2999999999997"/>
    <s v=""/>
    <x v="1"/>
  </r>
  <r>
    <s v="FB000785"/>
    <x v="0"/>
    <x v="7"/>
    <x v="3"/>
    <s v="S"/>
    <s v="Gray"/>
    <n v="231.52"/>
    <n v="17.3"/>
    <n v="191.47"/>
    <x v="1"/>
    <n v="49"/>
    <n v="2.1"/>
    <b v="0"/>
    <m/>
    <n v="28"/>
    <n v="847.7"/>
    <s v=""/>
    <x v="1"/>
  </r>
  <r>
    <s v="FB000786"/>
    <x v="0"/>
    <x v="6"/>
    <x v="1"/>
    <s v="XL"/>
    <s v="White"/>
    <n v="140.1"/>
    <n v="0"/>
    <n v="140.1"/>
    <x v="1"/>
    <n v="14"/>
    <n v="3.9"/>
    <b v="0"/>
    <m/>
    <n v="28"/>
    <n v="0"/>
    <s v=""/>
    <x v="0"/>
  </r>
  <r>
    <s v="FB000787"/>
    <x v="5"/>
    <x v="5"/>
    <x v="3"/>
    <s v="S"/>
    <s v="Pink"/>
    <n v="117.38"/>
    <n v="27.8"/>
    <n v="84.75"/>
    <x v="1"/>
    <n v="34"/>
    <n v="2.8"/>
    <b v="1"/>
    <s v="Quality Issue"/>
    <n v="28"/>
    <n v="945.2"/>
    <n v="1"/>
    <x v="1"/>
  </r>
  <r>
    <s v="FB000788"/>
    <x v="1"/>
    <x v="5"/>
    <x v="0"/>
    <s v="S"/>
    <s v="Purple"/>
    <n v="83.98"/>
    <n v="0"/>
    <n v="83.98"/>
    <x v="142"/>
    <n v="23"/>
    <n v="1.9"/>
    <b v="0"/>
    <m/>
    <n v="370"/>
    <n v="0"/>
    <s v=""/>
    <x v="0"/>
  </r>
  <r>
    <s v="FB000789"/>
    <x v="5"/>
    <x v="4"/>
    <x v="0"/>
    <s v="XL"/>
    <s v="Navy"/>
    <n v="111.67"/>
    <n v="53.5"/>
    <n v="51.93"/>
    <x v="108"/>
    <n v="19"/>
    <n v="3.1051282051282048"/>
    <b v="0"/>
    <m/>
    <n v="210"/>
    <n v="1016.5"/>
    <s v=""/>
    <x v="1"/>
  </r>
  <r>
    <s v="FB000790"/>
    <x v="4"/>
    <x v="4"/>
    <x v="3"/>
    <s v="S"/>
    <s v="White"/>
    <n v="25.16"/>
    <n v="0"/>
    <n v="25.16"/>
    <x v="1"/>
    <n v="37"/>
    <n v="2.8"/>
    <b v="0"/>
    <m/>
    <n v="28"/>
    <n v="0"/>
    <s v=""/>
    <x v="0"/>
  </r>
  <r>
    <s v="FB000791"/>
    <x v="0"/>
    <x v="2"/>
    <x v="2"/>
    <s v="XL"/>
    <s v="Blue"/>
    <n v="175.82"/>
    <n v="23"/>
    <n v="135.38"/>
    <x v="1"/>
    <n v="1"/>
    <n v="3.7"/>
    <b v="0"/>
    <m/>
    <n v="28"/>
    <n v="23"/>
    <s v=""/>
    <x v="1"/>
  </r>
  <r>
    <s v="FB000792"/>
    <x v="1"/>
    <x v="3"/>
    <x v="3"/>
    <s v="XS"/>
    <s v="Green"/>
    <n v="53.25"/>
    <n v="37.5"/>
    <n v="33.28"/>
    <x v="1"/>
    <n v="33"/>
    <n v="4.3"/>
    <b v="0"/>
    <m/>
    <n v="28"/>
    <n v="1237.5"/>
    <s v=""/>
    <x v="1"/>
  </r>
  <r>
    <s v="FB000793"/>
    <x v="0"/>
    <x v="2"/>
    <x v="2"/>
    <s v="M"/>
    <s v="Purple"/>
    <n v="215.19"/>
    <n v="43"/>
    <n v="122.66"/>
    <x v="1"/>
    <n v="48"/>
    <n v="2.5"/>
    <b v="0"/>
    <m/>
    <n v="28"/>
    <n v="2064"/>
    <s v=""/>
    <x v="1"/>
  </r>
  <r>
    <s v="FB000794"/>
    <x v="4"/>
    <x v="0"/>
    <x v="3"/>
    <s v="S"/>
    <s v="Pink"/>
    <n v="78.41"/>
    <n v="20.7"/>
    <n v="62.18"/>
    <x v="1"/>
    <n v="9"/>
    <n v="4.4000000000000004"/>
    <b v="0"/>
    <m/>
    <n v="28"/>
    <n v="186.29999999999998"/>
    <s v=""/>
    <x v="1"/>
  </r>
  <r>
    <s v="FB000795"/>
    <x v="3"/>
    <x v="0"/>
    <x v="3"/>
    <s v="XXL"/>
    <s v="Pink"/>
    <n v="173.15"/>
    <n v="0"/>
    <n v="173.15"/>
    <x v="1"/>
    <n v="45"/>
    <n v="2.2000000000000002"/>
    <b v="0"/>
    <m/>
    <n v="28"/>
    <n v="0"/>
    <s v=""/>
    <x v="0"/>
  </r>
  <r>
    <s v="FB000796"/>
    <x v="2"/>
    <x v="0"/>
    <x v="2"/>
    <m/>
    <s v="Blue"/>
    <n v="16.84"/>
    <n v="36.6"/>
    <n v="10.68"/>
    <x v="1"/>
    <n v="34"/>
    <n v="1.7"/>
    <b v="0"/>
    <m/>
    <n v="28"/>
    <n v="1244.4000000000001"/>
    <s v=""/>
    <x v="1"/>
  </r>
  <r>
    <s v="FB000797"/>
    <x v="0"/>
    <x v="7"/>
    <x v="3"/>
    <s v="S"/>
    <s v="Purple"/>
    <n v="128.6"/>
    <n v="0"/>
    <n v="128.6"/>
    <x v="1"/>
    <n v="11"/>
    <n v="2.2999999999999998"/>
    <b v="0"/>
    <m/>
    <n v="28"/>
    <n v="0"/>
    <s v=""/>
    <x v="0"/>
  </r>
  <r>
    <s v="FB000798"/>
    <x v="0"/>
    <x v="5"/>
    <x v="0"/>
    <s v="XXL"/>
    <s v="Green"/>
    <n v="131.74"/>
    <n v="0"/>
    <n v="131.74"/>
    <x v="21"/>
    <n v="46"/>
    <n v="4.5999999999999996"/>
    <b v="0"/>
    <m/>
    <n v="355"/>
    <n v="0"/>
    <s v=""/>
    <x v="0"/>
  </r>
  <r>
    <s v="FB000799"/>
    <x v="4"/>
    <x v="7"/>
    <x v="3"/>
    <s v="XXL"/>
    <s v="White"/>
    <n v="28.15"/>
    <n v="12.7"/>
    <n v="24.57"/>
    <x v="1"/>
    <n v="13"/>
    <n v="3.9"/>
    <b v="0"/>
    <m/>
    <n v="28"/>
    <n v="165.1"/>
    <s v=""/>
    <x v="1"/>
  </r>
  <r>
    <s v="FB000800"/>
    <x v="0"/>
    <x v="7"/>
    <x v="1"/>
    <s v="XL"/>
    <s v="Red"/>
    <n v="165.1"/>
    <n v="58.4"/>
    <n v="68.680000000000007"/>
    <x v="1"/>
    <n v="29"/>
    <n v="1.2"/>
    <b v="0"/>
    <m/>
    <n v="28"/>
    <n v="1693.6"/>
    <s v=""/>
    <x v="1"/>
  </r>
  <r>
    <s v="FB000801"/>
    <x v="1"/>
    <x v="3"/>
    <x v="0"/>
    <s v="XL"/>
    <s v="Gray"/>
    <n v="49.62"/>
    <n v="0.8"/>
    <n v="49.22"/>
    <x v="143"/>
    <n v="22"/>
    <n v="2.2999999999999998"/>
    <b v="0"/>
    <m/>
    <n v="290"/>
    <n v="17.600000000000001"/>
    <s v=""/>
    <x v="1"/>
  </r>
  <r>
    <s v="FB000802"/>
    <x v="1"/>
    <x v="2"/>
    <x v="2"/>
    <s v="XL"/>
    <s v="Black"/>
    <n v="98.52"/>
    <n v="18.899999999999999"/>
    <n v="79.900000000000006"/>
    <x v="1"/>
    <n v="37"/>
    <n v="4.0999999999999996"/>
    <b v="1"/>
    <s v="Wrong Item"/>
    <n v="28"/>
    <n v="699.3"/>
    <n v="1"/>
    <x v="1"/>
  </r>
  <r>
    <s v="FB000803"/>
    <x v="3"/>
    <x v="3"/>
    <x v="2"/>
    <s v="S"/>
    <s v="Green"/>
    <n v="94.19"/>
    <n v="30.8"/>
    <n v="65.180000000000007"/>
    <x v="1"/>
    <n v="31"/>
    <n v="1.4"/>
    <b v="0"/>
    <m/>
    <n v="28"/>
    <n v="954.80000000000007"/>
    <s v=""/>
    <x v="1"/>
  </r>
  <r>
    <s v="FB000804"/>
    <x v="2"/>
    <x v="7"/>
    <x v="1"/>
    <m/>
    <s v="Gray"/>
    <n v="23.5"/>
    <n v="0"/>
    <n v="23.5"/>
    <x v="1"/>
    <n v="14"/>
    <n v="3.9"/>
    <b v="1"/>
    <s v="Quality Issue"/>
    <n v="28"/>
    <n v="0"/>
    <n v="1"/>
    <x v="0"/>
  </r>
  <r>
    <s v="FB000805"/>
    <x v="4"/>
    <x v="0"/>
    <x v="2"/>
    <s v="S"/>
    <s v="Beige"/>
    <n v="109.36"/>
    <n v="0"/>
    <n v="109.36"/>
    <x v="1"/>
    <n v="0"/>
    <n v="1.1000000000000001"/>
    <b v="0"/>
    <m/>
    <n v="28"/>
    <n v="0"/>
    <s v=""/>
    <x v="0"/>
  </r>
  <r>
    <s v="FB000806"/>
    <x v="2"/>
    <x v="4"/>
    <x v="2"/>
    <m/>
    <s v="Blue"/>
    <n v="69.73"/>
    <n v="0"/>
    <n v="69.73"/>
    <x v="1"/>
    <n v="7"/>
    <n v="1.1000000000000001"/>
    <b v="1"/>
    <s v="Color Mismatch"/>
    <n v="28"/>
    <n v="0"/>
    <n v="1"/>
    <x v="0"/>
  </r>
  <r>
    <s v="FB000807"/>
    <x v="3"/>
    <x v="4"/>
    <x v="3"/>
    <s v="XS"/>
    <s v="Green"/>
    <n v="199.03"/>
    <n v="57.3"/>
    <n v="84.99"/>
    <x v="1"/>
    <n v="37"/>
    <n v="3.4"/>
    <b v="0"/>
    <m/>
    <n v="28"/>
    <n v="2120.1"/>
    <s v=""/>
    <x v="1"/>
  </r>
  <r>
    <s v="FB000808"/>
    <x v="4"/>
    <x v="6"/>
    <x v="0"/>
    <s v="M"/>
    <s v="White"/>
    <n v="82.32"/>
    <n v="56.7"/>
    <n v="35.64"/>
    <x v="73"/>
    <n v="41"/>
    <n v="3.1799999999999997"/>
    <b v="0"/>
    <m/>
    <n v="254"/>
    <n v="2324.7000000000003"/>
    <s v=""/>
    <x v="1"/>
  </r>
  <r>
    <s v="FB000809"/>
    <x v="4"/>
    <x v="1"/>
    <x v="0"/>
    <s v="M"/>
    <s v="Navy"/>
    <n v="52.42"/>
    <n v="9.9"/>
    <n v="47.23"/>
    <x v="11"/>
    <n v="42"/>
    <n v="3.5"/>
    <b v="0"/>
    <m/>
    <n v="322"/>
    <n v="415.8"/>
    <s v=""/>
    <x v="1"/>
  </r>
  <r>
    <s v="FB000810"/>
    <x v="0"/>
    <x v="5"/>
    <x v="2"/>
    <s v="S"/>
    <s v="White"/>
    <n v="180.49"/>
    <n v="0"/>
    <n v="180.49"/>
    <x v="1"/>
    <n v="18"/>
    <n v="2.5"/>
    <b v="1"/>
    <s v="Wrong Item"/>
    <n v="28"/>
    <n v="0"/>
    <n v="1"/>
    <x v="0"/>
  </r>
  <r>
    <s v="FB000811"/>
    <x v="5"/>
    <x v="5"/>
    <x v="2"/>
    <s v="XL"/>
    <s v="White"/>
    <n v="63.02"/>
    <n v="0"/>
    <n v="63.02"/>
    <x v="1"/>
    <n v="37"/>
    <n v="2.5"/>
    <b v="0"/>
    <m/>
    <n v="28"/>
    <n v="0"/>
    <s v=""/>
    <x v="0"/>
  </r>
  <r>
    <s v="FB000812"/>
    <x v="1"/>
    <x v="3"/>
    <x v="0"/>
    <s v="XL"/>
    <s v="Red"/>
    <n v="97.05"/>
    <n v="0"/>
    <n v="97.05"/>
    <x v="69"/>
    <n v="9"/>
    <n v="2.9742857142857138"/>
    <b v="0"/>
    <m/>
    <n v="252"/>
    <n v="0"/>
    <s v=""/>
    <x v="0"/>
  </r>
  <r>
    <s v="FB000813"/>
    <x v="4"/>
    <x v="0"/>
    <x v="1"/>
    <s v="XXL"/>
    <s v="Pink"/>
    <n v="79.62"/>
    <n v="0"/>
    <n v="79.62"/>
    <x v="1"/>
    <n v="37"/>
    <n v="4.0999999999999996"/>
    <b v="0"/>
    <m/>
    <n v="28"/>
    <n v="0"/>
    <s v=""/>
    <x v="0"/>
  </r>
  <r>
    <s v="FB000814"/>
    <x v="5"/>
    <x v="0"/>
    <x v="1"/>
    <s v="M"/>
    <s v="Red"/>
    <n v="82.5"/>
    <n v="0"/>
    <n v="82.5"/>
    <x v="1"/>
    <n v="0"/>
    <n v="3.0424242424242425"/>
    <b v="0"/>
    <m/>
    <n v="28"/>
    <n v="0"/>
    <s v=""/>
    <x v="0"/>
  </r>
  <r>
    <s v="FB000815"/>
    <x v="4"/>
    <x v="5"/>
    <x v="0"/>
    <s v="L"/>
    <s v="Purple"/>
    <n v="117.18"/>
    <n v="13.7"/>
    <n v="101.13"/>
    <x v="144"/>
    <n v="5"/>
    <n v="4.8"/>
    <b v="0"/>
    <m/>
    <n v="32"/>
    <n v="68.5"/>
    <s v=""/>
    <x v="1"/>
  </r>
  <r>
    <s v="FB000816"/>
    <x v="0"/>
    <x v="5"/>
    <x v="0"/>
    <s v="XS"/>
    <s v="Brown"/>
    <n v="174.05"/>
    <n v="0"/>
    <n v="174.05"/>
    <x v="145"/>
    <n v="9"/>
    <n v="3.0305555555555546"/>
    <b v="0"/>
    <m/>
    <n v="143"/>
    <n v="0"/>
    <s v=""/>
    <x v="0"/>
  </r>
  <r>
    <s v="FB000817"/>
    <x v="4"/>
    <x v="7"/>
    <x v="0"/>
    <s v="XS"/>
    <s v="Brown"/>
    <n v="58.29"/>
    <n v="0"/>
    <n v="58.29"/>
    <x v="146"/>
    <n v="22"/>
    <n v="2.2999999999999998"/>
    <b v="0"/>
    <m/>
    <n v="239"/>
    <n v="0"/>
    <s v=""/>
    <x v="0"/>
  </r>
  <r>
    <s v="FB000818"/>
    <x v="4"/>
    <x v="4"/>
    <x v="3"/>
    <s v="M"/>
    <s v="White"/>
    <n v="61.42"/>
    <n v="57.5"/>
    <n v="26.1"/>
    <x v="1"/>
    <n v="3"/>
    <n v="4.8"/>
    <b v="0"/>
    <m/>
    <n v="28"/>
    <n v="172.5"/>
    <s v=""/>
    <x v="1"/>
  </r>
  <r>
    <s v="FB000819"/>
    <x v="2"/>
    <x v="0"/>
    <x v="1"/>
    <m/>
    <s v="Pink"/>
    <n v="20.239999999999998"/>
    <n v="0"/>
    <n v="20.239999999999998"/>
    <x v="1"/>
    <n v="20"/>
    <n v="4.0999999999999996"/>
    <b v="0"/>
    <m/>
    <n v="28"/>
    <n v="0"/>
    <s v=""/>
    <x v="0"/>
  </r>
  <r>
    <s v="FB000820"/>
    <x v="4"/>
    <x v="0"/>
    <x v="2"/>
    <s v="L"/>
    <s v="Red"/>
    <n v="88.58"/>
    <n v="0"/>
    <n v="88.58"/>
    <x v="1"/>
    <n v="50"/>
    <n v="2.9210526315789478"/>
    <b v="0"/>
    <m/>
    <n v="28"/>
    <n v="0"/>
    <s v=""/>
    <x v="0"/>
  </r>
  <r>
    <s v="FB000821"/>
    <x v="4"/>
    <x v="5"/>
    <x v="1"/>
    <s v="XXL"/>
    <s v="Purple"/>
    <n v="67.92"/>
    <n v="0"/>
    <n v="67.92"/>
    <x v="1"/>
    <n v="23"/>
    <n v="1.8"/>
    <b v="1"/>
    <s v="Size Issue"/>
    <n v="28"/>
    <n v="0"/>
    <n v="1"/>
    <x v="0"/>
  </r>
  <r>
    <s v="FB000822"/>
    <x v="2"/>
    <x v="5"/>
    <x v="2"/>
    <m/>
    <s v="White"/>
    <n v="25.39"/>
    <n v="0"/>
    <n v="25.39"/>
    <x v="1"/>
    <n v="42"/>
    <n v="1.8"/>
    <b v="0"/>
    <m/>
    <n v="28"/>
    <n v="0"/>
    <s v=""/>
    <x v="0"/>
  </r>
  <r>
    <s v="FB000823"/>
    <x v="5"/>
    <x v="7"/>
    <x v="1"/>
    <s v="S"/>
    <s v="Black"/>
    <n v="115.89"/>
    <n v="39.4"/>
    <n v="70.23"/>
    <x v="1"/>
    <n v="14"/>
    <n v="3.8"/>
    <b v="1"/>
    <s v="Damaged"/>
    <n v="28"/>
    <n v="551.6"/>
    <n v="1"/>
    <x v="1"/>
  </r>
  <r>
    <s v="FB000824"/>
    <x v="4"/>
    <x v="7"/>
    <x v="3"/>
    <s v="XL"/>
    <s v="Blue"/>
    <n v="103.94"/>
    <n v="16.100000000000001"/>
    <n v="87.21"/>
    <x v="1"/>
    <n v="6"/>
    <n v="4.9000000000000004"/>
    <b v="1"/>
    <s v="Changed Mind"/>
    <n v="28"/>
    <n v="96.600000000000009"/>
    <n v="1"/>
    <x v="1"/>
  </r>
  <r>
    <s v="FB000825"/>
    <x v="3"/>
    <x v="6"/>
    <x v="1"/>
    <s v="L"/>
    <s v="Red"/>
    <n v="94.72"/>
    <n v="20.5"/>
    <n v="75.3"/>
    <x v="1"/>
    <n v="24"/>
    <n v="3.6"/>
    <b v="0"/>
    <m/>
    <n v="28"/>
    <n v="492"/>
    <s v=""/>
    <x v="1"/>
  </r>
  <r>
    <s v="FB000826"/>
    <x v="2"/>
    <x v="5"/>
    <x v="2"/>
    <m/>
    <s v="Pink"/>
    <n v="23.28"/>
    <n v="0"/>
    <n v="23.28"/>
    <x v="1"/>
    <n v="44"/>
    <n v="3.1"/>
    <b v="1"/>
    <s v="Quality Issue"/>
    <n v="28"/>
    <n v="0"/>
    <n v="1"/>
    <x v="0"/>
  </r>
  <r>
    <s v="FB000827"/>
    <x v="1"/>
    <x v="6"/>
    <x v="3"/>
    <s v="S"/>
    <s v="Pink"/>
    <n v="90.73"/>
    <n v="0"/>
    <n v="90.73"/>
    <x v="1"/>
    <n v="14"/>
    <n v="1.1000000000000001"/>
    <b v="0"/>
    <m/>
    <n v="28"/>
    <n v="0"/>
    <s v=""/>
    <x v="0"/>
  </r>
  <r>
    <s v="FB000828"/>
    <x v="4"/>
    <x v="4"/>
    <x v="2"/>
    <s v="XXL"/>
    <s v="Green"/>
    <n v="25.74"/>
    <n v="0"/>
    <n v="25.74"/>
    <x v="1"/>
    <n v="33"/>
    <n v="1.1000000000000001"/>
    <b v="1"/>
    <s v="Color Mismatch"/>
    <n v="28"/>
    <n v="0"/>
    <n v="1"/>
    <x v="0"/>
  </r>
  <r>
    <s v="FB000829"/>
    <x v="3"/>
    <x v="5"/>
    <x v="0"/>
    <s v="XL"/>
    <s v="Gray"/>
    <n v="162.97"/>
    <n v="0"/>
    <n v="162.97"/>
    <x v="147"/>
    <n v="47"/>
    <n v="2.2000000000000002"/>
    <b v="1"/>
    <s v="Wrong Item"/>
    <n v="285"/>
    <n v="0"/>
    <n v="1"/>
    <x v="0"/>
  </r>
  <r>
    <s v="FB000830"/>
    <x v="2"/>
    <x v="4"/>
    <x v="1"/>
    <m/>
    <s v="Black"/>
    <n v="50.33"/>
    <n v="8.6999999999999993"/>
    <n v="45.95"/>
    <x v="1"/>
    <n v="14"/>
    <n v="1.3"/>
    <b v="0"/>
    <m/>
    <n v="28"/>
    <n v="121.79999999999998"/>
    <s v=""/>
    <x v="1"/>
  </r>
  <r>
    <s v="FB000831"/>
    <x v="3"/>
    <x v="1"/>
    <x v="0"/>
    <m/>
    <s v="Pink"/>
    <n v="60.38"/>
    <n v="0"/>
    <n v="60.38"/>
    <x v="56"/>
    <n v="0"/>
    <n v="2.8205128205128198"/>
    <b v="0"/>
    <m/>
    <n v="127"/>
    <n v="0"/>
    <s v=""/>
    <x v="0"/>
  </r>
  <r>
    <s v="FB000832"/>
    <x v="1"/>
    <x v="1"/>
    <x v="3"/>
    <s v="XXL"/>
    <s v="Black"/>
    <n v="103.65"/>
    <n v="0"/>
    <n v="103.65"/>
    <x v="1"/>
    <n v="29"/>
    <n v="3.7"/>
    <b v="0"/>
    <m/>
    <n v="28"/>
    <n v="0"/>
    <s v=""/>
    <x v="0"/>
  </r>
  <r>
    <s v="FB000833"/>
    <x v="4"/>
    <x v="6"/>
    <x v="0"/>
    <s v="L"/>
    <s v="Beige"/>
    <n v="75.14"/>
    <n v="0"/>
    <n v="75.14"/>
    <x v="148"/>
    <n v="41"/>
    <n v="3.1799999999999997"/>
    <b v="1"/>
    <s v="Changed Mind"/>
    <n v="219"/>
    <n v="0"/>
    <n v="1"/>
    <x v="0"/>
  </r>
  <r>
    <s v="FB000834"/>
    <x v="3"/>
    <x v="4"/>
    <x v="1"/>
    <s v="S"/>
    <s v="Pink"/>
    <n v="88"/>
    <n v="0"/>
    <n v="88"/>
    <x v="1"/>
    <n v="2"/>
    <n v="1.9"/>
    <b v="0"/>
    <m/>
    <n v="28"/>
    <n v="0"/>
    <s v=""/>
    <x v="0"/>
  </r>
  <r>
    <s v="FB000835"/>
    <x v="5"/>
    <x v="5"/>
    <x v="1"/>
    <s v="XS"/>
    <s v="Red"/>
    <n v="69.540000000000006"/>
    <n v="0"/>
    <n v="69.540000000000006"/>
    <x v="1"/>
    <n v="21"/>
    <n v="3.1874999999999991"/>
    <b v="0"/>
    <m/>
    <n v="28"/>
    <n v="0"/>
    <s v=""/>
    <x v="0"/>
  </r>
  <r>
    <s v="FB000836"/>
    <x v="0"/>
    <x v="3"/>
    <x v="1"/>
    <s v="XS"/>
    <s v="Pink"/>
    <n v="209.52"/>
    <n v="0"/>
    <n v="209.52"/>
    <x v="1"/>
    <n v="48"/>
    <n v="2.6"/>
    <b v="0"/>
    <m/>
    <n v="28"/>
    <n v="0"/>
    <s v=""/>
    <x v="0"/>
  </r>
  <r>
    <s v="FB000837"/>
    <x v="3"/>
    <x v="4"/>
    <x v="2"/>
    <s v="XXL"/>
    <s v="Beige"/>
    <n v="97.42"/>
    <n v="0"/>
    <n v="97.42"/>
    <x v="1"/>
    <n v="35"/>
    <n v="2"/>
    <b v="0"/>
    <m/>
    <n v="28"/>
    <n v="0"/>
    <s v=""/>
    <x v="0"/>
  </r>
  <r>
    <s v="FB000838"/>
    <x v="5"/>
    <x v="1"/>
    <x v="1"/>
    <s v="XS"/>
    <s v="White"/>
    <n v="154.6"/>
    <n v="0"/>
    <n v="154.6"/>
    <x v="1"/>
    <n v="38"/>
    <n v="4.5"/>
    <b v="1"/>
    <s v="Changed Mind"/>
    <n v="28"/>
    <n v="0"/>
    <n v="1"/>
    <x v="0"/>
  </r>
  <r>
    <s v="FB000839"/>
    <x v="4"/>
    <x v="0"/>
    <x v="3"/>
    <s v="XL"/>
    <s v="White"/>
    <n v="81.59"/>
    <n v="38"/>
    <n v="50.59"/>
    <x v="1"/>
    <n v="31"/>
    <n v="1.2"/>
    <b v="0"/>
    <m/>
    <n v="28"/>
    <n v="1178"/>
    <s v=""/>
    <x v="1"/>
  </r>
  <r>
    <s v="FB000840"/>
    <x v="2"/>
    <x v="3"/>
    <x v="1"/>
    <m/>
    <s v="Brown"/>
    <n v="48.04"/>
    <n v="0"/>
    <n v="48.04"/>
    <x v="1"/>
    <n v="46"/>
    <n v="4.8"/>
    <b v="0"/>
    <m/>
    <n v="28"/>
    <n v="0"/>
    <s v=""/>
    <x v="0"/>
  </r>
  <r>
    <s v="FB000841"/>
    <x v="1"/>
    <x v="2"/>
    <x v="2"/>
    <s v="S"/>
    <s v="Green"/>
    <n v="70.77"/>
    <n v="0"/>
    <n v="70.77"/>
    <x v="1"/>
    <n v="5"/>
    <n v="3.7"/>
    <b v="0"/>
    <m/>
    <n v="28"/>
    <n v="0"/>
    <s v=""/>
    <x v="0"/>
  </r>
  <r>
    <s v="FB000842"/>
    <x v="0"/>
    <x v="7"/>
    <x v="2"/>
    <s v="S"/>
    <s v="Gray"/>
    <n v="103.49"/>
    <n v="0"/>
    <n v="103.49"/>
    <x v="1"/>
    <n v="12"/>
    <n v="1.8"/>
    <b v="0"/>
    <m/>
    <n v="28"/>
    <n v="0"/>
    <s v=""/>
    <x v="0"/>
  </r>
  <r>
    <s v="FB000843"/>
    <x v="0"/>
    <x v="1"/>
    <x v="0"/>
    <s v="L"/>
    <s v="Purple"/>
    <n v="138.88999999999999"/>
    <n v="0"/>
    <n v="138.88999999999999"/>
    <x v="60"/>
    <n v="10"/>
    <n v="3.15"/>
    <b v="0"/>
    <m/>
    <n v="216"/>
    <n v="0"/>
    <s v=""/>
    <x v="0"/>
  </r>
  <r>
    <s v="FB000844"/>
    <x v="2"/>
    <x v="4"/>
    <x v="1"/>
    <m/>
    <s v="Green"/>
    <n v="73.510000000000005"/>
    <n v="32.200000000000003"/>
    <n v="49.84"/>
    <x v="1"/>
    <n v="17"/>
    <n v="2.7333333333333334"/>
    <b v="1"/>
    <s v="Wrong Item"/>
    <n v="28"/>
    <n v="547.40000000000009"/>
    <n v="1"/>
    <x v="1"/>
  </r>
  <r>
    <s v="FB000845"/>
    <x v="4"/>
    <x v="0"/>
    <x v="0"/>
    <s v="M"/>
    <s v="Purple"/>
    <n v="82.37"/>
    <n v="0"/>
    <n v="82.37"/>
    <x v="149"/>
    <n v="49"/>
    <n v="3.3"/>
    <b v="0"/>
    <m/>
    <n v="91"/>
    <n v="0"/>
    <s v=""/>
    <x v="0"/>
  </r>
  <r>
    <s v="FB000846"/>
    <x v="5"/>
    <x v="5"/>
    <x v="3"/>
    <s v="XS"/>
    <s v="Navy"/>
    <n v="81.709999999999994"/>
    <n v="18"/>
    <n v="67"/>
    <x v="1"/>
    <n v="28"/>
    <n v="4.7"/>
    <b v="0"/>
    <m/>
    <n v="28"/>
    <n v="504"/>
    <s v=""/>
    <x v="1"/>
  </r>
  <r>
    <s v="FB000847"/>
    <x v="5"/>
    <x v="2"/>
    <x v="1"/>
    <s v="XXL"/>
    <s v="Navy"/>
    <n v="107.02"/>
    <n v="10.6"/>
    <n v="95.68"/>
    <x v="1"/>
    <n v="6"/>
    <n v="2.9000000000000008"/>
    <b v="0"/>
    <m/>
    <n v="28"/>
    <n v="63.599999999999994"/>
    <s v=""/>
    <x v="1"/>
  </r>
  <r>
    <s v="FB000848"/>
    <x v="4"/>
    <x v="4"/>
    <x v="3"/>
    <s v="XL"/>
    <s v="Pink"/>
    <n v="103.23"/>
    <n v="18.7"/>
    <n v="83.93"/>
    <x v="1"/>
    <n v="6"/>
    <n v="4"/>
    <b v="0"/>
    <m/>
    <n v="28"/>
    <n v="112.19999999999999"/>
    <s v=""/>
    <x v="1"/>
  </r>
  <r>
    <s v="FB000849"/>
    <x v="1"/>
    <x v="6"/>
    <x v="2"/>
    <s v="L"/>
    <s v="Blue"/>
    <n v="100.48"/>
    <n v="17.600000000000001"/>
    <n v="82.8"/>
    <x v="1"/>
    <n v="19"/>
    <n v="2.9074999999999998"/>
    <b v="0"/>
    <m/>
    <n v="28"/>
    <n v="334.40000000000003"/>
    <s v=""/>
    <x v="1"/>
  </r>
  <r>
    <s v="FB000850"/>
    <x v="3"/>
    <x v="5"/>
    <x v="1"/>
    <s v="XL"/>
    <s v="White"/>
    <n v="160.87"/>
    <n v="53.7"/>
    <n v="74.48"/>
    <x v="1"/>
    <n v="18"/>
    <n v="3.0068965517241386"/>
    <b v="0"/>
    <m/>
    <n v="28"/>
    <n v="966.6"/>
    <s v=""/>
    <x v="1"/>
  </r>
  <r>
    <s v="FB000851"/>
    <x v="2"/>
    <x v="3"/>
    <x v="2"/>
    <m/>
    <s v="White"/>
    <n v="78.39"/>
    <n v="0"/>
    <n v="78.39"/>
    <x v="1"/>
    <n v="7"/>
    <n v="4.2"/>
    <b v="0"/>
    <m/>
    <n v="28"/>
    <n v="0"/>
    <s v=""/>
    <x v="0"/>
  </r>
  <r>
    <s v="FB000852"/>
    <x v="0"/>
    <x v="0"/>
    <x v="0"/>
    <s v="S"/>
    <s v="Beige"/>
    <n v="168.38"/>
    <n v="23.1"/>
    <n v="129.47999999999999"/>
    <x v="149"/>
    <n v="3"/>
    <n v="2"/>
    <b v="0"/>
    <m/>
    <n v="91"/>
    <n v="69.300000000000011"/>
    <s v=""/>
    <x v="1"/>
  </r>
  <r>
    <s v="FB000853"/>
    <x v="3"/>
    <x v="2"/>
    <x v="1"/>
    <s v="S"/>
    <s v="Navy"/>
    <n v="128.35"/>
    <n v="0"/>
    <n v="128.35"/>
    <x v="1"/>
    <n v="20"/>
    <n v="2.5"/>
    <b v="0"/>
    <m/>
    <n v="28"/>
    <n v="0"/>
    <s v=""/>
    <x v="0"/>
  </r>
  <r>
    <s v="FB000854"/>
    <x v="5"/>
    <x v="1"/>
    <x v="0"/>
    <s v="XL"/>
    <s v="Gray"/>
    <n v="138.16999999999999"/>
    <n v="3"/>
    <n v="134.02000000000001"/>
    <x v="126"/>
    <n v="34"/>
    <n v="4.0999999999999996"/>
    <b v="0"/>
    <m/>
    <n v="152"/>
    <n v="102"/>
    <s v=""/>
    <x v="1"/>
  </r>
  <r>
    <s v="FB000855"/>
    <x v="5"/>
    <x v="1"/>
    <x v="2"/>
    <s v="M"/>
    <s v="Navy"/>
    <n v="52.45"/>
    <n v="0"/>
    <n v="52.45"/>
    <x v="1"/>
    <n v="16"/>
    <n v="1.7"/>
    <b v="0"/>
    <m/>
    <n v="28"/>
    <n v="0"/>
    <s v=""/>
    <x v="0"/>
  </r>
  <r>
    <s v="FB000856"/>
    <x v="3"/>
    <x v="4"/>
    <x v="1"/>
    <s v="XS"/>
    <s v="White"/>
    <n v="171.53"/>
    <n v="0"/>
    <n v="171.53"/>
    <x v="1"/>
    <n v="12"/>
    <n v="4.8"/>
    <b v="0"/>
    <m/>
    <n v="28"/>
    <n v="0"/>
    <s v=""/>
    <x v="0"/>
  </r>
  <r>
    <s v="FB000857"/>
    <x v="1"/>
    <x v="3"/>
    <x v="2"/>
    <s v="XXL"/>
    <s v="Brown"/>
    <n v="81.23"/>
    <n v="1.2"/>
    <n v="80.260000000000005"/>
    <x v="1"/>
    <n v="10"/>
    <n v="4.9000000000000004"/>
    <b v="0"/>
    <m/>
    <n v="28"/>
    <n v="12"/>
    <s v=""/>
    <x v="1"/>
  </r>
  <r>
    <s v="FB000858"/>
    <x v="2"/>
    <x v="2"/>
    <x v="0"/>
    <m/>
    <s v="Blue"/>
    <n v="31.37"/>
    <n v="44.1"/>
    <n v="17.54"/>
    <x v="21"/>
    <n v="11"/>
    <n v="3.4"/>
    <b v="0"/>
    <m/>
    <n v="355"/>
    <n v="485.1"/>
    <s v=""/>
    <x v="1"/>
  </r>
  <r>
    <s v="FB000859"/>
    <x v="4"/>
    <x v="6"/>
    <x v="0"/>
    <s v="S"/>
    <s v="Red"/>
    <n v="93.89"/>
    <n v="0"/>
    <n v="93.89"/>
    <x v="135"/>
    <n v="3"/>
    <n v="1.8"/>
    <b v="0"/>
    <m/>
    <n v="212"/>
    <n v="0"/>
    <s v=""/>
    <x v="0"/>
  </r>
  <r>
    <s v="FB000860"/>
    <x v="4"/>
    <x v="1"/>
    <x v="0"/>
    <s v="XL"/>
    <s v="Gray"/>
    <n v="54.84"/>
    <n v="0"/>
    <n v="54.84"/>
    <x v="150"/>
    <n v="12"/>
    <n v="3.2"/>
    <b v="0"/>
    <m/>
    <n v="346"/>
    <n v="0"/>
    <s v=""/>
    <x v="0"/>
  </r>
  <r>
    <s v="FB000861"/>
    <x v="5"/>
    <x v="0"/>
    <x v="1"/>
    <s v="L"/>
    <s v="Red"/>
    <n v="140.34"/>
    <n v="0"/>
    <n v="140.34"/>
    <x v="1"/>
    <n v="23"/>
    <n v="2.8"/>
    <b v="1"/>
    <s v="Changed Mind"/>
    <n v="28"/>
    <n v="0"/>
    <n v="1"/>
    <x v="0"/>
  </r>
  <r>
    <s v="FB000862"/>
    <x v="1"/>
    <x v="2"/>
    <x v="2"/>
    <s v="M"/>
    <s v="Red"/>
    <n v="51.88"/>
    <n v="16.8"/>
    <n v="43.16"/>
    <x v="1"/>
    <n v="30"/>
    <n v="1.5"/>
    <b v="0"/>
    <m/>
    <n v="28"/>
    <n v="504"/>
    <s v=""/>
    <x v="1"/>
  </r>
  <r>
    <s v="FB000863"/>
    <x v="5"/>
    <x v="3"/>
    <x v="0"/>
    <s v="S"/>
    <s v="Purple"/>
    <n v="136.19999999999999"/>
    <n v="44.3"/>
    <n v="75.86"/>
    <x v="78"/>
    <n v="49"/>
    <n v="2.8372093023255811"/>
    <b v="0"/>
    <m/>
    <n v="286"/>
    <n v="2170.6999999999998"/>
    <s v=""/>
    <x v="1"/>
  </r>
  <r>
    <s v="FB000864"/>
    <x v="2"/>
    <x v="4"/>
    <x v="3"/>
    <m/>
    <s v="Brown"/>
    <n v="71.19"/>
    <n v="0"/>
    <n v="71.19"/>
    <x v="1"/>
    <n v="14"/>
    <n v="2.8"/>
    <b v="0"/>
    <m/>
    <n v="28"/>
    <n v="0"/>
    <s v=""/>
    <x v="0"/>
  </r>
  <r>
    <s v="FB000865"/>
    <x v="0"/>
    <x v="7"/>
    <x v="0"/>
    <s v="S"/>
    <s v="Navy"/>
    <n v="241.37"/>
    <n v="44.9"/>
    <n v="132.99"/>
    <x v="151"/>
    <n v="23"/>
    <n v="2.1"/>
    <b v="0"/>
    <m/>
    <n v="111"/>
    <n v="1032.7"/>
    <s v=""/>
    <x v="1"/>
  </r>
  <r>
    <s v="FB000866"/>
    <x v="0"/>
    <x v="6"/>
    <x v="2"/>
    <s v="XXL"/>
    <s v="Blue"/>
    <n v="198.26"/>
    <n v="51.3"/>
    <n v="96.55"/>
    <x v="1"/>
    <n v="38"/>
    <n v="2.9034482758620692"/>
    <b v="0"/>
    <m/>
    <n v="28"/>
    <n v="1949.3999999999999"/>
    <s v=""/>
    <x v="1"/>
  </r>
  <r>
    <s v="FB000867"/>
    <x v="4"/>
    <x v="5"/>
    <x v="1"/>
    <s v="XXL"/>
    <s v="Beige"/>
    <n v="64.069999999999993"/>
    <n v="0"/>
    <n v="64.069999999999993"/>
    <x v="1"/>
    <n v="34"/>
    <n v="3.0575757575757576"/>
    <b v="0"/>
    <m/>
    <n v="28"/>
    <n v="0"/>
    <s v=""/>
    <x v="0"/>
  </r>
  <r>
    <s v="FB000868"/>
    <x v="4"/>
    <x v="0"/>
    <x v="2"/>
    <s v="XL"/>
    <s v="Gray"/>
    <n v="110.15"/>
    <n v="10.4"/>
    <n v="98.69"/>
    <x v="1"/>
    <n v="36"/>
    <n v="1.6"/>
    <b v="0"/>
    <m/>
    <n v="28"/>
    <n v="374.40000000000003"/>
    <s v=""/>
    <x v="1"/>
  </r>
  <r>
    <s v="FB000869"/>
    <x v="0"/>
    <x v="7"/>
    <x v="0"/>
    <s v="XS"/>
    <s v="Blue"/>
    <n v="120.68"/>
    <n v="0"/>
    <n v="120.68"/>
    <x v="152"/>
    <n v="6"/>
    <n v="1.9"/>
    <b v="0"/>
    <m/>
    <n v="256"/>
    <n v="0"/>
    <s v=""/>
    <x v="0"/>
  </r>
  <r>
    <s v="FB000870"/>
    <x v="2"/>
    <x v="0"/>
    <x v="2"/>
    <m/>
    <s v="Black"/>
    <n v="69.180000000000007"/>
    <n v="31"/>
    <n v="47.73"/>
    <x v="1"/>
    <n v="9"/>
    <n v="2.7"/>
    <b v="1"/>
    <s v="Size Issue"/>
    <n v="28"/>
    <n v="279"/>
    <n v="1"/>
    <x v="1"/>
  </r>
  <r>
    <s v="FB000871"/>
    <x v="5"/>
    <x v="5"/>
    <x v="2"/>
    <s v="L"/>
    <s v="Red"/>
    <n v="134.77000000000001"/>
    <n v="0"/>
    <n v="134.77000000000001"/>
    <x v="1"/>
    <n v="36"/>
    <n v="4.8"/>
    <b v="0"/>
    <m/>
    <n v="28"/>
    <n v="0"/>
    <s v=""/>
    <x v="0"/>
  </r>
  <r>
    <s v="FB000872"/>
    <x v="1"/>
    <x v="1"/>
    <x v="0"/>
    <s v="S"/>
    <s v="Black"/>
    <n v="29.93"/>
    <n v="0"/>
    <n v="29.93"/>
    <x v="63"/>
    <n v="13"/>
    <n v="3.34"/>
    <b v="0"/>
    <m/>
    <n v="328"/>
    <n v="0"/>
    <s v=""/>
    <x v="0"/>
  </r>
  <r>
    <s v="FB000873"/>
    <x v="2"/>
    <x v="6"/>
    <x v="1"/>
    <m/>
    <s v="White"/>
    <n v="56.09"/>
    <n v="0"/>
    <n v="56.09"/>
    <x v="1"/>
    <n v="21"/>
    <n v="4.9000000000000004"/>
    <b v="0"/>
    <m/>
    <n v="28"/>
    <n v="0"/>
    <s v=""/>
    <x v="0"/>
  </r>
  <r>
    <s v="FB000874"/>
    <x v="3"/>
    <x v="6"/>
    <x v="2"/>
    <s v="XS"/>
    <s v="Green"/>
    <n v="124.81"/>
    <n v="33.1"/>
    <n v="83.5"/>
    <x v="1"/>
    <n v="45"/>
    <n v="2.4"/>
    <b v="0"/>
    <m/>
    <n v="28"/>
    <n v="1489.5"/>
    <s v=""/>
    <x v="1"/>
  </r>
  <r>
    <s v="FB000875"/>
    <x v="5"/>
    <x v="0"/>
    <x v="0"/>
    <s v="M"/>
    <s v="White"/>
    <n v="94.03"/>
    <n v="56.1"/>
    <n v="41.28"/>
    <x v="153"/>
    <n v="16"/>
    <n v="1.2"/>
    <b v="0"/>
    <m/>
    <n v="261"/>
    <n v="897.6"/>
    <s v=""/>
    <x v="1"/>
  </r>
  <r>
    <s v="FB000876"/>
    <x v="3"/>
    <x v="0"/>
    <x v="2"/>
    <s v="XS"/>
    <s v="Red"/>
    <n v="109.51"/>
    <n v="8.1999999999999993"/>
    <n v="100.53"/>
    <x v="1"/>
    <n v="12"/>
    <n v="2.9153846153846157"/>
    <b v="0"/>
    <m/>
    <n v="28"/>
    <n v="98.399999999999991"/>
    <s v=""/>
    <x v="1"/>
  </r>
  <r>
    <s v="FB000877"/>
    <x v="2"/>
    <x v="3"/>
    <x v="1"/>
    <m/>
    <s v="Navy"/>
    <n v="31.13"/>
    <n v="0"/>
    <n v="31.13"/>
    <x v="1"/>
    <n v="29"/>
    <n v="4.7"/>
    <b v="0"/>
    <m/>
    <n v="28"/>
    <n v="0"/>
    <s v=""/>
    <x v="0"/>
  </r>
  <r>
    <s v="FB000878"/>
    <x v="2"/>
    <x v="2"/>
    <x v="2"/>
    <m/>
    <s v="Blue"/>
    <n v="66.3"/>
    <n v="1.7"/>
    <n v="65.17"/>
    <x v="1"/>
    <n v="28"/>
    <n v="1.6"/>
    <b v="0"/>
    <m/>
    <n v="28"/>
    <n v="47.6"/>
    <s v=""/>
    <x v="1"/>
  </r>
  <r>
    <s v="FB000879"/>
    <x v="4"/>
    <x v="4"/>
    <x v="1"/>
    <s v="M"/>
    <s v="Red"/>
    <n v="66.63"/>
    <n v="28.4"/>
    <n v="47.71"/>
    <x v="1"/>
    <n v="32"/>
    <n v="2"/>
    <b v="0"/>
    <m/>
    <n v="28"/>
    <n v="908.8"/>
    <s v=""/>
    <x v="1"/>
  </r>
  <r>
    <s v="FB000880"/>
    <x v="4"/>
    <x v="3"/>
    <x v="0"/>
    <s v="L"/>
    <s v="Green"/>
    <n v="117.63"/>
    <n v="0"/>
    <n v="117.63"/>
    <x v="55"/>
    <n v="18"/>
    <n v="1.2"/>
    <b v="0"/>
    <m/>
    <n v="340"/>
    <n v="0"/>
    <s v=""/>
    <x v="0"/>
  </r>
  <r>
    <s v="FB000881"/>
    <x v="3"/>
    <x v="2"/>
    <x v="1"/>
    <s v="M"/>
    <s v="Purple"/>
    <n v="174.53"/>
    <n v="0"/>
    <n v="174.53"/>
    <x v="1"/>
    <n v="45"/>
    <n v="3.1936170212765949"/>
    <b v="0"/>
    <m/>
    <n v="28"/>
    <n v="0"/>
    <s v=""/>
    <x v="0"/>
  </r>
  <r>
    <s v="FB000882"/>
    <x v="5"/>
    <x v="0"/>
    <x v="1"/>
    <s v="S"/>
    <s v="Green"/>
    <n v="152.65"/>
    <n v="0"/>
    <n v="152.65"/>
    <x v="1"/>
    <n v="27"/>
    <n v="3.7"/>
    <b v="0"/>
    <m/>
    <n v="28"/>
    <n v="0"/>
    <s v=""/>
    <x v="0"/>
  </r>
  <r>
    <s v="FB000883"/>
    <x v="0"/>
    <x v="5"/>
    <x v="3"/>
    <s v="XL"/>
    <s v="Blue"/>
    <n v="83.24"/>
    <n v="0"/>
    <n v="83.24"/>
    <x v="1"/>
    <n v="16"/>
    <n v="3.0305555555555546"/>
    <b v="0"/>
    <m/>
    <n v="28"/>
    <n v="0"/>
    <s v=""/>
    <x v="0"/>
  </r>
  <r>
    <s v="FB000884"/>
    <x v="2"/>
    <x v="0"/>
    <x v="1"/>
    <m/>
    <s v="Brown"/>
    <n v="40.18"/>
    <n v="0"/>
    <n v="40.18"/>
    <x v="1"/>
    <n v="27"/>
    <n v="4.7"/>
    <b v="0"/>
    <m/>
    <n v="28"/>
    <n v="0"/>
    <s v=""/>
    <x v="0"/>
  </r>
  <r>
    <s v="FB000885"/>
    <x v="4"/>
    <x v="3"/>
    <x v="0"/>
    <s v="XL"/>
    <s v="Red"/>
    <n v="73.77"/>
    <n v="22.8"/>
    <n v="56.95"/>
    <x v="154"/>
    <n v="0"/>
    <n v="2.8142857142857149"/>
    <b v="0"/>
    <m/>
    <n v="381"/>
    <n v="0"/>
    <s v=""/>
    <x v="1"/>
  </r>
  <r>
    <s v="FB000886"/>
    <x v="2"/>
    <x v="7"/>
    <x v="1"/>
    <m/>
    <s v="Red"/>
    <n v="71.3"/>
    <n v="0"/>
    <n v="71.3"/>
    <x v="1"/>
    <n v="29"/>
    <n v="2.8636363636363633"/>
    <b v="0"/>
    <m/>
    <n v="28"/>
    <n v="0"/>
    <s v=""/>
    <x v="0"/>
  </r>
  <r>
    <s v="FB000887"/>
    <x v="2"/>
    <x v="7"/>
    <x v="3"/>
    <m/>
    <s v="Beige"/>
    <n v="50.3"/>
    <n v="52.8"/>
    <n v="23.74"/>
    <x v="1"/>
    <n v="11"/>
    <n v="2.8636363636363633"/>
    <b v="0"/>
    <m/>
    <n v="28"/>
    <n v="580.79999999999995"/>
    <s v=""/>
    <x v="1"/>
  </r>
  <r>
    <s v="FB000888"/>
    <x v="2"/>
    <x v="4"/>
    <x v="0"/>
    <m/>
    <s v="Green"/>
    <n v="46.97"/>
    <n v="0"/>
    <n v="46.97"/>
    <x v="155"/>
    <n v="33"/>
    <n v="2.6"/>
    <b v="0"/>
    <m/>
    <n v="191"/>
    <n v="0"/>
    <s v=""/>
    <x v="0"/>
  </r>
  <r>
    <s v="FB000889"/>
    <x v="3"/>
    <x v="0"/>
    <x v="2"/>
    <m/>
    <s v="Brown"/>
    <n v="162.9"/>
    <n v="0"/>
    <n v="162.9"/>
    <x v="1"/>
    <n v="30"/>
    <n v="1.9"/>
    <b v="0"/>
    <m/>
    <n v="28"/>
    <n v="0"/>
    <s v=""/>
    <x v="0"/>
  </r>
  <r>
    <s v="FB000890"/>
    <x v="4"/>
    <x v="7"/>
    <x v="1"/>
    <s v="XL"/>
    <s v="White"/>
    <n v="57.14"/>
    <n v="0"/>
    <n v="57.14"/>
    <x v="1"/>
    <n v="39"/>
    <n v="1.4"/>
    <b v="0"/>
    <m/>
    <n v="28"/>
    <n v="0"/>
    <s v=""/>
    <x v="0"/>
  </r>
  <r>
    <s v="FB000891"/>
    <x v="3"/>
    <x v="5"/>
    <x v="0"/>
    <s v="L"/>
    <s v="Purple"/>
    <n v="93.6"/>
    <n v="0"/>
    <n v="93.6"/>
    <x v="25"/>
    <n v="49"/>
    <n v="4.3"/>
    <b v="0"/>
    <m/>
    <n v="359"/>
    <n v="0"/>
    <s v=""/>
    <x v="0"/>
  </r>
  <r>
    <s v="FB000892"/>
    <x v="2"/>
    <x v="7"/>
    <x v="0"/>
    <m/>
    <s v="Brown"/>
    <n v="64.56"/>
    <n v="43"/>
    <n v="36.799999999999997"/>
    <x v="156"/>
    <n v="36"/>
    <n v="3.9"/>
    <b v="0"/>
    <m/>
    <n v="393"/>
    <n v="1548"/>
    <s v=""/>
    <x v="1"/>
  </r>
  <r>
    <s v="FB000893"/>
    <x v="0"/>
    <x v="5"/>
    <x v="1"/>
    <s v="S"/>
    <s v="Navy"/>
    <n v="142.34"/>
    <n v="0"/>
    <n v="142.34"/>
    <x v="1"/>
    <n v="43"/>
    <n v="3.0305555555555546"/>
    <b v="0"/>
    <m/>
    <n v="28"/>
    <n v="0"/>
    <s v=""/>
    <x v="0"/>
  </r>
  <r>
    <s v="FB000894"/>
    <x v="3"/>
    <x v="6"/>
    <x v="0"/>
    <s v="XS"/>
    <s v="White"/>
    <n v="111.02"/>
    <n v="57.8"/>
    <n v="46.85"/>
    <x v="157"/>
    <n v="11"/>
    <n v="2.2000000000000002"/>
    <b v="0"/>
    <m/>
    <n v="107"/>
    <n v="635.79999999999995"/>
    <s v=""/>
    <x v="1"/>
  </r>
  <r>
    <s v="FB000895"/>
    <x v="1"/>
    <x v="2"/>
    <x v="1"/>
    <m/>
    <s v="Black"/>
    <n v="29.16"/>
    <n v="49"/>
    <n v="14.87"/>
    <x v="1"/>
    <n v="31"/>
    <n v="2.953125"/>
    <b v="0"/>
    <m/>
    <n v="28"/>
    <n v="1519"/>
    <s v=""/>
    <x v="1"/>
  </r>
  <r>
    <s v="FB000896"/>
    <x v="1"/>
    <x v="5"/>
    <x v="3"/>
    <s v="XS"/>
    <s v="Black"/>
    <n v="30.46"/>
    <n v="0"/>
    <n v="30.46"/>
    <x v="1"/>
    <n v="19"/>
    <n v="1.2"/>
    <b v="0"/>
    <m/>
    <n v="28"/>
    <n v="0"/>
    <s v=""/>
    <x v="0"/>
  </r>
  <r>
    <s v="FB000897"/>
    <x v="2"/>
    <x v="7"/>
    <x v="1"/>
    <m/>
    <s v="Blue"/>
    <n v="31.32"/>
    <n v="0"/>
    <n v="31.32"/>
    <x v="1"/>
    <n v="28"/>
    <n v="2.7"/>
    <b v="0"/>
    <m/>
    <n v="28"/>
    <n v="0"/>
    <s v=""/>
    <x v="0"/>
  </r>
  <r>
    <s v="FB000898"/>
    <x v="4"/>
    <x v="1"/>
    <x v="0"/>
    <s v="M"/>
    <s v="Pink"/>
    <n v="61.78"/>
    <n v="0"/>
    <n v="61.78"/>
    <x v="158"/>
    <n v="24"/>
    <n v="3.5"/>
    <b v="0"/>
    <m/>
    <n v="35"/>
    <n v="0"/>
    <s v=""/>
    <x v="0"/>
  </r>
  <r>
    <s v="FB000899"/>
    <x v="0"/>
    <x v="0"/>
    <x v="3"/>
    <s v="M"/>
    <s v="Green"/>
    <n v="126.27"/>
    <n v="0"/>
    <n v="126.27"/>
    <x v="1"/>
    <n v="1"/>
    <n v="4.7"/>
    <b v="0"/>
    <m/>
    <n v="28"/>
    <n v="0"/>
    <s v=""/>
    <x v="0"/>
  </r>
  <r>
    <s v="FB000900"/>
    <x v="0"/>
    <x v="1"/>
    <x v="1"/>
    <s v="L"/>
    <s v="White"/>
    <n v="147.53"/>
    <n v="0"/>
    <n v="147.53"/>
    <x v="1"/>
    <n v="33"/>
    <n v="4.7"/>
    <b v="1"/>
    <s v="Quality Issue"/>
    <n v="28"/>
    <n v="0"/>
    <n v="1"/>
    <x v="0"/>
  </r>
  <r>
    <s v="FB000901"/>
    <x v="2"/>
    <x v="2"/>
    <x v="3"/>
    <m/>
    <s v="Red"/>
    <n v="36.979999999999997"/>
    <n v="12.2"/>
    <n v="32.47"/>
    <x v="1"/>
    <n v="14"/>
    <n v="4.8"/>
    <b v="0"/>
    <m/>
    <n v="28"/>
    <n v="170.79999999999998"/>
    <s v=""/>
    <x v="1"/>
  </r>
  <r>
    <s v="FB000902"/>
    <x v="3"/>
    <x v="4"/>
    <x v="2"/>
    <s v="M"/>
    <s v="Pink"/>
    <n v="172.41"/>
    <n v="0"/>
    <n v="172.41"/>
    <x v="1"/>
    <n v="33"/>
    <n v="2.2999999999999998"/>
    <b v="0"/>
    <m/>
    <n v="28"/>
    <n v="0"/>
    <s v=""/>
    <x v="0"/>
  </r>
  <r>
    <s v="FB000903"/>
    <x v="2"/>
    <x v="4"/>
    <x v="0"/>
    <m/>
    <s v="Pink"/>
    <n v="53.79"/>
    <n v="16"/>
    <n v="45.18"/>
    <x v="39"/>
    <n v="32"/>
    <n v="2.7333333333333334"/>
    <b v="0"/>
    <m/>
    <n v="337"/>
    <n v="512"/>
    <s v=""/>
    <x v="1"/>
  </r>
  <r>
    <s v="FB000904"/>
    <x v="3"/>
    <x v="3"/>
    <x v="3"/>
    <s v="XS"/>
    <s v="Beige"/>
    <n v="80.56"/>
    <n v="0"/>
    <n v="80.56"/>
    <x v="1"/>
    <n v="7"/>
    <n v="1.9"/>
    <b v="0"/>
    <m/>
    <n v="28"/>
    <n v="0"/>
    <s v=""/>
    <x v="0"/>
  </r>
  <r>
    <s v="FB000905"/>
    <x v="2"/>
    <x v="3"/>
    <x v="2"/>
    <m/>
    <s v="Pink"/>
    <n v="51.72"/>
    <n v="0"/>
    <n v="51.72"/>
    <x v="1"/>
    <n v="35"/>
    <n v="3.7"/>
    <b v="1"/>
    <s v="Damaged"/>
    <n v="28"/>
    <n v="0"/>
    <n v="1"/>
    <x v="0"/>
  </r>
  <r>
    <s v="FB000906"/>
    <x v="4"/>
    <x v="3"/>
    <x v="0"/>
    <s v="XL"/>
    <s v="Pink"/>
    <n v="107.22"/>
    <n v="37.799999999999997"/>
    <n v="66.69"/>
    <x v="141"/>
    <n v="21"/>
    <n v="2.9"/>
    <b v="0"/>
    <m/>
    <n v="54"/>
    <n v="793.8"/>
    <s v=""/>
    <x v="1"/>
  </r>
  <r>
    <s v="FB000907"/>
    <x v="3"/>
    <x v="4"/>
    <x v="2"/>
    <s v="XXL"/>
    <s v="Green"/>
    <n v="174.99"/>
    <n v="50.1"/>
    <n v="87.32"/>
    <x v="1"/>
    <n v="7"/>
    <n v="4.9000000000000004"/>
    <b v="0"/>
    <m/>
    <n v="28"/>
    <n v="350.7"/>
    <s v=""/>
    <x v="1"/>
  </r>
  <r>
    <s v="FB000908"/>
    <x v="5"/>
    <x v="7"/>
    <x v="0"/>
    <s v="S"/>
    <s v="Blue"/>
    <n v="90.52"/>
    <n v="53.2"/>
    <n v="42.36"/>
    <x v="159"/>
    <n v="37"/>
    <n v="2.2000000000000002"/>
    <b v="0"/>
    <m/>
    <n v="37"/>
    <n v="1968.4"/>
    <s v=""/>
    <x v="1"/>
  </r>
  <r>
    <s v="FB000909"/>
    <x v="3"/>
    <x v="7"/>
    <x v="3"/>
    <s v="XXL"/>
    <s v="Green"/>
    <n v="94.93"/>
    <n v="16.600000000000001"/>
    <n v="79.17"/>
    <x v="1"/>
    <n v="39"/>
    <n v="4.8"/>
    <b v="0"/>
    <m/>
    <n v="28"/>
    <n v="647.40000000000009"/>
    <s v=""/>
    <x v="1"/>
  </r>
  <r>
    <s v="FB000910"/>
    <x v="3"/>
    <x v="2"/>
    <x v="1"/>
    <s v="XS"/>
    <s v="Gray"/>
    <n v="179.82"/>
    <n v="0"/>
    <n v="179.82"/>
    <x v="1"/>
    <n v="28"/>
    <n v="2.4"/>
    <b v="1"/>
    <s v="Damaged"/>
    <n v="28"/>
    <n v="0"/>
    <n v="1"/>
    <x v="0"/>
  </r>
  <r>
    <s v="FB000911"/>
    <x v="1"/>
    <x v="1"/>
    <x v="0"/>
    <m/>
    <s v="Brown"/>
    <n v="101.96"/>
    <n v="23.7"/>
    <n v="77.8"/>
    <x v="160"/>
    <n v="29"/>
    <n v="3.6"/>
    <b v="0"/>
    <m/>
    <n v="105"/>
    <n v="687.3"/>
    <s v=""/>
    <x v="1"/>
  </r>
  <r>
    <s v="FB000912"/>
    <x v="4"/>
    <x v="2"/>
    <x v="0"/>
    <s v="S"/>
    <s v="Green"/>
    <n v="27.11"/>
    <n v="16.2"/>
    <n v="22.72"/>
    <x v="161"/>
    <n v="10"/>
    <n v="2.4"/>
    <b v="1"/>
    <s v="Changed Mind"/>
    <n v="269"/>
    <n v="162"/>
    <n v="1"/>
    <x v="1"/>
  </r>
  <r>
    <s v="FB000913"/>
    <x v="0"/>
    <x v="6"/>
    <x v="3"/>
    <s v="S"/>
    <s v="Black"/>
    <n v="141.83000000000001"/>
    <n v="0"/>
    <n v="141.83000000000001"/>
    <x v="1"/>
    <n v="2"/>
    <n v="2.4"/>
    <b v="1"/>
    <s v="Color Mismatch"/>
    <n v="28"/>
    <n v="0"/>
    <n v="1"/>
    <x v="0"/>
  </r>
  <r>
    <s v="FB000914"/>
    <x v="3"/>
    <x v="6"/>
    <x v="0"/>
    <m/>
    <s v="Beige"/>
    <n v="156.34"/>
    <n v="37"/>
    <n v="98.49"/>
    <x v="145"/>
    <n v="45"/>
    <n v="2.9"/>
    <b v="1"/>
    <s v="Size Issue"/>
    <n v="143"/>
    <n v="1665"/>
    <n v="1"/>
    <x v="1"/>
  </r>
  <r>
    <s v="FB000915"/>
    <x v="1"/>
    <x v="7"/>
    <x v="3"/>
    <s v="XS"/>
    <s v="Brown"/>
    <n v="81.84"/>
    <n v="0"/>
    <n v="81.84"/>
    <x v="1"/>
    <n v="41"/>
    <n v="2.4"/>
    <b v="0"/>
    <m/>
    <n v="28"/>
    <n v="0"/>
    <s v=""/>
    <x v="0"/>
  </r>
  <r>
    <s v="FB000916"/>
    <x v="4"/>
    <x v="4"/>
    <x v="2"/>
    <s v="L"/>
    <s v="Black"/>
    <n v="36.44"/>
    <n v="19.899999999999999"/>
    <n v="29.19"/>
    <x v="1"/>
    <n v="39"/>
    <n v="1.8"/>
    <b v="0"/>
    <m/>
    <n v="28"/>
    <n v="776.09999999999991"/>
    <s v=""/>
    <x v="1"/>
  </r>
  <r>
    <s v="FB000917"/>
    <x v="0"/>
    <x v="5"/>
    <x v="2"/>
    <s v="S"/>
    <s v="Pink"/>
    <n v="155.30000000000001"/>
    <n v="0"/>
    <n v="155.30000000000001"/>
    <x v="1"/>
    <n v="9"/>
    <n v="3"/>
    <b v="0"/>
    <m/>
    <n v="28"/>
    <n v="0"/>
    <s v=""/>
    <x v="0"/>
  </r>
  <r>
    <s v="FB000918"/>
    <x v="4"/>
    <x v="1"/>
    <x v="2"/>
    <s v="XL"/>
    <s v="Red"/>
    <n v="84.04"/>
    <n v="28.5"/>
    <n v="60.09"/>
    <x v="1"/>
    <n v="3"/>
    <n v="1"/>
    <b v="0"/>
    <m/>
    <n v="28"/>
    <n v="85.5"/>
    <s v=""/>
    <x v="1"/>
  </r>
  <r>
    <s v="FB000919"/>
    <x v="3"/>
    <x v="6"/>
    <x v="2"/>
    <s v="XS"/>
    <s v="Brown"/>
    <n v="98.76"/>
    <n v="56.4"/>
    <n v="43.06"/>
    <x v="1"/>
    <n v="22"/>
    <n v="4.5"/>
    <b v="0"/>
    <m/>
    <n v="28"/>
    <n v="1240.8"/>
    <s v=""/>
    <x v="1"/>
  </r>
  <r>
    <s v="FB000920"/>
    <x v="2"/>
    <x v="5"/>
    <x v="3"/>
    <m/>
    <s v="White"/>
    <n v="52.99"/>
    <n v="59.1"/>
    <n v="21.67"/>
    <x v="1"/>
    <n v="50"/>
    <n v="3.4"/>
    <b v="1"/>
    <s v="Size Issue"/>
    <n v="28"/>
    <n v="2955"/>
    <n v="1"/>
    <x v="1"/>
  </r>
  <r>
    <s v="FB000921"/>
    <x v="4"/>
    <x v="1"/>
    <x v="0"/>
    <s v="L"/>
    <s v="Red"/>
    <n v="39.840000000000003"/>
    <n v="0"/>
    <n v="39.840000000000003"/>
    <x v="138"/>
    <n v="24"/>
    <n v="2.4"/>
    <b v="0"/>
    <m/>
    <n v="138"/>
    <n v="0"/>
    <s v=""/>
    <x v="0"/>
  </r>
  <r>
    <s v="FB000922"/>
    <x v="2"/>
    <x v="5"/>
    <x v="0"/>
    <m/>
    <s v="Green"/>
    <n v="40.01"/>
    <n v="0"/>
    <n v="40.01"/>
    <x v="162"/>
    <n v="22"/>
    <n v="4.5"/>
    <b v="0"/>
    <m/>
    <n v="90"/>
    <n v="0"/>
    <s v=""/>
    <x v="0"/>
  </r>
  <r>
    <s v="FB000923"/>
    <x v="0"/>
    <x v="5"/>
    <x v="3"/>
    <s v="L"/>
    <s v="Navy"/>
    <n v="245.75"/>
    <n v="0"/>
    <n v="245.75"/>
    <x v="1"/>
    <n v="12"/>
    <n v="3.0305555555555546"/>
    <b v="1"/>
    <s v="Changed Mind"/>
    <n v="28"/>
    <n v="0"/>
    <n v="1"/>
    <x v="0"/>
  </r>
  <r>
    <s v="FB000924"/>
    <x v="4"/>
    <x v="0"/>
    <x v="1"/>
    <s v="XL"/>
    <s v="Gray"/>
    <n v="102.25"/>
    <n v="0"/>
    <n v="102.25"/>
    <x v="1"/>
    <n v="6"/>
    <n v="3.8"/>
    <b v="0"/>
    <m/>
    <n v="28"/>
    <n v="0"/>
    <s v=""/>
    <x v="0"/>
  </r>
  <r>
    <s v="FB000925"/>
    <x v="1"/>
    <x v="5"/>
    <x v="3"/>
    <s v="M"/>
    <s v="Gray"/>
    <n v="76.33"/>
    <n v="0"/>
    <n v="76.33"/>
    <x v="1"/>
    <n v="15"/>
    <n v="2"/>
    <b v="1"/>
    <s v="Wrong Item"/>
    <n v="28"/>
    <n v="0"/>
    <n v="1"/>
    <x v="0"/>
  </r>
  <r>
    <s v="FB000926"/>
    <x v="2"/>
    <x v="0"/>
    <x v="0"/>
    <m/>
    <s v="Gray"/>
    <n v="51.79"/>
    <n v="39"/>
    <n v="31.59"/>
    <x v="163"/>
    <n v="37"/>
    <n v="2.5"/>
    <b v="0"/>
    <m/>
    <n v="170"/>
    <n v="1443"/>
    <s v=""/>
    <x v="1"/>
  </r>
  <r>
    <s v="FB000927"/>
    <x v="0"/>
    <x v="0"/>
    <x v="0"/>
    <s v="XXL"/>
    <s v="Pink"/>
    <n v="141.24"/>
    <n v="12.9"/>
    <n v="123.02"/>
    <x v="164"/>
    <n v="23"/>
    <n v="1.7"/>
    <b v="0"/>
    <m/>
    <n v="336"/>
    <n v="296.7"/>
    <s v=""/>
    <x v="1"/>
  </r>
  <r>
    <s v="FB000928"/>
    <x v="2"/>
    <x v="1"/>
    <x v="0"/>
    <m/>
    <s v="Black"/>
    <n v="66.180000000000007"/>
    <n v="0"/>
    <n v="66.180000000000007"/>
    <x v="57"/>
    <n v="20"/>
    <n v="1.7"/>
    <b v="0"/>
    <m/>
    <n v="103"/>
    <n v="0"/>
    <s v=""/>
    <x v="0"/>
  </r>
  <r>
    <s v="FB000929"/>
    <x v="1"/>
    <x v="2"/>
    <x v="3"/>
    <s v="M"/>
    <s v="Navy"/>
    <n v="35.15"/>
    <n v="0"/>
    <n v="35.15"/>
    <x v="1"/>
    <n v="38"/>
    <n v="2.2000000000000002"/>
    <b v="0"/>
    <m/>
    <n v="28"/>
    <n v="0"/>
    <s v=""/>
    <x v="0"/>
  </r>
  <r>
    <s v="FB000930"/>
    <x v="2"/>
    <x v="4"/>
    <x v="0"/>
    <m/>
    <s v="Pink"/>
    <n v="35.619999999999997"/>
    <n v="41.2"/>
    <n v="20.94"/>
    <x v="124"/>
    <n v="4"/>
    <n v="3.7"/>
    <b v="0"/>
    <m/>
    <n v="167"/>
    <n v="164.8"/>
    <s v=""/>
    <x v="1"/>
  </r>
  <r>
    <s v="FB000931"/>
    <x v="2"/>
    <x v="7"/>
    <x v="3"/>
    <m/>
    <s v="Green"/>
    <n v="35.64"/>
    <n v="0"/>
    <n v="35.64"/>
    <x v="1"/>
    <n v="48"/>
    <n v="5"/>
    <b v="1"/>
    <s v="Color Mismatch"/>
    <n v="28"/>
    <n v="0"/>
    <n v="1"/>
    <x v="0"/>
  </r>
  <r>
    <s v="FB000932"/>
    <x v="4"/>
    <x v="5"/>
    <x v="3"/>
    <s v="L"/>
    <s v="Red"/>
    <n v="86.68"/>
    <n v="0"/>
    <n v="86.68"/>
    <x v="1"/>
    <n v="2"/>
    <n v="3.0575757575757576"/>
    <b v="0"/>
    <m/>
    <n v="28"/>
    <n v="0"/>
    <s v=""/>
    <x v="0"/>
  </r>
  <r>
    <s v="FB000933"/>
    <x v="2"/>
    <x v="4"/>
    <x v="2"/>
    <m/>
    <s v="Pink"/>
    <n v="17.72"/>
    <n v="0"/>
    <n v="17.72"/>
    <x v="1"/>
    <n v="9"/>
    <n v="1.2"/>
    <b v="0"/>
    <m/>
    <n v="28"/>
    <n v="0"/>
    <s v=""/>
    <x v="0"/>
  </r>
  <r>
    <s v="FB000934"/>
    <x v="0"/>
    <x v="1"/>
    <x v="2"/>
    <s v="XXL"/>
    <s v="Pink"/>
    <n v="87.95"/>
    <n v="13.3"/>
    <n v="76.25"/>
    <x v="1"/>
    <n v="4"/>
    <n v="4.5"/>
    <b v="0"/>
    <m/>
    <n v="28"/>
    <n v="53.2"/>
    <s v=""/>
    <x v="1"/>
  </r>
  <r>
    <s v="FB000935"/>
    <x v="0"/>
    <x v="3"/>
    <x v="0"/>
    <s v="XS"/>
    <s v="Gray"/>
    <n v="216.26"/>
    <n v="0"/>
    <n v="216.26"/>
    <x v="10"/>
    <n v="26"/>
    <n v="1.1000000000000001"/>
    <b v="0"/>
    <m/>
    <n v="140"/>
    <n v="0"/>
    <s v=""/>
    <x v="0"/>
  </r>
  <r>
    <s v="FB000936"/>
    <x v="0"/>
    <x v="3"/>
    <x v="3"/>
    <s v="S"/>
    <s v="Black"/>
    <n v="238.11"/>
    <n v="0"/>
    <n v="238.11"/>
    <x v="1"/>
    <n v="49"/>
    <n v="2.4137931034482762"/>
    <b v="0"/>
    <m/>
    <n v="28"/>
    <n v="0"/>
    <s v=""/>
    <x v="0"/>
  </r>
  <r>
    <s v="FB000937"/>
    <x v="3"/>
    <x v="1"/>
    <x v="1"/>
    <s v="XXL"/>
    <s v="Pink"/>
    <n v="112.77"/>
    <n v="0"/>
    <n v="112.77"/>
    <x v="1"/>
    <n v="11"/>
    <n v="4.0999999999999996"/>
    <b v="0"/>
    <m/>
    <n v="28"/>
    <n v="0"/>
    <s v=""/>
    <x v="0"/>
  </r>
  <r>
    <s v="FB000938"/>
    <x v="2"/>
    <x v="6"/>
    <x v="1"/>
    <m/>
    <s v="Navy"/>
    <n v="39.020000000000003"/>
    <n v="44.8"/>
    <n v="21.54"/>
    <x v="1"/>
    <n v="29"/>
    <n v="3.4"/>
    <b v="0"/>
    <m/>
    <n v="28"/>
    <n v="1299.1999999999998"/>
    <s v=""/>
    <x v="1"/>
  </r>
  <r>
    <s v="FB000939"/>
    <x v="1"/>
    <x v="5"/>
    <x v="0"/>
    <s v="XXL"/>
    <s v="Purple"/>
    <n v="69.77"/>
    <n v="0"/>
    <n v="69.77"/>
    <x v="165"/>
    <n v="29"/>
    <n v="5"/>
    <b v="0"/>
    <m/>
    <n v="298"/>
    <n v="0"/>
    <s v=""/>
    <x v="0"/>
  </r>
  <r>
    <s v="FB000940"/>
    <x v="5"/>
    <x v="4"/>
    <x v="0"/>
    <s v="M"/>
    <s v="Purple"/>
    <n v="124.92"/>
    <n v="48.4"/>
    <n v="64.459999999999994"/>
    <x v="12"/>
    <n v="22"/>
    <n v="3.2"/>
    <b v="0"/>
    <m/>
    <n v="123"/>
    <n v="1064.8"/>
    <s v=""/>
    <x v="1"/>
  </r>
  <r>
    <s v="FB000941"/>
    <x v="5"/>
    <x v="2"/>
    <x v="3"/>
    <m/>
    <s v="Purple"/>
    <n v="83.92"/>
    <n v="29.4"/>
    <n v="59.25"/>
    <x v="1"/>
    <n v="20"/>
    <n v="2.1"/>
    <b v="1"/>
    <s v="Quality Issue"/>
    <n v="28"/>
    <n v="588"/>
    <n v="1"/>
    <x v="1"/>
  </r>
  <r>
    <s v="FB000942"/>
    <x v="0"/>
    <x v="7"/>
    <x v="2"/>
    <s v="XS"/>
    <s v="Beige"/>
    <n v="180.91"/>
    <n v="0"/>
    <n v="180.91"/>
    <x v="1"/>
    <n v="10"/>
    <n v="3.8"/>
    <b v="0"/>
    <m/>
    <n v="28"/>
    <n v="0"/>
    <s v=""/>
    <x v="0"/>
  </r>
  <r>
    <s v="FB000943"/>
    <x v="3"/>
    <x v="7"/>
    <x v="0"/>
    <s v="XXL"/>
    <s v="Brown"/>
    <n v="120.11"/>
    <n v="0"/>
    <n v="120.11"/>
    <x v="166"/>
    <n v="27"/>
    <n v="4.0999999999999996"/>
    <b v="0"/>
    <m/>
    <n v="253"/>
    <n v="0"/>
    <s v=""/>
    <x v="0"/>
  </r>
  <r>
    <s v="FB000944"/>
    <x v="0"/>
    <x v="7"/>
    <x v="3"/>
    <s v="XL"/>
    <s v="Red"/>
    <n v="225.01"/>
    <n v="0"/>
    <n v="225.01"/>
    <x v="1"/>
    <n v="50"/>
    <n v="1.9"/>
    <b v="1"/>
    <s v="Size Issue"/>
    <n v="28"/>
    <n v="0"/>
    <n v="1"/>
    <x v="0"/>
  </r>
  <r>
    <s v="FB000945"/>
    <x v="5"/>
    <x v="3"/>
    <x v="3"/>
    <s v="L"/>
    <s v="Green"/>
    <n v="115.57"/>
    <n v="0"/>
    <n v="115.57"/>
    <x v="1"/>
    <n v="32"/>
    <n v="3"/>
    <b v="0"/>
    <m/>
    <n v="28"/>
    <n v="0"/>
    <s v=""/>
    <x v="0"/>
  </r>
  <r>
    <s v="FB000946"/>
    <x v="2"/>
    <x v="6"/>
    <x v="2"/>
    <m/>
    <s v="Blue"/>
    <n v="21.2"/>
    <n v="19"/>
    <n v="17.170000000000002"/>
    <x v="1"/>
    <n v="22"/>
    <n v="1.3"/>
    <b v="0"/>
    <m/>
    <n v="28"/>
    <n v="418"/>
    <s v=""/>
    <x v="1"/>
  </r>
  <r>
    <s v="FB000947"/>
    <x v="4"/>
    <x v="0"/>
    <x v="0"/>
    <s v="XXL"/>
    <s v="Black"/>
    <n v="52.36"/>
    <n v="0"/>
    <n v="52.36"/>
    <x v="167"/>
    <n v="35"/>
    <n v="2.9210526315789478"/>
    <b v="0"/>
    <m/>
    <n v="134"/>
    <n v="0"/>
    <s v=""/>
    <x v="0"/>
  </r>
  <r>
    <s v="FB000948"/>
    <x v="2"/>
    <x v="5"/>
    <x v="2"/>
    <m/>
    <s v="Gray"/>
    <n v="73.430000000000007"/>
    <n v="0"/>
    <n v="73.430000000000007"/>
    <x v="1"/>
    <n v="22"/>
    <n v="2.2999999999999998"/>
    <b v="0"/>
    <m/>
    <n v="28"/>
    <n v="0"/>
    <s v=""/>
    <x v="0"/>
  </r>
  <r>
    <s v="FB000949"/>
    <x v="2"/>
    <x v="5"/>
    <x v="0"/>
    <m/>
    <s v="Purple"/>
    <n v="70.75"/>
    <n v="0"/>
    <n v="70.75"/>
    <x v="168"/>
    <n v="0"/>
    <n v="1.4"/>
    <b v="0"/>
    <m/>
    <n v="114"/>
    <n v="0"/>
    <s v=""/>
    <x v="0"/>
  </r>
  <r>
    <s v="FB000950"/>
    <x v="2"/>
    <x v="6"/>
    <x v="2"/>
    <m/>
    <s v="White"/>
    <n v="58.9"/>
    <n v="0"/>
    <n v="58.9"/>
    <x v="1"/>
    <n v="39"/>
    <n v="4"/>
    <b v="0"/>
    <m/>
    <n v="28"/>
    <n v="0"/>
    <s v=""/>
    <x v="0"/>
  </r>
  <r>
    <s v="FB000951"/>
    <x v="0"/>
    <x v="7"/>
    <x v="1"/>
    <s v="L"/>
    <s v="Purple"/>
    <n v="104.78"/>
    <n v="16.899999999999999"/>
    <n v="87.07"/>
    <x v="1"/>
    <n v="43"/>
    <n v="4.3"/>
    <b v="0"/>
    <m/>
    <n v="28"/>
    <n v="726.69999999999993"/>
    <s v=""/>
    <x v="1"/>
  </r>
  <r>
    <s v="FB000952"/>
    <x v="2"/>
    <x v="7"/>
    <x v="2"/>
    <m/>
    <s v="Blue"/>
    <n v="55.3"/>
    <n v="0"/>
    <n v="55.3"/>
    <x v="1"/>
    <n v="17"/>
    <n v="2.5"/>
    <b v="0"/>
    <m/>
    <n v="28"/>
    <n v="0"/>
    <s v=""/>
    <x v="0"/>
  </r>
  <r>
    <s v="FB000953"/>
    <x v="4"/>
    <x v="6"/>
    <x v="3"/>
    <s v="XS"/>
    <s v="Black"/>
    <n v="56.65"/>
    <n v="34"/>
    <n v="37.39"/>
    <x v="1"/>
    <n v="23"/>
    <n v="4.3"/>
    <b v="0"/>
    <m/>
    <n v="28"/>
    <n v="782"/>
    <s v=""/>
    <x v="1"/>
  </r>
  <r>
    <s v="FB000954"/>
    <x v="3"/>
    <x v="1"/>
    <x v="2"/>
    <s v="XS"/>
    <s v="Pink"/>
    <n v="199.14"/>
    <n v="0"/>
    <n v="199.14"/>
    <x v="1"/>
    <n v="18"/>
    <n v="2.8205128205128198"/>
    <b v="0"/>
    <m/>
    <n v="28"/>
    <n v="0"/>
    <s v=""/>
    <x v="0"/>
  </r>
  <r>
    <s v="FB000955"/>
    <x v="3"/>
    <x v="0"/>
    <x v="2"/>
    <s v="M"/>
    <s v="Pink"/>
    <n v="128.68"/>
    <n v="0"/>
    <n v="128.68"/>
    <x v="1"/>
    <n v="8"/>
    <n v="2.2000000000000002"/>
    <b v="0"/>
    <m/>
    <n v="28"/>
    <n v="0"/>
    <s v=""/>
    <x v="0"/>
  </r>
  <r>
    <s v="FB000956"/>
    <x v="0"/>
    <x v="1"/>
    <x v="2"/>
    <s v="XL"/>
    <s v="Beige"/>
    <n v="150.37"/>
    <n v="51.9"/>
    <n v="72.33"/>
    <x v="1"/>
    <n v="15"/>
    <n v="5"/>
    <b v="0"/>
    <m/>
    <n v="28"/>
    <n v="778.5"/>
    <s v=""/>
    <x v="1"/>
  </r>
  <r>
    <s v="FB000957"/>
    <x v="5"/>
    <x v="7"/>
    <x v="1"/>
    <s v="M"/>
    <s v="Pink"/>
    <n v="162.65"/>
    <n v="0"/>
    <n v="162.65"/>
    <x v="1"/>
    <n v="36"/>
    <n v="1.4"/>
    <b v="0"/>
    <m/>
    <n v="28"/>
    <n v="0"/>
    <s v=""/>
    <x v="0"/>
  </r>
  <r>
    <s v="FB000958"/>
    <x v="4"/>
    <x v="3"/>
    <x v="3"/>
    <s v="XXL"/>
    <s v="White"/>
    <n v="28.9"/>
    <n v="0"/>
    <n v="28.9"/>
    <x v="1"/>
    <n v="5"/>
    <n v="4.5999999999999996"/>
    <b v="0"/>
    <m/>
    <n v="28"/>
    <n v="0"/>
    <s v=""/>
    <x v="0"/>
  </r>
  <r>
    <s v="FB000959"/>
    <x v="2"/>
    <x v="7"/>
    <x v="0"/>
    <m/>
    <s v="Pink"/>
    <n v="75.59"/>
    <n v="38.799999999999997"/>
    <n v="46.26"/>
    <x v="169"/>
    <n v="43"/>
    <n v="1.1000000000000001"/>
    <b v="0"/>
    <m/>
    <n v="158"/>
    <n v="1668.3999999999999"/>
    <s v=""/>
    <x v="1"/>
  </r>
  <r>
    <s v="FB000960"/>
    <x v="1"/>
    <x v="0"/>
    <x v="0"/>
    <s v="S"/>
    <s v="Brown"/>
    <n v="30.9"/>
    <n v="5.5"/>
    <n v="29.2"/>
    <x v="170"/>
    <n v="25"/>
    <n v="1.4"/>
    <b v="0"/>
    <m/>
    <n v="301"/>
    <n v="137.5"/>
    <s v=""/>
    <x v="1"/>
  </r>
  <r>
    <s v="FB000961"/>
    <x v="0"/>
    <x v="3"/>
    <x v="3"/>
    <s v="S"/>
    <s v="Blue"/>
    <n v="101.04"/>
    <n v="0"/>
    <n v="101.04"/>
    <x v="1"/>
    <n v="35"/>
    <n v="3.5"/>
    <b v="0"/>
    <m/>
    <n v="28"/>
    <n v="0"/>
    <s v=""/>
    <x v="0"/>
  </r>
  <r>
    <s v="FB000962"/>
    <x v="5"/>
    <x v="7"/>
    <x v="2"/>
    <s v="S"/>
    <s v="White"/>
    <n v="54.81"/>
    <n v="0"/>
    <n v="54.81"/>
    <x v="1"/>
    <n v="41"/>
    <n v="1.2"/>
    <b v="1"/>
    <s v="Wrong Item"/>
    <n v="28"/>
    <n v="0"/>
    <n v="1"/>
    <x v="0"/>
  </r>
  <r>
    <s v="FB000963"/>
    <x v="3"/>
    <x v="4"/>
    <x v="3"/>
    <s v="M"/>
    <s v="Navy"/>
    <n v="191.61"/>
    <n v="42.1"/>
    <n v="110.94"/>
    <x v="1"/>
    <n v="28"/>
    <n v="4"/>
    <b v="0"/>
    <m/>
    <n v="28"/>
    <n v="1178.8"/>
    <s v=""/>
    <x v="1"/>
  </r>
  <r>
    <s v="FB000964"/>
    <x v="1"/>
    <x v="3"/>
    <x v="3"/>
    <s v="XXL"/>
    <s v="Pink"/>
    <n v="100.5"/>
    <n v="0"/>
    <n v="100.5"/>
    <x v="1"/>
    <n v="12"/>
    <n v="2.7"/>
    <b v="1"/>
    <s v="Damaged"/>
    <n v="28"/>
    <n v="0"/>
    <n v="1"/>
    <x v="0"/>
  </r>
  <r>
    <s v="FB000965"/>
    <x v="3"/>
    <x v="3"/>
    <x v="0"/>
    <s v="XXL"/>
    <s v="Green"/>
    <n v="92.35"/>
    <n v="23.6"/>
    <n v="70.56"/>
    <x v="171"/>
    <n v="32"/>
    <n v="2.2000000000000002"/>
    <b v="0"/>
    <m/>
    <n v="279"/>
    <n v="755.2"/>
    <s v=""/>
    <x v="1"/>
  </r>
  <r>
    <s v="FB000966"/>
    <x v="3"/>
    <x v="5"/>
    <x v="3"/>
    <s v="M"/>
    <s v="Gray"/>
    <n v="161.24"/>
    <n v="56.6"/>
    <n v="69.98"/>
    <x v="1"/>
    <n v="8"/>
    <n v="2.1"/>
    <b v="0"/>
    <m/>
    <n v="28"/>
    <n v="452.8"/>
    <s v=""/>
    <x v="1"/>
  </r>
  <r>
    <s v="FB000967"/>
    <x v="5"/>
    <x v="3"/>
    <x v="1"/>
    <s v="XS"/>
    <s v="Gray"/>
    <n v="68.03"/>
    <n v="6.3"/>
    <n v="63.74"/>
    <x v="1"/>
    <n v="43"/>
    <n v="3.4"/>
    <b v="0"/>
    <m/>
    <n v="28"/>
    <n v="270.89999999999998"/>
    <s v=""/>
    <x v="1"/>
  </r>
  <r>
    <s v="FB000968"/>
    <x v="3"/>
    <x v="5"/>
    <x v="2"/>
    <s v="XS"/>
    <s v="Purple"/>
    <n v="121.21"/>
    <n v="47.4"/>
    <n v="63.76"/>
    <x v="1"/>
    <n v="45"/>
    <n v="3"/>
    <b v="1"/>
    <s v="Changed Mind"/>
    <n v="28"/>
    <n v="2133"/>
    <n v="1"/>
    <x v="1"/>
  </r>
  <r>
    <s v="FB000969"/>
    <x v="1"/>
    <x v="0"/>
    <x v="1"/>
    <s v="L"/>
    <s v="Blue"/>
    <n v="69.599999999999994"/>
    <n v="28.8"/>
    <n v="49.56"/>
    <x v="1"/>
    <n v="42"/>
    <n v="3.7"/>
    <b v="0"/>
    <m/>
    <n v="28"/>
    <n v="1209.6000000000001"/>
    <s v=""/>
    <x v="1"/>
  </r>
  <r>
    <s v="FB000970"/>
    <x v="0"/>
    <x v="2"/>
    <x v="1"/>
    <s v="XS"/>
    <s v="White"/>
    <n v="222.5"/>
    <n v="18.7"/>
    <n v="180.89"/>
    <x v="1"/>
    <n v="47"/>
    <n v="3.0177777777777774"/>
    <b v="0"/>
    <m/>
    <n v="28"/>
    <n v="878.9"/>
    <s v=""/>
    <x v="1"/>
  </r>
  <r>
    <s v="FB000971"/>
    <x v="4"/>
    <x v="7"/>
    <x v="2"/>
    <s v="XXL"/>
    <s v="Pink"/>
    <n v="25.58"/>
    <n v="54.5"/>
    <n v="11.64"/>
    <x v="1"/>
    <n v="34"/>
    <n v="2.4"/>
    <b v="0"/>
    <m/>
    <n v="28"/>
    <n v="1853"/>
    <s v=""/>
    <x v="1"/>
  </r>
  <r>
    <s v="FB000972"/>
    <x v="5"/>
    <x v="3"/>
    <x v="3"/>
    <s v="XL"/>
    <s v="Blue"/>
    <n v="54.46"/>
    <n v="6.6"/>
    <n v="50.87"/>
    <x v="1"/>
    <n v="17"/>
    <n v="1.7"/>
    <b v="0"/>
    <m/>
    <n v="28"/>
    <n v="112.19999999999999"/>
    <s v=""/>
    <x v="1"/>
  </r>
  <r>
    <s v="FB000973"/>
    <x v="4"/>
    <x v="7"/>
    <x v="1"/>
    <s v="S"/>
    <s v="Pink"/>
    <n v="43.32"/>
    <n v="0"/>
    <n v="43.32"/>
    <x v="1"/>
    <n v="0"/>
    <n v="2.6"/>
    <b v="0"/>
    <m/>
    <n v="28"/>
    <n v="0"/>
    <s v=""/>
    <x v="0"/>
  </r>
  <r>
    <s v="FB000974"/>
    <x v="2"/>
    <x v="7"/>
    <x v="1"/>
    <m/>
    <s v="Red"/>
    <n v="75.09"/>
    <n v="0"/>
    <n v="75.09"/>
    <x v="1"/>
    <n v="41"/>
    <n v="3.5"/>
    <b v="0"/>
    <m/>
    <n v="28"/>
    <n v="0"/>
    <s v=""/>
    <x v="0"/>
  </r>
  <r>
    <s v="FB000975"/>
    <x v="5"/>
    <x v="1"/>
    <x v="0"/>
    <s v="XS"/>
    <s v="Red"/>
    <n v="167.46"/>
    <n v="0"/>
    <n v="167.46"/>
    <x v="154"/>
    <n v="4"/>
    <n v="1.3"/>
    <b v="0"/>
    <m/>
    <n v="381"/>
    <n v="0"/>
    <s v=""/>
    <x v="0"/>
  </r>
  <r>
    <s v="FB000976"/>
    <x v="3"/>
    <x v="2"/>
    <x v="2"/>
    <s v="L"/>
    <s v="Blue"/>
    <n v="111.24"/>
    <n v="34.299999999999997"/>
    <n v="73.08"/>
    <x v="1"/>
    <n v="3"/>
    <n v="2.2000000000000002"/>
    <b v="0"/>
    <m/>
    <n v="28"/>
    <n v="102.89999999999999"/>
    <s v=""/>
    <x v="1"/>
  </r>
  <r>
    <s v="FB000977"/>
    <x v="4"/>
    <x v="1"/>
    <x v="2"/>
    <s v="XXL"/>
    <s v="Navy"/>
    <n v="59.36"/>
    <n v="0"/>
    <n v="59.36"/>
    <x v="1"/>
    <n v="16"/>
    <n v="3.0846153846153843"/>
    <b v="0"/>
    <m/>
    <n v="28"/>
    <n v="0"/>
    <s v=""/>
    <x v="0"/>
  </r>
  <r>
    <s v="FB000978"/>
    <x v="3"/>
    <x v="2"/>
    <x v="2"/>
    <s v="S"/>
    <s v="Navy"/>
    <n v="199.46"/>
    <n v="0"/>
    <n v="199.46"/>
    <x v="1"/>
    <n v="15"/>
    <n v="1.4"/>
    <b v="0"/>
    <m/>
    <n v="28"/>
    <n v="0"/>
    <s v=""/>
    <x v="0"/>
  </r>
  <r>
    <s v="FB000979"/>
    <x v="3"/>
    <x v="7"/>
    <x v="2"/>
    <s v="M"/>
    <s v="White"/>
    <n v="72.75"/>
    <n v="50.2"/>
    <n v="36.229999999999997"/>
    <x v="1"/>
    <n v="28"/>
    <n v="3.6"/>
    <b v="0"/>
    <m/>
    <n v="28"/>
    <n v="1405.6000000000001"/>
    <s v=""/>
    <x v="1"/>
  </r>
  <r>
    <s v="FB000980"/>
    <x v="4"/>
    <x v="3"/>
    <x v="2"/>
    <s v="XS"/>
    <s v="Pink"/>
    <n v="86.52"/>
    <n v="27.6"/>
    <n v="62.64"/>
    <x v="1"/>
    <n v="47"/>
    <n v="1.1000000000000001"/>
    <b v="0"/>
    <m/>
    <n v="28"/>
    <n v="1297.2"/>
    <s v=""/>
    <x v="1"/>
  </r>
  <r>
    <s v="FB000981"/>
    <x v="2"/>
    <x v="7"/>
    <x v="0"/>
    <m/>
    <s v="Blue"/>
    <n v="52.69"/>
    <n v="40.200000000000003"/>
    <n v="31.51"/>
    <x v="172"/>
    <n v="7"/>
    <n v="2.7"/>
    <b v="0"/>
    <m/>
    <n v="292"/>
    <n v="281.40000000000003"/>
    <s v=""/>
    <x v="1"/>
  </r>
  <r>
    <s v="FB000982"/>
    <x v="0"/>
    <x v="2"/>
    <x v="2"/>
    <s v="L"/>
    <s v="Black"/>
    <n v="104.18"/>
    <n v="0"/>
    <n v="104.18"/>
    <x v="1"/>
    <n v="12"/>
    <n v="5"/>
    <b v="0"/>
    <m/>
    <n v="28"/>
    <n v="0"/>
    <s v=""/>
    <x v="0"/>
  </r>
  <r>
    <s v="FB000983"/>
    <x v="0"/>
    <x v="4"/>
    <x v="1"/>
    <s v="L"/>
    <s v="Red"/>
    <n v="132.38"/>
    <n v="58.2"/>
    <n v="55.33"/>
    <x v="1"/>
    <n v="24"/>
    <n v="2.9228571428571426"/>
    <b v="0"/>
    <m/>
    <n v="28"/>
    <n v="1396.8000000000002"/>
    <s v=""/>
    <x v="1"/>
  </r>
  <r>
    <s v="FB000984"/>
    <x v="3"/>
    <x v="4"/>
    <x v="2"/>
    <s v="XL"/>
    <s v="Pink"/>
    <n v="64.400000000000006"/>
    <n v="0"/>
    <n v="64.400000000000006"/>
    <x v="1"/>
    <n v="40"/>
    <n v="4.9000000000000004"/>
    <b v="0"/>
    <m/>
    <n v="28"/>
    <n v="0"/>
    <s v=""/>
    <x v="0"/>
  </r>
  <r>
    <s v="FB000985"/>
    <x v="4"/>
    <x v="0"/>
    <x v="3"/>
    <s v="XL"/>
    <s v="Gray"/>
    <n v="34.07"/>
    <n v="0"/>
    <n v="34.07"/>
    <x v="1"/>
    <n v="25"/>
    <n v="4.2"/>
    <b v="1"/>
    <s v="Wrong Item"/>
    <n v="28"/>
    <n v="0"/>
    <n v="1"/>
    <x v="0"/>
  </r>
  <r>
    <s v="FB000986"/>
    <x v="4"/>
    <x v="0"/>
    <x v="1"/>
    <s v="XXL"/>
    <s v="Red"/>
    <n v="43.33"/>
    <n v="45.3"/>
    <n v="23.7"/>
    <x v="1"/>
    <n v="1"/>
    <n v="3.4"/>
    <b v="0"/>
    <m/>
    <n v="28"/>
    <n v="45.3"/>
    <s v=""/>
    <x v="1"/>
  </r>
  <r>
    <s v="FB000987"/>
    <x v="0"/>
    <x v="1"/>
    <x v="0"/>
    <s v="XL"/>
    <s v="White"/>
    <n v="122.92"/>
    <n v="0"/>
    <n v="122.92"/>
    <x v="170"/>
    <n v="41"/>
    <n v="2.9"/>
    <b v="0"/>
    <m/>
    <n v="301"/>
    <n v="0"/>
    <s v=""/>
    <x v="0"/>
  </r>
  <r>
    <s v="FB000988"/>
    <x v="3"/>
    <x v="0"/>
    <x v="0"/>
    <s v="S"/>
    <s v="Gray"/>
    <n v="142.84"/>
    <n v="0"/>
    <n v="142.84"/>
    <x v="173"/>
    <n v="36"/>
    <n v="2.9153846153846157"/>
    <b v="0"/>
    <m/>
    <n v="201"/>
    <n v="0"/>
    <s v=""/>
    <x v="0"/>
  </r>
  <r>
    <s v="FB000989"/>
    <x v="3"/>
    <x v="6"/>
    <x v="3"/>
    <s v="XXL"/>
    <s v="Black"/>
    <n v="131.55000000000001"/>
    <n v="0"/>
    <n v="131.55000000000001"/>
    <x v="1"/>
    <n v="45"/>
    <n v="1.8"/>
    <b v="0"/>
    <m/>
    <n v="28"/>
    <n v="0"/>
    <s v=""/>
    <x v="0"/>
  </r>
  <r>
    <s v="FB000990"/>
    <x v="0"/>
    <x v="0"/>
    <x v="0"/>
    <s v="S"/>
    <s v="Red"/>
    <n v="192.58"/>
    <n v="0"/>
    <n v="192.58"/>
    <x v="174"/>
    <n v="16"/>
    <n v="1.2"/>
    <b v="0"/>
    <m/>
    <n v="139"/>
    <n v="0"/>
    <s v=""/>
    <x v="0"/>
  </r>
  <r>
    <s v="FB000991"/>
    <x v="2"/>
    <x v="5"/>
    <x v="0"/>
    <m/>
    <s v="Purple"/>
    <n v="33.56"/>
    <n v="0"/>
    <n v="33.56"/>
    <x v="175"/>
    <n v="24"/>
    <n v="3"/>
    <b v="0"/>
    <m/>
    <n v="160"/>
    <n v="0"/>
    <s v=""/>
    <x v="0"/>
  </r>
  <r>
    <s v="FB000992"/>
    <x v="2"/>
    <x v="1"/>
    <x v="3"/>
    <m/>
    <s v="Blue"/>
    <n v="59.1"/>
    <n v="0"/>
    <n v="59.1"/>
    <x v="1"/>
    <n v="29"/>
    <n v="1.3"/>
    <b v="0"/>
    <m/>
    <n v="28"/>
    <n v="0"/>
    <s v=""/>
    <x v="0"/>
  </r>
  <r>
    <s v="FB000993"/>
    <x v="3"/>
    <x v="6"/>
    <x v="2"/>
    <s v="S"/>
    <s v="Gray"/>
    <n v="109.15"/>
    <n v="20.7"/>
    <n v="86.56"/>
    <x v="1"/>
    <n v="28"/>
    <n v="2"/>
    <b v="1"/>
    <s v="Changed Mind"/>
    <n v="28"/>
    <n v="579.6"/>
    <n v="1"/>
    <x v="1"/>
  </r>
  <r>
    <s v="FB000994"/>
    <x v="4"/>
    <x v="5"/>
    <x v="2"/>
    <m/>
    <s v="Beige"/>
    <n v="59.1"/>
    <n v="0"/>
    <n v="59.1"/>
    <x v="1"/>
    <n v="47"/>
    <n v="4.5999999999999996"/>
    <b v="0"/>
    <m/>
    <n v="28"/>
    <n v="0"/>
    <s v=""/>
    <x v="0"/>
  </r>
  <r>
    <s v="FB000995"/>
    <x v="3"/>
    <x v="6"/>
    <x v="0"/>
    <s v="M"/>
    <s v="Purple"/>
    <n v="99.33"/>
    <n v="0"/>
    <n v="99.33"/>
    <x v="160"/>
    <n v="16"/>
    <n v="3.9"/>
    <b v="0"/>
    <m/>
    <n v="105"/>
    <n v="0"/>
    <s v=""/>
    <x v="0"/>
  </r>
  <r>
    <s v="FB000996"/>
    <x v="5"/>
    <x v="5"/>
    <x v="1"/>
    <s v="XL"/>
    <s v="Navy"/>
    <n v="92.75"/>
    <n v="0"/>
    <n v="92.75"/>
    <x v="1"/>
    <n v="29"/>
    <n v="3.1874999999999991"/>
    <b v="1"/>
    <s v="Changed Mind"/>
    <n v="28"/>
    <n v="0"/>
    <n v="1"/>
    <x v="0"/>
  </r>
  <r>
    <s v="FB000997"/>
    <x v="1"/>
    <x v="0"/>
    <x v="3"/>
    <s v="S"/>
    <s v="Beige"/>
    <n v="116.82"/>
    <n v="0"/>
    <n v="116.82"/>
    <x v="1"/>
    <n v="34"/>
    <n v="2.9181818181818175"/>
    <b v="0"/>
    <m/>
    <n v="28"/>
    <n v="0"/>
    <s v=""/>
    <x v="0"/>
  </r>
  <r>
    <s v="FB000998"/>
    <x v="0"/>
    <x v="5"/>
    <x v="3"/>
    <s v="XL"/>
    <s v="Green"/>
    <n v="129.78"/>
    <n v="9.5"/>
    <n v="117.45"/>
    <x v="1"/>
    <n v="17"/>
    <n v="4"/>
    <b v="0"/>
    <m/>
    <n v="28"/>
    <n v="161.5"/>
    <s v=""/>
    <x v="1"/>
  </r>
  <r>
    <s v="FB000999"/>
    <x v="5"/>
    <x v="2"/>
    <x v="0"/>
    <s v="XS"/>
    <s v="Brown"/>
    <n v="135.69"/>
    <n v="3"/>
    <n v="131.62"/>
    <x v="142"/>
    <n v="16"/>
    <n v="2.9000000000000008"/>
    <b v="0"/>
    <m/>
    <n v="370"/>
    <n v="48"/>
    <s v=""/>
    <x v="1"/>
  </r>
  <r>
    <s v="FB001000"/>
    <x v="5"/>
    <x v="6"/>
    <x v="2"/>
    <m/>
    <s v="Red"/>
    <n v="48.14"/>
    <n v="28.3"/>
    <n v="34.520000000000003"/>
    <x v="1"/>
    <n v="41"/>
    <n v="2.980952380952381"/>
    <b v="0"/>
    <m/>
    <n v="28"/>
    <n v="1160.3"/>
    <s v=""/>
    <x v="1"/>
  </r>
  <r>
    <s v="FB001001"/>
    <x v="5"/>
    <x v="3"/>
    <x v="2"/>
    <s v="XS"/>
    <s v="Blue"/>
    <n v="142.96"/>
    <n v="47.7"/>
    <n v="74.77"/>
    <x v="1"/>
    <n v="7"/>
    <n v="2.8372093023255811"/>
    <b v="0"/>
    <m/>
    <n v="28"/>
    <n v="333.90000000000003"/>
    <s v=""/>
    <x v="1"/>
  </r>
  <r>
    <s v="FB001002"/>
    <x v="1"/>
    <x v="7"/>
    <x v="0"/>
    <s v="L"/>
    <s v="Beige"/>
    <n v="51.72"/>
    <n v="0"/>
    <n v="51.72"/>
    <x v="173"/>
    <n v="50"/>
    <n v="2.6870967741935483"/>
    <b v="0"/>
    <m/>
    <n v="201"/>
    <n v="0"/>
    <s v=""/>
    <x v="0"/>
  </r>
  <r>
    <s v="FB001003"/>
    <x v="2"/>
    <x v="0"/>
    <x v="2"/>
    <m/>
    <s v="Brown"/>
    <n v="18.3"/>
    <n v="38.299999999999997"/>
    <n v="11.29"/>
    <x v="1"/>
    <n v="14"/>
    <n v="1.1000000000000001"/>
    <b v="0"/>
    <m/>
    <n v="28"/>
    <n v="536.19999999999993"/>
    <s v=""/>
    <x v="1"/>
  </r>
  <r>
    <s v="FB001004"/>
    <x v="0"/>
    <x v="3"/>
    <x v="0"/>
    <s v="L"/>
    <s v="Navy"/>
    <n v="214.99"/>
    <n v="29"/>
    <n v="152.63999999999999"/>
    <x v="29"/>
    <n v="32"/>
    <n v="2.8"/>
    <b v="1"/>
    <s v="Wrong Item"/>
    <n v="362"/>
    <n v="928"/>
    <n v="1"/>
    <x v="1"/>
  </r>
  <r>
    <s v="FB001005"/>
    <x v="2"/>
    <x v="6"/>
    <x v="0"/>
    <m/>
    <s v="Red"/>
    <n v="20.77"/>
    <n v="0"/>
    <n v="20.77"/>
    <x v="176"/>
    <n v="31"/>
    <n v="2"/>
    <b v="0"/>
    <m/>
    <n v="382"/>
    <n v="0"/>
    <s v=""/>
    <x v="0"/>
  </r>
  <r>
    <s v="FB001006"/>
    <x v="2"/>
    <x v="6"/>
    <x v="3"/>
    <m/>
    <s v="Pink"/>
    <n v="77.959999999999994"/>
    <n v="0"/>
    <n v="77.959999999999994"/>
    <x v="1"/>
    <n v="39"/>
    <n v="4.8"/>
    <b v="0"/>
    <m/>
    <n v="28"/>
    <n v="0"/>
    <s v=""/>
    <x v="0"/>
  </r>
  <r>
    <s v="FB001007"/>
    <x v="2"/>
    <x v="0"/>
    <x v="2"/>
    <m/>
    <s v="Purple"/>
    <n v="73.33"/>
    <n v="34.6"/>
    <n v="47.96"/>
    <x v="1"/>
    <n v="45"/>
    <n v="2.1"/>
    <b v="0"/>
    <m/>
    <n v="28"/>
    <n v="1557"/>
    <s v=""/>
    <x v="1"/>
  </r>
  <r>
    <s v="FB001008"/>
    <x v="2"/>
    <x v="7"/>
    <x v="2"/>
    <m/>
    <s v="Purple"/>
    <n v="75.22"/>
    <n v="25.9"/>
    <n v="55.74"/>
    <x v="1"/>
    <n v="31"/>
    <n v="1.9"/>
    <b v="1"/>
    <s v="Color Mismatch"/>
    <n v="28"/>
    <n v="802.9"/>
    <n v="1"/>
    <x v="1"/>
  </r>
  <r>
    <s v="FB001009"/>
    <x v="4"/>
    <x v="6"/>
    <x v="2"/>
    <s v="XS"/>
    <s v="Black"/>
    <n v="46.65"/>
    <n v="24.2"/>
    <n v="35.36"/>
    <x v="1"/>
    <n v="8"/>
    <n v="3.2"/>
    <b v="0"/>
    <m/>
    <n v="28"/>
    <n v="193.6"/>
    <s v=""/>
    <x v="1"/>
  </r>
  <r>
    <s v="FB001010"/>
    <x v="5"/>
    <x v="3"/>
    <x v="2"/>
    <s v="XXL"/>
    <s v="Pink"/>
    <n v="108.19"/>
    <n v="0"/>
    <n v="108.19"/>
    <x v="1"/>
    <n v="21"/>
    <n v="2.8372093023255811"/>
    <b v="0"/>
    <m/>
    <n v="28"/>
    <n v="0"/>
    <s v=""/>
    <x v="0"/>
  </r>
  <r>
    <s v="FB001011"/>
    <x v="5"/>
    <x v="0"/>
    <x v="0"/>
    <s v="L"/>
    <s v="Red"/>
    <n v="62.82"/>
    <n v="0"/>
    <n v="62.82"/>
    <x v="89"/>
    <n v="36"/>
    <n v="2.1"/>
    <b v="0"/>
    <m/>
    <n v="330"/>
    <n v="0"/>
    <s v=""/>
    <x v="0"/>
  </r>
  <r>
    <s v="FB001012"/>
    <x v="1"/>
    <x v="0"/>
    <x v="3"/>
    <s v="S"/>
    <s v="Pink"/>
    <n v="57.32"/>
    <n v="57.4"/>
    <n v="24.42"/>
    <x v="1"/>
    <n v="46"/>
    <n v="3.1"/>
    <b v="0"/>
    <m/>
    <n v="28"/>
    <n v="2640.4"/>
    <s v=""/>
    <x v="1"/>
  </r>
  <r>
    <s v="FB001013"/>
    <x v="0"/>
    <x v="4"/>
    <x v="1"/>
    <s v="XXL"/>
    <s v="Green"/>
    <n v="153.59"/>
    <n v="0"/>
    <n v="153.59"/>
    <x v="1"/>
    <n v="31"/>
    <n v="2.9"/>
    <b v="1"/>
    <s v="Damaged"/>
    <n v="28"/>
    <n v="0"/>
    <n v="1"/>
    <x v="0"/>
  </r>
  <r>
    <s v="FB001014"/>
    <x v="3"/>
    <x v="3"/>
    <x v="1"/>
    <s v="XL"/>
    <s v="Purple"/>
    <n v="101.14"/>
    <n v="0"/>
    <n v="101.14"/>
    <x v="1"/>
    <n v="43"/>
    <n v="2.8"/>
    <b v="0"/>
    <m/>
    <n v="28"/>
    <n v="0"/>
    <s v=""/>
    <x v="0"/>
  </r>
  <r>
    <s v="FB001015"/>
    <x v="4"/>
    <x v="5"/>
    <x v="0"/>
    <s v="XXL"/>
    <s v="Brown"/>
    <n v="43.89"/>
    <n v="15.6"/>
    <n v="37.04"/>
    <x v="177"/>
    <n v="31"/>
    <n v="1.7"/>
    <b v="1"/>
    <s v="Wrong Item"/>
    <n v="126"/>
    <n v="483.59999999999997"/>
    <n v="1"/>
    <x v="1"/>
  </r>
  <r>
    <s v="FB001016"/>
    <x v="0"/>
    <x v="0"/>
    <x v="1"/>
    <s v="S"/>
    <s v="Gray"/>
    <n v="130.16"/>
    <n v="47.5"/>
    <n v="68.33"/>
    <x v="1"/>
    <n v="21"/>
    <n v="2.7030303030303036"/>
    <b v="0"/>
    <m/>
    <n v="28"/>
    <n v="997.5"/>
    <s v=""/>
    <x v="1"/>
  </r>
  <r>
    <s v="FB001017"/>
    <x v="5"/>
    <x v="6"/>
    <x v="1"/>
    <s v="L"/>
    <s v="Black"/>
    <n v="153.12"/>
    <n v="0"/>
    <n v="153.12"/>
    <x v="1"/>
    <n v="27"/>
    <n v="3.3"/>
    <b v="0"/>
    <m/>
    <n v="28"/>
    <n v="0"/>
    <s v=""/>
    <x v="0"/>
  </r>
  <r>
    <s v="FB001018"/>
    <x v="1"/>
    <x v="7"/>
    <x v="3"/>
    <s v="XXL"/>
    <s v="Blue"/>
    <n v="37.119999999999997"/>
    <n v="12.1"/>
    <n v="32.630000000000003"/>
    <x v="1"/>
    <n v="43"/>
    <n v="3.2"/>
    <b v="0"/>
    <m/>
    <n v="28"/>
    <n v="520.29999999999995"/>
    <s v=""/>
    <x v="1"/>
  </r>
  <r>
    <s v="FB001019"/>
    <x v="1"/>
    <x v="3"/>
    <x v="3"/>
    <s v="XXL"/>
    <s v="Purple"/>
    <n v="41.05"/>
    <n v="0"/>
    <n v="41.05"/>
    <x v="1"/>
    <n v="24"/>
    <n v="2.9742857142857138"/>
    <b v="0"/>
    <m/>
    <n v="28"/>
    <n v="0"/>
    <s v=""/>
    <x v="0"/>
  </r>
  <r>
    <s v="FB001020"/>
    <x v="3"/>
    <x v="7"/>
    <x v="2"/>
    <s v="M"/>
    <s v="Navy"/>
    <n v="61.04"/>
    <n v="0"/>
    <n v="61.04"/>
    <x v="1"/>
    <n v="43"/>
    <n v="1.9"/>
    <b v="0"/>
    <m/>
    <n v="28"/>
    <n v="0"/>
    <s v=""/>
    <x v="0"/>
  </r>
  <r>
    <s v="FB001021"/>
    <x v="1"/>
    <x v="5"/>
    <x v="3"/>
    <s v="S"/>
    <s v="Black"/>
    <n v="97.17"/>
    <n v="0"/>
    <n v="97.17"/>
    <x v="1"/>
    <n v="35"/>
    <n v="3"/>
    <b v="0"/>
    <m/>
    <n v="28"/>
    <n v="0"/>
    <s v=""/>
    <x v="0"/>
  </r>
  <r>
    <s v="FB001022"/>
    <x v="2"/>
    <x v="1"/>
    <x v="3"/>
    <m/>
    <s v="Red"/>
    <n v="63.45"/>
    <n v="0"/>
    <n v="63.45"/>
    <x v="1"/>
    <n v="4"/>
    <n v="3.9"/>
    <b v="0"/>
    <m/>
    <n v="28"/>
    <n v="0"/>
    <s v=""/>
    <x v="0"/>
  </r>
  <r>
    <s v="FB001023"/>
    <x v="1"/>
    <x v="3"/>
    <x v="2"/>
    <m/>
    <s v="Gray"/>
    <n v="117.39"/>
    <n v="0"/>
    <n v="117.39"/>
    <x v="1"/>
    <n v="14"/>
    <n v="3.2"/>
    <b v="0"/>
    <m/>
    <n v="28"/>
    <n v="0"/>
    <s v=""/>
    <x v="0"/>
  </r>
  <r>
    <s v="FB001024"/>
    <x v="1"/>
    <x v="2"/>
    <x v="0"/>
    <s v="S"/>
    <s v="Brown"/>
    <n v="32.89"/>
    <n v="0"/>
    <n v="32.89"/>
    <x v="178"/>
    <n v="6"/>
    <n v="4.5999999999999996"/>
    <b v="0"/>
    <m/>
    <n v="57"/>
    <n v="0"/>
    <s v=""/>
    <x v="0"/>
  </r>
  <r>
    <s v="FB001025"/>
    <x v="4"/>
    <x v="5"/>
    <x v="0"/>
    <s v="L"/>
    <s v="Blue"/>
    <n v="102.6"/>
    <n v="38.6"/>
    <n v="63"/>
    <x v="19"/>
    <n v="14"/>
    <n v="4"/>
    <b v="0"/>
    <m/>
    <n v="116"/>
    <n v="540.4"/>
    <s v=""/>
    <x v="1"/>
  </r>
  <r>
    <s v="FB001026"/>
    <x v="3"/>
    <x v="6"/>
    <x v="0"/>
    <s v="XXL"/>
    <s v="Navy"/>
    <n v="155.91999999999999"/>
    <n v="32.200000000000003"/>
    <n v="105.71"/>
    <x v="164"/>
    <n v="5"/>
    <n v="2"/>
    <b v="0"/>
    <m/>
    <n v="336"/>
    <n v="161"/>
    <s v=""/>
    <x v="1"/>
  </r>
  <r>
    <s v="FB001027"/>
    <x v="0"/>
    <x v="6"/>
    <x v="2"/>
    <s v="L"/>
    <s v="Purple"/>
    <n v="178.39"/>
    <n v="0"/>
    <n v="178.39"/>
    <x v="1"/>
    <n v="29"/>
    <n v="4.2"/>
    <b v="0"/>
    <m/>
    <n v="28"/>
    <n v="0"/>
    <s v=""/>
    <x v="0"/>
  </r>
  <r>
    <s v="FB001028"/>
    <x v="0"/>
    <x v="4"/>
    <x v="0"/>
    <s v="XL"/>
    <s v="Gray"/>
    <n v="151.1"/>
    <n v="0"/>
    <n v="151.1"/>
    <x v="179"/>
    <n v="24"/>
    <n v="2.4"/>
    <b v="0"/>
    <m/>
    <n v="165"/>
    <n v="0"/>
    <s v=""/>
    <x v="0"/>
  </r>
  <r>
    <s v="FB001029"/>
    <x v="1"/>
    <x v="7"/>
    <x v="3"/>
    <s v="XXL"/>
    <s v="Beige"/>
    <n v="91.03"/>
    <n v="55.4"/>
    <n v="40.6"/>
    <x v="1"/>
    <n v="2"/>
    <n v="2.5"/>
    <b v="0"/>
    <m/>
    <n v="28"/>
    <n v="110.8"/>
    <s v=""/>
    <x v="1"/>
  </r>
  <r>
    <s v="FB001030"/>
    <x v="1"/>
    <x v="4"/>
    <x v="2"/>
    <s v="M"/>
    <s v="Gray"/>
    <n v="89.03"/>
    <n v="41.3"/>
    <n v="52.26"/>
    <x v="1"/>
    <n v="50"/>
    <n v="2.9657142857142857"/>
    <b v="0"/>
    <m/>
    <n v="28"/>
    <n v="2065"/>
    <s v=""/>
    <x v="1"/>
  </r>
  <r>
    <s v="FB001031"/>
    <x v="5"/>
    <x v="5"/>
    <x v="3"/>
    <s v="S"/>
    <s v="Green"/>
    <n v="147.58000000000001"/>
    <n v="0"/>
    <n v="147.58000000000001"/>
    <x v="1"/>
    <n v="10"/>
    <n v="4.3"/>
    <b v="0"/>
    <m/>
    <n v="28"/>
    <n v="0"/>
    <s v=""/>
    <x v="0"/>
  </r>
  <r>
    <s v="FB001032"/>
    <x v="5"/>
    <x v="2"/>
    <x v="3"/>
    <s v="XL"/>
    <s v="Blue"/>
    <n v="79.98"/>
    <n v="0"/>
    <n v="79.98"/>
    <x v="1"/>
    <n v="25"/>
    <n v="1.5"/>
    <b v="0"/>
    <m/>
    <n v="28"/>
    <n v="0"/>
    <s v=""/>
    <x v="0"/>
  </r>
  <r>
    <s v="FB001033"/>
    <x v="5"/>
    <x v="4"/>
    <x v="2"/>
    <s v="XS"/>
    <s v="Beige"/>
    <n v="86.38"/>
    <n v="0"/>
    <n v="86.38"/>
    <x v="1"/>
    <n v="40"/>
    <n v="2.7"/>
    <b v="0"/>
    <m/>
    <n v="28"/>
    <n v="0"/>
    <s v=""/>
    <x v="0"/>
  </r>
  <r>
    <s v="FB001034"/>
    <x v="1"/>
    <x v="2"/>
    <x v="3"/>
    <s v="XXL"/>
    <s v="Brown"/>
    <n v="47.29"/>
    <n v="40.4"/>
    <n v="28.18"/>
    <x v="1"/>
    <n v="26"/>
    <n v="4.4000000000000004"/>
    <b v="0"/>
    <m/>
    <n v="28"/>
    <n v="1050.3999999999999"/>
    <s v=""/>
    <x v="1"/>
  </r>
  <r>
    <s v="FB001035"/>
    <x v="0"/>
    <x v="7"/>
    <x v="0"/>
    <s v="L"/>
    <s v="Navy"/>
    <n v="196.54"/>
    <n v="22.6"/>
    <n v="152.12"/>
    <x v="168"/>
    <n v="33"/>
    <n v="1.4"/>
    <b v="0"/>
    <m/>
    <n v="114"/>
    <n v="745.80000000000007"/>
    <s v=""/>
    <x v="1"/>
  </r>
  <r>
    <s v="FB001036"/>
    <x v="1"/>
    <x v="0"/>
    <x v="0"/>
    <s v="XXL"/>
    <s v="Gray"/>
    <n v="72.72"/>
    <n v="0"/>
    <n v="72.72"/>
    <x v="125"/>
    <n v="23"/>
    <n v="1.6"/>
    <b v="0"/>
    <m/>
    <n v="215"/>
    <n v="0"/>
    <s v=""/>
    <x v="0"/>
  </r>
  <r>
    <s v="FB001037"/>
    <x v="1"/>
    <x v="6"/>
    <x v="3"/>
    <s v="XXL"/>
    <s v="Beige"/>
    <n v="115.5"/>
    <n v="0"/>
    <n v="115.5"/>
    <x v="1"/>
    <n v="36"/>
    <n v="2.9074999999999998"/>
    <b v="1"/>
    <s v="Quality Issue"/>
    <n v="28"/>
    <n v="0"/>
    <n v="1"/>
    <x v="0"/>
  </r>
  <r>
    <s v="FB001038"/>
    <x v="2"/>
    <x v="4"/>
    <x v="3"/>
    <m/>
    <s v="Gray"/>
    <n v="68.22"/>
    <n v="8.1"/>
    <n v="62.69"/>
    <x v="1"/>
    <n v="28"/>
    <n v="4"/>
    <b v="0"/>
    <m/>
    <n v="28"/>
    <n v="226.79999999999998"/>
    <s v=""/>
    <x v="1"/>
  </r>
  <r>
    <s v="FB001039"/>
    <x v="1"/>
    <x v="3"/>
    <x v="2"/>
    <s v="XXL"/>
    <s v="Black"/>
    <n v="91.03"/>
    <n v="0"/>
    <n v="91.03"/>
    <x v="1"/>
    <n v="20"/>
    <n v="2.1"/>
    <b v="0"/>
    <m/>
    <n v="28"/>
    <n v="0"/>
    <s v=""/>
    <x v="0"/>
  </r>
  <r>
    <s v="FB001040"/>
    <x v="0"/>
    <x v="7"/>
    <x v="2"/>
    <s v="XXL"/>
    <s v="Purple"/>
    <n v="100.39"/>
    <n v="16.5"/>
    <n v="83.83"/>
    <x v="1"/>
    <n v="17"/>
    <n v="4.5999999999999996"/>
    <b v="0"/>
    <m/>
    <n v="28"/>
    <n v="280.5"/>
    <s v=""/>
    <x v="1"/>
  </r>
  <r>
    <s v="FB001041"/>
    <x v="1"/>
    <x v="6"/>
    <x v="2"/>
    <s v="XS"/>
    <s v="Navy"/>
    <n v="100.03"/>
    <n v="0"/>
    <n v="100.03"/>
    <x v="1"/>
    <n v="39"/>
    <n v="1.2"/>
    <b v="0"/>
    <m/>
    <n v="28"/>
    <n v="0"/>
    <s v=""/>
    <x v="0"/>
  </r>
  <r>
    <s v="FB001042"/>
    <x v="2"/>
    <x v="6"/>
    <x v="0"/>
    <m/>
    <s v="White"/>
    <n v="50.14"/>
    <n v="29.2"/>
    <n v="35.5"/>
    <x v="180"/>
    <n v="33"/>
    <n v="4.4000000000000004"/>
    <b v="0"/>
    <m/>
    <n v="211"/>
    <n v="963.6"/>
    <s v=""/>
    <x v="1"/>
  </r>
  <r>
    <s v="FB001043"/>
    <x v="4"/>
    <x v="0"/>
    <x v="3"/>
    <s v="XL"/>
    <s v="Black"/>
    <n v="33.130000000000003"/>
    <n v="0"/>
    <n v="33.130000000000003"/>
    <x v="1"/>
    <n v="41"/>
    <n v="3.3"/>
    <b v="0"/>
    <m/>
    <n v="28"/>
    <n v="0"/>
    <s v=""/>
    <x v="0"/>
  </r>
  <r>
    <s v="FB001044"/>
    <x v="2"/>
    <x v="4"/>
    <x v="0"/>
    <m/>
    <s v="Navy"/>
    <n v="67.67"/>
    <n v="0"/>
    <n v="67.67"/>
    <x v="105"/>
    <n v="7"/>
    <n v="3.3"/>
    <b v="0"/>
    <m/>
    <n v="343"/>
    <n v="0"/>
    <s v=""/>
    <x v="0"/>
  </r>
  <r>
    <s v="FB001045"/>
    <x v="4"/>
    <x v="2"/>
    <x v="3"/>
    <s v="S"/>
    <s v="Black"/>
    <n v="93.94"/>
    <n v="56.3"/>
    <n v="41.05"/>
    <x v="1"/>
    <n v="36"/>
    <n v="1.1000000000000001"/>
    <b v="0"/>
    <m/>
    <n v="28"/>
    <n v="2026.8"/>
    <s v=""/>
    <x v="1"/>
  </r>
  <r>
    <s v="FB001046"/>
    <x v="1"/>
    <x v="2"/>
    <x v="2"/>
    <s v="XS"/>
    <s v="Black"/>
    <n v="34.56"/>
    <n v="11.2"/>
    <n v="30.69"/>
    <x v="1"/>
    <n v="46"/>
    <n v="3.4"/>
    <b v="0"/>
    <m/>
    <n v="28"/>
    <n v="515.19999999999993"/>
    <s v=""/>
    <x v="1"/>
  </r>
  <r>
    <s v="FB001047"/>
    <x v="0"/>
    <x v="5"/>
    <x v="3"/>
    <s v="M"/>
    <s v="Black"/>
    <n v="235.33"/>
    <n v="0"/>
    <n v="235.33"/>
    <x v="1"/>
    <n v="11"/>
    <n v="4.7"/>
    <b v="1"/>
    <s v="Size Issue"/>
    <n v="28"/>
    <n v="0"/>
    <n v="1"/>
    <x v="0"/>
  </r>
  <r>
    <s v="FB001048"/>
    <x v="1"/>
    <x v="1"/>
    <x v="0"/>
    <s v="XS"/>
    <s v="Red"/>
    <n v="25.45"/>
    <n v="0"/>
    <n v="25.45"/>
    <x v="181"/>
    <n v="29"/>
    <n v="3.7"/>
    <b v="0"/>
    <m/>
    <n v="389"/>
    <n v="0"/>
    <s v=""/>
    <x v="0"/>
  </r>
  <r>
    <s v="FB001049"/>
    <x v="1"/>
    <x v="6"/>
    <x v="1"/>
    <s v="XL"/>
    <s v="Gray"/>
    <n v="71.44"/>
    <n v="0"/>
    <n v="71.44"/>
    <x v="1"/>
    <n v="18"/>
    <n v="4.3"/>
    <b v="0"/>
    <m/>
    <n v="28"/>
    <n v="0"/>
    <s v=""/>
    <x v="0"/>
  </r>
  <r>
    <s v="FB001050"/>
    <x v="5"/>
    <x v="2"/>
    <x v="3"/>
    <s v="XL"/>
    <s v="White"/>
    <n v="98.33"/>
    <n v="0"/>
    <n v="98.33"/>
    <x v="1"/>
    <n v="46"/>
    <n v="3.7"/>
    <b v="0"/>
    <m/>
    <n v="28"/>
    <n v="0"/>
    <s v=""/>
    <x v="0"/>
  </r>
  <r>
    <s v="FB001051"/>
    <x v="5"/>
    <x v="7"/>
    <x v="0"/>
    <s v="S"/>
    <s v="Blue"/>
    <n v="171.1"/>
    <n v="0"/>
    <n v="171.1"/>
    <x v="110"/>
    <n v="34"/>
    <n v="2.9636363636363638"/>
    <b v="0"/>
    <m/>
    <n v="42"/>
    <n v="0"/>
    <s v=""/>
    <x v="0"/>
  </r>
  <r>
    <s v="FB001052"/>
    <x v="5"/>
    <x v="7"/>
    <x v="1"/>
    <s v="XS"/>
    <s v="White"/>
    <n v="155.57"/>
    <n v="0"/>
    <n v="155.57"/>
    <x v="1"/>
    <n v="48"/>
    <n v="3.8"/>
    <b v="0"/>
    <m/>
    <n v="28"/>
    <n v="0"/>
    <s v=""/>
    <x v="0"/>
  </r>
  <r>
    <s v="FB001053"/>
    <x v="0"/>
    <x v="3"/>
    <x v="2"/>
    <s v="L"/>
    <s v="Green"/>
    <n v="198.44"/>
    <n v="0"/>
    <n v="198.44"/>
    <x v="1"/>
    <n v="40"/>
    <n v="2.2000000000000002"/>
    <b v="0"/>
    <m/>
    <n v="28"/>
    <n v="0"/>
    <s v=""/>
    <x v="0"/>
  </r>
  <r>
    <s v="FB001054"/>
    <x v="3"/>
    <x v="5"/>
    <x v="0"/>
    <s v="M"/>
    <s v="Black"/>
    <n v="175.85"/>
    <n v="18.100000000000001"/>
    <n v="144.02000000000001"/>
    <x v="182"/>
    <n v="4"/>
    <n v="4"/>
    <b v="0"/>
    <m/>
    <n v="217"/>
    <n v="72.400000000000006"/>
    <s v=""/>
    <x v="1"/>
  </r>
  <r>
    <s v="FB001055"/>
    <x v="0"/>
    <x v="7"/>
    <x v="3"/>
    <s v="M"/>
    <s v="Pink"/>
    <n v="100.23"/>
    <n v="0"/>
    <n v="100.23"/>
    <x v="1"/>
    <n v="12"/>
    <n v="3.5"/>
    <b v="0"/>
    <m/>
    <n v="28"/>
    <n v="0"/>
    <s v=""/>
    <x v="0"/>
  </r>
  <r>
    <s v="FB001056"/>
    <x v="0"/>
    <x v="0"/>
    <x v="1"/>
    <s v="XXL"/>
    <s v="Beige"/>
    <n v="88.94"/>
    <n v="0"/>
    <n v="88.94"/>
    <x v="1"/>
    <n v="36"/>
    <n v="2.7030303030303036"/>
    <b v="0"/>
    <m/>
    <n v="28"/>
    <n v="0"/>
    <s v=""/>
    <x v="0"/>
  </r>
  <r>
    <s v="FB001057"/>
    <x v="0"/>
    <x v="4"/>
    <x v="2"/>
    <s v="XXL"/>
    <s v="Navy"/>
    <n v="205.91"/>
    <n v="0"/>
    <n v="205.91"/>
    <x v="1"/>
    <n v="3"/>
    <n v="4.8"/>
    <b v="0"/>
    <m/>
    <n v="28"/>
    <n v="0"/>
    <s v=""/>
    <x v="0"/>
  </r>
  <r>
    <s v="FB001058"/>
    <x v="2"/>
    <x v="1"/>
    <x v="2"/>
    <m/>
    <s v="Pink"/>
    <n v="29.06"/>
    <n v="1.1000000000000001"/>
    <n v="28.74"/>
    <x v="1"/>
    <n v="12"/>
    <n v="1.1000000000000001"/>
    <b v="1"/>
    <s v="Color Mismatch"/>
    <n v="28"/>
    <n v="13.200000000000001"/>
    <n v="1"/>
    <x v="1"/>
  </r>
  <r>
    <s v="FB001059"/>
    <x v="2"/>
    <x v="6"/>
    <x v="3"/>
    <m/>
    <s v="Brown"/>
    <n v="68.56"/>
    <n v="0"/>
    <n v="68.56"/>
    <x v="1"/>
    <n v="2"/>
    <n v="2.4"/>
    <b v="0"/>
    <m/>
    <n v="28"/>
    <n v="0"/>
    <s v=""/>
    <x v="0"/>
  </r>
  <r>
    <s v="FB001060"/>
    <x v="1"/>
    <x v="7"/>
    <x v="3"/>
    <s v="L"/>
    <s v="Purple"/>
    <n v="91.6"/>
    <n v="59.5"/>
    <n v="37.1"/>
    <x v="1"/>
    <n v="2"/>
    <n v="4.3"/>
    <b v="0"/>
    <m/>
    <n v="28"/>
    <n v="119"/>
    <s v=""/>
    <x v="1"/>
  </r>
  <r>
    <s v="FB001061"/>
    <x v="5"/>
    <x v="4"/>
    <x v="3"/>
    <s v="XS"/>
    <s v="Black"/>
    <n v="96.57"/>
    <n v="0"/>
    <n v="96.57"/>
    <x v="1"/>
    <n v="6"/>
    <n v="1.9"/>
    <b v="0"/>
    <m/>
    <n v="28"/>
    <n v="0"/>
    <s v=""/>
    <x v="0"/>
  </r>
  <r>
    <s v="FB001062"/>
    <x v="4"/>
    <x v="4"/>
    <x v="1"/>
    <s v="S"/>
    <s v="Pink"/>
    <n v="35.630000000000003"/>
    <n v="57.9"/>
    <n v="15"/>
    <x v="1"/>
    <n v="11"/>
    <n v="1.8"/>
    <b v="0"/>
    <m/>
    <n v="28"/>
    <n v="636.9"/>
    <s v=""/>
    <x v="1"/>
  </r>
  <r>
    <s v="FB001063"/>
    <x v="3"/>
    <x v="1"/>
    <x v="1"/>
    <s v="XS"/>
    <s v="Green"/>
    <n v="118.98"/>
    <n v="38.1"/>
    <n v="73.650000000000006"/>
    <x v="1"/>
    <n v="36"/>
    <n v="1.1000000000000001"/>
    <b v="1"/>
    <s v="Color Mismatch"/>
    <n v="28"/>
    <n v="1371.6000000000001"/>
    <n v="1"/>
    <x v="1"/>
  </r>
  <r>
    <s v="FB001064"/>
    <x v="3"/>
    <x v="4"/>
    <x v="0"/>
    <s v="XL"/>
    <s v="Red"/>
    <n v="62.62"/>
    <n v="10.1"/>
    <n v="56.3"/>
    <x v="183"/>
    <n v="32"/>
    <n v="2.9"/>
    <b v="0"/>
    <m/>
    <n v="141"/>
    <n v="323.2"/>
    <s v=""/>
    <x v="1"/>
  </r>
  <r>
    <s v="FB001065"/>
    <x v="3"/>
    <x v="7"/>
    <x v="3"/>
    <s v="M"/>
    <s v="Brown"/>
    <n v="153.34"/>
    <n v="55.5"/>
    <n v="68.239999999999995"/>
    <x v="1"/>
    <n v="46"/>
    <n v="4.2"/>
    <b v="1"/>
    <s v="Wrong Item"/>
    <n v="28"/>
    <n v="2553"/>
    <n v="1"/>
    <x v="1"/>
  </r>
  <r>
    <s v="FB001066"/>
    <x v="1"/>
    <x v="5"/>
    <x v="3"/>
    <s v="L"/>
    <s v="Green"/>
    <n v="71.66"/>
    <n v="49.7"/>
    <n v="36.04"/>
    <x v="1"/>
    <n v="33"/>
    <n v="2.9846153846153847"/>
    <b v="1"/>
    <s v="Color Mismatch"/>
    <n v="28"/>
    <n v="1640.1000000000001"/>
    <n v="1"/>
    <x v="1"/>
  </r>
  <r>
    <s v="FB001067"/>
    <x v="5"/>
    <x v="5"/>
    <x v="0"/>
    <s v="S"/>
    <s v="Black"/>
    <n v="107.58"/>
    <n v="55.9"/>
    <n v="47.44"/>
    <x v="87"/>
    <n v="19"/>
    <n v="4.4000000000000004"/>
    <b v="0"/>
    <m/>
    <n v="200"/>
    <n v="1062.0999999999999"/>
    <s v=""/>
    <x v="1"/>
  </r>
  <r>
    <s v="FB001068"/>
    <x v="3"/>
    <x v="0"/>
    <x v="0"/>
    <s v="XL"/>
    <s v="Blue"/>
    <n v="137.16"/>
    <n v="0"/>
    <n v="137.16"/>
    <x v="184"/>
    <n v="34"/>
    <n v="4"/>
    <b v="0"/>
    <m/>
    <n v="154"/>
    <n v="0"/>
    <s v=""/>
    <x v="0"/>
  </r>
  <r>
    <s v="FB001069"/>
    <x v="1"/>
    <x v="2"/>
    <x v="1"/>
    <s v="M"/>
    <s v="White"/>
    <n v="119.29"/>
    <n v="0"/>
    <n v="119.29"/>
    <x v="1"/>
    <n v="3"/>
    <n v="2.953125"/>
    <b v="0"/>
    <m/>
    <n v="28"/>
    <n v="0"/>
    <s v=""/>
    <x v="0"/>
  </r>
  <r>
    <s v="FB001070"/>
    <x v="1"/>
    <x v="3"/>
    <x v="0"/>
    <s v="M"/>
    <s v="Navy"/>
    <n v="104.09"/>
    <n v="0"/>
    <n v="104.09"/>
    <x v="152"/>
    <n v="29"/>
    <n v="2.9742857142857138"/>
    <b v="0"/>
    <m/>
    <n v="256"/>
    <n v="0"/>
    <s v=""/>
    <x v="0"/>
  </r>
  <r>
    <s v="FB001071"/>
    <x v="5"/>
    <x v="2"/>
    <x v="2"/>
    <m/>
    <s v="Pink"/>
    <n v="73.069999999999993"/>
    <n v="0"/>
    <n v="73.069999999999993"/>
    <x v="1"/>
    <n v="5"/>
    <n v="4.2"/>
    <b v="0"/>
    <m/>
    <n v="28"/>
    <n v="0"/>
    <s v=""/>
    <x v="0"/>
  </r>
  <r>
    <s v="FB001072"/>
    <x v="4"/>
    <x v="0"/>
    <x v="2"/>
    <s v="XXL"/>
    <s v="Green"/>
    <n v="76.94"/>
    <n v="7.6"/>
    <n v="71.09"/>
    <x v="1"/>
    <n v="20"/>
    <n v="3.7"/>
    <b v="0"/>
    <m/>
    <n v="28"/>
    <n v="152"/>
    <s v=""/>
    <x v="1"/>
  </r>
  <r>
    <s v="FB001073"/>
    <x v="4"/>
    <x v="7"/>
    <x v="1"/>
    <s v="XL"/>
    <s v="Beige"/>
    <n v="119.92"/>
    <n v="0"/>
    <n v="119.92"/>
    <x v="1"/>
    <n v="37"/>
    <n v="5"/>
    <b v="0"/>
    <m/>
    <n v="28"/>
    <n v="0"/>
    <s v=""/>
    <x v="0"/>
  </r>
  <r>
    <s v="FB001074"/>
    <x v="0"/>
    <x v="5"/>
    <x v="1"/>
    <s v="XS"/>
    <s v="White"/>
    <n v="116.49"/>
    <n v="0"/>
    <n v="116.49"/>
    <x v="1"/>
    <n v="17"/>
    <n v="3.3"/>
    <b v="1"/>
    <s v="Damaged"/>
    <n v="28"/>
    <n v="0"/>
    <n v="1"/>
    <x v="0"/>
  </r>
  <r>
    <s v="FB001075"/>
    <x v="3"/>
    <x v="6"/>
    <x v="2"/>
    <s v="XL"/>
    <s v="Pink"/>
    <n v="179.59"/>
    <n v="14.7"/>
    <n v="153.19"/>
    <x v="1"/>
    <n v="47"/>
    <n v="2.9"/>
    <b v="0"/>
    <m/>
    <n v="28"/>
    <n v="690.9"/>
    <s v=""/>
    <x v="1"/>
  </r>
  <r>
    <s v="FB001076"/>
    <x v="2"/>
    <x v="1"/>
    <x v="1"/>
    <m/>
    <s v="Black"/>
    <n v="33.799999999999997"/>
    <n v="0"/>
    <n v="33.799999999999997"/>
    <x v="1"/>
    <n v="34"/>
    <n v="4.8"/>
    <b v="0"/>
    <m/>
    <n v="28"/>
    <n v="0"/>
    <s v=""/>
    <x v="0"/>
  </r>
  <r>
    <s v="FB001077"/>
    <x v="1"/>
    <x v="1"/>
    <x v="2"/>
    <s v="L"/>
    <s v="Beige"/>
    <n v="41.57"/>
    <n v="3.3"/>
    <n v="40.200000000000003"/>
    <x v="1"/>
    <n v="5"/>
    <n v="2.9"/>
    <b v="0"/>
    <m/>
    <n v="28"/>
    <n v="16.5"/>
    <s v=""/>
    <x v="1"/>
  </r>
  <r>
    <s v="FB001078"/>
    <x v="3"/>
    <x v="7"/>
    <x v="0"/>
    <s v="XL"/>
    <s v="Purple"/>
    <n v="139.1"/>
    <n v="47"/>
    <n v="73.72"/>
    <x v="6"/>
    <n v="6"/>
    <n v="3.4"/>
    <b v="0"/>
    <m/>
    <n v="242"/>
    <n v="282"/>
    <s v=""/>
    <x v="1"/>
  </r>
  <r>
    <s v="FB001079"/>
    <x v="5"/>
    <x v="3"/>
    <x v="2"/>
    <s v="L"/>
    <s v="Pink"/>
    <n v="102.04"/>
    <n v="0"/>
    <n v="102.04"/>
    <x v="1"/>
    <n v="34"/>
    <n v="3.4"/>
    <b v="0"/>
    <m/>
    <n v="28"/>
    <n v="0"/>
    <s v=""/>
    <x v="0"/>
  </r>
  <r>
    <s v="FB001080"/>
    <x v="4"/>
    <x v="6"/>
    <x v="2"/>
    <s v="XXL"/>
    <s v="Navy"/>
    <n v="47.25"/>
    <n v="54.2"/>
    <n v="21.64"/>
    <x v="1"/>
    <n v="4"/>
    <n v="4.9000000000000004"/>
    <b v="0"/>
    <m/>
    <n v="28"/>
    <n v="216.8"/>
    <s v=""/>
    <x v="1"/>
  </r>
  <r>
    <s v="FB001081"/>
    <x v="5"/>
    <x v="1"/>
    <x v="3"/>
    <s v="XS"/>
    <s v="White"/>
    <n v="55.08"/>
    <n v="0"/>
    <n v="55.08"/>
    <x v="1"/>
    <n v="48"/>
    <n v="4.0999999999999996"/>
    <b v="0"/>
    <m/>
    <n v="28"/>
    <n v="0"/>
    <s v=""/>
    <x v="0"/>
  </r>
  <r>
    <s v="FB001082"/>
    <x v="0"/>
    <x v="7"/>
    <x v="1"/>
    <s v="L"/>
    <s v="Green"/>
    <n v="88.32"/>
    <n v="54.8"/>
    <n v="39.92"/>
    <x v="1"/>
    <n v="36"/>
    <n v="3.1"/>
    <b v="0"/>
    <m/>
    <n v="28"/>
    <n v="1972.8"/>
    <s v=""/>
    <x v="1"/>
  </r>
  <r>
    <s v="FB001083"/>
    <x v="4"/>
    <x v="3"/>
    <x v="2"/>
    <s v="M"/>
    <s v="Red"/>
    <n v="74.900000000000006"/>
    <n v="16.8"/>
    <n v="62.32"/>
    <x v="1"/>
    <n v="13"/>
    <n v="2.8142857142857149"/>
    <b v="1"/>
    <s v="Color Mismatch"/>
    <n v="28"/>
    <n v="218.4"/>
    <n v="1"/>
    <x v="1"/>
  </r>
  <r>
    <s v="FB001084"/>
    <x v="4"/>
    <x v="3"/>
    <x v="1"/>
    <s v="M"/>
    <s v="White"/>
    <n v="69.88"/>
    <n v="57.4"/>
    <n v="29.77"/>
    <x v="1"/>
    <n v="30"/>
    <n v="4.2"/>
    <b v="0"/>
    <m/>
    <n v="28"/>
    <n v="1722"/>
    <s v=""/>
    <x v="1"/>
  </r>
  <r>
    <s v="FB001085"/>
    <x v="3"/>
    <x v="1"/>
    <x v="2"/>
    <s v="S"/>
    <s v="Gray"/>
    <n v="142.83000000000001"/>
    <n v="0"/>
    <n v="142.83000000000001"/>
    <x v="1"/>
    <n v="25"/>
    <n v="3.5"/>
    <b v="0"/>
    <m/>
    <n v="28"/>
    <n v="0"/>
    <s v=""/>
    <x v="0"/>
  </r>
  <r>
    <s v="FB001086"/>
    <x v="3"/>
    <x v="0"/>
    <x v="2"/>
    <m/>
    <s v="Purple"/>
    <n v="140.16999999999999"/>
    <n v="0"/>
    <n v="140.16999999999999"/>
    <x v="1"/>
    <n v="43"/>
    <n v="3.1"/>
    <b v="0"/>
    <m/>
    <n v="28"/>
    <n v="0"/>
    <s v=""/>
    <x v="0"/>
  </r>
  <r>
    <s v="FB001087"/>
    <x v="1"/>
    <x v="6"/>
    <x v="1"/>
    <s v="M"/>
    <s v="Brown"/>
    <n v="106.11"/>
    <n v="33.799999999999997"/>
    <n v="70.239999999999995"/>
    <x v="1"/>
    <n v="15"/>
    <n v="4.5"/>
    <b v="0"/>
    <m/>
    <n v="28"/>
    <n v="506.99999999999994"/>
    <s v=""/>
    <x v="1"/>
  </r>
  <r>
    <s v="FB001088"/>
    <x v="5"/>
    <x v="4"/>
    <x v="3"/>
    <s v="XS"/>
    <s v="Pink"/>
    <n v="53.23"/>
    <n v="0"/>
    <n v="53.23"/>
    <x v="1"/>
    <n v="41"/>
    <n v="2.8"/>
    <b v="1"/>
    <s v="Color Mismatch"/>
    <n v="28"/>
    <n v="0"/>
    <n v="1"/>
    <x v="0"/>
  </r>
  <r>
    <s v="FB001089"/>
    <x v="0"/>
    <x v="2"/>
    <x v="0"/>
    <s v="XXL"/>
    <s v="Black"/>
    <n v="92.25"/>
    <n v="0"/>
    <n v="92.25"/>
    <x v="185"/>
    <n v="22"/>
    <n v="3.3"/>
    <b v="1"/>
    <s v="Wrong Item"/>
    <n v="98"/>
    <n v="0"/>
    <n v="1"/>
    <x v="0"/>
  </r>
  <r>
    <s v="FB001090"/>
    <x v="2"/>
    <x v="5"/>
    <x v="3"/>
    <m/>
    <s v="Brown"/>
    <n v="39.17"/>
    <n v="0"/>
    <n v="39.17"/>
    <x v="1"/>
    <n v="4"/>
    <n v="3.5"/>
    <b v="1"/>
    <s v="Color Mismatch"/>
    <n v="28"/>
    <n v="0"/>
    <n v="1"/>
    <x v="0"/>
  </r>
  <r>
    <s v="FB001091"/>
    <x v="2"/>
    <x v="6"/>
    <x v="0"/>
    <m/>
    <s v="White"/>
    <n v="72.83"/>
    <n v="0"/>
    <n v="72.83"/>
    <x v="186"/>
    <n v="6"/>
    <n v="2"/>
    <b v="0"/>
    <m/>
    <n v="281"/>
    <n v="0"/>
    <s v=""/>
    <x v="0"/>
  </r>
  <r>
    <s v="FB001092"/>
    <x v="4"/>
    <x v="7"/>
    <x v="1"/>
    <s v="S"/>
    <s v="Brown"/>
    <n v="29.73"/>
    <n v="28.7"/>
    <n v="21.2"/>
    <x v="1"/>
    <n v="37"/>
    <n v="2.5"/>
    <b v="0"/>
    <m/>
    <n v="28"/>
    <n v="1061.8999999999999"/>
    <s v=""/>
    <x v="1"/>
  </r>
  <r>
    <s v="FB001093"/>
    <x v="5"/>
    <x v="3"/>
    <x v="1"/>
    <s v="XL"/>
    <s v="Black"/>
    <n v="144.1"/>
    <n v="0"/>
    <n v="144.1"/>
    <x v="1"/>
    <n v="36"/>
    <n v="2.5"/>
    <b v="0"/>
    <m/>
    <n v="28"/>
    <n v="0"/>
    <s v=""/>
    <x v="0"/>
  </r>
  <r>
    <s v="FB001094"/>
    <x v="5"/>
    <x v="4"/>
    <x v="3"/>
    <s v="XL"/>
    <s v="Brown"/>
    <n v="109.23"/>
    <n v="10.8"/>
    <n v="97.43"/>
    <x v="1"/>
    <n v="38"/>
    <n v="3.3"/>
    <b v="0"/>
    <m/>
    <n v="28"/>
    <n v="410.40000000000003"/>
    <s v=""/>
    <x v="1"/>
  </r>
  <r>
    <s v="FB001095"/>
    <x v="0"/>
    <x v="3"/>
    <x v="1"/>
    <s v="XL"/>
    <s v="Pink"/>
    <n v="180.65"/>
    <n v="17.5"/>
    <n v="149.04"/>
    <x v="1"/>
    <n v="41"/>
    <n v="1.4"/>
    <b v="0"/>
    <m/>
    <n v="28"/>
    <n v="717.5"/>
    <s v=""/>
    <x v="1"/>
  </r>
  <r>
    <s v="FB001096"/>
    <x v="0"/>
    <x v="2"/>
    <x v="0"/>
    <s v="M"/>
    <s v="Green"/>
    <n v="129.24"/>
    <n v="46.2"/>
    <n v="69.53"/>
    <x v="175"/>
    <n v="28"/>
    <n v="3.2"/>
    <b v="0"/>
    <m/>
    <n v="160"/>
    <n v="1293.6000000000001"/>
    <s v=""/>
    <x v="1"/>
  </r>
  <r>
    <s v="FB001097"/>
    <x v="3"/>
    <x v="6"/>
    <x v="3"/>
    <s v="XS"/>
    <s v="Blue"/>
    <n v="195.67"/>
    <n v="47.1"/>
    <n v="103.51"/>
    <x v="1"/>
    <n v="36"/>
    <n v="4"/>
    <b v="0"/>
    <m/>
    <n v="28"/>
    <n v="1695.6000000000001"/>
    <s v=""/>
    <x v="1"/>
  </r>
  <r>
    <s v="FB001098"/>
    <x v="2"/>
    <x v="2"/>
    <x v="1"/>
    <m/>
    <s v="Navy"/>
    <n v="65.64"/>
    <n v="20.7"/>
    <n v="52.05"/>
    <x v="1"/>
    <n v="20"/>
    <n v="2.6"/>
    <b v="0"/>
    <m/>
    <n v="28"/>
    <n v="414"/>
    <s v=""/>
    <x v="1"/>
  </r>
  <r>
    <s v="FB001099"/>
    <x v="4"/>
    <x v="4"/>
    <x v="0"/>
    <s v="XS"/>
    <s v="Purple"/>
    <n v="113.18"/>
    <n v="0"/>
    <n v="113.18"/>
    <x v="184"/>
    <n v="3"/>
    <n v="4.9000000000000004"/>
    <b v="0"/>
    <m/>
    <n v="154"/>
    <n v="0"/>
    <s v=""/>
    <x v="0"/>
  </r>
  <r>
    <s v="FB001100"/>
    <x v="3"/>
    <x v="5"/>
    <x v="2"/>
    <s v="XL"/>
    <s v="Beige"/>
    <n v="173.69"/>
    <n v="0"/>
    <n v="173.69"/>
    <x v="1"/>
    <n v="25"/>
    <n v="3.6"/>
    <b v="0"/>
    <m/>
    <n v="28"/>
    <n v="0"/>
    <s v=""/>
    <x v="0"/>
  </r>
  <r>
    <s v="FB001101"/>
    <x v="0"/>
    <x v="0"/>
    <x v="2"/>
    <s v="S"/>
    <s v="Gray"/>
    <n v="156.54"/>
    <n v="0"/>
    <n v="156.54"/>
    <x v="1"/>
    <n v="23"/>
    <n v="1.8"/>
    <b v="0"/>
    <m/>
    <n v="28"/>
    <n v="0"/>
    <s v=""/>
    <x v="0"/>
  </r>
  <r>
    <s v="FB001102"/>
    <x v="5"/>
    <x v="4"/>
    <x v="0"/>
    <s v="XL"/>
    <s v="Brown"/>
    <n v="103.78"/>
    <n v="39"/>
    <n v="63.31"/>
    <x v="121"/>
    <n v="5"/>
    <n v="3.1051282051282048"/>
    <b v="0"/>
    <m/>
    <n v="326"/>
    <n v="195"/>
    <s v=""/>
    <x v="1"/>
  </r>
  <r>
    <s v="FB001103"/>
    <x v="2"/>
    <x v="6"/>
    <x v="2"/>
    <m/>
    <s v="Black"/>
    <n v="79.599999999999994"/>
    <n v="0"/>
    <n v="79.599999999999994"/>
    <x v="1"/>
    <n v="22"/>
    <n v="3.2720930232558145"/>
    <b v="0"/>
    <m/>
    <n v="28"/>
    <n v="0"/>
    <s v=""/>
    <x v="0"/>
  </r>
  <r>
    <s v="FB001104"/>
    <x v="2"/>
    <x v="5"/>
    <x v="2"/>
    <m/>
    <s v="Beige"/>
    <n v="34.18"/>
    <n v="18.899999999999999"/>
    <n v="27.72"/>
    <x v="1"/>
    <n v="50"/>
    <n v="3.6"/>
    <b v="0"/>
    <m/>
    <n v="28"/>
    <n v="944.99999999999989"/>
    <s v=""/>
    <x v="1"/>
  </r>
  <r>
    <s v="FB001105"/>
    <x v="4"/>
    <x v="6"/>
    <x v="1"/>
    <s v="XXL"/>
    <s v="Blue"/>
    <n v="58.44"/>
    <n v="0"/>
    <n v="58.44"/>
    <x v="1"/>
    <n v="3"/>
    <n v="2.6"/>
    <b v="1"/>
    <s v="Wrong Item"/>
    <n v="28"/>
    <n v="0"/>
    <n v="1"/>
    <x v="0"/>
  </r>
  <r>
    <s v="FB001106"/>
    <x v="2"/>
    <x v="0"/>
    <x v="3"/>
    <m/>
    <s v="Navy"/>
    <n v="30.62"/>
    <n v="0"/>
    <n v="30.62"/>
    <x v="1"/>
    <n v="31"/>
    <n v="3"/>
    <b v="1"/>
    <s v="Damaged"/>
    <n v="28"/>
    <n v="0"/>
    <n v="1"/>
    <x v="0"/>
  </r>
  <r>
    <s v="FB001107"/>
    <x v="0"/>
    <x v="1"/>
    <x v="2"/>
    <s v="XXL"/>
    <s v="Purple"/>
    <n v="213.94"/>
    <n v="0"/>
    <n v="213.94"/>
    <x v="1"/>
    <n v="16"/>
    <n v="4.7"/>
    <b v="0"/>
    <m/>
    <n v="28"/>
    <n v="0"/>
    <s v=""/>
    <x v="0"/>
  </r>
  <r>
    <s v="FB001108"/>
    <x v="4"/>
    <x v="7"/>
    <x v="2"/>
    <s v="XL"/>
    <s v="Pink"/>
    <n v="29.31"/>
    <n v="0"/>
    <n v="29.31"/>
    <x v="1"/>
    <n v="25"/>
    <n v="4.5999999999999996"/>
    <b v="1"/>
    <s v="Changed Mind"/>
    <n v="28"/>
    <n v="0"/>
    <n v="1"/>
    <x v="0"/>
  </r>
  <r>
    <s v="FB001109"/>
    <x v="1"/>
    <x v="7"/>
    <x v="0"/>
    <s v="M"/>
    <s v="Red"/>
    <n v="49.12"/>
    <n v="0"/>
    <n v="49.12"/>
    <x v="187"/>
    <n v="47"/>
    <n v="2.6870967741935483"/>
    <b v="0"/>
    <m/>
    <n v="67"/>
    <n v="0"/>
    <s v=""/>
    <x v="0"/>
  </r>
  <r>
    <s v="FB001110"/>
    <x v="4"/>
    <x v="2"/>
    <x v="2"/>
    <m/>
    <s v="Purple"/>
    <n v="113.23"/>
    <n v="0"/>
    <n v="113.23"/>
    <x v="1"/>
    <n v="13"/>
    <n v="3.7"/>
    <b v="0"/>
    <m/>
    <n v="28"/>
    <n v="0"/>
    <s v=""/>
    <x v="0"/>
  </r>
  <r>
    <s v="FB001111"/>
    <x v="0"/>
    <x v="2"/>
    <x v="0"/>
    <s v="XXL"/>
    <s v="Brown"/>
    <n v="103.65"/>
    <n v="0"/>
    <n v="103.65"/>
    <x v="35"/>
    <n v="4"/>
    <n v="1"/>
    <b v="0"/>
    <m/>
    <n v="291"/>
    <n v="0"/>
    <s v=""/>
    <x v="0"/>
  </r>
  <r>
    <s v="FB001112"/>
    <x v="5"/>
    <x v="5"/>
    <x v="2"/>
    <m/>
    <s v="Gray"/>
    <n v="71.84"/>
    <n v="49.4"/>
    <n v="36.35"/>
    <x v="1"/>
    <n v="25"/>
    <n v="3.1874999999999991"/>
    <b v="0"/>
    <m/>
    <n v="28"/>
    <n v="1235"/>
    <s v=""/>
    <x v="1"/>
  </r>
  <r>
    <s v="FB001113"/>
    <x v="3"/>
    <x v="0"/>
    <x v="1"/>
    <s v="L"/>
    <s v="Gray"/>
    <n v="128.31"/>
    <n v="0"/>
    <n v="128.31"/>
    <x v="1"/>
    <n v="36"/>
    <n v="4"/>
    <b v="1"/>
    <s v="Changed Mind"/>
    <n v="28"/>
    <n v="0"/>
    <n v="1"/>
    <x v="0"/>
  </r>
  <r>
    <s v="FB001114"/>
    <x v="3"/>
    <x v="7"/>
    <x v="1"/>
    <s v="L"/>
    <s v="Blue"/>
    <n v="118.97"/>
    <n v="0"/>
    <n v="118.97"/>
    <x v="1"/>
    <n v="45"/>
    <n v="3.8"/>
    <b v="0"/>
    <m/>
    <n v="28"/>
    <n v="0"/>
    <s v=""/>
    <x v="0"/>
  </r>
  <r>
    <s v="FB001115"/>
    <x v="4"/>
    <x v="0"/>
    <x v="1"/>
    <s v="S"/>
    <s v="Red"/>
    <n v="31.98"/>
    <n v="16.5"/>
    <n v="26.7"/>
    <x v="1"/>
    <n v="48"/>
    <n v="1.8"/>
    <b v="0"/>
    <m/>
    <n v="28"/>
    <n v="792"/>
    <s v=""/>
    <x v="1"/>
  </r>
  <r>
    <s v="FB001116"/>
    <x v="1"/>
    <x v="2"/>
    <x v="1"/>
    <s v="XXL"/>
    <s v="Purple"/>
    <n v="115.89"/>
    <n v="26.8"/>
    <n v="84.83"/>
    <x v="1"/>
    <n v="26"/>
    <n v="4.5999999999999996"/>
    <b v="0"/>
    <m/>
    <n v="28"/>
    <n v="696.80000000000007"/>
    <s v=""/>
    <x v="1"/>
  </r>
  <r>
    <s v="FB001117"/>
    <x v="5"/>
    <x v="5"/>
    <x v="2"/>
    <s v="XL"/>
    <s v="Pink"/>
    <n v="140.06"/>
    <n v="0"/>
    <n v="140.06"/>
    <x v="1"/>
    <n v="37"/>
    <n v="2.2999999999999998"/>
    <b v="0"/>
    <m/>
    <n v="28"/>
    <n v="0"/>
    <s v=""/>
    <x v="0"/>
  </r>
  <r>
    <s v="FB001118"/>
    <x v="3"/>
    <x v="3"/>
    <x v="2"/>
    <s v="XS"/>
    <s v="Pink"/>
    <n v="154.82"/>
    <n v="0"/>
    <n v="154.82"/>
    <x v="1"/>
    <n v="10"/>
    <n v="4.0999999999999996"/>
    <b v="0"/>
    <m/>
    <n v="28"/>
    <n v="0"/>
    <s v=""/>
    <x v="0"/>
  </r>
  <r>
    <s v="FB001119"/>
    <x v="5"/>
    <x v="1"/>
    <x v="1"/>
    <s v="XL"/>
    <s v="Blue"/>
    <n v="114.21"/>
    <n v="20.2"/>
    <n v="91.14"/>
    <x v="1"/>
    <n v="5"/>
    <n v="2"/>
    <b v="1"/>
    <s v="Wrong Item"/>
    <n v="28"/>
    <n v="101"/>
    <n v="1"/>
    <x v="1"/>
  </r>
  <r>
    <s v="FB001120"/>
    <x v="3"/>
    <x v="0"/>
    <x v="1"/>
    <s v="XL"/>
    <s v="Blue"/>
    <n v="114.84"/>
    <n v="0"/>
    <n v="114.84"/>
    <x v="1"/>
    <n v="38"/>
    <n v="2.6"/>
    <b v="1"/>
    <s v="Color Mismatch"/>
    <n v="28"/>
    <n v="0"/>
    <n v="1"/>
    <x v="0"/>
  </r>
  <r>
    <s v="FB001121"/>
    <x v="5"/>
    <x v="3"/>
    <x v="1"/>
    <s v="XL"/>
    <s v="Navy"/>
    <n v="131.32"/>
    <n v="6.8"/>
    <n v="122.39"/>
    <x v="1"/>
    <n v="18"/>
    <n v="2"/>
    <b v="0"/>
    <m/>
    <n v="28"/>
    <n v="122.39999999999999"/>
    <s v=""/>
    <x v="1"/>
  </r>
  <r>
    <s v="FB001122"/>
    <x v="1"/>
    <x v="3"/>
    <x v="2"/>
    <s v="S"/>
    <s v="Pink"/>
    <n v="91.41"/>
    <n v="32.1"/>
    <n v="62.07"/>
    <x v="1"/>
    <n v="49"/>
    <n v="2.2999999999999998"/>
    <b v="0"/>
    <m/>
    <n v="28"/>
    <n v="1572.9"/>
    <s v=""/>
    <x v="1"/>
  </r>
  <r>
    <s v="FB001123"/>
    <x v="0"/>
    <x v="6"/>
    <x v="2"/>
    <s v="XS"/>
    <s v="Black"/>
    <n v="202.28"/>
    <n v="0"/>
    <n v="202.28"/>
    <x v="1"/>
    <n v="4"/>
    <n v="2.9034482758620692"/>
    <b v="0"/>
    <m/>
    <n v="28"/>
    <n v="0"/>
    <s v=""/>
    <x v="0"/>
  </r>
  <r>
    <s v="FB001124"/>
    <x v="4"/>
    <x v="7"/>
    <x v="2"/>
    <s v="M"/>
    <s v="Red"/>
    <n v="119.63"/>
    <n v="0"/>
    <n v="119.63"/>
    <x v="1"/>
    <n v="14"/>
    <n v="2.1"/>
    <b v="0"/>
    <m/>
    <n v="28"/>
    <n v="0"/>
    <s v=""/>
    <x v="0"/>
  </r>
  <r>
    <s v="FB001125"/>
    <x v="3"/>
    <x v="2"/>
    <x v="3"/>
    <s v="L"/>
    <s v="Blue"/>
    <n v="167.89"/>
    <n v="0"/>
    <n v="167.89"/>
    <x v="1"/>
    <n v="12"/>
    <n v="1"/>
    <b v="0"/>
    <m/>
    <n v="28"/>
    <n v="0"/>
    <s v=""/>
    <x v="0"/>
  </r>
  <r>
    <s v="FB001126"/>
    <x v="3"/>
    <x v="1"/>
    <x v="0"/>
    <s v="XL"/>
    <s v="Blue"/>
    <n v="100.39"/>
    <n v="0"/>
    <n v="100.39"/>
    <x v="188"/>
    <n v="24"/>
    <n v="3.2"/>
    <b v="1"/>
    <s v="Quality Issue"/>
    <n v="180"/>
    <n v="0"/>
    <n v="1"/>
    <x v="0"/>
  </r>
  <r>
    <s v="FB001127"/>
    <x v="5"/>
    <x v="6"/>
    <x v="3"/>
    <s v="L"/>
    <s v="Gray"/>
    <n v="162.41999999999999"/>
    <n v="40.9"/>
    <n v="95.99"/>
    <x v="1"/>
    <n v="32"/>
    <n v="1"/>
    <b v="0"/>
    <m/>
    <n v="28"/>
    <n v="1308.8"/>
    <s v=""/>
    <x v="1"/>
  </r>
  <r>
    <s v="FB001128"/>
    <x v="3"/>
    <x v="6"/>
    <x v="0"/>
    <s v="XS"/>
    <s v="Gray"/>
    <n v="65.069999999999993"/>
    <n v="5.0999999999999996"/>
    <n v="61.75"/>
    <x v="189"/>
    <n v="16"/>
    <n v="4.3"/>
    <b v="0"/>
    <m/>
    <n v="229"/>
    <n v="81.599999999999994"/>
    <s v=""/>
    <x v="1"/>
  </r>
  <r>
    <s v="FB001129"/>
    <x v="4"/>
    <x v="7"/>
    <x v="0"/>
    <s v="XXL"/>
    <s v="Red"/>
    <n v="78.099999999999994"/>
    <n v="48.7"/>
    <n v="40.07"/>
    <x v="101"/>
    <n v="0"/>
    <n v="3.1021739130434773"/>
    <b v="0"/>
    <m/>
    <n v="120"/>
    <n v="0"/>
    <s v=""/>
    <x v="1"/>
  </r>
  <r>
    <s v="FB001130"/>
    <x v="0"/>
    <x v="0"/>
    <x v="0"/>
    <s v="M"/>
    <s v="Blue"/>
    <n v="115.73"/>
    <n v="59.8"/>
    <n v="46.52"/>
    <x v="55"/>
    <n v="10"/>
    <n v="4.2"/>
    <b v="0"/>
    <m/>
    <n v="340"/>
    <n v="598"/>
    <s v=""/>
    <x v="1"/>
  </r>
  <r>
    <s v="FB001131"/>
    <x v="2"/>
    <x v="5"/>
    <x v="2"/>
    <m/>
    <s v="Navy"/>
    <n v="21.57"/>
    <n v="11.9"/>
    <n v="19"/>
    <x v="1"/>
    <n v="37"/>
    <n v="3"/>
    <b v="1"/>
    <s v="Changed Mind"/>
    <n v="28"/>
    <n v="440.3"/>
    <n v="1"/>
    <x v="1"/>
  </r>
  <r>
    <s v="FB001132"/>
    <x v="5"/>
    <x v="2"/>
    <x v="2"/>
    <s v="S"/>
    <s v="Brown"/>
    <n v="75.849999999999994"/>
    <n v="50.3"/>
    <n v="37.700000000000003"/>
    <x v="1"/>
    <n v="50"/>
    <n v="4.7"/>
    <b v="1"/>
    <s v="Quality Issue"/>
    <n v="28"/>
    <n v="2515"/>
    <n v="1"/>
    <x v="1"/>
  </r>
  <r>
    <s v="FB001133"/>
    <x v="0"/>
    <x v="1"/>
    <x v="3"/>
    <s v="L"/>
    <s v="Green"/>
    <n v="170.91"/>
    <n v="0"/>
    <n v="170.91"/>
    <x v="1"/>
    <n v="36"/>
    <n v="1.6"/>
    <b v="1"/>
    <s v="Quality Issue"/>
    <n v="28"/>
    <n v="0"/>
    <n v="1"/>
    <x v="0"/>
  </r>
  <r>
    <s v="FB001134"/>
    <x v="3"/>
    <x v="4"/>
    <x v="2"/>
    <s v="XL"/>
    <s v="White"/>
    <n v="94.06"/>
    <n v="22.4"/>
    <n v="72.989999999999995"/>
    <x v="1"/>
    <n v="0"/>
    <n v="3.3021276595744684"/>
    <b v="0"/>
    <m/>
    <n v="28"/>
    <n v="0"/>
    <s v=""/>
    <x v="1"/>
  </r>
  <r>
    <s v="FB001135"/>
    <x v="4"/>
    <x v="4"/>
    <x v="3"/>
    <s v="S"/>
    <s v="Blue"/>
    <n v="84.44"/>
    <n v="0"/>
    <n v="84.44"/>
    <x v="1"/>
    <n v="2"/>
    <n v="1.1000000000000001"/>
    <b v="0"/>
    <m/>
    <n v="28"/>
    <n v="0"/>
    <s v=""/>
    <x v="0"/>
  </r>
  <r>
    <s v="FB001136"/>
    <x v="0"/>
    <x v="0"/>
    <x v="3"/>
    <s v="XS"/>
    <s v="Pink"/>
    <n v="93.11"/>
    <n v="0"/>
    <n v="93.11"/>
    <x v="1"/>
    <n v="43"/>
    <n v="2.8"/>
    <b v="0"/>
    <m/>
    <n v="28"/>
    <n v="0"/>
    <s v=""/>
    <x v="0"/>
  </r>
  <r>
    <s v="FB001137"/>
    <x v="1"/>
    <x v="0"/>
    <x v="1"/>
    <s v="S"/>
    <s v="Blue"/>
    <n v="84.85"/>
    <n v="8.8000000000000007"/>
    <n v="77.38"/>
    <x v="1"/>
    <n v="19"/>
    <n v="4.0999999999999996"/>
    <b v="1"/>
    <s v="Changed Mind"/>
    <n v="28"/>
    <n v="167.20000000000002"/>
    <n v="1"/>
    <x v="1"/>
  </r>
  <r>
    <s v="FB001138"/>
    <x v="3"/>
    <x v="1"/>
    <x v="0"/>
    <s v="M"/>
    <s v="Green"/>
    <n v="138.41"/>
    <n v="0"/>
    <n v="138.41"/>
    <x v="143"/>
    <n v="40"/>
    <n v="3.1"/>
    <b v="0"/>
    <m/>
    <n v="290"/>
    <n v="0"/>
    <s v=""/>
    <x v="0"/>
  </r>
  <r>
    <s v="FB001139"/>
    <x v="2"/>
    <x v="0"/>
    <x v="2"/>
    <m/>
    <s v="Pink"/>
    <n v="20.190000000000001"/>
    <n v="21.6"/>
    <n v="15.83"/>
    <x v="1"/>
    <n v="45"/>
    <n v="4.4000000000000004"/>
    <b v="1"/>
    <s v="Changed Mind"/>
    <n v="28"/>
    <n v="972.00000000000011"/>
    <n v="1"/>
    <x v="1"/>
  </r>
  <r>
    <s v="FB001140"/>
    <x v="5"/>
    <x v="2"/>
    <x v="2"/>
    <s v="M"/>
    <s v="Gray"/>
    <n v="124.17"/>
    <n v="37.6"/>
    <n v="77.48"/>
    <x v="1"/>
    <n v="24"/>
    <n v="2.2999999999999998"/>
    <b v="0"/>
    <m/>
    <n v="28"/>
    <n v="902.40000000000009"/>
    <s v=""/>
    <x v="1"/>
  </r>
  <r>
    <s v="FB001141"/>
    <x v="0"/>
    <x v="2"/>
    <x v="0"/>
    <s v="L"/>
    <s v="Red"/>
    <n v="133.91999999999999"/>
    <n v="0"/>
    <n v="133.91999999999999"/>
    <x v="145"/>
    <n v="41"/>
    <n v="2.8"/>
    <b v="0"/>
    <m/>
    <n v="143"/>
    <n v="0"/>
    <s v=""/>
    <x v="0"/>
  </r>
  <r>
    <s v="FB001142"/>
    <x v="2"/>
    <x v="2"/>
    <x v="0"/>
    <m/>
    <s v="Gray"/>
    <n v="77.78"/>
    <n v="0"/>
    <n v="77.78"/>
    <x v="2"/>
    <n v="23"/>
    <n v="2.5"/>
    <b v="1"/>
    <s v="Size Issue"/>
    <n v="58"/>
    <n v="0"/>
    <n v="1"/>
    <x v="0"/>
  </r>
  <r>
    <s v="FB001143"/>
    <x v="5"/>
    <x v="3"/>
    <x v="1"/>
    <s v="XXL"/>
    <s v="Brown"/>
    <n v="157.69"/>
    <n v="35.9"/>
    <n v="101.08"/>
    <x v="1"/>
    <n v="6"/>
    <n v="1"/>
    <b v="0"/>
    <m/>
    <n v="28"/>
    <n v="215.39999999999998"/>
    <s v=""/>
    <x v="1"/>
  </r>
  <r>
    <s v="FB001144"/>
    <x v="1"/>
    <x v="0"/>
    <x v="1"/>
    <s v="L"/>
    <s v="Black"/>
    <n v="99.57"/>
    <n v="0"/>
    <n v="99.57"/>
    <x v="1"/>
    <n v="17"/>
    <n v="1"/>
    <b v="0"/>
    <m/>
    <n v="28"/>
    <n v="0"/>
    <s v=""/>
    <x v="0"/>
  </r>
  <r>
    <s v="FB001145"/>
    <x v="2"/>
    <x v="0"/>
    <x v="3"/>
    <m/>
    <s v="Brown"/>
    <n v="43.61"/>
    <n v="33.299999999999997"/>
    <n v="29.09"/>
    <x v="1"/>
    <n v="47"/>
    <n v="2.5"/>
    <b v="0"/>
    <m/>
    <n v="28"/>
    <n v="1565.1"/>
    <s v=""/>
    <x v="1"/>
  </r>
  <r>
    <s v="FB001146"/>
    <x v="0"/>
    <x v="6"/>
    <x v="1"/>
    <s v="M"/>
    <s v="Brown"/>
    <n v="88.87"/>
    <n v="0"/>
    <n v="88.87"/>
    <x v="1"/>
    <n v="27"/>
    <n v="2.4"/>
    <b v="0"/>
    <m/>
    <n v="28"/>
    <n v="0"/>
    <s v=""/>
    <x v="0"/>
  </r>
  <r>
    <s v="FB001147"/>
    <x v="4"/>
    <x v="7"/>
    <x v="2"/>
    <s v="M"/>
    <s v="White"/>
    <n v="112.6"/>
    <n v="19.8"/>
    <n v="90.31"/>
    <x v="1"/>
    <n v="2"/>
    <n v="1"/>
    <b v="0"/>
    <m/>
    <n v="28"/>
    <n v="39.6"/>
    <s v=""/>
    <x v="1"/>
  </r>
  <r>
    <s v="FB001148"/>
    <x v="1"/>
    <x v="1"/>
    <x v="2"/>
    <s v="XL"/>
    <s v="Green"/>
    <n v="33.35"/>
    <n v="0"/>
    <n v="33.35"/>
    <x v="1"/>
    <n v="29"/>
    <n v="1.2"/>
    <b v="0"/>
    <m/>
    <n v="28"/>
    <n v="0"/>
    <s v=""/>
    <x v="0"/>
  </r>
  <r>
    <s v="FB001149"/>
    <x v="4"/>
    <x v="7"/>
    <x v="2"/>
    <s v="L"/>
    <s v="Navy"/>
    <n v="115.82"/>
    <n v="2.9"/>
    <n v="112.46"/>
    <x v="1"/>
    <n v="46"/>
    <n v="3.1021739130434773"/>
    <b v="0"/>
    <m/>
    <n v="28"/>
    <n v="133.4"/>
    <s v=""/>
    <x v="1"/>
  </r>
  <r>
    <s v="FB001150"/>
    <x v="1"/>
    <x v="2"/>
    <x v="2"/>
    <s v="XL"/>
    <s v="White"/>
    <n v="107.79"/>
    <n v="3.1"/>
    <n v="104.45"/>
    <x v="1"/>
    <n v="6"/>
    <n v="2.8"/>
    <b v="0"/>
    <m/>
    <n v="28"/>
    <n v="18.600000000000001"/>
    <s v=""/>
    <x v="1"/>
  </r>
  <r>
    <s v="FB001151"/>
    <x v="1"/>
    <x v="4"/>
    <x v="3"/>
    <s v="S"/>
    <s v="White"/>
    <n v="53.87"/>
    <n v="0"/>
    <n v="53.87"/>
    <x v="1"/>
    <n v="50"/>
    <n v="4.2"/>
    <b v="1"/>
    <s v="Damaged"/>
    <n v="28"/>
    <n v="0"/>
    <n v="1"/>
    <x v="0"/>
  </r>
  <r>
    <s v="FB001152"/>
    <x v="1"/>
    <x v="6"/>
    <x v="0"/>
    <s v="XS"/>
    <s v="Green"/>
    <n v="72.5"/>
    <n v="40.799999999999997"/>
    <n v="42.92"/>
    <x v="190"/>
    <n v="23"/>
    <n v="4.4000000000000004"/>
    <b v="0"/>
    <m/>
    <n v="247"/>
    <n v="938.4"/>
    <s v=""/>
    <x v="1"/>
  </r>
  <r>
    <s v="FB001153"/>
    <x v="3"/>
    <x v="6"/>
    <x v="0"/>
    <s v="S"/>
    <s v="Gray"/>
    <n v="152.32"/>
    <n v="0"/>
    <n v="152.32"/>
    <x v="191"/>
    <n v="15"/>
    <n v="2.9083333333333328"/>
    <b v="0"/>
    <m/>
    <n v="86"/>
    <n v="0"/>
    <s v=""/>
    <x v="0"/>
  </r>
  <r>
    <s v="FB001154"/>
    <x v="5"/>
    <x v="4"/>
    <x v="1"/>
    <s v="M"/>
    <s v="Red"/>
    <n v="67.63"/>
    <n v="0"/>
    <n v="67.63"/>
    <x v="1"/>
    <n v="9"/>
    <n v="4.7"/>
    <b v="0"/>
    <m/>
    <n v="28"/>
    <n v="0"/>
    <s v=""/>
    <x v="0"/>
  </r>
  <r>
    <s v="FB001155"/>
    <x v="0"/>
    <x v="1"/>
    <x v="3"/>
    <s v="XS"/>
    <s v="Purple"/>
    <n v="221.94"/>
    <n v="0"/>
    <n v="221.94"/>
    <x v="1"/>
    <n v="35"/>
    <n v="1.5"/>
    <b v="0"/>
    <m/>
    <n v="28"/>
    <n v="0"/>
    <s v=""/>
    <x v="0"/>
  </r>
  <r>
    <s v="FB001156"/>
    <x v="4"/>
    <x v="0"/>
    <x v="2"/>
    <s v="XS"/>
    <s v="Pink"/>
    <n v="118.77"/>
    <n v="8.4"/>
    <n v="108.79"/>
    <x v="1"/>
    <n v="30"/>
    <n v="4.5999999999999996"/>
    <b v="1"/>
    <s v="Wrong Item"/>
    <n v="28"/>
    <n v="252"/>
    <n v="1"/>
    <x v="1"/>
  </r>
  <r>
    <s v="FB001157"/>
    <x v="1"/>
    <x v="7"/>
    <x v="2"/>
    <s v="XS"/>
    <s v="Green"/>
    <n v="100.17"/>
    <n v="0"/>
    <n v="100.17"/>
    <x v="1"/>
    <n v="18"/>
    <n v="1.2"/>
    <b v="0"/>
    <m/>
    <n v="28"/>
    <n v="0"/>
    <s v=""/>
    <x v="0"/>
  </r>
  <r>
    <s v="FB001158"/>
    <x v="2"/>
    <x v="2"/>
    <x v="3"/>
    <m/>
    <s v="White"/>
    <n v="18.45"/>
    <n v="0"/>
    <n v="18.45"/>
    <x v="1"/>
    <n v="39"/>
    <n v="2.2000000000000002"/>
    <b v="0"/>
    <m/>
    <n v="28"/>
    <n v="0"/>
    <s v=""/>
    <x v="0"/>
  </r>
  <r>
    <s v="FB001159"/>
    <x v="2"/>
    <x v="6"/>
    <x v="3"/>
    <m/>
    <s v="Purple"/>
    <n v="45.56"/>
    <n v="13.5"/>
    <n v="39.409999999999997"/>
    <x v="1"/>
    <n v="40"/>
    <n v="3.2"/>
    <b v="0"/>
    <m/>
    <n v="28"/>
    <n v="540"/>
    <s v=""/>
    <x v="1"/>
  </r>
  <r>
    <s v="FB001160"/>
    <x v="1"/>
    <x v="1"/>
    <x v="0"/>
    <s v="S"/>
    <s v="Purple"/>
    <n v="62.21"/>
    <n v="0"/>
    <n v="62.21"/>
    <x v="110"/>
    <n v="38"/>
    <n v="2.6"/>
    <b v="0"/>
    <m/>
    <n v="42"/>
    <n v="0"/>
    <s v=""/>
    <x v="0"/>
  </r>
  <r>
    <s v="FB001161"/>
    <x v="2"/>
    <x v="7"/>
    <x v="1"/>
    <m/>
    <s v="Blue"/>
    <n v="37.020000000000003"/>
    <n v="0"/>
    <n v="37.020000000000003"/>
    <x v="1"/>
    <n v="12"/>
    <n v="4.3"/>
    <b v="0"/>
    <m/>
    <n v="28"/>
    <n v="0"/>
    <s v=""/>
    <x v="0"/>
  </r>
  <r>
    <s v="FB001162"/>
    <x v="5"/>
    <x v="0"/>
    <x v="3"/>
    <s v="XL"/>
    <s v="Beige"/>
    <n v="51.86"/>
    <n v="39"/>
    <n v="31.63"/>
    <x v="1"/>
    <n v="40"/>
    <n v="2.4"/>
    <b v="0"/>
    <m/>
    <n v="28"/>
    <n v="1560"/>
    <s v=""/>
    <x v="1"/>
  </r>
  <r>
    <s v="FB001163"/>
    <x v="5"/>
    <x v="0"/>
    <x v="0"/>
    <s v="XS"/>
    <s v="Purple"/>
    <n v="76.239999999999995"/>
    <n v="0"/>
    <n v="76.239999999999995"/>
    <x v="146"/>
    <n v="14"/>
    <n v="2.8"/>
    <b v="0"/>
    <m/>
    <n v="239"/>
    <n v="0"/>
    <s v=""/>
    <x v="0"/>
  </r>
  <r>
    <s v="FB001164"/>
    <x v="2"/>
    <x v="0"/>
    <x v="2"/>
    <m/>
    <s v="Gray"/>
    <n v="74.17"/>
    <n v="0"/>
    <n v="74.17"/>
    <x v="1"/>
    <n v="24"/>
    <n v="1.7"/>
    <b v="0"/>
    <m/>
    <n v="28"/>
    <n v="0"/>
    <s v=""/>
    <x v="0"/>
  </r>
  <r>
    <s v="FB001165"/>
    <x v="4"/>
    <x v="7"/>
    <x v="0"/>
    <s v="L"/>
    <s v="Beige"/>
    <n v="75.989999999999995"/>
    <n v="0"/>
    <n v="75.989999999999995"/>
    <x v="192"/>
    <n v="19"/>
    <n v="1.7"/>
    <b v="1"/>
    <s v="Size Issue"/>
    <n v="197"/>
    <n v="0"/>
    <n v="1"/>
    <x v="0"/>
  </r>
  <r>
    <s v="FB001166"/>
    <x v="4"/>
    <x v="4"/>
    <x v="1"/>
    <s v="XS"/>
    <s v="Navy"/>
    <n v="62.33"/>
    <n v="49.4"/>
    <n v="31.54"/>
    <x v="1"/>
    <n v="46"/>
    <n v="3.5"/>
    <b v="0"/>
    <m/>
    <n v="28"/>
    <n v="2272.4"/>
    <s v=""/>
    <x v="1"/>
  </r>
  <r>
    <s v="FB001167"/>
    <x v="4"/>
    <x v="3"/>
    <x v="1"/>
    <s v="XXL"/>
    <s v="Red"/>
    <n v="93.59"/>
    <n v="0"/>
    <n v="93.59"/>
    <x v="1"/>
    <n v="38"/>
    <n v="1.9"/>
    <b v="0"/>
    <m/>
    <n v="28"/>
    <n v="0"/>
    <s v=""/>
    <x v="0"/>
  </r>
  <r>
    <s v="FB001168"/>
    <x v="1"/>
    <x v="7"/>
    <x v="2"/>
    <m/>
    <s v="Blue"/>
    <n v="72.83"/>
    <n v="35.700000000000003"/>
    <n v="46.83"/>
    <x v="1"/>
    <n v="11"/>
    <n v="3.1"/>
    <b v="0"/>
    <m/>
    <n v="28"/>
    <n v="392.70000000000005"/>
    <s v=""/>
    <x v="1"/>
  </r>
  <r>
    <s v="FB001169"/>
    <x v="0"/>
    <x v="1"/>
    <x v="1"/>
    <s v="XXL"/>
    <s v="Gray"/>
    <n v="134.59"/>
    <n v="33.6"/>
    <n v="89.37"/>
    <x v="1"/>
    <n v="42"/>
    <n v="2.9"/>
    <b v="0"/>
    <m/>
    <n v="28"/>
    <n v="1411.2"/>
    <s v=""/>
    <x v="1"/>
  </r>
  <r>
    <s v="FB001170"/>
    <x v="4"/>
    <x v="0"/>
    <x v="0"/>
    <m/>
    <s v="Beige"/>
    <n v="71.599999999999994"/>
    <n v="41.9"/>
    <n v="41.6"/>
    <x v="36"/>
    <n v="16"/>
    <n v="2.8"/>
    <b v="0"/>
    <m/>
    <n v="144"/>
    <n v="670.4"/>
    <s v=""/>
    <x v="1"/>
  </r>
  <r>
    <s v="FB001171"/>
    <x v="3"/>
    <x v="5"/>
    <x v="3"/>
    <s v="XL"/>
    <s v="Red"/>
    <n v="62.35"/>
    <n v="53.5"/>
    <n v="28.99"/>
    <x v="1"/>
    <n v="1"/>
    <n v="4.0999999999999996"/>
    <b v="0"/>
    <m/>
    <n v="28"/>
    <n v="53.5"/>
    <s v=""/>
    <x v="1"/>
  </r>
  <r>
    <s v="FB001172"/>
    <x v="0"/>
    <x v="5"/>
    <x v="0"/>
    <s v="XS"/>
    <s v="Navy"/>
    <n v="80.55"/>
    <n v="43.7"/>
    <n v="45.35"/>
    <x v="193"/>
    <n v="41"/>
    <n v="4.8"/>
    <b v="1"/>
    <s v="Changed Mind"/>
    <n v="317"/>
    <n v="1791.7"/>
    <n v="1"/>
    <x v="1"/>
  </r>
  <r>
    <s v="FB001173"/>
    <x v="3"/>
    <x v="2"/>
    <x v="1"/>
    <s v="M"/>
    <s v="Beige"/>
    <n v="171.48"/>
    <n v="0"/>
    <n v="171.48"/>
    <x v="1"/>
    <n v="15"/>
    <n v="2.4"/>
    <b v="0"/>
    <m/>
    <n v="28"/>
    <n v="0"/>
    <s v=""/>
    <x v="0"/>
  </r>
  <r>
    <s v="FB001174"/>
    <x v="1"/>
    <x v="5"/>
    <x v="0"/>
    <s v="XL"/>
    <s v="Navy"/>
    <n v="30.81"/>
    <n v="15.7"/>
    <n v="25.97"/>
    <x v="194"/>
    <n v="4"/>
    <n v="2.9846153846153847"/>
    <b v="0"/>
    <m/>
    <n v="349"/>
    <n v="62.8"/>
    <s v=""/>
    <x v="1"/>
  </r>
  <r>
    <s v="FB001175"/>
    <x v="5"/>
    <x v="4"/>
    <x v="3"/>
    <s v="L"/>
    <s v="Blue"/>
    <n v="97.14"/>
    <n v="0"/>
    <n v="97.14"/>
    <x v="1"/>
    <n v="20"/>
    <n v="4.0999999999999996"/>
    <b v="0"/>
    <m/>
    <n v="28"/>
    <n v="0"/>
    <s v=""/>
    <x v="0"/>
  </r>
  <r>
    <s v="FB001176"/>
    <x v="3"/>
    <x v="7"/>
    <x v="2"/>
    <s v="S"/>
    <s v="White"/>
    <n v="128.27000000000001"/>
    <n v="0"/>
    <n v="128.27000000000001"/>
    <x v="1"/>
    <n v="28"/>
    <n v="3.2576923076923077"/>
    <b v="0"/>
    <m/>
    <n v="28"/>
    <n v="0"/>
    <s v=""/>
    <x v="0"/>
  </r>
  <r>
    <s v="FB001177"/>
    <x v="5"/>
    <x v="0"/>
    <x v="1"/>
    <s v="XL"/>
    <s v="Green"/>
    <n v="174.86"/>
    <n v="0"/>
    <n v="174.86"/>
    <x v="1"/>
    <n v="43"/>
    <n v="4.5999999999999996"/>
    <b v="0"/>
    <m/>
    <n v="28"/>
    <n v="0"/>
    <s v=""/>
    <x v="0"/>
  </r>
  <r>
    <s v="FB001178"/>
    <x v="5"/>
    <x v="2"/>
    <x v="1"/>
    <s v="XL"/>
    <s v="White"/>
    <n v="100.03"/>
    <n v="0"/>
    <n v="100.03"/>
    <x v="1"/>
    <n v="36"/>
    <n v="1.9"/>
    <b v="1"/>
    <s v="Quality Issue"/>
    <n v="28"/>
    <n v="0"/>
    <n v="1"/>
    <x v="0"/>
  </r>
  <r>
    <s v="FB001179"/>
    <x v="5"/>
    <x v="0"/>
    <x v="1"/>
    <s v="S"/>
    <s v="Purple"/>
    <n v="49.89"/>
    <n v="0"/>
    <n v="49.89"/>
    <x v="1"/>
    <n v="0"/>
    <n v="3.5"/>
    <b v="1"/>
    <s v="Wrong Item"/>
    <n v="28"/>
    <n v="0"/>
    <n v="1"/>
    <x v="0"/>
  </r>
  <r>
    <s v="FB001180"/>
    <x v="3"/>
    <x v="4"/>
    <x v="2"/>
    <s v="XL"/>
    <s v="Brown"/>
    <n v="170.43"/>
    <n v="0"/>
    <n v="170.43"/>
    <x v="1"/>
    <n v="22"/>
    <n v="3.3021276595744684"/>
    <b v="0"/>
    <m/>
    <n v="28"/>
    <n v="0"/>
    <s v=""/>
    <x v="0"/>
  </r>
  <r>
    <s v="FB001181"/>
    <x v="0"/>
    <x v="6"/>
    <x v="3"/>
    <s v="XS"/>
    <s v="Navy"/>
    <n v="186.78"/>
    <n v="0"/>
    <n v="186.78"/>
    <x v="1"/>
    <n v="22"/>
    <n v="2.9"/>
    <b v="0"/>
    <m/>
    <n v="28"/>
    <n v="0"/>
    <s v=""/>
    <x v="0"/>
  </r>
  <r>
    <s v="FB001182"/>
    <x v="2"/>
    <x v="7"/>
    <x v="2"/>
    <m/>
    <s v="Navy"/>
    <n v="63.98"/>
    <n v="0"/>
    <n v="63.98"/>
    <x v="1"/>
    <n v="36"/>
    <n v="1.7"/>
    <b v="0"/>
    <m/>
    <n v="28"/>
    <n v="0"/>
    <s v=""/>
    <x v="0"/>
  </r>
  <r>
    <s v="FB001183"/>
    <x v="0"/>
    <x v="7"/>
    <x v="2"/>
    <s v="XS"/>
    <s v="Navy"/>
    <n v="225.64"/>
    <n v="0"/>
    <n v="225.64"/>
    <x v="1"/>
    <n v="31"/>
    <n v="1.3"/>
    <b v="0"/>
    <m/>
    <n v="28"/>
    <n v="0"/>
    <s v=""/>
    <x v="0"/>
  </r>
  <r>
    <s v="FB001184"/>
    <x v="1"/>
    <x v="3"/>
    <x v="2"/>
    <s v="XS"/>
    <s v="White"/>
    <n v="115.29"/>
    <n v="13.9"/>
    <n v="99.26"/>
    <x v="1"/>
    <n v="37"/>
    <n v="2.9742857142857138"/>
    <b v="0"/>
    <m/>
    <n v="28"/>
    <n v="514.30000000000007"/>
    <s v=""/>
    <x v="1"/>
  </r>
  <r>
    <s v="FB001185"/>
    <x v="4"/>
    <x v="3"/>
    <x v="2"/>
    <s v="XS"/>
    <s v="White"/>
    <n v="92.59"/>
    <n v="0"/>
    <n v="92.59"/>
    <x v="1"/>
    <n v="39"/>
    <n v="2.2999999999999998"/>
    <b v="0"/>
    <m/>
    <n v="28"/>
    <n v="0"/>
    <s v=""/>
    <x v="0"/>
  </r>
  <r>
    <s v="FB001186"/>
    <x v="2"/>
    <x v="1"/>
    <x v="0"/>
    <m/>
    <s v="Beige"/>
    <n v="67.650000000000006"/>
    <n v="26.2"/>
    <n v="49.93"/>
    <x v="185"/>
    <n v="23"/>
    <n v="1.7"/>
    <b v="0"/>
    <m/>
    <n v="98"/>
    <n v="602.6"/>
    <s v=""/>
    <x v="1"/>
  </r>
  <r>
    <s v="FB001187"/>
    <x v="0"/>
    <x v="5"/>
    <x v="0"/>
    <s v="L"/>
    <s v="White"/>
    <n v="128.91999999999999"/>
    <n v="0"/>
    <n v="128.91999999999999"/>
    <x v="14"/>
    <n v="40"/>
    <n v="1.5"/>
    <b v="0"/>
    <m/>
    <n v="55"/>
    <n v="0"/>
    <s v=""/>
    <x v="0"/>
  </r>
  <r>
    <s v="FB001188"/>
    <x v="2"/>
    <x v="2"/>
    <x v="2"/>
    <m/>
    <s v="Red"/>
    <n v="16.510000000000002"/>
    <n v="16.8"/>
    <n v="13.74"/>
    <x v="1"/>
    <n v="47"/>
    <n v="1.2"/>
    <b v="0"/>
    <m/>
    <n v="28"/>
    <n v="789.6"/>
    <s v=""/>
    <x v="1"/>
  </r>
  <r>
    <s v="FB001189"/>
    <x v="3"/>
    <x v="2"/>
    <x v="1"/>
    <m/>
    <s v="Gray"/>
    <n v="173.66"/>
    <n v="42.7"/>
    <n v="99.51"/>
    <x v="1"/>
    <n v="1"/>
    <n v="3.1"/>
    <b v="0"/>
    <m/>
    <n v="28"/>
    <n v="42.7"/>
    <s v=""/>
    <x v="1"/>
  </r>
  <r>
    <s v="FB001190"/>
    <x v="1"/>
    <x v="4"/>
    <x v="0"/>
    <s v="S"/>
    <s v="Black"/>
    <n v="71.489999999999995"/>
    <n v="20.9"/>
    <n v="56.55"/>
    <x v="195"/>
    <n v="33"/>
    <n v="1.3"/>
    <b v="0"/>
    <m/>
    <n v="234"/>
    <n v="689.69999999999993"/>
    <s v=""/>
    <x v="1"/>
  </r>
  <r>
    <s v="FB001191"/>
    <x v="0"/>
    <x v="1"/>
    <x v="2"/>
    <s v="XXL"/>
    <s v="Gray"/>
    <n v="230.81"/>
    <n v="24.3"/>
    <n v="174.72"/>
    <x v="1"/>
    <n v="26"/>
    <n v="3.15"/>
    <b v="1"/>
    <s v="Size Issue"/>
    <n v="28"/>
    <n v="631.80000000000007"/>
    <n v="1"/>
    <x v="1"/>
  </r>
  <r>
    <s v="FB001192"/>
    <x v="3"/>
    <x v="4"/>
    <x v="0"/>
    <s v="XS"/>
    <s v="Green"/>
    <n v="101"/>
    <n v="58.6"/>
    <n v="41.81"/>
    <x v="31"/>
    <n v="44"/>
    <n v="1.2"/>
    <b v="0"/>
    <m/>
    <n v="61"/>
    <n v="2578.4"/>
    <s v=""/>
    <x v="1"/>
  </r>
  <r>
    <s v="FB001193"/>
    <x v="0"/>
    <x v="3"/>
    <x v="1"/>
    <s v="XXL"/>
    <s v="Brown"/>
    <n v="116.37"/>
    <n v="52.6"/>
    <n v="55.16"/>
    <x v="1"/>
    <n v="43"/>
    <n v="2.4"/>
    <b v="0"/>
    <m/>
    <n v="28"/>
    <n v="2261.8000000000002"/>
    <s v=""/>
    <x v="1"/>
  </r>
  <r>
    <s v="FB001194"/>
    <x v="3"/>
    <x v="4"/>
    <x v="0"/>
    <s v="L"/>
    <s v="Beige"/>
    <n v="150.28"/>
    <n v="8.3000000000000007"/>
    <n v="137.81"/>
    <x v="75"/>
    <n v="48"/>
    <n v="2.9"/>
    <b v="0"/>
    <m/>
    <n v="224"/>
    <n v="398.40000000000003"/>
    <s v=""/>
    <x v="1"/>
  </r>
  <r>
    <s v="FB001195"/>
    <x v="0"/>
    <x v="0"/>
    <x v="1"/>
    <s v="XL"/>
    <s v="Gray"/>
    <n v="107.81"/>
    <n v="0"/>
    <n v="107.81"/>
    <x v="1"/>
    <n v="15"/>
    <n v="2.7"/>
    <b v="0"/>
    <m/>
    <n v="28"/>
    <n v="0"/>
    <s v=""/>
    <x v="0"/>
  </r>
  <r>
    <s v="FB001196"/>
    <x v="5"/>
    <x v="0"/>
    <x v="0"/>
    <s v="L"/>
    <s v="Navy"/>
    <n v="61.24"/>
    <n v="0"/>
    <n v="61.24"/>
    <x v="196"/>
    <n v="3"/>
    <n v="3.0424242424242425"/>
    <b v="0"/>
    <m/>
    <n v="151"/>
    <n v="0"/>
    <s v=""/>
    <x v="0"/>
  </r>
  <r>
    <s v="FB001197"/>
    <x v="2"/>
    <x v="0"/>
    <x v="1"/>
    <m/>
    <s v="Green"/>
    <n v="34.04"/>
    <n v="0"/>
    <n v="34.04"/>
    <x v="1"/>
    <n v="3"/>
    <n v="1.9"/>
    <b v="0"/>
    <m/>
    <n v="28"/>
    <n v="0"/>
    <s v=""/>
    <x v="0"/>
  </r>
  <r>
    <s v="FB001198"/>
    <x v="5"/>
    <x v="6"/>
    <x v="3"/>
    <s v="S"/>
    <s v="Brown"/>
    <n v="168.16"/>
    <n v="45.9"/>
    <n v="90.97"/>
    <x v="1"/>
    <n v="44"/>
    <n v="1.5"/>
    <b v="0"/>
    <m/>
    <n v="28"/>
    <n v="2019.6"/>
    <s v=""/>
    <x v="1"/>
  </r>
  <r>
    <s v="FB001199"/>
    <x v="1"/>
    <x v="5"/>
    <x v="2"/>
    <s v="M"/>
    <s v="Red"/>
    <n v="74.069999999999993"/>
    <n v="0"/>
    <n v="74.069999999999993"/>
    <x v="1"/>
    <n v="47"/>
    <n v="1.4"/>
    <b v="0"/>
    <m/>
    <n v="28"/>
    <n v="0"/>
    <s v=""/>
    <x v="0"/>
  </r>
  <r>
    <s v="FB001200"/>
    <x v="1"/>
    <x v="7"/>
    <x v="1"/>
    <s v="XXL"/>
    <s v="Brown"/>
    <n v="84.75"/>
    <n v="0"/>
    <n v="84.75"/>
    <x v="1"/>
    <n v="7"/>
    <n v="2.5"/>
    <b v="0"/>
    <m/>
    <n v="28"/>
    <n v="0"/>
    <s v=""/>
    <x v="0"/>
  </r>
  <r>
    <s v="FB001201"/>
    <x v="3"/>
    <x v="3"/>
    <x v="3"/>
    <s v="M"/>
    <s v="Red"/>
    <n v="187.47"/>
    <n v="9.6"/>
    <n v="169.47"/>
    <x v="1"/>
    <n v="28"/>
    <n v="4"/>
    <b v="0"/>
    <m/>
    <n v="28"/>
    <n v="268.8"/>
    <s v=""/>
    <x v="1"/>
  </r>
  <r>
    <s v="FB001202"/>
    <x v="2"/>
    <x v="1"/>
    <x v="0"/>
    <m/>
    <s v="Green"/>
    <n v="45.81"/>
    <n v="14.1"/>
    <n v="39.35"/>
    <x v="197"/>
    <n v="29"/>
    <n v="3.1288461538461547"/>
    <b v="0"/>
    <m/>
    <n v="142"/>
    <n v="408.9"/>
    <s v=""/>
    <x v="1"/>
  </r>
  <r>
    <s v="FB001203"/>
    <x v="0"/>
    <x v="2"/>
    <x v="2"/>
    <s v="XL"/>
    <s v="Brown"/>
    <n v="87.09"/>
    <n v="0"/>
    <n v="87.09"/>
    <x v="1"/>
    <n v="8"/>
    <n v="2.8"/>
    <b v="0"/>
    <m/>
    <n v="28"/>
    <n v="0"/>
    <s v=""/>
    <x v="0"/>
  </r>
  <r>
    <s v="FB001204"/>
    <x v="0"/>
    <x v="4"/>
    <x v="3"/>
    <s v="XS"/>
    <s v="Brown"/>
    <n v="232.5"/>
    <n v="56.8"/>
    <n v="100.44"/>
    <x v="1"/>
    <n v="23"/>
    <n v="2.9"/>
    <b v="1"/>
    <s v="Size Issue"/>
    <n v="28"/>
    <n v="1306.3999999999999"/>
    <n v="1"/>
    <x v="1"/>
  </r>
  <r>
    <s v="FB001205"/>
    <x v="3"/>
    <x v="5"/>
    <x v="0"/>
    <s v="XS"/>
    <s v="Purple"/>
    <n v="184.87"/>
    <n v="0"/>
    <n v="184.87"/>
    <x v="55"/>
    <n v="32"/>
    <n v="1.8"/>
    <b v="0"/>
    <m/>
    <n v="340"/>
    <n v="0"/>
    <s v=""/>
    <x v="0"/>
  </r>
  <r>
    <s v="FB001206"/>
    <x v="1"/>
    <x v="6"/>
    <x v="2"/>
    <s v="XS"/>
    <s v="Gray"/>
    <n v="31.36"/>
    <n v="0"/>
    <n v="31.36"/>
    <x v="1"/>
    <n v="50"/>
    <n v="3.4"/>
    <b v="0"/>
    <m/>
    <n v="28"/>
    <n v="0"/>
    <s v=""/>
    <x v="0"/>
  </r>
  <r>
    <s v="FB001207"/>
    <x v="2"/>
    <x v="4"/>
    <x v="1"/>
    <m/>
    <s v="Navy"/>
    <n v="62.26"/>
    <n v="24.6"/>
    <n v="46.94"/>
    <x v="1"/>
    <n v="33"/>
    <n v="3.5"/>
    <b v="0"/>
    <m/>
    <n v="28"/>
    <n v="811.80000000000007"/>
    <s v=""/>
    <x v="1"/>
  </r>
  <r>
    <s v="FB001208"/>
    <x v="2"/>
    <x v="3"/>
    <x v="3"/>
    <m/>
    <s v="Navy"/>
    <n v="64.819999999999993"/>
    <n v="42.2"/>
    <n v="37.47"/>
    <x v="1"/>
    <n v="26"/>
    <n v="1.3"/>
    <b v="0"/>
    <m/>
    <n v="28"/>
    <n v="1097.2"/>
    <s v=""/>
    <x v="1"/>
  </r>
  <r>
    <s v="FB001209"/>
    <x v="2"/>
    <x v="0"/>
    <x v="0"/>
    <m/>
    <s v="Blue"/>
    <n v="15.92"/>
    <n v="0"/>
    <n v="15.92"/>
    <x v="29"/>
    <n v="7"/>
    <n v="4.0999999999999996"/>
    <b v="0"/>
    <m/>
    <n v="362"/>
    <n v="0"/>
    <s v=""/>
    <x v="0"/>
  </r>
  <r>
    <s v="FB001210"/>
    <x v="0"/>
    <x v="4"/>
    <x v="0"/>
    <s v="M"/>
    <s v="Purple"/>
    <n v="180.83"/>
    <n v="0"/>
    <n v="180.83"/>
    <x v="198"/>
    <n v="20"/>
    <n v="2"/>
    <b v="0"/>
    <m/>
    <n v="366"/>
    <n v="0"/>
    <s v=""/>
    <x v="0"/>
  </r>
  <r>
    <s v="FB001211"/>
    <x v="3"/>
    <x v="7"/>
    <x v="3"/>
    <s v="L"/>
    <s v="Brown"/>
    <n v="73.81"/>
    <n v="0"/>
    <n v="73.81"/>
    <x v="1"/>
    <n v="44"/>
    <n v="1.3"/>
    <b v="0"/>
    <m/>
    <n v="28"/>
    <n v="0"/>
    <s v=""/>
    <x v="0"/>
  </r>
  <r>
    <s v="FB001212"/>
    <x v="3"/>
    <x v="5"/>
    <x v="3"/>
    <s v="XXL"/>
    <s v="Beige"/>
    <n v="127.52"/>
    <n v="0"/>
    <n v="127.52"/>
    <x v="1"/>
    <n v="0"/>
    <n v="3.4"/>
    <b v="0"/>
    <m/>
    <n v="28"/>
    <n v="0"/>
    <s v=""/>
    <x v="0"/>
  </r>
  <r>
    <s v="FB001213"/>
    <x v="4"/>
    <x v="4"/>
    <x v="2"/>
    <m/>
    <s v="Brown"/>
    <n v="52.08"/>
    <n v="0"/>
    <n v="52.08"/>
    <x v="1"/>
    <n v="12"/>
    <n v="3.0659090909090896"/>
    <b v="0"/>
    <m/>
    <n v="28"/>
    <n v="0"/>
    <s v=""/>
    <x v="0"/>
  </r>
  <r>
    <s v="FB001214"/>
    <x v="4"/>
    <x v="7"/>
    <x v="1"/>
    <s v="XS"/>
    <s v="Red"/>
    <n v="32.83"/>
    <n v="23"/>
    <n v="25.28"/>
    <x v="1"/>
    <n v="24"/>
    <n v="1.1000000000000001"/>
    <b v="0"/>
    <m/>
    <n v="28"/>
    <n v="552"/>
    <s v=""/>
    <x v="1"/>
  </r>
  <r>
    <s v="FB001215"/>
    <x v="1"/>
    <x v="2"/>
    <x v="1"/>
    <s v="S"/>
    <s v="Purple"/>
    <n v="108.92"/>
    <n v="0"/>
    <n v="108.92"/>
    <x v="1"/>
    <n v="6"/>
    <n v="1.8"/>
    <b v="0"/>
    <m/>
    <n v="28"/>
    <n v="0"/>
    <s v=""/>
    <x v="0"/>
  </r>
  <r>
    <s v="FB001216"/>
    <x v="3"/>
    <x v="7"/>
    <x v="1"/>
    <m/>
    <s v="Navy"/>
    <n v="85.83"/>
    <n v="47.5"/>
    <n v="45.06"/>
    <x v="1"/>
    <n v="8"/>
    <n v="1.1000000000000001"/>
    <b v="0"/>
    <m/>
    <n v="28"/>
    <n v="380"/>
    <s v=""/>
    <x v="1"/>
  </r>
  <r>
    <s v="FB001217"/>
    <x v="2"/>
    <x v="0"/>
    <x v="0"/>
    <m/>
    <s v="Blue"/>
    <n v="62.02"/>
    <n v="0"/>
    <n v="62.02"/>
    <x v="5"/>
    <n v="3"/>
    <n v="3.7"/>
    <b v="0"/>
    <m/>
    <n v="131"/>
    <n v="0"/>
    <s v=""/>
    <x v="0"/>
  </r>
  <r>
    <s v="FB001218"/>
    <x v="3"/>
    <x v="4"/>
    <x v="3"/>
    <s v="XL"/>
    <s v="Black"/>
    <n v="127.31"/>
    <n v="5.4"/>
    <n v="120.44"/>
    <x v="1"/>
    <n v="34"/>
    <n v="2.5"/>
    <b v="0"/>
    <m/>
    <n v="28"/>
    <n v="183.60000000000002"/>
    <s v=""/>
    <x v="1"/>
  </r>
  <r>
    <s v="FB001219"/>
    <x v="1"/>
    <x v="5"/>
    <x v="2"/>
    <m/>
    <s v="Red"/>
    <n v="35.74"/>
    <n v="0"/>
    <n v="35.74"/>
    <x v="1"/>
    <n v="33"/>
    <n v="2.9846153846153847"/>
    <b v="1"/>
    <s v="Color Mismatch"/>
    <n v="28"/>
    <n v="0"/>
    <n v="1"/>
    <x v="0"/>
  </r>
  <r>
    <s v="FB001220"/>
    <x v="2"/>
    <x v="4"/>
    <x v="3"/>
    <m/>
    <s v="Gray"/>
    <n v="69.62"/>
    <n v="27.9"/>
    <n v="50.2"/>
    <x v="1"/>
    <n v="5"/>
    <n v="1.1000000000000001"/>
    <b v="0"/>
    <m/>
    <n v="28"/>
    <n v="139.5"/>
    <s v=""/>
    <x v="1"/>
  </r>
  <r>
    <s v="FB001221"/>
    <x v="1"/>
    <x v="0"/>
    <x v="1"/>
    <s v="XXL"/>
    <s v="Black"/>
    <n v="92.01"/>
    <n v="28.8"/>
    <n v="65.510000000000005"/>
    <x v="1"/>
    <n v="37"/>
    <n v="1.9"/>
    <b v="0"/>
    <m/>
    <n v="28"/>
    <n v="1065.6000000000001"/>
    <s v=""/>
    <x v="1"/>
  </r>
  <r>
    <s v="FB001222"/>
    <x v="3"/>
    <x v="3"/>
    <x v="2"/>
    <s v="M"/>
    <s v="Black"/>
    <n v="110.1"/>
    <n v="0"/>
    <n v="110.1"/>
    <x v="1"/>
    <n v="13"/>
    <n v="3.6"/>
    <b v="1"/>
    <s v="Changed Mind"/>
    <n v="28"/>
    <n v="0"/>
    <n v="1"/>
    <x v="0"/>
  </r>
  <r>
    <s v="FB001223"/>
    <x v="4"/>
    <x v="0"/>
    <x v="2"/>
    <s v="XXL"/>
    <s v="Red"/>
    <n v="109.05"/>
    <n v="0"/>
    <n v="109.05"/>
    <x v="1"/>
    <n v="13"/>
    <n v="3.7"/>
    <b v="0"/>
    <m/>
    <n v="28"/>
    <n v="0"/>
    <s v=""/>
    <x v="0"/>
  </r>
  <r>
    <s v="FB001224"/>
    <x v="2"/>
    <x v="7"/>
    <x v="1"/>
    <m/>
    <s v="Beige"/>
    <n v="67.459999999999994"/>
    <n v="0"/>
    <n v="67.459999999999994"/>
    <x v="1"/>
    <n v="28"/>
    <n v="1.4"/>
    <b v="0"/>
    <m/>
    <n v="28"/>
    <n v="0"/>
    <s v=""/>
    <x v="0"/>
  </r>
  <r>
    <s v="FB001225"/>
    <x v="3"/>
    <x v="5"/>
    <x v="1"/>
    <s v="M"/>
    <s v="White"/>
    <n v="110.11"/>
    <n v="10.199999999999999"/>
    <n v="98.88"/>
    <x v="1"/>
    <n v="47"/>
    <n v="3.0068965517241386"/>
    <b v="0"/>
    <m/>
    <n v="28"/>
    <n v="479.4"/>
    <s v=""/>
    <x v="1"/>
  </r>
  <r>
    <s v="FB001226"/>
    <x v="3"/>
    <x v="2"/>
    <x v="3"/>
    <s v="XL"/>
    <s v="White"/>
    <n v="162.5"/>
    <n v="0"/>
    <n v="162.5"/>
    <x v="1"/>
    <n v="45"/>
    <n v="3.1936170212765949"/>
    <b v="0"/>
    <m/>
    <n v="28"/>
    <n v="0"/>
    <s v=""/>
    <x v="0"/>
  </r>
  <r>
    <s v="FB001227"/>
    <x v="2"/>
    <x v="1"/>
    <x v="3"/>
    <m/>
    <s v="Black"/>
    <n v="23.8"/>
    <n v="8.3000000000000007"/>
    <n v="21.82"/>
    <x v="1"/>
    <n v="0"/>
    <n v="3.5"/>
    <b v="0"/>
    <m/>
    <n v="28"/>
    <n v="0"/>
    <s v=""/>
    <x v="1"/>
  </r>
  <r>
    <s v="FB001228"/>
    <x v="4"/>
    <x v="2"/>
    <x v="2"/>
    <s v="XS"/>
    <s v="Brown"/>
    <n v="115.89"/>
    <n v="0"/>
    <n v="115.89"/>
    <x v="1"/>
    <n v="34"/>
    <n v="2.9"/>
    <b v="0"/>
    <m/>
    <n v="28"/>
    <n v="0"/>
    <s v=""/>
    <x v="0"/>
  </r>
  <r>
    <s v="FB001229"/>
    <x v="0"/>
    <x v="4"/>
    <x v="0"/>
    <s v="M"/>
    <s v="Red"/>
    <n v="139.19999999999999"/>
    <n v="42.5"/>
    <n v="80.040000000000006"/>
    <x v="164"/>
    <n v="27"/>
    <n v="2.9"/>
    <b v="0"/>
    <m/>
    <n v="336"/>
    <n v="1147.5"/>
    <s v=""/>
    <x v="1"/>
  </r>
  <r>
    <s v="FB001230"/>
    <x v="5"/>
    <x v="7"/>
    <x v="2"/>
    <s v="S"/>
    <s v="Navy"/>
    <n v="120.42"/>
    <n v="36.700000000000003"/>
    <n v="76.23"/>
    <x v="1"/>
    <n v="46"/>
    <n v="2.4"/>
    <b v="0"/>
    <m/>
    <n v="28"/>
    <n v="1688.2"/>
    <s v=""/>
    <x v="1"/>
  </r>
  <r>
    <s v="FB001231"/>
    <x v="2"/>
    <x v="2"/>
    <x v="2"/>
    <m/>
    <s v="Beige"/>
    <n v="72.81"/>
    <n v="0"/>
    <n v="72.81"/>
    <x v="1"/>
    <n v="4"/>
    <n v="4.3"/>
    <b v="0"/>
    <m/>
    <n v="28"/>
    <n v="0"/>
    <s v=""/>
    <x v="0"/>
  </r>
  <r>
    <s v="FB001232"/>
    <x v="2"/>
    <x v="0"/>
    <x v="0"/>
    <m/>
    <s v="Brown"/>
    <n v="29.75"/>
    <n v="0"/>
    <n v="29.75"/>
    <x v="199"/>
    <n v="37"/>
    <n v="3.9"/>
    <b v="0"/>
    <m/>
    <n v="208"/>
    <n v="0"/>
    <s v=""/>
    <x v="0"/>
  </r>
  <r>
    <s v="FB001233"/>
    <x v="1"/>
    <x v="6"/>
    <x v="3"/>
    <s v="XL"/>
    <s v="Black"/>
    <n v="33.630000000000003"/>
    <n v="0"/>
    <n v="33.630000000000003"/>
    <x v="1"/>
    <n v="13"/>
    <n v="4.7"/>
    <b v="0"/>
    <m/>
    <n v="28"/>
    <n v="0"/>
    <s v=""/>
    <x v="0"/>
  </r>
  <r>
    <s v="FB001234"/>
    <x v="0"/>
    <x v="2"/>
    <x v="2"/>
    <s v="S"/>
    <s v="Brown"/>
    <n v="101.93"/>
    <n v="0"/>
    <n v="101.93"/>
    <x v="1"/>
    <n v="31"/>
    <n v="3.0177777777777774"/>
    <b v="0"/>
    <m/>
    <n v="28"/>
    <n v="0"/>
    <s v=""/>
    <x v="0"/>
  </r>
  <r>
    <s v="FB001235"/>
    <x v="2"/>
    <x v="3"/>
    <x v="1"/>
    <m/>
    <s v="White"/>
    <n v="41.43"/>
    <n v="0"/>
    <n v="41.43"/>
    <x v="1"/>
    <n v="10"/>
    <n v="2.5131578947368416"/>
    <b v="0"/>
    <m/>
    <n v="28"/>
    <n v="0"/>
    <s v=""/>
    <x v="0"/>
  </r>
  <r>
    <s v="FB001236"/>
    <x v="0"/>
    <x v="5"/>
    <x v="0"/>
    <s v="L"/>
    <s v="Green"/>
    <n v="126.14"/>
    <n v="0"/>
    <n v="126.14"/>
    <x v="200"/>
    <n v="24"/>
    <n v="3.6"/>
    <b v="0"/>
    <m/>
    <n v="108"/>
    <n v="0"/>
    <s v=""/>
    <x v="0"/>
  </r>
  <r>
    <s v="FB001237"/>
    <x v="4"/>
    <x v="0"/>
    <x v="0"/>
    <s v="M"/>
    <s v="Purple"/>
    <n v="96.76"/>
    <n v="0"/>
    <n v="96.76"/>
    <x v="201"/>
    <n v="6"/>
    <n v="2.9210526315789478"/>
    <b v="0"/>
    <m/>
    <n v="189"/>
    <n v="0"/>
    <s v=""/>
    <x v="0"/>
  </r>
  <r>
    <s v="FB001238"/>
    <x v="1"/>
    <x v="3"/>
    <x v="1"/>
    <s v="XS"/>
    <s v="Navy"/>
    <n v="114.32"/>
    <n v="0"/>
    <n v="114.32"/>
    <x v="1"/>
    <n v="27"/>
    <n v="5"/>
    <b v="0"/>
    <m/>
    <n v="28"/>
    <n v="0"/>
    <s v=""/>
    <x v="0"/>
  </r>
  <r>
    <s v="FB001239"/>
    <x v="3"/>
    <x v="4"/>
    <x v="0"/>
    <s v="S"/>
    <s v="Purple"/>
    <n v="102.46"/>
    <n v="0"/>
    <n v="102.46"/>
    <x v="202"/>
    <n v="20"/>
    <n v="3.7"/>
    <b v="1"/>
    <s v="Quality Issue"/>
    <n v="260"/>
    <n v="0"/>
    <n v="1"/>
    <x v="0"/>
  </r>
  <r>
    <s v="FB001240"/>
    <x v="4"/>
    <x v="1"/>
    <x v="3"/>
    <s v="L"/>
    <s v="Pink"/>
    <n v="95.7"/>
    <n v="15"/>
    <n v="81.34"/>
    <x v="1"/>
    <n v="9"/>
    <n v="4.9000000000000004"/>
    <b v="0"/>
    <m/>
    <n v="28"/>
    <n v="135"/>
    <s v=""/>
    <x v="1"/>
  </r>
  <r>
    <s v="FB001241"/>
    <x v="4"/>
    <x v="4"/>
    <x v="1"/>
    <s v="M"/>
    <s v="Blue"/>
    <n v="55.49"/>
    <n v="0"/>
    <n v="55.49"/>
    <x v="1"/>
    <n v="25"/>
    <n v="4.5999999999999996"/>
    <b v="0"/>
    <m/>
    <n v="28"/>
    <n v="0"/>
    <s v=""/>
    <x v="0"/>
  </r>
  <r>
    <s v="FB001242"/>
    <x v="2"/>
    <x v="5"/>
    <x v="1"/>
    <m/>
    <s v="White"/>
    <n v="30.58"/>
    <n v="9.8000000000000007"/>
    <n v="27.58"/>
    <x v="1"/>
    <n v="34"/>
    <n v="3.4"/>
    <b v="0"/>
    <m/>
    <n v="28"/>
    <n v="333.20000000000005"/>
    <s v=""/>
    <x v="1"/>
  </r>
  <r>
    <s v="FB001243"/>
    <x v="4"/>
    <x v="3"/>
    <x v="2"/>
    <s v="S"/>
    <s v="Red"/>
    <n v="116.58"/>
    <n v="0"/>
    <n v="116.58"/>
    <x v="1"/>
    <n v="47"/>
    <n v="1.2"/>
    <b v="0"/>
    <m/>
    <n v="28"/>
    <n v="0"/>
    <s v=""/>
    <x v="0"/>
  </r>
  <r>
    <s v="FB001244"/>
    <x v="5"/>
    <x v="0"/>
    <x v="1"/>
    <s v="XL"/>
    <s v="Navy"/>
    <n v="79.180000000000007"/>
    <n v="21.1"/>
    <n v="62.47"/>
    <x v="1"/>
    <n v="36"/>
    <n v="1.5"/>
    <b v="1"/>
    <s v="Changed Mind"/>
    <n v="28"/>
    <n v="759.6"/>
    <n v="1"/>
    <x v="1"/>
  </r>
  <r>
    <s v="FB001245"/>
    <x v="5"/>
    <x v="7"/>
    <x v="3"/>
    <m/>
    <s v="Navy"/>
    <n v="88.71"/>
    <n v="0"/>
    <n v="88.71"/>
    <x v="1"/>
    <n v="3"/>
    <n v="3.5"/>
    <b v="0"/>
    <m/>
    <n v="28"/>
    <n v="0"/>
    <s v=""/>
    <x v="0"/>
  </r>
  <r>
    <s v="FB001246"/>
    <x v="5"/>
    <x v="2"/>
    <x v="0"/>
    <s v="XXL"/>
    <s v="Purple"/>
    <n v="150.58000000000001"/>
    <n v="0"/>
    <n v="150.58000000000001"/>
    <x v="49"/>
    <n v="38"/>
    <n v="2.1"/>
    <b v="0"/>
    <m/>
    <n v="258"/>
    <n v="0"/>
    <s v=""/>
    <x v="0"/>
  </r>
  <r>
    <s v="FB001247"/>
    <x v="5"/>
    <x v="1"/>
    <x v="3"/>
    <s v="XXL"/>
    <s v="White"/>
    <n v="179.9"/>
    <n v="9.3000000000000007"/>
    <n v="163.16999999999999"/>
    <x v="1"/>
    <n v="34"/>
    <n v="2.1"/>
    <b v="0"/>
    <m/>
    <n v="28"/>
    <n v="316.20000000000005"/>
    <s v=""/>
    <x v="1"/>
  </r>
  <r>
    <s v="FB001248"/>
    <x v="0"/>
    <x v="7"/>
    <x v="0"/>
    <s v="XL"/>
    <s v="Red"/>
    <n v="135.30000000000001"/>
    <n v="0"/>
    <n v="135.30000000000001"/>
    <x v="203"/>
    <n v="19"/>
    <n v="4.5999999999999996"/>
    <b v="0"/>
    <m/>
    <n v="199"/>
    <n v="0"/>
    <s v=""/>
    <x v="0"/>
  </r>
  <r>
    <s v="FB001249"/>
    <x v="3"/>
    <x v="1"/>
    <x v="2"/>
    <s v="XXL"/>
    <s v="Black"/>
    <n v="146.43"/>
    <n v="0"/>
    <n v="146.43"/>
    <x v="1"/>
    <n v="7"/>
    <n v="2.5"/>
    <b v="0"/>
    <m/>
    <n v="28"/>
    <n v="0"/>
    <s v=""/>
    <x v="0"/>
  </r>
  <r>
    <s v="FB001250"/>
    <x v="0"/>
    <x v="7"/>
    <x v="1"/>
    <s v="M"/>
    <s v="Green"/>
    <n v="160.27000000000001"/>
    <n v="0"/>
    <n v="160.27000000000001"/>
    <x v="1"/>
    <n v="11"/>
    <n v="2"/>
    <b v="0"/>
    <m/>
    <n v="28"/>
    <n v="0"/>
    <s v=""/>
    <x v="0"/>
  </r>
  <r>
    <s v="FB001251"/>
    <x v="3"/>
    <x v="3"/>
    <x v="1"/>
    <s v="M"/>
    <s v="Gray"/>
    <n v="169.87"/>
    <n v="8.8000000000000007"/>
    <n v="154.91999999999999"/>
    <x v="1"/>
    <n v="36"/>
    <n v="2.1"/>
    <b v="0"/>
    <m/>
    <n v="28"/>
    <n v="316.8"/>
    <s v=""/>
    <x v="1"/>
  </r>
  <r>
    <s v="FB001252"/>
    <x v="3"/>
    <x v="5"/>
    <x v="3"/>
    <m/>
    <s v="Gray"/>
    <n v="137.33000000000001"/>
    <n v="0"/>
    <n v="137.33000000000001"/>
    <x v="1"/>
    <n v="35"/>
    <n v="4.5999999999999996"/>
    <b v="0"/>
    <m/>
    <n v="28"/>
    <n v="0"/>
    <s v=""/>
    <x v="0"/>
  </r>
  <r>
    <s v="FB001253"/>
    <x v="4"/>
    <x v="7"/>
    <x v="3"/>
    <s v="XXL"/>
    <s v="Red"/>
    <n v="38.18"/>
    <n v="0"/>
    <n v="38.18"/>
    <x v="1"/>
    <n v="38"/>
    <n v="3.1021739130434773"/>
    <b v="0"/>
    <m/>
    <n v="28"/>
    <n v="0"/>
    <s v=""/>
    <x v="0"/>
  </r>
  <r>
    <s v="FB001254"/>
    <x v="1"/>
    <x v="0"/>
    <x v="3"/>
    <s v="XXL"/>
    <s v="Blue"/>
    <n v="40.619999999999997"/>
    <n v="20.100000000000001"/>
    <n v="32.46"/>
    <x v="1"/>
    <n v="7"/>
    <n v="2.9181818181818175"/>
    <b v="0"/>
    <m/>
    <n v="28"/>
    <n v="140.70000000000002"/>
    <s v=""/>
    <x v="1"/>
  </r>
  <r>
    <s v="FB001255"/>
    <x v="4"/>
    <x v="4"/>
    <x v="1"/>
    <s v="XS"/>
    <s v="Black"/>
    <n v="56.4"/>
    <n v="23.3"/>
    <n v="43.26"/>
    <x v="1"/>
    <n v="35"/>
    <n v="3.0659090909090896"/>
    <b v="0"/>
    <m/>
    <n v="28"/>
    <n v="815.5"/>
    <s v=""/>
    <x v="1"/>
  </r>
  <r>
    <s v="FB001256"/>
    <x v="2"/>
    <x v="7"/>
    <x v="3"/>
    <m/>
    <s v="Green"/>
    <n v="19.559999999999999"/>
    <n v="0"/>
    <n v="19.559999999999999"/>
    <x v="1"/>
    <n v="13"/>
    <n v="3.1"/>
    <b v="0"/>
    <m/>
    <n v="28"/>
    <n v="0"/>
    <s v=""/>
    <x v="0"/>
  </r>
  <r>
    <s v="FB001257"/>
    <x v="3"/>
    <x v="4"/>
    <x v="1"/>
    <s v="L"/>
    <s v="White"/>
    <n v="155.66"/>
    <n v="0"/>
    <n v="155.66"/>
    <x v="1"/>
    <n v="3"/>
    <n v="4"/>
    <b v="0"/>
    <m/>
    <n v="28"/>
    <n v="0"/>
    <s v=""/>
    <x v="0"/>
  </r>
  <r>
    <s v="FB001258"/>
    <x v="1"/>
    <x v="0"/>
    <x v="3"/>
    <s v="S"/>
    <s v="Purple"/>
    <n v="106.2"/>
    <n v="0"/>
    <n v="106.2"/>
    <x v="1"/>
    <n v="10"/>
    <n v="1.1000000000000001"/>
    <b v="0"/>
    <m/>
    <n v="28"/>
    <n v="0"/>
    <s v=""/>
    <x v="0"/>
  </r>
  <r>
    <s v="FB001259"/>
    <x v="0"/>
    <x v="5"/>
    <x v="2"/>
    <s v="XXL"/>
    <s v="Navy"/>
    <n v="158.31"/>
    <n v="0"/>
    <n v="158.31"/>
    <x v="1"/>
    <n v="7"/>
    <n v="5"/>
    <b v="0"/>
    <m/>
    <n v="28"/>
    <n v="0"/>
    <s v=""/>
    <x v="0"/>
  </r>
  <r>
    <s v="FB001260"/>
    <x v="5"/>
    <x v="3"/>
    <x v="0"/>
    <s v="XL"/>
    <s v="Pink"/>
    <n v="102.3"/>
    <n v="42.2"/>
    <n v="59.13"/>
    <x v="204"/>
    <n v="43"/>
    <n v="1.3"/>
    <b v="0"/>
    <m/>
    <n v="96"/>
    <n v="1814.6000000000001"/>
    <s v=""/>
    <x v="1"/>
  </r>
  <r>
    <s v="FB001261"/>
    <x v="2"/>
    <x v="6"/>
    <x v="2"/>
    <m/>
    <s v="Navy"/>
    <n v="53.46"/>
    <n v="58"/>
    <n v="22.45"/>
    <x v="1"/>
    <n v="6"/>
    <n v="4.2"/>
    <b v="0"/>
    <m/>
    <n v="28"/>
    <n v="348"/>
    <s v=""/>
    <x v="1"/>
  </r>
  <r>
    <s v="FB001262"/>
    <x v="5"/>
    <x v="1"/>
    <x v="3"/>
    <s v="XS"/>
    <s v="Blue"/>
    <n v="101.78"/>
    <n v="22.9"/>
    <n v="78.47"/>
    <x v="1"/>
    <n v="5"/>
    <n v="1.2"/>
    <b v="1"/>
    <s v="Damaged"/>
    <n v="28"/>
    <n v="114.5"/>
    <n v="1"/>
    <x v="1"/>
  </r>
  <r>
    <s v="FB001263"/>
    <x v="0"/>
    <x v="2"/>
    <x v="3"/>
    <s v="M"/>
    <s v="Gray"/>
    <n v="112.28"/>
    <n v="0"/>
    <n v="112.28"/>
    <x v="1"/>
    <n v="41"/>
    <n v="4.0999999999999996"/>
    <b v="0"/>
    <m/>
    <n v="28"/>
    <n v="0"/>
    <s v=""/>
    <x v="0"/>
  </r>
  <r>
    <s v="FB001264"/>
    <x v="2"/>
    <x v="2"/>
    <x v="1"/>
    <m/>
    <s v="Pink"/>
    <n v="47.51"/>
    <n v="0"/>
    <n v="47.51"/>
    <x v="1"/>
    <n v="39"/>
    <n v="4.4000000000000004"/>
    <b v="0"/>
    <m/>
    <n v="28"/>
    <n v="0"/>
    <s v=""/>
    <x v="0"/>
  </r>
  <r>
    <s v="FB001265"/>
    <x v="1"/>
    <x v="1"/>
    <x v="1"/>
    <s v="XXL"/>
    <s v="Beige"/>
    <n v="80.39"/>
    <n v="0"/>
    <n v="80.39"/>
    <x v="1"/>
    <n v="24"/>
    <n v="3.34"/>
    <b v="0"/>
    <m/>
    <n v="28"/>
    <n v="0"/>
    <s v=""/>
    <x v="0"/>
  </r>
  <r>
    <s v="FB001266"/>
    <x v="4"/>
    <x v="3"/>
    <x v="1"/>
    <s v="L"/>
    <s v="Red"/>
    <n v="64.75"/>
    <n v="26.4"/>
    <n v="47.66"/>
    <x v="1"/>
    <n v="7"/>
    <n v="2.9"/>
    <b v="1"/>
    <s v="Wrong Item"/>
    <n v="28"/>
    <n v="184.79999999999998"/>
    <n v="1"/>
    <x v="1"/>
  </r>
  <r>
    <s v="FB001267"/>
    <x v="0"/>
    <x v="0"/>
    <x v="1"/>
    <s v="L"/>
    <s v="Red"/>
    <n v="129.86000000000001"/>
    <n v="0"/>
    <n v="129.86000000000001"/>
    <x v="1"/>
    <n v="41"/>
    <n v="1.7"/>
    <b v="0"/>
    <m/>
    <n v="28"/>
    <n v="0"/>
    <s v=""/>
    <x v="0"/>
  </r>
  <r>
    <s v="FB001268"/>
    <x v="4"/>
    <x v="2"/>
    <x v="0"/>
    <s v="L"/>
    <s v="Green"/>
    <n v="32.74"/>
    <n v="0"/>
    <n v="32.74"/>
    <x v="205"/>
    <n v="23"/>
    <n v="4"/>
    <b v="1"/>
    <s v="Damaged"/>
    <n v="387"/>
    <n v="0"/>
    <n v="1"/>
    <x v="0"/>
  </r>
  <r>
    <s v="FB001269"/>
    <x v="4"/>
    <x v="1"/>
    <x v="0"/>
    <s v="L"/>
    <s v="Blue"/>
    <n v="79.27"/>
    <n v="0"/>
    <n v="79.27"/>
    <x v="206"/>
    <n v="13"/>
    <n v="3.5"/>
    <b v="0"/>
    <m/>
    <n v="115"/>
    <n v="0"/>
    <s v=""/>
    <x v="0"/>
  </r>
  <r>
    <s v="FB001270"/>
    <x v="1"/>
    <x v="7"/>
    <x v="0"/>
    <s v="S"/>
    <s v="Beige"/>
    <n v="119.38"/>
    <n v="0"/>
    <n v="119.38"/>
    <x v="207"/>
    <n v="18"/>
    <n v="4.4000000000000004"/>
    <b v="0"/>
    <m/>
    <n v="195"/>
    <n v="0"/>
    <s v=""/>
    <x v="0"/>
  </r>
  <r>
    <s v="FB001271"/>
    <x v="5"/>
    <x v="4"/>
    <x v="1"/>
    <s v="S"/>
    <s v="White"/>
    <n v="66.17"/>
    <n v="0"/>
    <n v="66.17"/>
    <x v="1"/>
    <n v="1"/>
    <n v="3.1051282051282048"/>
    <b v="0"/>
    <m/>
    <n v="28"/>
    <n v="0"/>
    <s v=""/>
    <x v="0"/>
  </r>
  <r>
    <s v="FB001272"/>
    <x v="2"/>
    <x v="4"/>
    <x v="2"/>
    <m/>
    <s v="Purple"/>
    <n v="68.3"/>
    <n v="8"/>
    <n v="62.84"/>
    <x v="1"/>
    <n v="18"/>
    <n v="3.1"/>
    <b v="0"/>
    <m/>
    <n v="28"/>
    <n v="144"/>
    <s v=""/>
    <x v="1"/>
  </r>
  <r>
    <s v="FB001273"/>
    <x v="0"/>
    <x v="3"/>
    <x v="2"/>
    <s v="L"/>
    <s v="Purple"/>
    <n v="209.66"/>
    <n v="0"/>
    <n v="209.66"/>
    <x v="1"/>
    <n v="30"/>
    <n v="2.1"/>
    <b v="0"/>
    <m/>
    <n v="28"/>
    <n v="0"/>
    <s v=""/>
    <x v="0"/>
  </r>
  <r>
    <s v="FB001274"/>
    <x v="3"/>
    <x v="1"/>
    <x v="3"/>
    <s v="XS"/>
    <s v="Blue"/>
    <n v="154.82"/>
    <n v="0"/>
    <n v="154.82"/>
    <x v="1"/>
    <n v="31"/>
    <n v="2.8205128205128198"/>
    <b v="0"/>
    <m/>
    <n v="28"/>
    <n v="0"/>
    <s v=""/>
    <x v="0"/>
  </r>
  <r>
    <s v="FB001275"/>
    <x v="4"/>
    <x v="4"/>
    <x v="1"/>
    <s v="S"/>
    <s v="Gray"/>
    <n v="37.53"/>
    <n v="0"/>
    <n v="37.53"/>
    <x v="1"/>
    <n v="8"/>
    <n v="3"/>
    <b v="1"/>
    <s v="Changed Mind"/>
    <n v="28"/>
    <n v="0"/>
    <n v="1"/>
    <x v="0"/>
  </r>
  <r>
    <s v="FB001276"/>
    <x v="3"/>
    <x v="0"/>
    <x v="3"/>
    <s v="XS"/>
    <s v="Black"/>
    <n v="140.28"/>
    <n v="0"/>
    <n v="140.28"/>
    <x v="1"/>
    <n v="10"/>
    <n v="1.9"/>
    <b v="0"/>
    <m/>
    <n v="28"/>
    <n v="0"/>
    <s v=""/>
    <x v="0"/>
  </r>
  <r>
    <s v="FB001277"/>
    <x v="3"/>
    <x v="1"/>
    <x v="3"/>
    <s v="XS"/>
    <s v="White"/>
    <n v="171.07"/>
    <n v="0"/>
    <n v="171.07"/>
    <x v="1"/>
    <n v="25"/>
    <n v="3"/>
    <b v="0"/>
    <m/>
    <n v="28"/>
    <n v="0"/>
    <s v=""/>
    <x v="0"/>
  </r>
  <r>
    <s v="FB001278"/>
    <x v="1"/>
    <x v="0"/>
    <x v="3"/>
    <s v="M"/>
    <s v="Purple"/>
    <n v="77.87"/>
    <n v="0"/>
    <n v="77.87"/>
    <x v="1"/>
    <n v="4"/>
    <n v="2.7"/>
    <b v="0"/>
    <m/>
    <n v="28"/>
    <n v="0"/>
    <s v=""/>
    <x v="0"/>
  </r>
  <r>
    <s v="FB001279"/>
    <x v="1"/>
    <x v="4"/>
    <x v="0"/>
    <s v="XL"/>
    <s v="Navy"/>
    <n v="80.540000000000006"/>
    <n v="0"/>
    <n v="80.540000000000006"/>
    <x v="208"/>
    <n v="50"/>
    <n v="2.1"/>
    <b v="0"/>
    <m/>
    <n v="267"/>
    <n v="0"/>
    <s v=""/>
    <x v="0"/>
  </r>
  <r>
    <s v="FB001280"/>
    <x v="4"/>
    <x v="1"/>
    <x v="3"/>
    <s v="S"/>
    <s v="White"/>
    <n v="48.68"/>
    <n v="41.7"/>
    <n v="28.38"/>
    <x v="1"/>
    <n v="20"/>
    <n v="1.3"/>
    <b v="1"/>
    <s v="Damaged"/>
    <n v="28"/>
    <n v="834"/>
    <n v="1"/>
    <x v="1"/>
  </r>
  <r>
    <s v="FB001281"/>
    <x v="3"/>
    <x v="5"/>
    <x v="1"/>
    <s v="XS"/>
    <s v="Purple"/>
    <n v="137.83000000000001"/>
    <n v="0"/>
    <n v="137.83000000000001"/>
    <x v="1"/>
    <n v="32"/>
    <n v="3.4"/>
    <b v="1"/>
    <s v="Changed Mind"/>
    <n v="28"/>
    <n v="0"/>
    <n v="1"/>
    <x v="0"/>
  </r>
  <r>
    <s v="FB001282"/>
    <x v="4"/>
    <x v="0"/>
    <x v="2"/>
    <s v="XXL"/>
    <s v="Brown"/>
    <n v="96.88"/>
    <n v="44.8"/>
    <n v="53.48"/>
    <x v="1"/>
    <n v="15"/>
    <n v="1.3"/>
    <b v="0"/>
    <m/>
    <n v="28"/>
    <n v="672"/>
    <s v=""/>
    <x v="1"/>
  </r>
  <r>
    <s v="FB001283"/>
    <x v="1"/>
    <x v="4"/>
    <x v="0"/>
    <s v="XL"/>
    <s v="Blue"/>
    <n v="46.44"/>
    <n v="36.799999999999997"/>
    <n v="29.35"/>
    <x v="209"/>
    <n v="19"/>
    <n v="1.9"/>
    <b v="0"/>
    <m/>
    <n v="176"/>
    <n v="699.19999999999993"/>
    <s v=""/>
    <x v="1"/>
  </r>
  <r>
    <s v="FB001284"/>
    <x v="4"/>
    <x v="6"/>
    <x v="1"/>
    <s v="L"/>
    <s v="Brown"/>
    <n v="86.4"/>
    <n v="0"/>
    <n v="86.4"/>
    <x v="1"/>
    <n v="26"/>
    <n v="3.7"/>
    <b v="0"/>
    <m/>
    <n v="28"/>
    <n v="0"/>
    <s v=""/>
    <x v="0"/>
  </r>
  <r>
    <s v="FB001285"/>
    <x v="4"/>
    <x v="3"/>
    <x v="2"/>
    <s v="XXL"/>
    <s v="Green"/>
    <n v="113.83"/>
    <n v="51.6"/>
    <n v="55.09"/>
    <x v="1"/>
    <n v="12"/>
    <n v="2.9"/>
    <b v="0"/>
    <m/>
    <n v="28"/>
    <n v="619.20000000000005"/>
    <s v=""/>
    <x v="1"/>
  </r>
  <r>
    <s v="FB001286"/>
    <x v="4"/>
    <x v="0"/>
    <x v="3"/>
    <s v="XS"/>
    <s v="Purple"/>
    <n v="64.680000000000007"/>
    <n v="42.9"/>
    <n v="36.93"/>
    <x v="1"/>
    <n v="36"/>
    <n v="2.9210526315789478"/>
    <b v="0"/>
    <m/>
    <n v="28"/>
    <n v="1544.3999999999999"/>
    <s v=""/>
    <x v="1"/>
  </r>
  <r>
    <s v="FB001287"/>
    <x v="3"/>
    <x v="7"/>
    <x v="2"/>
    <m/>
    <s v="Beige"/>
    <n v="123.23"/>
    <n v="0"/>
    <n v="123.23"/>
    <x v="1"/>
    <n v="40"/>
    <n v="4.3"/>
    <b v="0"/>
    <m/>
    <n v="28"/>
    <n v="0"/>
    <s v=""/>
    <x v="0"/>
  </r>
  <r>
    <s v="FB001288"/>
    <x v="2"/>
    <x v="5"/>
    <x v="1"/>
    <m/>
    <s v="Red"/>
    <n v="69.69"/>
    <n v="0"/>
    <n v="69.69"/>
    <x v="1"/>
    <n v="35"/>
    <n v="3"/>
    <b v="0"/>
    <m/>
    <n v="28"/>
    <n v="0"/>
    <s v=""/>
    <x v="0"/>
  </r>
  <r>
    <s v="FB001289"/>
    <x v="2"/>
    <x v="2"/>
    <x v="1"/>
    <m/>
    <s v="Green"/>
    <n v="46.15"/>
    <n v="24.4"/>
    <n v="34.89"/>
    <x v="1"/>
    <n v="31"/>
    <n v="4.4000000000000004"/>
    <b v="1"/>
    <s v="Size Issue"/>
    <n v="28"/>
    <n v="756.4"/>
    <n v="1"/>
    <x v="1"/>
  </r>
  <r>
    <s v="FB001290"/>
    <x v="0"/>
    <x v="4"/>
    <x v="3"/>
    <s v="XS"/>
    <s v="Navy"/>
    <n v="229.8"/>
    <n v="0"/>
    <n v="229.8"/>
    <x v="1"/>
    <n v="46"/>
    <n v="3.6"/>
    <b v="0"/>
    <m/>
    <n v="28"/>
    <n v="0"/>
    <s v=""/>
    <x v="0"/>
  </r>
  <r>
    <s v="FB001291"/>
    <x v="0"/>
    <x v="1"/>
    <x v="2"/>
    <s v="XS"/>
    <s v="Purple"/>
    <n v="179.44"/>
    <n v="19.600000000000001"/>
    <n v="144.27000000000001"/>
    <x v="1"/>
    <n v="42"/>
    <n v="3"/>
    <b v="0"/>
    <m/>
    <n v="28"/>
    <n v="823.2"/>
    <s v=""/>
    <x v="1"/>
  </r>
  <r>
    <s v="FB001292"/>
    <x v="3"/>
    <x v="2"/>
    <x v="2"/>
    <s v="L"/>
    <s v="Green"/>
    <n v="80.959999999999994"/>
    <n v="56.3"/>
    <n v="35.380000000000003"/>
    <x v="1"/>
    <n v="41"/>
    <n v="2.2000000000000002"/>
    <b v="1"/>
    <s v="Changed Mind"/>
    <n v="28"/>
    <n v="2308.2999999999997"/>
    <n v="1"/>
    <x v="1"/>
  </r>
  <r>
    <s v="FB001293"/>
    <x v="4"/>
    <x v="1"/>
    <x v="2"/>
    <s v="L"/>
    <s v="Green"/>
    <n v="62.3"/>
    <n v="19.2"/>
    <n v="50.34"/>
    <x v="1"/>
    <n v="9"/>
    <n v="2.5"/>
    <b v="0"/>
    <m/>
    <n v="28"/>
    <n v="172.79999999999998"/>
    <s v=""/>
    <x v="1"/>
  </r>
  <r>
    <s v="FB001294"/>
    <x v="2"/>
    <x v="1"/>
    <x v="2"/>
    <m/>
    <s v="Beige"/>
    <n v="58.83"/>
    <n v="12.5"/>
    <n v="51.48"/>
    <x v="1"/>
    <n v="3"/>
    <n v="1.5"/>
    <b v="0"/>
    <m/>
    <n v="28"/>
    <n v="37.5"/>
    <s v=""/>
    <x v="1"/>
  </r>
  <r>
    <s v="FB001295"/>
    <x v="1"/>
    <x v="4"/>
    <x v="3"/>
    <s v="XXL"/>
    <s v="Navy"/>
    <n v="119.04"/>
    <n v="1.7"/>
    <n v="117.02"/>
    <x v="1"/>
    <n v="34"/>
    <n v="4.0999999999999996"/>
    <b v="0"/>
    <m/>
    <n v="28"/>
    <n v="57.8"/>
    <s v=""/>
    <x v="1"/>
  </r>
  <r>
    <s v="FB001296"/>
    <x v="0"/>
    <x v="0"/>
    <x v="3"/>
    <s v="S"/>
    <s v="Navy"/>
    <n v="80.540000000000006"/>
    <n v="0"/>
    <n v="80.540000000000006"/>
    <x v="1"/>
    <n v="3"/>
    <n v="1.8"/>
    <b v="1"/>
    <s v="Size Issue"/>
    <n v="28"/>
    <n v="0"/>
    <n v="1"/>
    <x v="0"/>
  </r>
  <r>
    <s v="FB001297"/>
    <x v="4"/>
    <x v="2"/>
    <x v="1"/>
    <s v="XS"/>
    <s v="Black"/>
    <n v="47.32"/>
    <n v="25.7"/>
    <n v="35.159999999999997"/>
    <x v="1"/>
    <n v="2"/>
    <n v="3.2"/>
    <b v="0"/>
    <m/>
    <n v="28"/>
    <n v="51.4"/>
    <s v=""/>
    <x v="1"/>
  </r>
  <r>
    <s v="FB001298"/>
    <x v="3"/>
    <x v="6"/>
    <x v="1"/>
    <s v="XL"/>
    <s v="Pink"/>
    <n v="104.57"/>
    <n v="27.4"/>
    <n v="75.92"/>
    <x v="1"/>
    <n v="7"/>
    <n v="1"/>
    <b v="1"/>
    <s v="Quality Issue"/>
    <n v="28"/>
    <n v="191.79999999999998"/>
    <n v="1"/>
    <x v="1"/>
  </r>
  <r>
    <s v="FB001299"/>
    <x v="2"/>
    <x v="0"/>
    <x v="1"/>
    <m/>
    <s v="Blue"/>
    <n v="38.369999999999997"/>
    <n v="23.3"/>
    <n v="29.43"/>
    <x v="1"/>
    <n v="22"/>
    <n v="1.4"/>
    <b v="0"/>
    <m/>
    <n v="28"/>
    <n v="512.6"/>
    <s v=""/>
    <x v="1"/>
  </r>
  <r>
    <s v="FB001300"/>
    <x v="0"/>
    <x v="4"/>
    <x v="1"/>
    <m/>
    <s v="Red"/>
    <n v="86.3"/>
    <n v="0"/>
    <n v="86.3"/>
    <x v="1"/>
    <n v="33"/>
    <n v="3.9"/>
    <b v="0"/>
    <m/>
    <n v="28"/>
    <n v="0"/>
    <s v=""/>
    <x v="0"/>
  </r>
  <r>
    <s v="FB001301"/>
    <x v="2"/>
    <x v="3"/>
    <x v="1"/>
    <m/>
    <s v="Purple"/>
    <n v="64.89"/>
    <n v="4.2"/>
    <n v="62.16"/>
    <x v="1"/>
    <n v="40"/>
    <n v="1.4"/>
    <b v="0"/>
    <m/>
    <n v="28"/>
    <n v="168"/>
    <s v=""/>
    <x v="1"/>
  </r>
  <r>
    <s v="FB001302"/>
    <x v="2"/>
    <x v="3"/>
    <x v="2"/>
    <m/>
    <s v="Navy"/>
    <n v="53.64"/>
    <n v="0"/>
    <n v="53.64"/>
    <x v="1"/>
    <n v="18"/>
    <n v="2.2999999999999998"/>
    <b v="0"/>
    <m/>
    <n v="28"/>
    <n v="0"/>
    <s v=""/>
    <x v="0"/>
  </r>
  <r>
    <s v="FB001303"/>
    <x v="5"/>
    <x v="3"/>
    <x v="3"/>
    <s v="XXL"/>
    <s v="Pink"/>
    <n v="113.81"/>
    <n v="9.1999999999999993"/>
    <n v="103.34"/>
    <x v="1"/>
    <n v="11"/>
    <n v="2.4"/>
    <b v="0"/>
    <m/>
    <n v="28"/>
    <n v="101.19999999999999"/>
    <s v=""/>
    <x v="1"/>
  </r>
  <r>
    <s v="FB001304"/>
    <x v="1"/>
    <x v="5"/>
    <x v="3"/>
    <s v="XXL"/>
    <s v="Beige"/>
    <n v="40.119999999999997"/>
    <n v="27.7"/>
    <n v="29.01"/>
    <x v="1"/>
    <n v="29"/>
    <n v="1.7"/>
    <b v="1"/>
    <s v="Size Issue"/>
    <n v="28"/>
    <n v="803.3"/>
    <n v="1"/>
    <x v="1"/>
  </r>
  <r>
    <s v="FB001305"/>
    <x v="1"/>
    <x v="6"/>
    <x v="1"/>
    <s v="M"/>
    <s v="Black"/>
    <n v="49.64"/>
    <n v="30.9"/>
    <n v="34.299999999999997"/>
    <x v="1"/>
    <n v="21"/>
    <n v="2"/>
    <b v="0"/>
    <m/>
    <n v="28"/>
    <n v="648.9"/>
    <s v=""/>
    <x v="1"/>
  </r>
  <r>
    <s v="FB001306"/>
    <x v="4"/>
    <x v="7"/>
    <x v="3"/>
    <s v="L"/>
    <s v="Brown"/>
    <n v="117.64"/>
    <n v="54.2"/>
    <n v="53.88"/>
    <x v="1"/>
    <n v="25"/>
    <n v="4.5999999999999996"/>
    <b v="1"/>
    <s v="Wrong Item"/>
    <n v="28"/>
    <n v="1355"/>
    <n v="1"/>
    <x v="1"/>
  </r>
  <r>
    <s v="FB001307"/>
    <x v="2"/>
    <x v="3"/>
    <x v="3"/>
    <m/>
    <s v="Red"/>
    <n v="69.78"/>
    <n v="3.7"/>
    <n v="67.2"/>
    <x v="1"/>
    <n v="14"/>
    <n v="3.2"/>
    <b v="0"/>
    <m/>
    <n v="28"/>
    <n v="51.800000000000004"/>
    <s v=""/>
    <x v="1"/>
  </r>
  <r>
    <s v="FB001308"/>
    <x v="2"/>
    <x v="7"/>
    <x v="0"/>
    <m/>
    <s v="White"/>
    <n v="29.91"/>
    <n v="18.399999999999999"/>
    <n v="24.41"/>
    <x v="210"/>
    <n v="10"/>
    <n v="4.9000000000000004"/>
    <b v="0"/>
    <m/>
    <n v="184"/>
    <n v="184"/>
    <s v=""/>
    <x v="1"/>
  </r>
  <r>
    <s v="FB001309"/>
    <x v="3"/>
    <x v="4"/>
    <x v="2"/>
    <s v="XL"/>
    <s v="Black"/>
    <n v="187.11"/>
    <n v="43.3"/>
    <n v="106.09"/>
    <x v="1"/>
    <n v="26"/>
    <n v="3"/>
    <b v="0"/>
    <m/>
    <n v="28"/>
    <n v="1125.8"/>
    <s v=""/>
    <x v="1"/>
  </r>
  <r>
    <s v="FB001310"/>
    <x v="2"/>
    <x v="5"/>
    <x v="3"/>
    <m/>
    <s v="Beige"/>
    <n v="40.04"/>
    <n v="15.8"/>
    <n v="33.71"/>
    <x v="1"/>
    <n v="31"/>
    <n v="1.8"/>
    <b v="0"/>
    <m/>
    <n v="28"/>
    <n v="489.8"/>
    <s v=""/>
    <x v="1"/>
  </r>
  <r>
    <s v="FB001311"/>
    <x v="5"/>
    <x v="3"/>
    <x v="0"/>
    <s v="XS"/>
    <s v="Beige"/>
    <n v="113.44"/>
    <n v="23.4"/>
    <n v="86.9"/>
    <x v="188"/>
    <n v="1"/>
    <n v="2.8372093023255811"/>
    <b v="0"/>
    <m/>
    <n v="180"/>
    <n v="23.4"/>
    <s v=""/>
    <x v="1"/>
  </r>
  <r>
    <s v="FB001312"/>
    <x v="4"/>
    <x v="0"/>
    <x v="0"/>
    <s v="S"/>
    <s v="Gray"/>
    <n v="119.84"/>
    <n v="0"/>
    <n v="119.84"/>
    <x v="70"/>
    <n v="47"/>
    <n v="1.4"/>
    <b v="0"/>
    <m/>
    <n v="341"/>
    <n v="0"/>
    <s v=""/>
    <x v="0"/>
  </r>
  <r>
    <s v="FB001313"/>
    <x v="3"/>
    <x v="1"/>
    <x v="2"/>
    <s v="XXL"/>
    <s v="Brown"/>
    <n v="167.27"/>
    <n v="0"/>
    <n v="167.27"/>
    <x v="1"/>
    <n v="9"/>
    <n v="4"/>
    <b v="0"/>
    <m/>
    <n v="28"/>
    <n v="0"/>
    <s v=""/>
    <x v="0"/>
  </r>
  <r>
    <s v="FB001314"/>
    <x v="5"/>
    <x v="2"/>
    <x v="0"/>
    <s v="XL"/>
    <s v="Blue"/>
    <n v="148"/>
    <n v="1.1000000000000001"/>
    <n v="146.37"/>
    <x v="88"/>
    <n v="43"/>
    <n v="2"/>
    <b v="0"/>
    <m/>
    <n v="192"/>
    <n v="47.300000000000004"/>
    <s v=""/>
    <x v="1"/>
  </r>
  <r>
    <s v="FB001315"/>
    <x v="4"/>
    <x v="4"/>
    <x v="1"/>
    <s v="XXL"/>
    <s v="Red"/>
    <n v="65.34"/>
    <n v="49.8"/>
    <n v="32.799999999999997"/>
    <x v="1"/>
    <n v="9"/>
    <n v="3.0659090909090896"/>
    <b v="0"/>
    <m/>
    <n v="28"/>
    <n v="448.2"/>
    <s v=""/>
    <x v="1"/>
  </r>
  <r>
    <s v="FB001316"/>
    <x v="3"/>
    <x v="2"/>
    <x v="0"/>
    <s v="M"/>
    <s v="Green"/>
    <n v="84.57"/>
    <n v="5.4"/>
    <n v="80"/>
    <x v="58"/>
    <n v="33"/>
    <n v="3.1936170212765949"/>
    <b v="0"/>
    <m/>
    <n v="48"/>
    <n v="178.20000000000002"/>
    <s v=""/>
    <x v="1"/>
  </r>
  <r>
    <s v="FB001317"/>
    <x v="4"/>
    <x v="6"/>
    <x v="3"/>
    <s v="XS"/>
    <s v="Gray"/>
    <n v="52.6"/>
    <n v="0"/>
    <n v="52.6"/>
    <x v="1"/>
    <n v="35"/>
    <n v="1.2"/>
    <b v="1"/>
    <s v="Color Mismatch"/>
    <n v="28"/>
    <n v="0"/>
    <n v="1"/>
    <x v="0"/>
  </r>
  <r>
    <s v="FB001318"/>
    <x v="3"/>
    <x v="1"/>
    <x v="3"/>
    <s v="L"/>
    <s v="Green"/>
    <n v="106.37"/>
    <n v="0"/>
    <n v="106.37"/>
    <x v="1"/>
    <n v="30"/>
    <n v="1.1000000000000001"/>
    <b v="0"/>
    <m/>
    <n v="28"/>
    <n v="0"/>
    <s v=""/>
    <x v="0"/>
  </r>
  <r>
    <s v="FB001319"/>
    <x v="1"/>
    <x v="6"/>
    <x v="3"/>
    <s v="XXL"/>
    <s v="Black"/>
    <n v="96.77"/>
    <n v="40.4"/>
    <n v="57.67"/>
    <x v="1"/>
    <n v="31"/>
    <n v="4.5"/>
    <b v="0"/>
    <m/>
    <n v="28"/>
    <n v="1252.3999999999999"/>
    <s v=""/>
    <x v="1"/>
  </r>
  <r>
    <s v="FB001320"/>
    <x v="0"/>
    <x v="2"/>
    <x v="0"/>
    <s v="L"/>
    <s v="Brown"/>
    <n v="99.02"/>
    <n v="0"/>
    <n v="99.02"/>
    <x v="11"/>
    <n v="21"/>
    <n v="1.2"/>
    <b v="0"/>
    <m/>
    <n v="322"/>
    <n v="0"/>
    <s v=""/>
    <x v="0"/>
  </r>
  <r>
    <s v="FB001321"/>
    <x v="2"/>
    <x v="0"/>
    <x v="0"/>
    <m/>
    <s v="Purple"/>
    <n v="68.89"/>
    <n v="36.9"/>
    <n v="43.47"/>
    <x v="211"/>
    <n v="9"/>
    <n v="1.8"/>
    <b v="0"/>
    <m/>
    <n v="272"/>
    <n v="332.09999999999997"/>
    <s v=""/>
    <x v="1"/>
  </r>
  <r>
    <s v="FB001322"/>
    <x v="5"/>
    <x v="4"/>
    <x v="0"/>
    <s v="S"/>
    <s v="Pink"/>
    <n v="63.91"/>
    <n v="3.5"/>
    <n v="61.67"/>
    <x v="157"/>
    <n v="14"/>
    <n v="2.1"/>
    <b v="0"/>
    <m/>
    <n v="107"/>
    <n v="49"/>
    <s v=""/>
    <x v="1"/>
  </r>
  <r>
    <s v="FB001323"/>
    <x v="3"/>
    <x v="3"/>
    <x v="2"/>
    <s v="S"/>
    <s v="Navy"/>
    <n v="116.38"/>
    <n v="11.4"/>
    <n v="103.11"/>
    <x v="1"/>
    <n v="15"/>
    <n v="2.9804347826086954"/>
    <b v="0"/>
    <m/>
    <n v="28"/>
    <n v="171"/>
    <s v=""/>
    <x v="1"/>
  </r>
  <r>
    <s v="FB001324"/>
    <x v="4"/>
    <x v="1"/>
    <x v="2"/>
    <s v="XS"/>
    <s v="Green"/>
    <n v="71.739999999999995"/>
    <n v="0"/>
    <n v="71.739999999999995"/>
    <x v="1"/>
    <n v="16"/>
    <n v="3.0846153846153843"/>
    <b v="0"/>
    <m/>
    <n v="28"/>
    <n v="0"/>
    <s v=""/>
    <x v="0"/>
  </r>
  <r>
    <s v="FB001325"/>
    <x v="4"/>
    <x v="7"/>
    <x v="1"/>
    <s v="M"/>
    <s v="Beige"/>
    <n v="91.11"/>
    <n v="0"/>
    <n v="91.11"/>
    <x v="1"/>
    <n v="38"/>
    <n v="3.3"/>
    <b v="0"/>
    <m/>
    <n v="28"/>
    <n v="0"/>
    <s v=""/>
    <x v="0"/>
  </r>
  <r>
    <s v="FB001326"/>
    <x v="2"/>
    <x v="0"/>
    <x v="3"/>
    <m/>
    <s v="White"/>
    <n v="46.07"/>
    <n v="0"/>
    <n v="46.07"/>
    <x v="1"/>
    <n v="25"/>
    <n v="2.5"/>
    <b v="0"/>
    <m/>
    <n v="28"/>
    <n v="0"/>
    <s v=""/>
    <x v="0"/>
  </r>
  <r>
    <s v="FB001327"/>
    <x v="5"/>
    <x v="3"/>
    <x v="2"/>
    <s v="S"/>
    <s v="Green"/>
    <n v="156.27000000000001"/>
    <n v="0"/>
    <n v="156.27000000000001"/>
    <x v="1"/>
    <n v="43"/>
    <n v="2.8372093023255811"/>
    <b v="0"/>
    <m/>
    <n v="28"/>
    <n v="0"/>
    <s v=""/>
    <x v="0"/>
  </r>
  <r>
    <s v="FB001328"/>
    <x v="1"/>
    <x v="3"/>
    <x v="2"/>
    <s v="XS"/>
    <s v="Pink"/>
    <n v="56.35"/>
    <n v="0"/>
    <n v="56.35"/>
    <x v="1"/>
    <n v="31"/>
    <n v="1.5"/>
    <b v="0"/>
    <m/>
    <n v="28"/>
    <n v="0"/>
    <s v=""/>
    <x v="0"/>
  </r>
  <r>
    <s v="FB001329"/>
    <x v="4"/>
    <x v="0"/>
    <x v="1"/>
    <s v="XS"/>
    <s v="Purple"/>
    <n v="118.21"/>
    <n v="23.1"/>
    <n v="90.9"/>
    <x v="1"/>
    <n v="15"/>
    <n v="5"/>
    <b v="0"/>
    <m/>
    <n v="28"/>
    <n v="346.5"/>
    <s v=""/>
    <x v="1"/>
  </r>
  <r>
    <s v="FB001330"/>
    <x v="1"/>
    <x v="6"/>
    <x v="2"/>
    <s v="XS"/>
    <s v="Beige"/>
    <n v="25.86"/>
    <n v="0"/>
    <n v="25.86"/>
    <x v="1"/>
    <n v="46"/>
    <n v="1.5"/>
    <b v="0"/>
    <m/>
    <n v="28"/>
    <n v="0"/>
    <s v=""/>
    <x v="0"/>
  </r>
  <r>
    <s v="FB001331"/>
    <x v="1"/>
    <x v="4"/>
    <x v="2"/>
    <s v="S"/>
    <s v="Green"/>
    <n v="91.67"/>
    <n v="23.7"/>
    <n v="69.94"/>
    <x v="1"/>
    <n v="3"/>
    <n v="3.7"/>
    <b v="0"/>
    <m/>
    <n v="28"/>
    <n v="71.099999999999994"/>
    <s v=""/>
    <x v="1"/>
  </r>
  <r>
    <s v="FB001332"/>
    <x v="4"/>
    <x v="1"/>
    <x v="2"/>
    <s v="L"/>
    <s v="Blue"/>
    <n v="25.29"/>
    <n v="7.9"/>
    <n v="23.29"/>
    <x v="1"/>
    <n v="39"/>
    <n v="1.7"/>
    <b v="0"/>
    <m/>
    <n v="28"/>
    <n v="308.10000000000002"/>
    <s v=""/>
    <x v="1"/>
  </r>
  <r>
    <s v="FB001333"/>
    <x v="2"/>
    <x v="4"/>
    <x v="1"/>
    <m/>
    <s v="Navy"/>
    <n v="51.61"/>
    <n v="32.200000000000003"/>
    <n v="34.99"/>
    <x v="1"/>
    <n v="34"/>
    <n v="4.8"/>
    <b v="0"/>
    <m/>
    <n v="28"/>
    <n v="1094.8000000000002"/>
    <s v=""/>
    <x v="1"/>
  </r>
  <r>
    <s v="FB001334"/>
    <x v="0"/>
    <x v="2"/>
    <x v="3"/>
    <s v="XL"/>
    <s v="Black"/>
    <n v="143.61000000000001"/>
    <n v="24.6"/>
    <n v="108.28"/>
    <x v="1"/>
    <n v="50"/>
    <n v="4.0999999999999996"/>
    <b v="0"/>
    <m/>
    <n v="28"/>
    <n v="1230"/>
    <s v=""/>
    <x v="1"/>
  </r>
  <r>
    <s v="FB001335"/>
    <x v="4"/>
    <x v="6"/>
    <x v="3"/>
    <s v="L"/>
    <s v="Red"/>
    <n v="45.48"/>
    <n v="0"/>
    <n v="45.48"/>
    <x v="1"/>
    <n v="29"/>
    <n v="2.2999999999999998"/>
    <b v="0"/>
    <m/>
    <n v="28"/>
    <n v="0"/>
    <s v=""/>
    <x v="0"/>
  </r>
  <r>
    <s v="FB001336"/>
    <x v="3"/>
    <x v="0"/>
    <x v="3"/>
    <m/>
    <s v="White"/>
    <n v="177.79"/>
    <n v="10.7"/>
    <n v="158.77000000000001"/>
    <x v="1"/>
    <n v="37"/>
    <n v="2.9153846153846157"/>
    <b v="0"/>
    <m/>
    <n v="28"/>
    <n v="395.9"/>
    <s v=""/>
    <x v="1"/>
  </r>
  <r>
    <s v="FB001337"/>
    <x v="0"/>
    <x v="6"/>
    <x v="2"/>
    <s v="XS"/>
    <s v="Purple"/>
    <n v="145.1"/>
    <n v="34.200000000000003"/>
    <n v="95.48"/>
    <x v="1"/>
    <n v="14"/>
    <n v="2.9034482758620692"/>
    <b v="0"/>
    <m/>
    <n v="28"/>
    <n v="478.80000000000007"/>
    <s v=""/>
    <x v="1"/>
  </r>
  <r>
    <s v="FB001338"/>
    <x v="3"/>
    <x v="5"/>
    <x v="3"/>
    <s v="XXL"/>
    <s v="Navy"/>
    <n v="190.78"/>
    <n v="0"/>
    <n v="190.78"/>
    <x v="1"/>
    <n v="39"/>
    <n v="3.7"/>
    <b v="0"/>
    <m/>
    <n v="28"/>
    <n v="0"/>
    <s v=""/>
    <x v="0"/>
  </r>
  <r>
    <s v="FB001339"/>
    <x v="2"/>
    <x v="7"/>
    <x v="2"/>
    <m/>
    <s v="Blue"/>
    <n v="44.73"/>
    <n v="0"/>
    <n v="44.73"/>
    <x v="1"/>
    <n v="25"/>
    <n v="1.1000000000000001"/>
    <b v="0"/>
    <m/>
    <n v="28"/>
    <n v="0"/>
    <s v=""/>
    <x v="0"/>
  </r>
  <r>
    <s v="FB001340"/>
    <x v="3"/>
    <x v="2"/>
    <x v="1"/>
    <s v="XXL"/>
    <s v="White"/>
    <n v="65.48"/>
    <n v="0"/>
    <n v="65.48"/>
    <x v="1"/>
    <n v="7"/>
    <n v="4.5999999999999996"/>
    <b v="0"/>
    <m/>
    <n v="28"/>
    <n v="0"/>
    <s v=""/>
    <x v="0"/>
  </r>
  <r>
    <s v="FB001341"/>
    <x v="3"/>
    <x v="6"/>
    <x v="0"/>
    <s v="XS"/>
    <s v="Purple"/>
    <n v="86.1"/>
    <n v="0"/>
    <n v="86.1"/>
    <x v="61"/>
    <n v="4"/>
    <n v="2.4"/>
    <b v="0"/>
    <m/>
    <n v="250"/>
    <n v="0"/>
    <s v=""/>
    <x v="0"/>
  </r>
  <r>
    <s v="FB001342"/>
    <x v="4"/>
    <x v="1"/>
    <x v="1"/>
    <s v="XS"/>
    <s v="Green"/>
    <n v="100.14"/>
    <n v="0"/>
    <n v="100.14"/>
    <x v="1"/>
    <n v="48"/>
    <n v="4.2"/>
    <b v="0"/>
    <m/>
    <n v="28"/>
    <n v="0"/>
    <s v=""/>
    <x v="0"/>
  </r>
  <r>
    <s v="FB001343"/>
    <x v="0"/>
    <x v="2"/>
    <x v="1"/>
    <m/>
    <s v="Red"/>
    <n v="203.4"/>
    <n v="0"/>
    <n v="203.4"/>
    <x v="1"/>
    <n v="18"/>
    <n v="1.8"/>
    <b v="0"/>
    <m/>
    <n v="28"/>
    <n v="0"/>
    <s v=""/>
    <x v="0"/>
  </r>
  <r>
    <s v="FB001344"/>
    <x v="1"/>
    <x v="6"/>
    <x v="1"/>
    <s v="XS"/>
    <s v="White"/>
    <n v="95.22"/>
    <n v="24.4"/>
    <n v="71.989999999999995"/>
    <x v="1"/>
    <n v="26"/>
    <n v="2.2999999999999998"/>
    <b v="0"/>
    <m/>
    <n v="28"/>
    <n v="634.4"/>
    <s v=""/>
    <x v="1"/>
  </r>
  <r>
    <s v="FB001345"/>
    <x v="5"/>
    <x v="4"/>
    <x v="2"/>
    <s v="XL"/>
    <s v="Red"/>
    <n v="173.88"/>
    <n v="31.6"/>
    <n v="118.93"/>
    <x v="1"/>
    <n v="5"/>
    <n v="3.2"/>
    <b v="0"/>
    <m/>
    <n v="28"/>
    <n v="158"/>
    <s v=""/>
    <x v="1"/>
  </r>
  <r>
    <s v="FB001346"/>
    <x v="5"/>
    <x v="4"/>
    <x v="1"/>
    <s v="L"/>
    <s v="Beige"/>
    <n v="160.05000000000001"/>
    <n v="0"/>
    <n v="160.05000000000001"/>
    <x v="1"/>
    <n v="23"/>
    <n v="4"/>
    <b v="0"/>
    <m/>
    <n v="28"/>
    <n v="0"/>
    <s v=""/>
    <x v="0"/>
  </r>
  <r>
    <s v="FB001347"/>
    <x v="1"/>
    <x v="7"/>
    <x v="1"/>
    <s v="XS"/>
    <s v="Blue"/>
    <n v="59.53"/>
    <n v="0"/>
    <n v="59.53"/>
    <x v="1"/>
    <n v="28"/>
    <n v="1.5"/>
    <b v="0"/>
    <m/>
    <n v="28"/>
    <n v="0"/>
    <s v=""/>
    <x v="0"/>
  </r>
  <r>
    <s v="FB001348"/>
    <x v="5"/>
    <x v="3"/>
    <x v="2"/>
    <s v="XS"/>
    <s v="Blue"/>
    <n v="155.32"/>
    <n v="0"/>
    <n v="155.32"/>
    <x v="1"/>
    <n v="19"/>
    <n v="4.0999999999999996"/>
    <b v="0"/>
    <m/>
    <n v="28"/>
    <n v="0"/>
    <s v=""/>
    <x v="0"/>
  </r>
  <r>
    <s v="FB001349"/>
    <x v="4"/>
    <x v="7"/>
    <x v="0"/>
    <s v="XL"/>
    <s v="Black"/>
    <n v="29.65"/>
    <n v="41"/>
    <n v="17.489999999999998"/>
    <x v="212"/>
    <n v="21"/>
    <n v="4.5"/>
    <b v="1"/>
    <s v="Quality Issue"/>
    <n v="373"/>
    <n v="861"/>
    <n v="1"/>
    <x v="1"/>
  </r>
  <r>
    <s v="FB001350"/>
    <x v="0"/>
    <x v="3"/>
    <x v="1"/>
    <s v="XXL"/>
    <s v="Brown"/>
    <n v="237.53"/>
    <n v="23.2"/>
    <n v="182.42"/>
    <x v="1"/>
    <n v="23"/>
    <n v="2.2000000000000002"/>
    <b v="0"/>
    <m/>
    <n v="28"/>
    <n v="533.6"/>
    <s v=""/>
    <x v="1"/>
  </r>
  <r>
    <s v="FB001351"/>
    <x v="0"/>
    <x v="5"/>
    <x v="3"/>
    <s v="M"/>
    <s v="Pink"/>
    <n v="81.67"/>
    <n v="0"/>
    <n v="81.67"/>
    <x v="1"/>
    <n v="34"/>
    <n v="3.1"/>
    <b v="1"/>
    <s v="Damaged"/>
    <n v="28"/>
    <n v="0"/>
    <n v="1"/>
    <x v="0"/>
  </r>
  <r>
    <s v="FB001352"/>
    <x v="4"/>
    <x v="2"/>
    <x v="0"/>
    <s v="M"/>
    <s v="Beige"/>
    <n v="37.07"/>
    <n v="0"/>
    <n v="37.07"/>
    <x v="213"/>
    <n v="13"/>
    <n v="3.0384615384615379"/>
    <b v="0"/>
    <m/>
    <n v="125"/>
    <n v="0"/>
    <s v=""/>
    <x v="0"/>
  </r>
  <r>
    <s v="FB001353"/>
    <x v="1"/>
    <x v="1"/>
    <x v="2"/>
    <s v="XXL"/>
    <s v="Purple"/>
    <n v="80.97"/>
    <n v="0"/>
    <n v="80.97"/>
    <x v="1"/>
    <n v="13"/>
    <n v="3.34"/>
    <b v="0"/>
    <m/>
    <n v="28"/>
    <n v="0"/>
    <s v=""/>
    <x v="0"/>
  </r>
  <r>
    <s v="FB001354"/>
    <x v="2"/>
    <x v="0"/>
    <x v="0"/>
    <m/>
    <s v="Gray"/>
    <n v="77.680000000000007"/>
    <n v="29.9"/>
    <n v="54.45"/>
    <x v="43"/>
    <n v="33"/>
    <n v="4"/>
    <b v="1"/>
    <s v="Damaged"/>
    <n v="41"/>
    <n v="986.69999999999993"/>
    <n v="1"/>
    <x v="1"/>
  </r>
  <r>
    <s v="FB001355"/>
    <x v="1"/>
    <x v="2"/>
    <x v="3"/>
    <s v="XXL"/>
    <s v="Green"/>
    <n v="117.58"/>
    <n v="1"/>
    <n v="116.4"/>
    <x v="1"/>
    <n v="27"/>
    <n v="3.3"/>
    <b v="0"/>
    <m/>
    <n v="28"/>
    <n v="27"/>
    <s v=""/>
    <x v="1"/>
  </r>
  <r>
    <s v="FB001356"/>
    <x v="0"/>
    <x v="3"/>
    <x v="2"/>
    <s v="XL"/>
    <s v="Blue"/>
    <n v="130.09"/>
    <n v="28.3"/>
    <n v="93.27"/>
    <x v="1"/>
    <n v="41"/>
    <n v="2.2999999999999998"/>
    <b v="0"/>
    <m/>
    <n v="28"/>
    <n v="1160.3"/>
    <s v=""/>
    <x v="1"/>
  </r>
  <r>
    <s v="FB001357"/>
    <x v="1"/>
    <x v="1"/>
    <x v="2"/>
    <s v="XS"/>
    <s v="Purple"/>
    <n v="63.69"/>
    <n v="0"/>
    <n v="63.69"/>
    <x v="1"/>
    <n v="11"/>
    <n v="3"/>
    <b v="0"/>
    <m/>
    <n v="28"/>
    <n v="0"/>
    <s v=""/>
    <x v="0"/>
  </r>
  <r>
    <s v="FB001358"/>
    <x v="0"/>
    <x v="2"/>
    <x v="0"/>
    <s v="XL"/>
    <s v="Red"/>
    <n v="135.02000000000001"/>
    <n v="0"/>
    <n v="135.02000000000001"/>
    <x v="158"/>
    <n v="25"/>
    <n v="3.4"/>
    <b v="1"/>
    <s v="Changed Mind"/>
    <n v="35"/>
    <n v="0"/>
    <n v="1"/>
    <x v="0"/>
  </r>
  <r>
    <s v="FB001359"/>
    <x v="2"/>
    <x v="4"/>
    <x v="1"/>
    <m/>
    <s v="Beige"/>
    <n v="45.37"/>
    <n v="0"/>
    <n v="45.37"/>
    <x v="1"/>
    <n v="19"/>
    <n v="1.1000000000000001"/>
    <b v="0"/>
    <m/>
    <n v="28"/>
    <n v="0"/>
    <s v=""/>
    <x v="0"/>
  </r>
  <r>
    <s v="FB001360"/>
    <x v="4"/>
    <x v="0"/>
    <x v="1"/>
    <s v="XL"/>
    <s v="Brown"/>
    <n v="51.17"/>
    <n v="8"/>
    <n v="47.08"/>
    <x v="1"/>
    <n v="7"/>
    <n v="2.9210526315789478"/>
    <b v="0"/>
    <m/>
    <n v="28"/>
    <n v="56"/>
    <s v=""/>
    <x v="1"/>
  </r>
  <r>
    <s v="FB001361"/>
    <x v="5"/>
    <x v="7"/>
    <x v="3"/>
    <s v="XXL"/>
    <s v="Brown"/>
    <n v="49.34"/>
    <n v="5.5"/>
    <n v="46.63"/>
    <x v="1"/>
    <n v="10"/>
    <n v="4.3"/>
    <b v="0"/>
    <m/>
    <n v="28"/>
    <n v="55"/>
    <s v=""/>
    <x v="1"/>
  </r>
  <r>
    <s v="FB001362"/>
    <x v="3"/>
    <x v="1"/>
    <x v="0"/>
    <s v="S"/>
    <s v="Green"/>
    <n v="119.78"/>
    <n v="0"/>
    <n v="119.78"/>
    <x v="82"/>
    <n v="40"/>
    <n v="2.8205128205128198"/>
    <b v="0"/>
    <m/>
    <n v="85"/>
    <n v="0"/>
    <s v=""/>
    <x v="0"/>
  </r>
  <r>
    <s v="FB001363"/>
    <x v="1"/>
    <x v="2"/>
    <x v="0"/>
    <s v="S"/>
    <s v="Gray"/>
    <n v="77.3"/>
    <n v="35.1"/>
    <n v="50.17"/>
    <x v="214"/>
    <n v="16"/>
    <n v="2.953125"/>
    <b v="0"/>
    <m/>
    <n v="39"/>
    <n v="561.6"/>
    <s v=""/>
    <x v="1"/>
  </r>
  <r>
    <s v="FB001364"/>
    <x v="1"/>
    <x v="6"/>
    <x v="2"/>
    <s v="XS"/>
    <s v="Red"/>
    <n v="72.69"/>
    <n v="0"/>
    <n v="72.69"/>
    <x v="1"/>
    <n v="6"/>
    <n v="2.9074999999999998"/>
    <b v="0"/>
    <m/>
    <n v="28"/>
    <n v="0"/>
    <s v=""/>
    <x v="0"/>
  </r>
  <r>
    <s v="FB001365"/>
    <x v="3"/>
    <x v="6"/>
    <x v="2"/>
    <s v="XL"/>
    <s v="Brown"/>
    <n v="117.57"/>
    <n v="0"/>
    <n v="117.57"/>
    <x v="1"/>
    <n v="30"/>
    <n v="4.8"/>
    <b v="0"/>
    <m/>
    <n v="28"/>
    <n v="0"/>
    <s v=""/>
    <x v="0"/>
  </r>
  <r>
    <s v="FB001366"/>
    <x v="0"/>
    <x v="7"/>
    <x v="0"/>
    <s v="S"/>
    <s v="Green"/>
    <n v="161.25"/>
    <n v="48.4"/>
    <n v="83.2"/>
    <x v="215"/>
    <n v="32"/>
    <n v="2.9718749999999998"/>
    <b v="0"/>
    <m/>
    <n v="296"/>
    <n v="1548.8"/>
    <s v=""/>
    <x v="1"/>
  </r>
  <r>
    <s v="FB001367"/>
    <x v="3"/>
    <x v="5"/>
    <x v="2"/>
    <s v="S"/>
    <s v="Purple"/>
    <n v="158.01"/>
    <n v="0"/>
    <n v="158.01"/>
    <x v="1"/>
    <n v="19"/>
    <n v="2.6"/>
    <b v="0"/>
    <m/>
    <n v="28"/>
    <n v="0"/>
    <s v=""/>
    <x v="0"/>
  </r>
  <r>
    <s v="FB001368"/>
    <x v="1"/>
    <x v="5"/>
    <x v="3"/>
    <s v="L"/>
    <s v="Blue"/>
    <n v="60.92"/>
    <n v="0"/>
    <n v="60.92"/>
    <x v="1"/>
    <n v="25"/>
    <n v="2.9846153846153847"/>
    <b v="1"/>
    <s v="Quality Issue"/>
    <n v="28"/>
    <n v="0"/>
    <n v="1"/>
    <x v="0"/>
  </r>
  <r>
    <s v="FB001369"/>
    <x v="3"/>
    <x v="4"/>
    <x v="3"/>
    <s v="XL"/>
    <s v="Gray"/>
    <n v="122.03"/>
    <n v="25.2"/>
    <n v="91.28"/>
    <x v="1"/>
    <n v="21"/>
    <n v="4.7"/>
    <b v="0"/>
    <m/>
    <n v="28"/>
    <n v="529.19999999999993"/>
    <s v=""/>
    <x v="1"/>
  </r>
  <r>
    <s v="FB001370"/>
    <x v="3"/>
    <x v="3"/>
    <x v="0"/>
    <s v="S"/>
    <s v="Brown"/>
    <n v="109.15"/>
    <n v="0"/>
    <n v="109.15"/>
    <x v="215"/>
    <n v="11"/>
    <n v="2.9804347826086954"/>
    <b v="0"/>
    <m/>
    <n v="296"/>
    <n v="0"/>
    <s v=""/>
    <x v="0"/>
  </r>
  <r>
    <s v="FB001371"/>
    <x v="4"/>
    <x v="5"/>
    <x v="2"/>
    <s v="M"/>
    <s v="Beige"/>
    <n v="60.97"/>
    <n v="0"/>
    <n v="60.97"/>
    <x v="1"/>
    <n v="29"/>
    <n v="4.5"/>
    <b v="0"/>
    <m/>
    <n v="28"/>
    <n v="0"/>
    <s v=""/>
    <x v="0"/>
  </r>
  <r>
    <s v="FB001372"/>
    <x v="2"/>
    <x v="1"/>
    <x v="3"/>
    <m/>
    <s v="Pink"/>
    <n v="64.87"/>
    <n v="35.299999999999997"/>
    <n v="41.97"/>
    <x v="1"/>
    <n v="12"/>
    <n v="4.2"/>
    <b v="1"/>
    <s v="Size Issue"/>
    <n v="28"/>
    <n v="423.59999999999997"/>
    <n v="1"/>
    <x v="1"/>
  </r>
  <r>
    <s v="FB001373"/>
    <x v="3"/>
    <x v="3"/>
    <x v="2"/>
    <s v="S"/>
    <s v="Pink"/>
    <n v="151.35"/>
    <n v="0"/>
    <n v="151.35"/>
    <x v="1"/>
    <n v="18"/>
    <n v="2.9804347826086954"/>
    <b v="0"/>
    <m/>
    <n v="28"/>
    <n v="0"/>
    <s v=""/>
    <x v="0"/>
  </r>
  <r>
    <s v="FB001374"/>
    <x v="2"/>
    <x v="6"/>
    <x v="1"/>
    <m/>
    <s v="Blue"/>
    <n v="72.900000000000006"/>
    <n v="44"/>
    <n v="40.82"/>
    <x v="1"/>
    <n v="25"/>
    <n v="3"/>
    <b v="0"/>
    <m/>
    <n v="28"/>
    <n v="1100"/>
    <s v=""/>
    <x v="1"/>
  </r>
  <r>
    <s v="FB001375"/>
    <x v="2"/>
    <x v="6"/>
    <x v="1"/>
    <m/>
    <s v="Purple"/>
    <n v="79.48"/>
    <n v="0"/>
    <n v="79.48"/>
    <x v="1"/>
    <n v="2"/>
    <n v="3.3"/>
    <b v="0"/>
    <m/>
    <n v="28"/>
    <n v="0"/>
    <s v=""/>
    <x v="0"/>
  </r>
  <r>
    <s v="FB001376"/>
    <x v="3"/>
    <x v="3"/>
    <x v="2"/>
    <s v="M"/>
    <s v="Beige"/>
    <n v="122.77"/>
    <n v="59.8"/>
    <n v="49.35"/>
    <x v="1"/>
    <n v="33"/>
    <n v="4"/>
    <b v="0"/>
    <m/>
    <n v="28"/>
    <n v="1973.3999999999999"/>
    <s v=""/>
    <x v="1"/>
  </r>
  <r>
    <s v="FB001377"/>
    <x v="4"/>
    <x v="7"/>
    <x v="3"/>
    <s v="XL"/>
    <s v="Black"/>
    <n v="79.61"/>
    <n v="0"/>
    <n v="79.61"/>
    <x v="1"/>
    <n v="29"/>
    <n v="3.7"/>
    <b v="0"/>
    <m/>
    <n v="28"/>
    <n v="0"/>
    <s v=""/>
    <x v="0"/>
  </r>
  <r>
    <s v="FB001378"/>
    <x v="4"/>
    <x v="1"/>
    <x v="1"/>
    <s v="L"/>
    <s v="White"/>
    <n v="60.13"/>
    <n v="0"/>
    <n v="60.13"/>
    <x v="1"/>
    <n v="27"/>
    <n v="3.0846153846153843"/>
    <b v="0"/>
    <m/>
    <n v="28"/>
    <n v="0"/>
    <s v=""/>
    <x v="0"/>
  </r>
  <r>
    <s v="FB001379"/>
    <x v="2"/>
    <x v="6"/>
    <x v="1"/>
    <m/>
    <s v="Gray"/>
    <n v="72.260000000000005"/>
    <n v="41"/>
    <n v="42.63"/>
    <x v="1"/>
    <n v="43"/>
    <n v="3.5"/>
    <b v="0"/>
    <m/>
    <n v="28"/>
    <n v="1763"/>
    <s v=""/>
    <x v="1"/>
  </r>
  <r>
    <s v="FB001380"/>
    <x v="4"/>
    <x v="3"/>
    <x v="3"/>
    <s v="XL"/>
    <s v="Green"/>
    <n v="66.38"/>
    <n v="17"/>
    <n v="55.1"/>
    <x v="1"/>
    <n v="24"/>
    <n v="4.9000000000000004"/>
    <b v="1"/>
    <s v="Size Issue"/>
    <n v="28"/>
    <n v="408"/>
    <n v="1"/>
    <x v="1"/>
  </r>
  <r>
    <s v="FB001381"/>
    <x v="0"/>
    <x v="5"/>
    <x v="0"/>
    <s v="XS"/>
    <s v="Beige"/>
    <n v="100.27"/>
    <n v="0"/>
    <n v="100.27"/>
    <x v="210"/>
    <n v="37"/>
    <n v="3.1"/>
    <b v="0"/>
    <m/>
    <n v="184"/>
    <n v="0"/>
    <s v=""/>
    <x v="0"/>
  </r>
  <r>
    <s v="FB001382"/>
    <x v="5"/>
    <x v="0"/>
    <x v="3"/>
    <s v="S"/>
    <s v="Beige"/>
    <n v="116.09"/>
    <n v="52.8"/>
    <n v="54.79"/>
    <x v="1"/>
    <n v="22"/>
    <n v="3.0424242424242425"/>
    <b v="0"/>
    <m/>
    <n v="28"/>
    <n v="1161.5999999999999"/>
    <s v=""/>
    <x v="1"/>
  </r>
  <r>
    <s v="FB001383"/>
    <x v="0"/>
    <x v="3"/>
    <x v="2"/>
    <s v="S"/>
    <s v="White"/>
    <n v="80.709999999999994"/>
    <n v="0.9"/>
    <n v="79.98"/>
    <x v="1"/>
    <n v="11"/>
    <n v="1.1000000000000001"/>
    <b v="0"/>
    <m/>
    <n v="28"/>
    <n v="9.9"/>
    <s v=""/>
    <x v="1"/>
  </r>
  <r>
    <s v="FB001384"/>
    <x v="5"/>
    <x v="2"/>
    <x v="3"/>
    <s v="M"/>
    <s v="Blue"/>
    <n v="175.11"/>
    <n v="0"/>
    <n v="175.11"/>
    <x v="1"/>
    <n v="39"/>
    <n v="2.9"/>
    <b v="0"/>
    <m/>
    <n v="28"/>
    <n v="0"/>
    <s v=""/>
    <x v="0"/>
  </r>
  <r>
    <s v="FB001385"/>
    <x v="5"/>
    <x v="3"/>
    <x v="2"/>
    <s v="XS"/>
    <s v="Brown"/>
    <n v="122.35"/>
    <n v="37"/>
    <n v="77.08"/>
    <x v="1"/>
    <n v="25"/>
    <n v="2.8372093023255811"/>
    <b v="0"/>
    <m/>
    <n v="28"/>
    <n v="925"/>
    <s v=""/>
    <x v="1"/>
  </r>
  <r>
    <s v="FB001386"/>
    <x v="3"/>
    <x v="1"/>
    <x v="1"/>
    <s v="S"/>
    <s v="Blue"/>
    <n v="127.99"/>
    <n v="0"/>
    <n v="127.99"/>
    <x v="1"/>
    <n v="14"/>
    <n v="2.7"/>
    <b v="0"/>
    <m/>
    <n v="28"/>
    <n v="0"/>
    <s v=""/>
    <x v="0"/>
  </r>
  <r>
    <s v="FB001387"/>
    <x v="4"/>
    <x v="0"/>
    <x v="3"/>
    <s v="S"/>
    <s v="Brown"/>
    <n v="101.07"/>
    <n v="4.5999999999999996"/>
    <n v="96.42"/>
    <x v="1"/>
    <n v="19"/>
    <n v="4.7"/>
    <b v="0"/>
    <m/>
    <n v="28"/>
    <n v="87.399999999999991"/>
    <s v=""/>
    <x v="1"/>
  </r>
  <r>
    <s v="FB001388"/>
    <x v="4"/>
    <x v="7"/>
    <x v="1"/>
    <s v="L"/>
    <s v="Brown"/>
    <n v="41.83"/>
    <n v="44.1"/>
    <n v="23.38"/>
    <x v="1"/>
    <n v="6"/>
    <n v="2.4"/>
    <b v="0"/>
    <m/>
    <n v="28"/>
    <n v="264.60000000000002"/>
    <s v=""/>
    <x v="1"/>
  </r>
  <r>
    <s v="FB001389"/>
    <x v="3"/>
    <x v="4"/>
    <x v="0"/>
    <s v="M"/>
    <s v="Green"/>
    <n v="147.52000000000001"/>
    <n v="0"/>
    <n v="147.52000000000001"/>
    <x v="216"/>
    <n v="41"/>
    <n v="4"/>
    <b v="0"/>
    <m/>
    <n v="238"/>
    <n v="0"/>
    <s v=""/>
    <x v="0"/>
  </r>
  <r>
    <s v="FB001390"/>
    <x v="1"/>
    <x v="2"/>
    <x v="2"/>
    <s v="S"/>
    <s v="Gray"/>
    <n v="85.94"/>
    <n v="0"/>
    <n v="85.94"/>
    <x v="1"/>
    <n v="49"/>
    <n v="1.5"/>
    <b v="0"/>
    <m/>
    <n v="28"/>
    <n v="0"/>
    <s v=""/>
    <x v="0"/>
  </r>
  <r>
    <s v="FB001391"/>
    <x v="5"/>
    <x v="6"/>
    <x v="1"/>
    <s v="XXL"/>
    <s v="Green"/>
    <n v="115.61"/>
    <n v="0"/>
    <n v="115.61"/>
    <x v="1"/>
    <n v="35"/>
    <n v="1.8"/>
    <b v="0"/>
    <m/>
    <n v="28"/>
    <n v="0"/>
    <s v=""/>
    <x v="0"/>
  </r>
  <r>
    <s v="FB001392"/>
    <x v="0"/>
    <x v="5"/>
    <x v="1"/>
    <s v="XS"/>
    <s v="Pink"/>
    <n v="90.58"/>
    <n v="0"/>
    <n v="90.58"/>
    <x v="1"/>
    <n v="1"/>
    <n v="1"/>
    <b v="0"/>
    <m/>
    <n v="28"/>
    <n v="0"/>
    <s v=""/>
    <x v="0"/>
  </r>
  <r>
    <s v="FB001393"/>
    <x v="1"/>
    <x v="6"/>
    <x v="0"/>
    <s v="S"/>
    <s v="Red"/>
    <n v="64.84"/>
    <n v="0"/>
    <n v="64.84"/>
    <x v="129"/>
    <n v="25"/>
    <n v="3.9"/>
    <b v="0"/>
    <m/>
    <n v="312"/>
    <n v="0"/>
    <s v=""/>
    <x v="0"/>
  </r>
  <r>
    <s v="FB001394"/>
    <x v="4"/>
    <x v="2"/>
    <x v="3"/>
    <s v="XS"/>
    <s v="Black"/>
    <n v="37.270000000000003"/>
    <n v="0"/>
    <n v="37.270000000000003"/>
    <x v="1"/>
    <n v="27"/>
    <n v="2.8"/>
    <b v="1"/>
    <s v="Changed Mind"/>
    <n v="28"/>
    <n v="0"/>
    <n v="1"/>
    <x v="0"/>
  </r>
  <r>
    <s v="FB001395"/>
    <x v="1"/>
    <x v="6"/>
    <x v="3"/>
    <s v="XL"/>
    <s v="Blue"/>
    <n v="90.48"/>
    <n v="55.2"/>
    <n v="40.54"/>
    <x v="1"/>
    <n v="26"/>
    <n v="3"/>
    <b v="0"/>
    <m/>
    <n v="28"/>
    <n v="1435.2"/>
    <s v=""/>
    <x v="1"/>
  </r>
  <r>
    <s v="FB001396"/>
    <x v="3"/>
    <x v="6"/>
    <x v="3"/>
    <s v="S"/>
    <s v="Green"/>
    <n v="159.62"/>
    <n v="58.4"/>
    <n v="66.400000000000006"/>
    <x v="1"/>
    <n v="45"/>
    <n v="1.1000000000000001"/>
    <b v="0"/>
    <m/>
    <n v="28"/>
    <n v="2628"/>
    <s v=""/>
    <x v="1"/>
  </r>
  <r>
    <s v="FB001397"/>
    <x v="3"/>
    <x v="5"/>
    <x v="3"/>
    <s v="L"/>
    <s v="Gray"/>
    <n v="81.459999999999994"/>
    <n v="58.8"/>
    <n v="33.56"/>
    <x v="1"/>
    <n v="37"/>
    <n v="4.5999999999999996"/>
    <b v="0"/>
    <m/>
    <n v="28"/>
    <n v="2175.6"/>
    <s v=""/>
    <x v="1"/>
  </r>
  <r>
    <s v="FB001398"/>
    <x v="3"/>
    <x v="7"/>
    <x v="1"/>
    <s v="XS"/>
    <s v="White"/>
    <n v="93.63"/>
    <n v="0"/>
    <n v="93.63"/>
    <x v="1"/>
    <n v="47"/>
    <n v="4.0999999999999996"/>
    <b v="0"/>
    <m/>
    <n v="28"/>
    <n v="0"/>
    <s v=""/>
    <x v="0"/>
  </r>
  <r>
    <s v="FB001399"/>
    <x v="1"/>
    <x v="5"/>
    <x v="3"/>
    <s v="M"/>
    <s v="Brown"/>
    <n v="95.55"/>
    <n v="0"/>
    <n v="95.55"/>
    <x v="1"/>
    <n v="25"/>
    <n v="4.7"/>
    <b v="0"/>
    <m/>
    <n v="28"/>
    <n v="0"/>
    <s v=""/>
    <x v="0"/>
  </r>
  <r>
    <s v="FB001400"/>
    <x v="0"/>
    <x v="0"/>
    <x v="1"/>
    <s v="M"/>
    <s v="White"/>
    <n v="146.44999999999999"/>
    <n v="0"/>
    <n v="146.44999999999999"/>
    <x v="1"/>
    <n v="45"/>
    <n v="3.4"/>
    <b v="0"/>
    <m/>
    <n v="28"/>
    <n v="0"/>
    <s v=""/>
    <x v="0"/>
  </r>
  <r>
    <s v="FB001401"/>
    <x v="3"/>
    <x v="2"/>
    <x v="0"/>
    <s v="M"/>
    <s v="Blue"/>
    <n v="96.9"/>
    <n v="0"/>
    <n v="96.9"/>
    <x v="135"/>
    <n v="24"/>
    <n v="4.3"/>
    <b v="0"/>
    <m/>
    <n v="212"/>
    <n v="0"/>
    <s v=""/>
    <x v="0"/>
  </r>
  <r>
    <s v="FB001402"/>
    <x v="1"/>
    <x v="2"/>
    <x v="2"/>
    <s v="XXL"/>
    <s v="Brown"/>
    <n v="71.83"/>
    <n v="0"/>
    <n v="71.83"/>
    <x v="1"/>
    <n v="46"/>
    <n v="4.5"/>
    <b v="0"/>
    <m/>
    <n v="28"/>
    <n v="0"/>
    <s v=""/>
    <x v="0"/>
  </r>
  <r>
    <s v="FB001403"/>
    <x v="1"/>
    <x v="4"/>
    <x v="3"/>
    <s v="L"/>
    <s v="Navy"/>
    <n v="29.17"/>
    <n v="0"/>
    <n v="29.17"/>
    <x v="1"/>
    <n v="17"/>
    <n v="1.6"/>
    <b v="0"/>
    <m/>
    <n v="28"/>
    <n v="0"/>
    <s v=""/>
    <x v="0"/>
  </r>
  <r>
    <s v="FB001404"/>
    <x v="1"/>
    <x v="4"/>
    <x v="0"/>
    <s v="S"/>
    <s v="Green"/>
    <n v="31.3"/>
    <n v="43.6"/>
    <n v="17.649999999999999"/>
    <x v="118"/>
    <n v="21"/>
    <n v="4.4000000000000004"/>
    <b v="0"/>
    <m/>
    <n v="181"/>
    <n v="915.6"/>
    <s v=""/>
    <x v="1"/>
  </r>
  <r>
    <s v="FB001405"/>
    <x v="2"/>
    <x v="0"/>
    <x v="2"/>
    <m/>
    <s v="Green"/>
    <n v="73.569999999999993"/>
    <n v="0"/>
    <n v="73.569999999999993"/>
    <x v="1"/>
    <n v="22"/>
    <n v="1.1000000000000001"/>
    <b v="0"/>
    <m/>
    <n v="28"/>
    <n v="0"/>
    <s v=""/>
    <x v="0"/>
  </r>
  <r>
    <s v="FB001406"/>
    <x v="3"/>
    <x v="3"/>
    <x v="3"/>
    <m/>
    <s v="Pink"/>
    <n v="75.95"/>
    <n v="0"/>
    <n v="75.95"/>
    <x v="1"/>
    <n v="14"/>
    <n v="2.9804347826086954"/>
    <b v="0"/>
    <m/>
    <n v="28"/>
    <n v="0"/>
    <s v=""/>
    <x v="0"/>
  </r>
  <r>
    <s v="FB001407"/>
    <x v="2"/>
    <x v="4"/>
    <x v="0"/>
    <m/>
    <s v="Green"/>
    <n v="79.040000000000006"/>
    <n v="0"/>
    <n v="79.040000000000006"/>
    <x v="45"/>
    <n v="28"/>
    <n v="4.7"/>
    <b v="0"/>
    <m/>
    <n v="335"/>
    <n v="0"/>
    <s v=""/>
    <x v="0"/>
  </r>
  <r>
    <s v="FB001408"/>
    <x v="1"/>
    <x v="3"/>
    <x v="2"/>
    <s v="L"/>
    <s v="White"/>
    <n v="26.85"/>
    <n v="0"/>
    <n v="26.85"/>
    <x v="1"/>
    <n v="26"/>
    <n v="2.9742857142857138"/>
    <b v="0"/>
    <m/>
    <n v="28"/>
    <n v="0"/>
    <s v=""/>
    <x v="0"/>
  </r>
  <r>
    <s v="FB001409"/>
    <x v="5"/>
    <x v="5"/>
    <x v="0"/>
    <s v="L"/>
    <s v="Gray"/>
    <n v="126.21"/>
    <n v="29.2"/>
    <n v="89.36"/>
    <x v="217"/>
    <n v="25"/>
    <n v="1.1000000000000001"/>
    <b v="0"/>
    <m/>
    <n v="384"/>
    <n v="730"/>
    <s v=""/>
    <x v="1"/>
  </r>
  <r>
    <s v="FB001410"/>
    <x v="3"/>
    <x v="3"/>
    <x v="2"/>
    <s v="S"/>
    <s v="Navy"/>
    <n v="71.459999999999994"/>
    <n v="0"/>
    <n v="71.459999999999994"/>
    <x v="1"/>
    <n v="2"/>
    <n v="3.1"/>
    <b v="0"/>
    <m/>
    <n v="28"/>
    <n v="0"/>
    <s v=""/>
    <x v="0"/>
  </r>
  <r>
    <s v="FB001411"/>
    <x v="5"/>
    <x v="3"/>
    <x v="1"/>
    <s v="M"/>
    <s v="Beige"/>
    <n v="65.069999999999993"/>
    <n v="14.8"/>
    <n v="55.44"/>
    <x v="1"/>
    <n v="21"/>
    <n v="2.8372093023255811"/>
    <b v="0"/>
    <m/>
    <n v="28"/>
    <n v="310.8"/>
    <s v=""/>
    <x v="1"/>
  </r>
  <r>
    <s v="FB001412"/>
    <x v="4"/>
    <x v="3"/>
    <x v="2"/>
    <s v="XL"/>
    <s v="Pink"/>
    <n v="28.11"/>
    <n v="20.9"/>
    <n v="22.24"/>
    <x v="1"/>
    <n v="6"/>
    <n v="2.2999999999999998"/>
    <b v="0"/>
    <m/>
    <n v="28"/>
    <n v="125.39999999999999"/>
    <s v=""/>
    <x v="1"/>
  </r>
  <r>
    <s v="FB001413"/>
    <x v="1"/>
    <x v="4"/>
    <x v="0"/>
    <s v="L"/>
    <s v="Green"/>
    <n v="29.12"/>
    <n v="0"/>
    <n v="29.12"/>
    <x v="119"/>
    <n v="14"/>
    <n v="2.7"/>
    <b v="0"/>
    <m/>
    <n v="162"/>
    <n v="0"/>
    <s v=""/>
    <x v="0"/>
  </r>
  <r>
    <s v="FB001414"/>
    <x v="2"/>
    <x v="7"/>
    <x v="1"/>
    <m/>
    <s v="Black"/>
    <n v="57.1"/>
    <n v="0"/>
    <n v="57.1"/>
    <x v="1"/>
    <n v="28"/>
    <n v="2.8636363636363633"/>
    <b v="1"/>
    <s v="Wrong Item"/>
    <n v="28"/>
    <n v="0"/>
    <n v="1"/>
    <x v="0"/>
  </r>
  <r>
    <s v="FB001415"/>
    <x v="0"/>
    <x v="1"/>
    <x v="0"/>
    <s v="M"/>
    <s v="Black"/>
    <n v="248.05"/>
    <n v="0"/>
    <n v="248.05"/>
    <x v="56"/>
    <n v="17"/>
    <n v="4.5999999999999996"/>
    <b v="0"/>
    <m/>
    <n v="127"/>
    <n v="0"/>
    <s v=""/>
    <x v="0"/>
  </r>
  <r>
    <s v="FB001416"/>
    <x v="4"/>
    <x v="0"/>
    <x v="2"/>
    <s v="S"/>
    <s v="Gray"/>
    <n v="108.59"/>
    <n v="40.6"/>
    <n v="64.5"/>
    <x v="1"/>
    <n v="9"/>
    <n v="1.3"/>
    <b v="0"/>
    <m/>
    <n v="28"/>
    <n v="365.40000000000003"/>
    <s v=""/>
    <x v="1"/>
  </r>
  <r>
    <s v="FB001417"/>
    <x v="0"/>
    <x v="7"/>
    <x v="3"/>
    <s v="XL"/>
    <s v="Beige"/>
    <n v="124.13"/>
    <n v="0"/>
    <n v="124.13"/>
    <x v="1"/>
    <n v="33"/>
    <n v="5"/>
    <b v="0"/>
    <m/>
    <n v="28"/>
    <n v="0"/>
    <s v=""/>
    <x v="0"/>
  </r>
  <r>
    <s v="FB001418"/>
    <x v="2"/>
    <x v="0"/>
    <x v="0"/>
    <m/>
    <s v="Brown"/>
    <n v="62.21"/>
    <n v="1.8"/>
    <n v="61.09"/>
    <x v="40"/>
    <n v="4"/>
    <n v="2.2999999999999998"/>
    <b v="0"/>
    <m/>
    <n v="304"/>
    <n v="7.2"/>
    <s v=""/>
    <x v="1"/>
  </r>
  <r>
    <s v="FB001419"/>
    <x v="4"/>
    <x v="1"/>
    <x v="2"/>
    <s v="M"/>
    <s v="Gray"/>
    <n v="48.27"/>
    <n v="0"/>
    <n v="48.27"/>
    <x v="1"/>
    <n v="33"/>
    <n v="3.0846153846153843"/>
    <b v="0"/>
    <m/>
    <n v="28"/>
    <n v="0"/>
    <s v=""/>
    <x v="0"/>
  </r>
  <r>
    <s v="FB001420"/>
    <x v="1"/>
    <x v="0"/>
    <x v="0"/>
    <s v="XL"/>
    <s v="Blue"/>
    <n v="88.77"/>
    <n v="0"/>
    <n v="88.77"/>
    <x v="131"/>
    <n v="40"/>
    <n v="4.8"/>
    <b v="0"/>
    <m/>
    <n v="110"/>
    <n v="0"/>
    <s v=""/>
    <x v="0"/>
  </r>
  <r>
    <s v="FB001421"/>
    <x v="5"/>
    <x v="6"/>
    <x v="2"/>
    <s v="M"/>
    <s v="Navy"/>
    <n v="94.17"/>
    <n v="0"/>
    <n v="94.17"/>
    <x v="1"/>
    <n v="2"/>
    <n v="2.980952380952381"/>
    <b v="0"/>
    <m/>
    <n v="28"/>
    <n v="0"/>
    <s v=""/>
    <x v="0"/>
  </r>
  <r>
    <s v="FB001422"/>
    <x v="2"/>
    <x v="7"/>
    <x v="2"/>
    <m/>
    <s v="Black"/>
    <n v="30.44"/>
    <n v="0"/>
    <n v="30.44"/>
    <x v="1"/>
    <n v="42"/>
    <n v="2.8636363636363633"/>
    <b v="0"/>
    <m/>
    <n v="28"/>
    <n v="0"/>
    <s v=""/>
    <x v="0"/>
  </r>
  <r>
    <s v="FB001423"/>
    <x v="4"/>
    <x v="1"/>
    <x v="2"/>
    <s v="XS"/>
    <s v="Purple"/>
    <n v="114.29"/>
    <n v="0"/>
    <n v="114.29"/>
    <x v="1"/>
    <n v="9"/>
    <n v="3.2"/>
    <b v="0"/>
    <m/>
    <n v="28"/>
    <n v="0"/>
    <s v=""/>
    <x v="0"/>
  </r>
  <r>
    <s v="FB001424"/>
    <x v="3"/>
    <x v="1"/>
    <x v="2"/>
    <s v="XL"/>
    <s v="Gray"/>
    <n v="105.01"/>
    <n v="25.8"/>
    <n v="77.92"/>
    <x v="1"/>
    <n v="17"/>
    <n v="3.2"/>
    <b v="0"/>
    <m/>
    <n v="28"/>
    <n v="438.6"/>
    <s v=""/>
    <x v="1"/>
  </r>
  <r>
    <s v="FB001425"/>
    <x v="1"/>
    <x v="5"/>
    <x v="0"/>
    <s v="XL"/>
    <s v="Blue"/>
    <n v="38.56"/>
    <n v="0"/>
    <n v="38.56"/>
    <x v="204"/>
    <n v="39"/>
    <n v="1.5"/>
    <b v="0"/>
    <m/>
    <n v="96"/>
    <n v="0"/>
    <s v=""/>
    <x v="0"/>
  </r>
  <r>
    <s v="FB001426"/>
    <x v="3"/>
    <x v="3"/>
    <x v="1"/>
    <s v="L"/>
    <s v="Purple"/>
    <n v="64.94"/>
    <n v="0"/>
    <n v="64.94"/>
    <x v="1"/>
    <n v="32"/>
    <n v="4.5"/>
    <b v="0"/>
    <m/>
    <n v="28"/>
    <n v="0"/>
    <s v=""/>
    <x v="0"/>
  </r>
  <r>
    <s v="FB001427"/>
    <x v="4"/>
    <x v="3"/>
    <x v="1"/>
    <s v="S"/>
    <s v="Green"/>
    <n v="63.74"/>
    <n v="56.8"/>
    <n v="27.54"/>
    <x v="1"/>
    <n v="15"/>
    <n v="4"/>
    <b v="0"/>
    <m/>
    <n v="28"/>
    <n v="852"/>
    <s v=""/>
    <x v="1"/>
  </r>
  <r>
    <s v="FB001428"/>
    <x v="1"/>
    <x v="0"/>
    <x v="3"/>
    <s v="XL"/>
    <s v="Pink"/>
    <n v="67.23"/>
    <n v="11.1"/>
    <n v="59.77"/>
    <x v="1"/>
    <n v="39"/>
    <n v="1.1000000000000001"/>
    <b v="1"/>
    <s v="Wrong Item"/>
    <n v="28"/>
    <n v="432.9"/>
    <n v="1"/>
    <x v="1"/>
  </r>
  <r>
    <s v="FB001429"/>
    <x v="2"/>
    <x v="4"/>
    <x v="0"/>
    <m/>
    <s v="Blue"/>
    <n v="27.2"/>
    <n v="40.4"/>
    <n v="16.21"/>
    <x v="218"/>
    <n v="20"/>
    <n v="4.3"/>
    <b v="0"/>
    <m/>
    <n v="380"/>
    <n v="808"/>
    <s v=""/>
    <x v="1"/>
  </r>
  <r>
    <s v="FB001430"/>
    <x v="1"/>
    <x v="3"/>
    <x v="0"/>
    <s v="XL"/>
    <s v="Brown"/>
    <n v="75.84"/>
    <n v="0"/>
    <n v="75.84"/>
    <x v="219"/>
    <n v="8"/>
    <n v="4.0999999999999996"/>
    <b v="0"/>
    <m/>
    <n v="149"/>
    <n v="0"/>
    <s v=""/>
    <x v="0"/>
  </r>
  <r>
    <s v="FB001431"/>
    <x v="5"/>
    <x v="3"/>
    <x v="1"/>
    <s v="M"/>
    <s v="Navy"/>
    <n v="68.510000000000005"/>
    <n v="0"/>
    <n v="68.510000000000005"/>
    <x v="1"/>
    <n v="1"/>
    <n v="2.6"/>
    <b v="0"/>
    <m/>
    <n v="28"/>
    <n v="0"/>
    <s v=""/>
    <x v="0"/>
  </r>
  <r>
    <s v="FB001432"/>
    <x v="2"/>
    <x v="3"/>
    <x v="3"/>
    <m/>
    <s v="Purple"/>
    <n v="25.49"/>
    <n v="0"/>
    <n v="25.49"/>
    <x v="1"/>
    <n v="35"/>
    <n v="2.2000000000000002"/>
    <b v="1"/>
    <s v="Size Issue"/>
    <n v="28"/>
    <n v="0"/>
    <n v="1"/>
    <x v="0"/>
  </r>
  <r>
    <s v="FB001433"/>
    <x v="1"/>
    <x v="5"/>
    <x v="2"/>
    <s v="XS"/>
    <s v="Red"/>
    <n v="70.88"/>
    <n v="0"/>
    <n v="70.88"/>
    <x v="1"/>
    <n v="5"/>
    <n v="2.2999999999999998"/>
    <b v="0"/>
    <m/>
    <n v="28"/>
    <n v="0"/>
    <s v=""/>
    <x v="0"/>
  </r>
  <r>
    <s v="FB001434"/>
    <x v="3"/>
    <x v="4"/>
    <x v="3"/>
    <s v="XS"/>
    <s v="White"/>
    <n v="176.64"/>
    <n v="8.8000000000000007"/>
    <n v="161.1"/>
    <x v="1"/>
    <n v="1"/>
    <n v="1.7"/>
    <b v="0"/>
    <m/>
    <n v="28"/>
    <n v="8.8000000000000007"/>
    <s v=""/>
    <x v="1"/>
  </r>
  <r>
    <s v="FB001435"/>
    <x v="5"/>
    <x v="5"/>
    <x v="1"/>
    <s v="L"/>
    <s v="Red"/>
    <n v="50.76"/>
    <n v="0"/>
    <n v="50.76"/>
    <x v="1"/>
    <n v="45"/>
    <n v="4.3"/>
    <b v="0"/>
    <m/>
    <n v="28"/>
    <n v="0"/>
    <s v=""/>
    <x v="0"/>
  </r>
  <r>
    <s v="FB001436"/>
    <x v="3"/>
    <x v="3"/>
    <x v="2"/>
    <s v="XL"/>
    <s v="Pink"/>
    <n v="155.85"/>
    <n v="0"/>
    <n v="155.85"/>
    <x v="1"/>
    <n v="1"/>
    <n v="3.5"/>
    <b v="0"/>
    <m/>
    <n v="28"/>
    <n v="0"/>
    <s v=""/>
    <x v="0"/>
  </r>
  <r>
    <s v="FB001437"/>
    <x v="5"/>
    <x v="2"/>
    <x v="0"/>
    <s v="XL"/>
    <s v="Blue"/>
    <n v="48.04"/>
    <n v="0"/>
    <n v="48.04"/>
    <x v="213"/>
    <n v="20"/>
    <n v="3.2"/>
    <b v="0"/>
    <m/>
    <n v="125"/>
    <n v="0"/>
    <s v=""/>
    <x v="0"/>
  </r>
  <r>
    <s v="FB001438"/>
    <x v="1"/>
    <x v="7"/>
    <x v="0"/>
    <s v="XS"/>
    <s v="Navy"/>
    <n v="44.79"/>
    <n v="0"/>
    <n v="44.79"/>
    <x v="137"/>
    <n v="7"/>
    <n v="3.6"/>
    <b v="0"/>
    <m/>
    <n v="227"/>
    <n v="0"/>
    <s v=""/>
    <x v="0"/>
  </r>
  <r>
    <s v="FB001439"/>
    <x v="1"/>
    <x v="1"/>
    <x v="0"/>
    <s v="XS"/>
    <s v="Blue"/>
    <n v="76.95"/>
    <n v="0"/>
    <n v="76.95"/>
    <x v="195"/>
    <n v="9"/>
    <n v="2.5"/>
    <b v="0"/>
    <m/>
    <n v="234"/>
    <n v="0"/>
    <s v=""/>
    <x v="0"/>
  </r>
  <r>
    <s v="FB001440"/>
    <x v="2"/>
    <x v="6"/>
    <x v="3"/>
    <m/>
    <s v="Gray"/>
    <n v="35.93"/>
    <n v="49.9"/>
    <n v="18"/>
    <x v="1"/>
    <n v="26"/>
    <n v="4"/>
    <b v="0"/>
    <m/>
    <n v="28"/>
    <n v="1297.3999999999999"/>
    <s v=""/>
    <x v="1"/>
  </r>
  <r>
    <s v="FB001441"/>
    <x v="4"/>
    <x v="2"/>
    <x v="2"/>
    <s v="XL"/>
    <s v="Red"/>
    <n v="49.97"/>
    <n v="0"/>
    <n v="49.97"/>
    <x v="1"/>
    <n v="11"/>
    <n v="3.5"/>
    <b v="1"/>
    <s v="Quality Issue"/>
    <n v="28"/>
    <n v="0"/>
    <n v="1"/>
    <x v="0"/>
  </r>
  <r>
    <s v="FB001442"/>
    <x v="0"/>
    <x v="4"/>
    <x v="3"/>
    <m/>
    <s v="Black"/>
    <n v="169.69"/>
    <n v="0"/>
    <n v="169.69"/>
    <x v="1"/>
    <n v="29"/>
    <n v="1.9"/>
    <b v="0"/>
    <m/>
    <n v="28"/>
    <n v="0"/>
    <s v=""/>
    <x v="0"/>
  </r>
  <r>
    <s v="FB001443"/>
    <x v="0"/>
    <x v="5"/>
    <x v="0"/>
    <m/>
    <s v="White"/>
    <n v="209.3"/>
    <n v="14.2"/>
    <n v="179.58"/>
    <x v="34"/>
    <n v="29"/>
    <n v="3.0305555555555546"/>
    <b v="0"/>
    <m/>
    <n v="182"/>
    <n v="411.79999999999995"/>
    <s v=""/>
    <x v="1"/>
  </r>
  <r>
    <s v="FB001444"/>
    <x v="1"/>
    <x v="6"/>
    <x v="3"/>
    <s v="XXL"/>
    <s v="Pink"/>
    <n v="110.81"/>
    <n v="0"/>
    <n v="110.81"/>
    <x v="1"/>
    <n v="24"/>
    <n v="2.4"/>
    <b v="0"/>
    <m/>
    <n v="28"/>
    <n v="0"/>
    <s v=""/>
    <x v="0"/>
  </r>
  <r>
    <s v="FB001445"/>
    <x v="2"/>
    <x v="1"/>
    <x v="2"/>
    <m/>
    <s v="Black"/>
    <n v="61.84"/>
    <n v="0"/>
    <n v="61.84"/>
    <x v="1"/>
    <n v="0"/>
    <n v="4.7"/>
    <b v="1"/>
    <s v="Wrong Item"/>
    <n v="28"/>
    <n v="0"/>
    <n v="1"/>
    <x v="0"/>
  </r>
  <r>
    <s v="FB001446"/>
    <x v="0"/>
    <x v="0"/>
    <x v="0"/>
    <s v="S"/>
    <s v="Brown"/>
    <n v="190.03"/>
    <n v="14.9"/>
    <n v="161.72"/>
    <x v="43"/>
    <n v="35"/>
    <n v="4.0999999999999996"/>
    <b v="0"/>
    <m/>
    <n v="41"/>
    <n v="521.5"/>
    <s v=""/>
    <x v="1"/>
  </r>
  <r>
    <s v="FB001447"/>
    <x v="4"/>
    <x v="2"/>
    <x v="2"/>
    <s v="XS"/>
    <s v="Red"/>
    <n v="74.27"/>
    <n v="0"/>
    <n v="74.27"/>
    <x v="1"/>
    <n v="6"/>
    <n v="1.3"/>
    <b v="0"/>
    <m/>
    <n v="28"/>
    <n v="0"/>
    <s v=""/>
    <x v="0"/>
  </r>
  <r>
    <s v="FB001448"/>
    <x v="0"/>
    <x v="0"/>
    <x v="2"/>
    <s v="XL"/>
    <s v="Beige"/>
    <n v="163.77000000000001"/>
    <n v="30.5"/>
    <n v="113.82"/>
    <x v="1"/>
    <n v="10"/>
    <n v="2.7030303030303036"/>
    <b v="0"/>
    <m/>
    <n v="28"/>
    <n v="305"/>
    <s v=""/>
    <x v="1"/>
  </r>
  <r>
    <s v="FB001449"/>
    <x v="2"/>
    <x v="3"/>
    <x v="1"/>
    <m/>
    <s v="Purple"/>
    <n v="42.28"/>
    <n v="0"/>
    <n v="42.28"/>
    <x v="1"/>
    <n v="22"/>
    <n v="1.9"/>
    <b v="0"/>
    <m/>
    <n v="28"/>
    <n v="0"/>
    <s v=""/>
    <x v="0"/>
  </r>
  <r>
    <s v="FB001450"/>
    <x v="4"/>
    <x v="4"/>
    <x v="3"/>
    <s v="XS"/>
    <s v="Navy"/>
    <n v="52.92"/>
    <n v="0"/>
    <n v="52.92"/>
    <x v="1"/>
    <n v="9"/>
    <n v="3.0659090909090896"/>
    <b v="0"/>
    <m/>
    <n v="28"/>
    <n v="0"/>
    <s v=""/>
    <x v="0"/>
  </r>
  <r>
    <s v="FB001451"/>
    <x v="2"/>
    <x v="5"/>
    <x v="0"/>
    <m/>
    <s v="Black"/>
    <n v="40.549999999999997"/>
    <n v="6.2"/>
    <n v="38.04"/>
    <x v="25"/>
    <n v="26"/>
    <n v="3.7"/>
    <b v="1"/>
    <s v="Wrong Item"/>
    <n v="359"/>
    <n v="161.20000000000002"/>
    <n v="1"/>
    <x v="1"/>
  </r>
  <r>
    <s v="FB001452"/>
    <x v="3"/>
    <x v="3"/>
    <x v="3"/>
    <s v="XXL"/>
    <s v="Black"/>
    <n v="129.76"/>
    <n v="0"/>
    <n v="129.76"/>
    <x v="1"/>
    <n v="39"/>
    <n v="2.9"/>
    <b v="0"/>
    <m/>
    <n v="28"/>
    <n v="0"/>
    <s v=""/>
    <x v="0"/>
  </r>
  <r>
    <s v="FB001453"/>
    <x v="1"/>
    <x v="5"/>
    <x v="2"/>
    <s v="XL"/>
    <s v="Purple"/>
    <n v="63.39"/>
    <n v="0"/>
    <n v="63.39"/>
    <x v="1"/>
    <n v="50"/>
    <n v="2.5"/>
    <b v="0"/>
    <m/>
    <n v="28"/>
    <n v="0"/>
    <s v=""/>
    <x v="0"/>
  </r>
  <r>
    <s v="FB001454"/>
    <x v="3"/>
    <x v="4"/>
    <x v="2"/>
    <s v="S"/>
    <s v="Navy"/>
    <n v="191.94"/>
    <n v="1.3"/>
    <n v="189.44"/>
    <x v="1"/>
    <n v="39"/>
    <n v="1.2"/>
    <b v="0"/>
    <m/>
    <n v="28"/>
    <n v="50.7"/>
    <s v=""/>
    <x v="1"/>
  </r>
  <r>
    <s v="FB001455"/>
    <x v="2"/>
    <x v="1"/>
    <x v="0"/>
    <m/>
    <s v="Purple"/>
    <n v="63.42"/>
    <n v="0"/>
    <n v="63.42"/>
    <x v="220"/>
    <n v="19"/>
    <n v="2.9"/>
    <b v="1"/>
    <s v="Color Mismatch"/>
    <n v="295"/>
    <n v="0"/>
    <n v="1"/>
    <x v="0"/>
  </r>
  <r>
    <s v="FB001456"/>
    <x v="1"/>
    <x v="5"/>
    <x v="1"/>
    <s v="XXL"/>
    <s v="Beige"/>
    <n v="35.26"/>
    <n v="0"/>
    <n v="35.26"/>
    <x v="1"/>
    <n v="47"/>
    <n v="2.2999999999999998"/>
    <b v="0"/>
    <m/>
    <n v="28"/>
    <n v="0"/>
    <s v=""/>
    <x v="0"/>
  </r>
  <r>
    <s v="FB001457"/>
    <x v="2"/>
    <x v="6"/>
    <x v="0"/>
    <m/>
    <s v="Green"/>
    <n v="44.5"/>
    <n v="0"/>
    <n v="44.5"/>
    <x v="80"/>
    <n v="36"/>
    <n v="3.6"/>
    <b v="0"/>
    <m/>
    <n v="82"/>
    <n v="0"/>
    <s v=""/>
    <x v="0"/>
  </r>
  <r>
    <s v="FB001458"/>
    <x v="3"/>
    <x v="0"/>
    <x v="0"/>
    <s v="XS"/>
    <s v="White"/>
    <n v="186.78"/>
    <n v="43.4"/>
    <n v="105.72"/>
    <x v="45"/>
    <n v="42"/>
    <n v="2.5"/>
    <b v="1"/>
    <s v="Damaged"/>
    <n v="335"/>
    <n v="1822.8"/>
    <n v="1"/>
    <x v="1"/>
  </r>
  <r>
    <s v="FB001459"/>
    <x v="1"/>
    <x v="4"/>
    <x v="3"/>
    <s v="L"/>
    <s v="Black"/>
    <n v="116.71"/>
    <n v="55.4"/>
    <n v="52.05"/>
    <x v="1"/>
    <n v="15"/>
    <n v="2.9657142857142857"/>
    <b v="0"/>
    <m/>
    <n v="28"/>
    <n v="831"/>
    <s v=""/>
    <x v="1"/>
  </r>
  <r>
    <s v="FB001460"/>
    <x v="2"/>
    <x v="4"/>
    <x v="1"/>
    <m/>
    <s v="Black"/>
    <n v="24.5"/>
    <n v="0"/>
    <n v="24.5"/>
    <x v="1"/>
    <n v="7"/>
    <n v="2.7333333333333334"/>
    <b v="0"/>
    <m/>
    <n v="28"/>
    <n v="0"/>
    <s v=""/>
    <x v="0"/>
  </r>
  <r>
    <s v="FB001461"/>
    <x v="2"/>
    <x v="6"/>
    <x v="1"/>
    <m/>
    <s v="Navy"/>
    <n v="23.2"/>
    <n v="0"/>
    <n v="23.2"/>
    <x v="1"/>
    <n v="17"/>
    <n v="2.1"/>
    <b v="0"/>
    <m/>
    <n v="28"/>
    <n v="0"/>
    <s v=""/>
    <x v="0"/>
  </r>
  <r>
    <s v="FB001462"/>
    <x v="4"/>
    <x v="7"/>
    <x v="1"/>
    <s v="XL"/>
    <s v="Green"/>
    <n v="73.8"/>
    <n v="0"/>
    <n v="73.8"/>
    <x v="1"/>
    <n v="42"/>
    <n v="3.1021739130434773"/>
    <b v="0"/>
    <m/>
    <n v="28"/>
    <n v="0"/>
    <s v=""/>
    <x v="0"/>
  </r>
  <r>
    <s v="FB001463"/>
    <x v="2"/>
    <x v="0"/>
    <x v="3"/>
    <m/>
    <s v="Black"/>
    <n v="51.33"/>
    <n v="0"/>
    <n v="51.33"/>
    <x v="1"/>
    <n v="25"/>
    <n v="1.2"/>
    <b v="0"/>
    <m/>
    <n v="28"/>
    <n v="0"/>
    <s v=""/>
    <x v="0"/>
  </r>
  <r>
    <s v="FB001464"/>
    <x v="4"/>
    <x v="4"/>
    <x v="1"/>
    <s v="XXL"/>
    <s v="Green"/>
    <n v="80.209999999999994"/>
    <n v="0"/>
    <n v="80.209999999999994"/>
    <x v="1"/>
    <n v="17"/>
    <n v="3.0659090909090896"/>
    <b v="0"/>
    <m/>
    <n v="28"/>
    <n v="0"/>
    <s v=""/>
    <x v="0"/>
  </r>
  <r>
    <s v="FB001465"/>
    <x v="0"/>
    <x v="1"/>
    <x v="2"/>
    <s v="L"/>
    <s v="Brown"/>
    <n v="237.65"/>
    <n v="0"/>
    <n v="237.65"/>
    <x v="1"/>
    <n v="3"/>
    <n v="3.4"/>
    <b v="0"/>
    <m/>
    <n v="28"/>
    <n v="0"/>
    <s v=""/>
    <x v="0"/>
  </r>
  <r>
    <s v="FB001466"/>
    <x v="4"/>
    <x v="2"/>
    <x v="0"/>
    <s v="S"/>
    <s v="Brown"/>
    <n v="96.35"/>
    <n v="0"/>
    <n v="96.35"/>
    <x v="221"/>
    <n v="34"/>
    <n v="3.7"/>
    <b v="0"/>
    <m/>
    <n v="265"/>
    <n v="0"/>
    <s v=""/>
    <x v="0"/>
  </r>
  <r>
    <s v="FB001467"/>
    <x v="4"/>
    <x v="2"/>
    <x v="1"/>
    <s v="XL"/>
    <s v="White"/>
    <n v="91.92"/>
    <n v="0"/>
    <n v="91.92"/>
    <x v="1"/>
    <n v="29"/>
    <n v="3.0384615384615379"/>
    <b v="0"/>
    <m/>
    <n v="28"/>
    <n v="0"/>
    <s v=""/>
    <x v="0"/>
  </r>
  <r>
    <s v="FB001468"/>
    <x v="3"/>
    <x v="2"/>
    <x v="2"/>
    <s v="XXL"/>
    <s v="Navy"/>
    <n v="194.05"/>
    <n v="0"/>
    <n v="194.05"/>
    <x v="1"/>
    <n v="7"/>
    <n v="1.3"/>
    <b v="0"/>
    <m/>
    <n v="28"/>
    <n v="0"/>
    <s v=""/>
    <x v="0"/>
  </r>
  <r>
    <s v="FB001469"/>
    <x v="0"/>
    <x v="6"/>
    <x v="3"/>
    <s v="S"/>
    <s v="Red"/>
    <n v="166.88"/>
    <n v="0"/>
    <n v="166.88"/>
    <x v="1"/>
    <n v="10"/>
    <n v="1.6"/>
    <b v="0"/>
    <m/>
    <n v="28"/>
    <n v="0"/>
    <s v=""/>
    <x v="0"/>
  </r>
  <r>
    <s v="FB001470"/>
    <x v="4"/>
    <x v="4"/>
    <x v="1"/>
    <s v="S"/>
    <s v="Red"/>
    <n v="47.01"/>
    <n v="0"/>
    <n v="47.01"/>
    <x v="1"/>
    <n v="17"/>
    <n v="1.6"/>
    <b v="0"/>
    <m/>
    <n v="28"/>
    <n v="0"/>
    <s v=""/>
    <x v="0"/>
  </r>
  <r>
    <s v="FB001471"/>
    <x v="3"/>
    <x v="2"/>
    <x v="1"/>
    <s v="XXL"/>
    <s v="Pink"/>
    <n v="119.91"/>
    <n v="20.3"/>
    <n v="95.57"/>
    <x v="1"/>
    <n v="15"/>
    <n v="3.8"/>
    <b v="0"/>
    <m/>
    <n v="28"/>
    <n v="304.5"/>
    <s v=""/>
    <x v="1"/>
  </r>
  <r>
    <s v="FB001472"/>
    <x v="2"/>
    <x v="4"/>
    <x v="2"/>
    <m/>
    <s v="Red"/>
    <n v="73.73"/>
    <n v="54.2"/>
    <n v="33.770000000000003"/>
    <x v="1"/>
    <n v="37"/>
    <n v="4.0999999999999996"/>
    <b v="0"/>
    <m/>
    <n v="28"/>
    <n v="2005.4"/>
    <s v=""/>
    <x v="1"/>
  </r>
  <r>
    <s v="FB001473"/>
    <x v="4"/>
    <x v="0"/>
    <x v="2"/>
    <s v="L"/>
    <s v="Black"/>
    <n v="108.65"/>
    <n v="0"/>
    <n v="108.65"/>
    <x v="1"/>
    <n v="26"/>
    <n v="2.4"/>
    <b v="0"/>
    <m/>
    <n v="28"/>
    <n v="0"/>
    <s v=""/>
    <x v="0"/>
  </r>
  <r>
    <s v="FB001474"/>
    <x v="3"/>
    <x v="3"/>
    <x v="3"/>
    <s v="L"/>
    <s v="Red"/>
    <n v="186.53"/>
    <n v="0"/>
    <n v="186.53"/>
    <x v="1"/>
    <n v="31"/>
    <n v="2.6"/>
    <b v="0"/>
    <m/>
    <n v="28"/>
    <n v="0"/>
    <s v=""/>
    <x v="0"/>
  </r>
  <r>
    <s v="FB001475"/>
    <x v="2"/>
    <x v="0"/>
    <x v="3"/>
    <m/>
    <s v="Red"/>
    <n v="60.34"/>
    <n v="0"/>
    <n v="60.34"/>
    <x v="1"/>
    <n v="13"/>
    <n v="2.9116666666666675"/>
    <b v="0"/>
    <m/>
    <n v="28"/>
    <n v="0"/>
    <s v=""/>
    <x v="0"/>
  </r>
  <r>
    <s v="FB001476"/>
    <x v="2"/>
    <x v="3"/>
    <x v="1"/>
    <m/>
    <s v="Navy"/>
    <n v="61.16"/>
    <n v="0"/>
    <n v="61.16"/>
    <x v="1"/>
    <n v="28"/>
    <n v="2.2999999999999998"/>
    <b v="0"/>
    <m/>
    <n v="28"/>
    <n v="0"/>
    <s v=""/>
    <x v="0"/>
  </r>
  <r>
    <s v="FB001477"/>
    <x v="3"/>
    <x v="7"/>
    <x v="1"/>
    <s v="XL"/>
    <s v="Green"/>
    <n v="168.85"/>
    <n v="35.299999999999997"/>
    <n v="109.25"/>
    <x v="1"/>
    <n v="10"/>
    <n v="3.3"/>
    <b v="0"/>
    <m/>
    <n v="28"/>
    <n v="353"/>
    <s v=""/>
    <x v="1"/>
  </r>
  <r>
    <s v="FB001478"/>
    <x v="1"/>
    <x v="5"/>
    <x v="1"/>
    <s v="L"/>
    <s v="Navy"/>
    <n v="60.08"/>
    <n v="0"/>
    <n v="60.08"/>
    <x v="1"/>
    <n v="26"/>
    <n v="2.9846153846153847"/>
    <b v="0"/>
    <m/>
    <n v="28"/>
    <n v="0"/>
    <s v=""/>
    <x v="0"/>
  </r>
  <r>
    <s v="FB001479"/>
    <x v="2"/>
    <x v="6"/>
    <x v="3"/>
    <m/>
    <s v="Brown"/>
    <n v="39.39"/>
    <n v="29.8"/>
    <n v="27.65"/>
    <x v="1"/>
    <n v="13"/>
    <n v="4.7"/>
    <b v="0"/>
    <m/>
    <n v="28"/>
    <n v="387.40000000000003"/>
    <s v=""/>
    <x v="1"/>
  </r>
  <r>
    <s v="FB001480"/>
    <x v="1"/>
    <x v="6"/>
    <x v="2"/>
    <s v="M"/>
    <s v="Pink"/>
    <n v="111.09"/>
    <n v="0"/>
    <n v="111.09"/>
    <x v="1"/>
    <n v="24"/>
    <n v="2.2000000000000002"/>
    <b v="0"/>
    <m/>
    <n v="28"/>
    <n v="0"/>
    <s v=""/>
    <x v="0"/>
  </r>
  <r>
    <s v="FB001481"/>
    <x v="5"/>
    <x v="2"/>
    <x v="3"/>
    <s v="M"/>
    <s v="Green"/>
    <n v="133.51"/>
    <n v="0"/>
    <n v="133.51"/>
    <x v="1"/>
    <n v="5"/>
    <n v="1.7"/>
    <b v="1"/>
    <s v="Quality Issue"/>
    <n v="28"/>
    <n v="0"/>
    <n v="1"/>
    <x v="0"/>
  </r>
  <r>
    <s v="FB001482"/>
    <x v="5"/>
    <x v="7"/>
    <x v="3"/>
    <s v="XS"/>
    <s v="Pink"/>
    <n v="158.9"/>
    <n v="43.5"/>
    <n v="89.78"/>
    <x v="1"/>
    <n v="46"/>
    <n v="2.9636363636363638"/>
    <b v="0"/>
    <m/>
    <n v="28"/>
    <n v="2001"/>
    <s v=""/>
    <x v="1"/>
  </r>
  <r>
    <s v="FB001483"/>
    <x v="1"/>
    <x v="6"/>
    <x v="0"/>
    <s v="XS"/>
    <s v="Brown"/>
    <n v="65.27"/>
    <n v="19"/>
    <n v="52.87"/>
    <x v="142"/>
    <n v="48"/>
    <n v="3"/>
    <b v="0"/>
    <m/>
    <n v="370"/>
    <n v="912"/>
    <s v=""/>
    <x v="1"/>
  </r>
  <r>
    <s v="FB001484"/>
    <x v="2"/>
    <x v="0"/>
    <x v="2"/>
    <m/>
    <s v="Green"/>
    <n v="72.37"/>
    <n v="0"/>
    <n v="72.37"/>
    <x v="1"/>
    <n v="24"/>
    <n v="2.9"/>
    <b v="0"/>
    <m/>
    <n v="28"/>
    <n v="0"/>
    <s v=""/>
    <x v="0"/>
  </r>
  <r>
    <s v="FB001485"/>
    <x v="5"/>
    <x v="2"/>
    <x v="2"/>
    <s v="XL"/>
    <s v="White"/>
    <n v="133.88"/>
    <n v="21.5"/>
    <n v="105.1"/>
    <x v="1"/>
    <n v="42"/>
    <n v="3.1"/>
    <b v="0"/>
    <m/>
    <n v="28"/>
    <n v="903"/>
    <s v=""/>
    <x v="1"/>
  </r>
  <r>
    <s v="FB001486"/>
    <x v="1"/>
    <x v="0"/>
    <x v="0"/>
    <s v="XXL"/>
    <s v="Purple"/>
    <n v="74.3"/>
    <n v="0"/>
    <n v="74.3"/>
    <x v="222"/>
    <n v="24"/>
    <n v="4.4000000000000004"/>
    <b v="0"/>
    <m/>
    <n v="270"/>
    <n v="0"/>
    <s v=""/>
    <x v="0"/>
  </r>
  <r>
    <s v="FB001487"/>
    <x v="3"/>
    <x v="2"/>
    <x v="3"/>
    <s v="XL"/>
    <s v="Beige"/>
    <n v="192.74"/>
    <n v="47.5"/>
    <n v="101.19"/>
    <x v="1"/>
    <n v="40"/>
    <n v="2.8"/>
    <b v="0"/>
    <m/>
    <n v="28"/>
    <n v="1900"/>
    <s v=""/>
    <x v="1"/>
  </r>
  <r>
    <s v="FB001488"/>
    <x v="2"/>
    <x v="1"/>
    <x v="3"/>
    <m/>
    <s v="Red"/>
    <n v="79.02"/>
    <n v="2.5"/>
    <n v="77.040000000000006"/>
    <x v="1"/>
    <n v="16"/>
    <n v="2.8"/>
    <b v="0"/>
    <m/>
    <n v="28"/>
    <n v="40"/>
    <s v=""/>
    <x v="1"/>
  </r>
  <r>
    <s v="FB001489"/>
    <x v="3"/>
    <x v="0"/>
    <x v="1"/>
    <s v="S"/>
    <s v="White"/>
    <n v="158.29"/>
    <n v="0"/>
    <n v="158.29"/>
    <x v="1"/>
    <n v="5"/>
    <n v="1.6"/>
    <b v="0"/>
    <m/>
    <n v="28"/>
    <n v="0"/>
    <s v=""/>
    <x v="0"/>
  </r>
  <r>
    <s v="FB001490"/>
    <x v="1"/>
    <x v="5"/>
    <x v="1"/>
    <s v="L"/>
    <s v="White"/>
    <n v="69.33"/>
    <n v="0"/>
    <n v="69.33"/>
    <x v="1"/>
    <n v="26"/>
    <n v="4.9000000000000004"/>
    <b v="0"/>
    <m/>
    <n v="28"/>
    <n v="0"/>
    <s v=""/>
    <x v="0"/>
  </r>
  <r>
    <s v="FB001491"/>
    <x v="3"/>
    <x v="6"/>
    <x v="1"/>
    <s v="XS"/>
    <s v="Brown"/>
    <n v="86.89"/>
    <n v="19.5"/>
    <n v="69.95"/>
    <x v="1"/>
    <n v="49"/>
    <n v="1.3"/>
    <b v="0"/>
    <m/>
    <n v="28"/>
    <n v="955.5"/>
    <s v=""/>
    <x v="1"/>
  </r>
  <r>
    <s v="FB001492"/>
    <x v="0"/>
    <x v="1"/>
    <x v="2"/>
    <s v="L"/>
    <s v="Green"/>
    <n v="162.75"/>
    <n v="0"/>
    <n v="162.75"/>
    <x v="1"/>
    <n v="13"/>
    <n v="4.8"/>
    <b v="0"/>
    <m/>
    <n v="28"/>
    <n v="0"/>
    <s v=""/>
    <x v="0"/>
  </r>
  <r>
    <s v="FB001493"/>
    <x v="3"/>
    <x v="4"/>
    <x v="3"/>
    <s v="M"/>
    <s v="Blue"/>
    <n v="70.28"/>
    <n v="0"/>
    <n v="70.28"/>
    <x v="1"/>
    <n v="27"/>
    <n v="4.7"/>
    <b v="0"/>
    <m/>
    <n v="28"/>
    <n v="0"/>
    <s v=""/>
    <x v="0"/>
  </r>
  <r>
    <s v="FB001494"/>
    <x v="4"/>
    <x v="3"/>
    <x v="0"/>
    <s v="S"/>
    <s v="White"/>
    <n v="111.91"/>
    <n v="0"/>
    <n v="111.91"/>
    <x v="112"/>
    <n v="28"/>
    <n v="1.8"/>
    <b v="0"/>
    <m/>
    <n v="43"/>
    <n v="0"/>
    <s v=""/>
    <x v="0"/>
  </r>
  <r>
    <s v="FB001495"/>
    <x v="0"/>
    <x v="5"/>
    <x v="2"/>
    <s v="S"/>
    <s v="Purple"/>
    <n v="143.76"/>
    <n v="0"/>
    <n v="143.76"/>
    <x v="1"/>
    <n v="7"/>
    <n v="2"/>
    <b v="0"/>
    <m/>
    <n v="28"/>
    <n v="0"/>
    <s v=""/>
    <x v="0"/>
  </r>
  <r>
    <s v="FB001496"/>
    <x v="5"/>
    <x v="4"/>
    <x v="3"/>
    <s v="S"/>
    <s v="Purple"/>
    <n v="169.89"/>
    <n v="0"/>
    <n v="169.89"/>
    <x v="1"/>
    <n v="17"/>
    <n v="1.3"/>
    <b v="0"/>
    <m/>
    <n v="28"/>
    <n v="0"/>
    <s v=""/>
    <x v="0"/>
  </r>
  <r>
    <s v="FB001497"/>
    <x v="3"/>
    <x v="0"/>
    <x v="1"/>
    <s v="XL"/>
    <s v="White"/>
    <n v="72.290000000000006"/>
    <n v="0"/>
    <n v="72.290000000000006"/>
    <x v="1"/>
    <n v="0"/>
    <n v="2.9153846153846157"/>
    <b v="0"/>
    <m/>
    <n v="28"/>
    <n v="0"/>
    <s v=""/>
    <x v="0"/>
  </r>
  <r>
    <s v="FB001498"/>
    <x v="0"/>
    <x v="7"/>
    <x v="1"/>
    <s v="XS"/>
    <s v="Purple"/>
    <n v="136.19999999999999"/>
    <n v="10.199999999999999"/>
    <n v="122.31"/>
    <x v="1"/>
    <n v="10"/>
    <n v="3.6"/>
    <b v="0"/>
    <m/>
    <n v="28"/>
    <n v="102"/>
    <s v=""/>
    <x v="1"/>
  </r>
  <r>
    <s v="FB001499"/>
    <x v="1"/>
    <x v="7"/>
    <x v="3"/>
    <s v="S"/>
    <s v="Red"/>
    <n v="92.5"/>
    <n v="0"/>
    <n v="92.5"/>
    <x v="1"/>
    <n v="15"/>
    <n v="2.7"/>
    <b v="0"/>
    <m/>
    <n v="28"/>
    <n v="0"/>
    <s v=""/>
    <x v="0"/>
  </r>
  <r>
    <s v="FB001500"/>
    <x v="3"/>
    <x v="2"/>
    <x v="1"/>
    <s v="L"/>
    <s v="Purple"/>
    <n v="89.5"/>
    <n v="0"/>
    <n v="89.5"/>
    <x v="1"/>
    <n v="5"/>
    <n v="4.5"/>
    <b v="0"/>
    <m/>
    <n v="28"/>
    <n v="0"/>
    <s v=""/>
    <x v="0"/>
  </r>
  <r>
    <s v="FB001501"/>
    <x v="0"/>
    <x v="4"/>
    <x v="0"/>
    <s v="L"/>
    <s v="Beige"/>
    <n v="161.51"/>
    <n v="0"/>
    <n v="161.51"/>
    <x v="62"/>
    <n v="22"/>
    <n v="4.7"/>
    <b v="0"/>
    <m/>
    <n v="305"/>
    <n v="0"/>
    <s v=""/>
    <x v="0"/>
  </r>
  <r>
    <s v="FB001502"/>
    <x v="2"/>
    <x v="0"/>
    <x v="1"/>
    <m/>
    <s v="Brown"/>
    <n v="38.119999999999997"/>
    <n v="0"/>
    <n v="38.119999999999997"/>
    <x v="1"/>
    <n v="18"/>
    <n v="4.4000000000000004"/>
    <b v="1"/>
    <s v="Damaged"/>
    <n v="28"/>
    <n v="0"/>
    <n v="1"/>
    <x v="0"/>
  </r>
  <r>
    <s v="FB001503"/>
    <x v="5"/>
    <x v="4"/>
    <x v="3"/>
    <s v="XS"/>
    <s v="Purple"/>
    <n v="100.08"/>
    <n v="0"/>
    <n v="100.08"/>
    <x v="1"/>
    <n v="23"/>
    <n v="4.8"/>
    <b v="0"/>
    <m/>
    <n v="28"/>
    <n v="0"/>
    <s v=""/>
    <x v="0"/>
  </r>
  <r>
    <s v="FB001504"/>
    <x v="5"/>
    <x v="1"/>
    <x v="2"/>
    <s v="L"/>
    <s v="White"/>
    <n v="161.79"/>
    <n v="0"/>
    <n v="161.79"/>
    <x v="1"/>
    <n v="44"/>
    <n v="3.9"/>
    <b v="0"/>
    <m/>
    <n v="28"/>
    <n v="0"/>
    <s v=""/>
    <x v="0"/>
  </r>
  <r>
    <s v="FB001505"/>
    <x v="4"/>
    <x v="5"/>
    <x v="2"/>
    <s v="XL"/>
    <s v="Black"/>
    <n v="46.42"/>
    <n v="0"/>
    <n v="46.42"/>
    <x v="1"/>
    <n v="2"/>
    <n v="3.7"/>
    <b v="1"/>
    <s v="Changed Mind"/>
    <n v="28"/>
    <n v="0"/>
    <n v="1"/>
    <x v="0"/>
  </r>
  <r>
    <s v="FB001506"/>
    <x v="3"/>
    <x v="1"/>
    <x v="0"/>
    <s v="L"/>
    <s v="Brown"/>
    <n v="199.33"/>
    <n v="44.3"/>
    <n v="111.03"/>
    <x v="223"/>
    <n v="19"/>
    <n v="1.8"/>
    <b v="0"/>
    <m/>
    <n v="287"/>
    <n v="841.69999999999993"/>
    <s v=""/>
    <x v="1"/>
  </r>
  <r>
    <s v="FB001507"/>
    <x v="4"/>
    <x v="7"/>
    <x v="3"/>
    <s v="XXL"/>
    <s v="Black"/>
    <n v="25.77"/>
    <n v="0"/>
    <n v="25.77"/>
    <x v="1"/>
    <n v="5"/>
    <n v="3.1"/>
    <b v="0"/>
    <m/>
    <n v="28"/>
    <n v="0"/>
    <s v=""/>
    <x v="0"/>
  </r>
  <r>
    <s v="FB001508"/>
    <x v="3"/>
    <x v="7"/>
    <x v="1"/>
    <s v="M"/>
    <s v="Navy"/>
    <n v="180.67"/>
    <n v="0"/>
    <n v="180.67"/>
    <x v="1"/>
    <n v="31"/>
    <n v="4.4000000000000004"/>
    <b v="0"/>
    <m/>
    <n v="28"/>
    <n v="0"/>
    <s v=""/>
    <x v="0"/>
  </r>
  <r>
    <s v="FB001509"/>
    <x v="3"/>
    <x v="7"/>
    <x v="0"/>
    <s v="L"/>
    <s v="Green"/>
    <n v="198.13"/>
    <n v="46.1"/>
    <n v="106.79"/>
    <x v="157"/>
    <n v="8"/>
    <n v="3.2"/>
    <b v="0"/>
    <m/>
    <n v="107"/>
    <n v="368.8"/>
    <s v=""/>
    <x v="1"/>
  </r>
  <r>
    <s v="FB001510"/>
    <x v="5"/>
    <x v="1"/>
    <x v="3"/>
    <m/>
    <s v="Navy"/>
    <n v="161.53"/>
    <n v="5.3"/>
    <n v="152.97"/>
    <x v="1"/>
    <n v="33"/>
    <n v="3.7"/>
    <b v="0"/>
    <m/>
    <n v="28"/>
    <n v="174.9"/>
    <s v=""/>
    <x v="1"/>
  </r>
  <r>
    <s v="FB001511"/>
    <x v="4"/>
    <x v="0"/>
    <x v="0"/>
    <s v="M"/>
    <s v="Gray"/>
    <n v="25.97"/>
    <n v="0"/>
    <n v="25.97"/>
    <x v="171"/>
    <n v="31"/>
    <n v="1.2"/>
    <b v="0"/>
    <m/>
    <n v="279"/>
    <n v="0"/>
    <s v=""/>
    <x v="0"/>
  </r>
  <r>
    <s v="FB001512"/>
    <x v="1"/>
    <x v="7"/>
    <x v="3"/>
    <s v="L"/>
    <s v="Beige"/>
    <n v="85"/>
    <n v="39.9"/>
    <n v="51.09"/>
    <x v="1"/>
    <n v="44"/>
    <n v="3"/>
    <b v="0"/>
    <m/>
    <n v="28"/>
    <n v="1755.6"/>
    <s v=""/>
    <x v="1"/>
  </r>
  <r>
    <s v="FB001513"/>
    <x v="2"/>
    <x v="1"/>
    <x v="3"/>
    <m/>
    <s v="Pink"/>
    <n v="75.03"/>
    <n v="10.9"/>
    <n v="66.849999999999994"/>
    <x v="1"/>
    <n v="12"/>
    <n v="1.2"/>
    <b v="0"/>
    <m/>
    <n v="28"/>
    <n v="130.80000000000001"/>
    <s v=""/>
    <x v="1"/>
  </r>
  <r>
    <s v="FB001514"/>
    <x v="2"/>
    <x v="5"/>
    <x v="1"/>
    <m/>
    <s v="Beige"/>
    <n v="33.880000000000003"/>
    <n v="0"/>
    <n v="33.880000000000003"/>
    <x v="1"/>
    <n v="9"/>
    <n v="3.2731707317073173"/>
    <b v="0"/>
    <m/>
    <n v="28"/>
    <n v="0"/>
    <s v=""/>
    <x v="0"/>
  </r>
  <r>
    <s v="FB001515"/>
    <x v="3"/>
    <x v="2"/>
    <x v="3"/>
    <s v="XS"/>
    <s v="Purple"/>
    <n v="142"/>
    <n v="12.3"/>
    <n v="124.53"/>
    <x v="1"/>
    <n v="39"/>
    <n v="3.3"/>
    <b v="0"/>
    <m/>
    <n v="28"/>
    <n v="479.70000000000005"/>
    <s v=""/>
    <x v="1"/>
  </r>
  <r>
    <s v="FB001516"/>
    <x v="5"/>
    <x v="4"/>
    <x v="2"/>
    <s v="XL"/>
    <s v="Green"/>
    <n v="125.46"/>
    <n v="0"/>
    <n v="125.46"/>
    <x v="1"/>
    <n v="26"/>
    <n v="1.1000000000000001"/>
    <b v="0"/>
    <m/>
    <n v="28"/>
    <n v="0"/>
    <s v=""/>
    <x v="0"/>
  </r>
  <r>
    <s v="FB001517"/>
    <x v="3"/>
    <x v="4"/>
    <x v="1"/>
    <s v="L"/>
    <s v="Blue"/>
    <n v="138.79"/>
    <n v="0"/>
    <n v="138.79"/>
    <x v="1"/>
    <n v="16"/>
    <n v="3.3021276595744684"/>
    <b v="1"/>
    <s v="Size Issue"/>
    <n v="28"/>
    <n v="0"/>
    <n v="1"/>
    <x v="0"/>
  </r>
  <r>
    <s v="FB001518"/>
    <x v="4"/>
    <x v="5"/>
    <x v="0"/>
    <s v="XL"/>
    <s v="Pink"/>
    <n v="81.81"/>
    <n v="37.9"/>
    <n v="50.8"/>
    <x v="203"/>
    <n v="44"/>
    <n v="3.0575757575757576"/>
    <b v="0"/>
    <m/>
    <n v="199"/>
    <n v="1667.6"/>
    <s v=""/>
    <x v="1"/>
  </r>
  <r>
    <s v="FB001519"/>
    <x v="2"/>
    <x v="1"/>
    <x v="2"/>
    <m/>
    <s v="Brown"/>
    <n v="78.260000000000005"/>
    <n v="47.3"/>
    <n v="41.24"/>
    <x v="1"/>
    <n v="20"/>
    <n v="4"/>
    <b v="0"/>
    <m/>
    <n v="28"/>
    <n v="946"/>
    <s v=""/>
    <x v="1"/>
  </r>
  <r>
    <s v="FB001520"/>
    <x v="4"/>
    <x v="2"/>
    <x v="0"/>
    <s v="XL"/>
    <s v="Navy"/>
    <n v="119.33"/>
    <n v="16"/>
    <n v="100.24"/>
    <x v="65"/>
    <n v="35"/>
    <n v="3.0384615384615379"/>
    <b v="0"/>
    <m/>
    <n v="383"/>
    <n v="560"/>
    <s v=""/>
    <x v="1"/>
  </r>
  <r>
    <s v="FB001521"/>
    <x v="2"/>
    <x v="5"/>
    <x v="0"/>
    <m/>
    <s v="Black"/>
    <n v="52.97"/>
    <n v="0"/>
    <n v="52.97"/>
    <x v="214"/>
    <n v="36"/>
    <n v="4.5999999999999996"/>
    <b v="0"/>
    <m/>
    <n v="39"/>
    <n v="0"/>
    <s v=""/>
    <x v="0"/>
  </r>
  <r>
    <s v="FB001522"/>
    <x v="2"/>
    <x v="3"/>
    <x v="1"/>
    <m/>
    <s v="Blue"/>
    <n v="69.48"/>
    <n v="0"/>
    <n v="69.48"/>
    <x v="1"/>
    <n v="17"/>
    <n v="3.4"/>
    <b v="0"/>
    <m/>
    <n v="28"/>
    <n v="0"/>
    <s v=""/>
    <x v="0"/>
  </r>
  <r>
    <s v="FB001523"/>
    <x v="0"/>
    <x v="2"/>
    <x v="3"/>
    <s v="L"/>
    <s v="Gray"/>
    <n v="177.82"/>
    <n v="0"/>
    <n v="177.82"/>
    <x v="1"/>
    <n v="9"/>
    <n v="1.1000000000000001"/>
    <b v="0"/>
    <m/>
    <n v="28"/>
    <n v="0"/>
    <s v=""/>
    <x v="0"/>
  </r>
  <r>
    <s v="FB001524"/>
    <x v="3"/>
    <x v="2"/>
    <x v="1"/>
    <s v="L"/>
    <s v="Pink"/>
    <n v="142.71"/>
    <n v="0"/>
    <n v="142.71"/>
    <x v="1"/>
    <n v="28"/>
    <n v="1"/>
    <b v="0"/>
    <m/>
    <n v="28"/>
    <n v="0"/>
    <s v=""/>
    <x v="0"/>
  </r>
  <r>
    <s v="FB001525"/>
    <x v="4"/>
    <x v="0"/>
    <x v="0"/>
    <s v="XS"/>
    <s v="Blue"/>
    <n v="105.21"/>
    <n v="0"/>
    <n v="105.21"/>
    <x v="62"/>
    <n v="41"/>
    <n v="4.9000000000000004"/>
    <b v="0"/>
    <m/>
    <n v="305"/>
    <n v="0"/>
    <s v=""/>
    <x v="0"/>
  </r>
  <r>
    <s v="FB001526"/>
    <x v="2"/>
    <x v="7"/>
    <x v="2"/>
    <m/>
    <s v="Gray"/>
    <n v="65.09"/>
    <n v="49.8"/>
    <n v="32.68"/>
    <x v="1"/>
    <n v="32"/>
    <n v="4.9000000000000004"/>
    <b v="0"/>
    <m/>
    <n v="28"/>
    <n v="1593.6"/>
    <s v=""/>
    <x v="1"/>
  </r>
  <r>
    <s v="FB001527"/>
    <x v="0"/>
    <x v="1"/>
    <x v="1"/>
    <s v="M"/>
    <s v="Navy"/>
    <n v="167.39"/>
    <n v="0"/>
    <n v="167.39"/>
    <x v="1"/>
    <n v="43"/>
    <n v="1.8"/>
    <b v="0"/>
    <m/>
    <n v="28"/>
    <n v="0"/>
    <s v=""/>
    <x v="0"/>
  </r>
  <r>
    <s v="FB001528"/>
    <x v="2"/>
    <x v="1"/>
    <x v="1"/>
    <m/>
    <s v="Red"/>
    <n v="49.89"/>
    <n v="0"/>
    <n v="49.89"/>
    <x v="1"/>
    <n v="32"/>
    <n v="2.4"/>
    <b v="0"/>
    <m/>
    <n v="28"/>
    <n v="0"/>
    <s v=""/>
    <x v="0"/>
  </r>
  <r>
    <s v="FB001529"/>
    <x v="0"/>
    <x v="2"/>
    <x v="2"/>
    <s v="S"/>
    <s v="White"/>
    <n v="218.06"/>
    <n v="0"/>
    <n v="218.06"/>
    <x v="1"/>
    <n v="32"/>
    <n v="4"/>
    <b v="0"/>
    <m/>
    <n v="28"/>
    <n v="0"/>
    <s v=""/>
    <x v="0"/>
  </r>
  <r>
    <s v="FB001530"/>
    <x v="4"/>
    <x v="6"/>
    <x v="3"/>
    <s v="XS"/>
    <s v="White"/>
    <n v="66.64"/>
    <n v="21.8"/>
    <n v="52.11"/>
    <x v="1"/>
    <n v="25"/>
    <n v="3.5"/>
    <b v="1"/>
    <s v="Changed Mind"/>
    <n v="28"/>
    <n v="545"/>
    <n v="1"/>
    <x v="1"/>
  </r>
  <r>
    <s v="FB001531"/>
    <x v="0"/>
    <x v="5"/>
    <x v="2"/>
    <s v="S"/>
    <s v="Gray"/>
    <n v="124.69"/>
    <n v="40.9"/>
    <n v="73.69"/>
    <x v="1"/>
    <n v="9"/>
    <n v="4.0999999999999996"/>
    <b v="0"/>
    <m/>
    <n v="28"/>
    <n v="368.09999999999997"/>
    <s v=""/>
    <x v="1"/>
  </r>
  <r>
    <s v="FB001532"/>
    <x v="1"/>
    <x v="3"/>
    <x v="3"/>
    <s v="S"/>
    <s v="Pink"/>
    <n v="28.24"/>
    <n v="48.2"/>
    <n v="14.63"/>
    <x v="1"/>
    <n v="20"/>
    <n v="4.5"/>
    <b v="0"/>
    <m/>
    <n v="28"/>
    <n v="964"/>
    <s v=""/>
    <x v="1"/>
  </r>
  <r>
    <s v="FB001533"/>
    <x v="2"/>
    <x v="0"/>
    <x v="3"/>
    <m/>
    <s v="Purple"/>
    <n v="76.39"/>
    <n v="53.9"/>
    <n v="35.22"/>
    <x v="1"/>
    <n v="15"/>
    <n v="1.5"/>
    <b v="0"/>
    <m/>
    <n v="28"/>
    <n v="808.5"/>
    <s v=""/>
    <x v="1"/>
  </r>
  <r>
    <s v="FB001534"/>
    <x v="4"/>
    <x v="0"/>
    <x v="1"/>
    <s v="M"/>
    <s v="Blue"/>
    <n v="96.82"/>
    <n v="0"/>
    <n v="96.82"/>
    <x v="1"/>
    <n v="0"/>
    <n v="1.1000000000000001"/>
    <b v="0"/>
    <m/>
    <n v="28"/>
    <n v="0"/>
    <s v=""/>
    <x v="0"/>
  </r>
  <r>
    <s v="FB001535"/>
    <x v="3"/>
    <x v="2"/>
    <x v="2"/>
    <s v="XS"/>
    <s v="Navy"/>
    <n v="159.25"/>
    <n v="28.2"/>
    <n v="114.34"/>
    <x v="1"/>
    <n v="1"/>
    <n v="3.1936170212765949"/>
    <b v="1"/>
    <s v="Wrong Item"/>
    <n v="28"/>
    <n v="28.2"/>
    <n v="1"/>
    <x v="1"/>
  </r>
  <r>
    <s v="FB001536"/>
    <x v="5"/>
    <x v="0"/>
    <x v="3"/>
    <s v="XXL"/>
    <s v="Navy"/>
    <n v="171.93"/>
    <n v="52.3"/>
    <n v="82.01"/>
    <x v="1"/>
    <n v="28"/>
    <n v="2.2000000000000002"/>
    <b v="0"/>
    <m/>
    <n v="28"/>
    <n v="1464.3999999999999"/>
    <s v=""/>
    <x v="1"/>
  </r>
  <r>
    <s v="FB001537"/>
    <x v="1"/>
    <x v="0"/>
    <x v="3"/>
    <s v="XS"/>
    <s v="Brown"/>
    <n v="85.25"/>
    <n v="0"/>
    <n v="85.25"/>
    <x v="1"/>
    <n v="11"/>
    <n v="2.9181818181818175"/>
    <b v="0"/>
    <m/>
    <n v="28"/>
    <n v="0"/>
    <s v=""/>
    <x v="0"/>
  </r>
  <r>
    <s v="FB001538"/>
    <x v="1"/>
    <x v="2"/>
    <x v="0"/>
    <s v="XXL"/>
    <s v="Pink"/>
    <n v="70.48"/>
    <n v="0"/>
    <n v="70.48"/>
    <x v="113"/>
    <n v="22"/>
    <n v="1.2"/>
    <b v="0"/>
    <m/>
    <n v="280"/>
    <n v="0"/>
    <s v=""/>
    <x v="0"/>
  </r>
  <r>
    <s v="FB001539"/>
    <x v="0"/>
    <x v="2"/>
    <x v="0"/>
    <s v="S"/>
    <s v="Brown"/>
    <n v="203.02"/>
    <n v="0"/>
    <n v="203.02"/>
    <x v="224"/>
    <n v="23"/>
    <n v="3.5"/>
    <b v="1"/>
    <s v="Quality Issue"/>
    <n v="109"/>
    <n v="0"/>
    <n v="1"/>
    <x v="0"/>
  </r>
  <r>
    <s v="FB001540"/>
    <x v="5"/>
    <x v="5"/>
    <x v="2"/>
    <s v="XXL"/>
    <s v="Pink"/>
    <n v="115.39"/>
    <n v="11.2"/>
    <n v="102.47"/>
    <x v="1"/>
    <n v="4"/>
    <n v="3.8"/>
    <b v="0"/>
    <m/>
    <n v="28"/>
    <n v="44.8"/>
    <s v=""/>
    <x v="1"/>
  </r>
  <r>
    <s v="FB001541"/>
    <x v="2"/>
    <x v="3"/>
    <x v="0"/>
    <m/>
    <s v="Pink"/>
    <n v="27.91"/>
    <n v="49.8"/>
    <n v="14.01"/>
    <x v="225"/>
    <n v="12"/>
    <n v="2.6"/>
    <b v="0"/>
    <m/>
    <n v="202"/>
    <n v="597.59999999999991"/>
    <s v=""/>
    <x v="1"/>
  </r>
  <r>
    <s v="FB001542"/>
    <x v="2"/>
    <x v="4"/>
    <x v="1"/>
    <m/>
    <s v="Navy"/>
    <n v="79.69"/>
    <n v="0"/>
    <n v="79.69"/>
    <x v="1"/>
    <n v="44"/>
    <n v="1.6"/>
    <b v="0"/>
    <m/>
    <n v="28"/>
    <n v="0"/>
    <s v=""/>
    <x v="0"/>
  </r>
  <r>
    <s v="FB001543"/>
    <x v="4"/>
    <x v="7"/>
    <x v="2"/>
    <s v="S"/>
    <s v="Brown"/>
    <n v="47.22"/>
    <n v="0"/>
    <n v="47.22"/>
    <x v="1"/>
    <n v="19"/>
    <n v="1.9"/>
    <b v="0"/>
    <m/>
    <n v="28"/>
    <n v="0"/>
    <s v=""/>
    <x v="0"/>
  </r>
  <r>
    <s v="FB001544"/>
    <x v="3"/>
    <x v="4"/>
    <x v="2"/>
    <m/>
    <s v="Brown"/>
    <n v="172.27"/>
    <n v="14.9"/>
    <n v="146.6"/>
    <x v="1"/>
    <n v="8"/>
    <n v="3.7"/>
    <b v="0"/>
    <m/>
    <n v="28"/>
    <n v="119.2"/>
    <s v=""/>
    <x v="1"/>
  </r>
  <r>
    <s v="FB001545"/>
    <x v="2"/>
    <x v="0"/>
    <x v="1"/>
    <m/>
    <s v="Black"/>
    <n v="27.9"/>
    <n v="0"/>
    <n v="27.9"/>
    <x v="1"/>
    <n v="27"/>
    <n v="3"/>
    <b v="1"/>
    <s v="Changed Mind"/>
    <n v="28"/>
    <n v="0"/>
    <n v="1"/>
    <x v="0"/>
  </r>
  <r>
    <s v="FB001546"/>
    <x v="5"/>
    <x v="0"/>
    <x v="0"/>
    <s v="S"/>
    <s v="Beige"/>
    <n v="139.26"/>
    <n v="0"/>
    <n v="139.26"/>
    <x v="226"/>
    <n v="32"/>
    <n v="3.4"/>
    <b v="0"/>
    <m/>
    <n v="244"/>
    <n v="0"/>
    <s v=""/>
    <x v="0"/>
  </r>
  <r>
    <s v="FB001547"/>
    <x v="2"/>
    <x v="5"/>
    <x v="3"/>
    <m/>
    <s v="Gray"/>
    <n v="30.47"/>
    <n v="0"/>
    <n v="30.47"/>
    <x v="1"/>
    <n v="34"/>
    <n v="4.2"/>
    <b v="0"/>
    <m/>
    <n v="28"/>
    <n v="0"/>
    <s v=""/>
    <x v="0"/>
  </r>
  <r>
    <s v="FB001548"/>
    <x v="0"/>
    <x v="6"/>
    <x v="2"/>
    <s v="M"/>
    <s v="Purple"/>
    <n v="141.53"/>
    <n v="39.799999999999997"/>
    <n v="85.2"/>
    <x v="1"/>
    <n v="47"/>
    <n v="3.5"/>
    <b v="0"/>
    <m/>
    <n v="28"/>
    <n v="1870.6"/>
    <s v=""/>
    <x v="1"/>
  </r>
  <r>
    <s v="FB001549"/>
    <x v="5"/>
    <x v="6"/>
    <x v="0"/>
    <s v="XL"/>
    <s v="Gray"/>
    <n v="47.45"/>
    <n v="24.4"/>
    <n v="35.869999999999997"/>
    <x v="227"/>
    <n v="42"/>
    <n v="2.8"/>
    <b v="0"/>
    <m/>
    <n v="80"/>
    <n v="1024.8"/>
    <s v=""/>
    <x v="1"/>
  </r>
  <r>
    <s v="FB001550"/>
    <x v="4"/>
    <x v="6"/>
    <x v="1"/>
    <s v="XS"/>
    <s v="Navy"/>
    <n v="51.39"/>
    <n v="6.3"/>
    <n v="48.15"/>
    <x v="1"/>
    <n v="46"/>
    <n v="3.1799999999999997"/>
    <b v="0"/>
    <m/>
    <n v="28"/>
    <n v="289.8"/>
    <s v=""/>
    <x v="1"/>
  </r>
  <r>
    <s v="FB001551"/>
    <x v="1"/>
    <x v="6"/>
    <x v="0"/>
    <m/>
    <s v="White"/>
    <n v="74.13"/>
    <n v="0"/>
    <n v="74.13"/>
    <x v="228"/>
    <n v="23"/>
    <n v="2.9074999999999998"/>
    <b v="0"/>
    <m/>
    <n v="294"/>
    <n v="0"/>
    <s v=""/>
    <x v="0"/>
  </r>
  <r>
    <s v="FB001552"/>
    <x v="5"/>
    <x v="0"/>
    <x v="2"/>
    <s v="XL"/>
    <s v="Purple"/>
    <n v="156.13999999999999"/>
    <n v="5"/>
    <n v="148.33000000000001"/>
    <x v="1"/>
    <n v="39"/>
    <n v="3.0424242424242425"/>
    <b v="0"/>
    <m/>
    <n v="28"/>
    <n v="195"/>
    <s v=""/>
    <x v="1"/>
  </r>
  <r>
    <s v="FB001553"/>
    <x v="0"/>
    <x v="2"/>
    <x v="3"/>
    <s v="XS"/>
    <s v="Green"/>
    <n v="105.3"/>
    <n v="0"/>
    <n v="105.3"/>
    <x v="1"/>
    <n v="1"/>
    <n v="3"/>
    <b v="0"/>
    <m/>
    <n v="28"/>
    <n v="0"/>
    <s v=""/>
    <x v="0"/>
  </r>
  <r>
    <s v="FB001554"/>
    <x v="5"/>
    <x v="4"/>
    <x v="1"/>
    <s v="S"/>
    <s v="Navy"/>
    <n v="126.76"/>
    <n v="0"/>
    <n v="126.76"/>
    <x v="1"/>
    <n v="24"/>
    <n v="2.2000000000000002"/>
    <b v="0"/>
    <m/>
    <n v="28"/>
    <n v="0"/>
    <s v=""/>
    <x v="0"/>
  </r>
  <r>
    <s v="FB001555"/>
    <x v="1"/>
    <x v="6"/>
    <x v="1"/>
    <s v="L"/>
    <s v="Navy"/>
    <n v="35.409999999999997"/>
    <n v="0"/>
    <n v="35.409999999999997"/>
    <x v="1"/>
    <n v="48"/>
    <n v="4.3"/>
    <b v="1"/>
    <s v="Damaged"/>
    <n v="28"/>
    <n v="0"/>
    <n v="1"/>
    <x v="0"/>
  </r>
  <r>
    <s v="FB001556"/>
    <x v="0"/>
    <x v="5"/>
    <x v="1"/>
    <s v="M"/>
    <s v="White"/>
    <n v="80.040000000000006"/>
    <n v="0"/>
    <n v="80.040000000000006"/>
    <x v="1"/>
    <n v="13"/>
    <n v="2.2999999999999998"/>
    <b v="0"/>
    <m/>
    <n v="28"/>
    <n v="0"/>
    <s v=""/>
    <x v="0"/>
  </r>
  <r>
    <s v="FB001557"/>
    <x v="4"/>
    <x v="6"/>
    <x v="2"/>
    <m/>
    <s v="Navy"/>
    <n v="68.16"/>
    <n v="0"/>
    <n v="68.16"/>
    <x v="1"/>
    <n v="34"/>
    <n v="2.7"/>
    <b v="0"/>
    <m/>
    <n v="28"/>
    <n v="0"/>
    <s v=""/>
    <x v="0"/>
  </r>
  <r>
    <s v="FB001558"/>
    <x v="5"/>
    <x v="5"/>
    <x v="2"/>
    <s v="XL"/>
    <s v="White"/>
    <n v="60.87"/>
    <n v="0"/>
    <n v="60.87"/>
    <x v="1"/>
    <n v="35"/>
    <n v="3.1874999999999991"/>
    <b v="0"/>
    <m/>
    <n v="28"/>
    <n v="0"/>
    <s v=""/>
    <x v="0"/>
  </r>
  <r>
    <s v="FB001559"/>
    <x v="1"/>
    <x v="4"/>
    <x v="0"/>
    <s v="L"/>
    <s v="Brown"/>
    <n v="59.8"/>
    <n v="0"/>
    <n v="59.8"/>
    <x v="79"/>
    <n v="50"/>
    <n v="2.2000000000000002"/>
    <b v="1"/>
    <s v="Size Issue"/>
    <n v="150"/>
    <n v="0"/>
    <n v="1"/>
    <x v="0"/>
  </r>
  <r>
    <s v="FB001560"/>
    <x v="2"/>
    <x v="6"/>
    <x v="2"/>
    <m/>
    <s v="Black"/>
    <n v="75.83"/>
    <n v="0"/>
    <n v="75.83"/>
    <x v="1"/>
    <n v="8"/>
    <n v="2"/>
    <b v="0"/>
    <m/>
    <n v="28"/>
    <n v="0"/>
    <s v=""/>
    <x v="0"/>
  </r>
  <r>
    <s v="FB001561"/>
    <x v="1"/>
    <x v="4"/>
    <x v="3"/>
    <s v="L"/>
    <s v="Beige"/>
    <n v="55.97"/>
    <n v="0"/>
    <n v="55.97"/>
    <x v="1"/>
    <n v="30"/>
    <n v="2.9657142857142857"/>
    <b v="0"/>
    <m/>
    <n v="28"/>
    <n v="0"/>
    <s v=""/>
    <x v="0"/>
  </r>
  <r>
    <s v="FB001562"/>
    <x v="3"/>
    <x v="6"/>
    <x v="1"/>
    <s v="XL"/>
    <s v="Beige"/>
    <n v="190.52"/>
    <n v="45.2"/>
    <n v="104.4"/>
    <x v="1"/>
    <n v="2"/>
    <n v="1.1000000000000001"/>
    <b v="0"/>
    <m/>
    <n v="28"/>
    <n v="90.4"/>
    <s v=""/>
    <x v="1"/>
  </r>
  <r>
    <s v="FB001563"/>
    <x v="4"/>
    <x v="0"/>
    <x v="3"/>
    <s v="M"/>
    <s v="Pink"/>
    <n v="89.19"/>
    <n v="10.3"/>
    <n v="80"/>
    <x v="1"/>
    <n v="4"/>
    <n v="2.9210526315789478"/>
    <b v="0"/>
    <m/>
    <n v="28"/>
    <n v="41.2"/>
    <s v=""/>
    <x v="1"/>
  </r>
  <r>
    <s v="FB001564"/>
    <x v="3"/>
    <x v="2"/>
    <x v="3"/>
    <m/>
    <s v="White"/>
    <n v="79.59"/>
    <n v="8.9"/>
    <n v="72.510000000000005"/>
    <x v="1"/>
    <n v="16"/>
    <n v="4.5999999999999996"/>
    <b v="1"/>
    <s v="Wrong Item"/>
    <n v="28"/>
    <n v="142.4"/>
    <n v="1"/>
    <x v="1"/>
  </r>
  <r>
    <s v="FB001565"/>
    <x v="4"/>
    <x v="3"/>
    <x v="0"/>
    <s v="XXL"/>
    <s v="Gray"/>
    <n v="84.8"/>
    <n v="0"/>
    <n v="84.8"/>
    <x v="178"/>
    <n v="46"/>
    <n v="4.5999999999999996"/>
    <b v="0"/>
    <m/>
    <n v="57"/>
    <n v="0"/>
    <s v=""/>
    <x v="0"/>
  </r>
  <r>
    <s v="FB001566"/>
    <x v="4"/>
    <x v="7"/>
    <x v="2"/>
    <s v="M"/>
    <s v="Black"/>
    <n v="69.209999999999994"/>
    <n v="0"/>
    <n v="69.209999999999994"/>
    <x v="1"/>
    <n v="41"/>
    <n v="3.1021739130434773"/>
    <b v="0"/>
    <m/>
    <n v="28"/>
    <n v="0"/>
    <s v=""/>
    <x v="0"/>
  </r>
  <r>
    <s v="FB001567"/>
    <x v="0"/>
    <x v="2"/>
    <x v="0"/>
    <s v="XS"/>
    <s v="Navy"/>
    <n v="229.17"/>
    <n v="0"/>
    <n v="229.17"/>
    <x v="58"/>
    <n v="37"/>
    <n v="2"/>
    <b v="0"/>
    <m/>
    <n v="48"/>
    <n v="0"/>
    <s v=""/>
    <x v="0"/>
  </r>
  <r>
    <s v="FB001568"/>
    <x v="5"/>
    <x v="2"/>
    <x v="1"/>
    <s v="L"/>
    <s v="White"/>
    <n v="103.9"/>
    <n v="0"/>
    <n v="103.9"/>
    <x v="1"/>
    <n v="40"/>
    <n v="4.4000000000000004"/>
    <b v="0"/>
    <m/>
    <n v="28"/>
    <n v="0"/>
    <s v=""/>
    <x v="0"/>
  </r>
  <r>
    <s v="FB001569"/>
    <x v="0"/>
    <x v="0"/>
    <x v="0"/>
    <s v="XS"/>
    <s v="Beige"/>
    <n v="228.46"/>
    <n v="0"/>
    <n v="228.46"/>
    <x v="199"/>
    <n v="7"/>
    <n v="2.5"/>
    <b v="1"/>
    <s v="Quality Issue"/>
    <n v="208"/>
    <n v="0"/>
    <n v="1"/>
    <x v="0"/>
  </r>
  <r>
    <s v="FB001570"/>
    <x v="2"/>
    <x v="0"/>
    <x v="3"/>
    <m/>
    <s v="White"/>
    <n v="44.35"/>
    <n v="29.2"/>
    <n v="31.4"/>
    <x v="1"/>
    <n v="20"/>
    <n v="4.9000000000000004"/>
    <b v="0"/>
    <m/>
    <n v="28"/>
    <n v="584"/>
    <s v=""/>
    <x v="1"/>
  </r>
  <r>
    <s v="FB001571"/>
    <x v="4"/>
    <x v="1"/>
    <x v="0"/>
    <m/>
    <s v="Gray"/>
    <n v="28.76"/>
    <n v="54.7"/>
    <n v="13.03"/>
    <x v="229"/>
    <n v="2"/>
    <n v="4.4000000000000004"/>
    <b v="1"/>
    <s v="Color Mismatch"/>
    <n v="112"/>
    <n v="109.4"/>
    <n v="1"/>
    <x v="1"/>
  </r>
  <r>
    <s v="FB001572"/>
    <x v="0"/>
    <x v="3"/>
    <x v="0"/>
    <s v="XXL"/>
    <s v="Red"/>
    <n v="158.34"/>
    <n v="36.6"/>
    <n v="100.39"/>
    <x v="148"/>
    <n v="11"/>
    <n v="4.5"/>
    <b v="0"/>
    <m/>
    <n v="219"/>
    <n v="402.6"/>
    <s v=""/>
    <x v="1"/>
  </r>
  <r>
    <s v="FB001573"/>
    <x v="2"/>
    <x v="0"/>
    <x v="0"/>
    <m/>
    <s v="Brown"/>
    <n v="39.049999999999997"/>
    <n v="12"/>
    <n v="34.36"/>
    <x v="230"/>
    <n v="0"/>
    <n v="3.1"/>
    <b v="0"/>
    <m/>
    <n v="338"/>
    <n v="0"/>
    <s v=""/>
    <x v="1"/>
  </r>
  <r>
    <s v="FB001574"/>
    <x v="1"/>
    <x v="5"/>
    <x v="0"/>
    <s v="S"/>
    <s v="Blue"/>
    <n v="52.46"/>
    <n v="12.2"/>
    <n v="46.06"/>
    <x v="49"/>
    <n v="39"/>
    <n v="2.2999999999999998"/>
    <b v="0"/>
    <m/>
    <n v="258"/>
    <n v="475.79999999999995"/>
    <s v=""/>
    <x v="1"/>
  </r>
  <r>
    <s v="FB001575"/>
    <x v="4"/>
    <x v="6"/>
    <x v="0"/>
    <s v="S"/>
    <s v="Red"/>
    <n v="70.31"/>
    <n v="34.4"/>
    <n v="46.12"/>
    <x v="231"/>
    <n v="28"/>
    <n v="3.1"/>
    <b v="0"/>
    <m/>
    <n v="222"/>
    <n v="963.19999999999993"/>
    <s v=""/>
    <x v="1"/>
  </r>
  <r>
    <s v="FB001576"/>
    <x v="0"/>
    <x v="7"/>
    <x v="3"/>
    <s v="S"/>
    <s v="Beige"/>
    <n v="123.27"/>
    <n v="0"/>
    <n v="123.27"/>
    <x v="1"/>
    <n v="13"/>
    <n v="2.8"/>
    <b v="0"/>
    <m/>
    <n v="28"/>
    <n v="0"/>
    <s v=""/>
    <x v="0"/>
  </r>
  <r>
    <s v="FB001577"/>
    <x v="0"/>
    <x v="3"/>
    <x v="3"/>
    <s v="L"/>
    <s v="Navy"/>
    <n v="215.82"/>
    <n v="16.5"/>
    <n v="180.21"/>
    <x v="1"/>
    <n v="9"/>
    <n v="2.4"/>
    <b v="0"/>
    <m/>
    <n v="28"/>
    <n v="148.5"/>
    <s v=""/>
    <x v="1"/>
  </r>
  <r>
    <s v="FB001578"/>
    <x v="0"/>
    <x v="6"/>
    <x v="3"/>
    <s v="XS"/>
    <s v="Blue"/>
    <n v="82.91"/>
    <n v="0.7"/>
    <n v="82.33"/>
    <x v="1"/>
    <n v="24"/>
    <n v="2.9034482758620692"/>
    <b v="1"/>
    <s v="Damaged"/>
    <n v="28"/>
    <n v="16.799999999999997"/>
    <n v="1"/>
    <x v="1"/>
  </r>
  <r>
    <s v="FB001579"/>
    <x v="1"/>
    <x v="6"/>
    <x v="1"/>
    <s v="XL"/>
    <s v="Purple"/>
    <n v="33.46"/>
    <n v="0"/>
    <n v="33.46"/>
    <x v="1"/>
    <n v="36"/>
    <n v="3.6"/>
    <b v="0"/>
    <m/>
    <n v="28"/>
    <n v="0"/>
    <s v=""/>
    <x v="0"/>
  </r>
  <r>
    <s v="FB001580"/>
    <x v="4"/>
    <x v="2"/>
    <x v="0"/>
    <s v="L"/>
    <s v="Gray"/>
    <n v="37.21"/>
    <n v="53.9"/>
    <n v="17.149999999999999"/>
    <x v="71"/>
    <n v="48"/>
    <n v="3.8"/>
    <b v="0"/>
    <m/>
    <n v="68"/>
    <n v="2587.1999999999998"/>
    <s v=""/>
    <x v="1"/>
  </r>
  <r>
    <s v="FB001581"/>
    <x v="4"/>
    <x v="3"/>
    <x v="1"/>
    <m/>
    <s v="Red"/>
    <n v="76.86"/>
    <n v="48.9"/>
    <n v="39.28"/>
    <x v="1"/>
    <n v="5"/>
    <n v="1.2"/>
    <b v="0"/>
    <m/>
    <n v="28"/>
    <n v="244.5"/>
    <s v=""/>
    <x v="1"/>
  </r>
  <r>
    <s v="FB001582"/>
    <x v="0"/>
    <x v="4"/>
    <x v="1"/>
    <s v="S"/>
    <s v="Beige"/>
    <n v="208.57"/>
    <n v="0"/>
    <n v="208.57"/>
    <x v="1"/>
    <n v="24"/>
    <n v="3.6"/>
    <b v="0"/>
    <m/>
    <n v="28"/>
    <n v="0"/>
    <s v=""/>
    <x v="0"/>
  </r>
  <r>
    <s v="FB001583"/>
    <x v="5"/>
    <x v="6"/>
    <x v="0"/>
    <s v="XL"/>
    <s v="Red"/>
    <n v="131.69999999999999"/>
    <n v="15.8"/>
    <n v="110.89"/>
    <x v="205"/>
    <n v="49"/>
    <n v="1.4"/>
    <b v="1"/>
    <s v="Damaged"/>
    <n v="387"/>
    <n v="774.2"/>
    <n v="1"/>
    <x v="1"/>
  </r>
  <r>
    <s v="FB001584"/>
    <x v="4"/>
    <x v="3"/>
    <x v="3"/>
    <s v="XXL"/>
    <s v="Blue"/>
    <n v="117.21"/>
    <n v="0"/>
    <n v="117.21"/>
    <x v="1"/>
    <n v="14"/>
    <n v="3.2"/>
    <b v="0"/>
    <m/>
    <n v="28"/>
    <n v="0"/>
    <s v=""/>
    <x v="0"/>
  </r>
  <r>
    <s v="FB001585"/>
    <x v="2"/>
    <x v="3"/>
    <x v="3"/>
    <m/>
    <s v="Green"/>
    <n v="23.01"/>
    <n v="48.8"/>
    <n v="11.78"/>
    <x v="1"/>
    <n v="13"/>
    <n v="3.6"/>
    <b v="0"/>
    <m/>
    <n v="28"/>
    <n v="634.4"/>
    <s v=""/>
    <x v="1"/>
  </r>
  <r>
    <s v="FB001586"/>
    <x v="2"/>
    <x v="7"/>
    <x v="3"/>
    <m/>
    <s v="Red"/>
    <n v="47.6"/>
    <n v="0"/>
    <n v="47.6"/>
    <x v="1"/>
    <n v="24"/>
    <n v="4.4000000000000004"/>
    <b v="1"/>
    <s v="Wrong Item"/>
    <n v="28"/>
    <n v="0"/>
    <n v="1"/>
    <x v="0"/>
  </r>
  <r>
    <s v="FB001587"/>
    <x v="4"/>
    <x v="0"/>
    <x v="2"/>
    <s v="L"/>
    <s v="Pink"/>
    <n v="33.22"/>
    <n v="38.4"/>
    <n v="20.46"/>
    <x v="1"/>
    <n v="11"/>
    <n v="2.9"/>
    <b v="0"/>
    <m/>
    <n v="28"/>
    <n v="422.4"/>
    <s v=""/>
    <x v="1"/>
  </r>
  <r>
    <s v="FB001588"/>
    <x v="2"/>
    <x v="1"/>
    <x v="1"/>
    <m/>
    <s v="Navy"/>
    <n v="65.97"/>
    <n v="6.8"/>
    <n v="61.48"/>
    <x v="1"/>
    <n v="41"/>
    <n v="4.3"/>
    <b v="0"/>
    <m/>
    <n v="28"/>
    <n v="278.8"/>
    <s v=""/>
    <x v="1"/>
  </r>
  <r>
    <s v="FB001589"/>
    <x v="1"/>
    <x v="4"/>
    <x v="0"/>
    <s v="L"/>
    <s v="Green"/>
    <n v="47.25"/>
    <n v="29"/>
    <n v="33.549999999999997"/>
    <x v="47"/>
    <n v="38"/>
    <n v="5"/>
    <b v="0"/>
    <m/>
    <n v="75"/>
    <n v="1102"/>
    <s v=""/>
    <x v="1"/>
  </r>
  <r>
    <s v="FB001590"/>
    <x v="1"/>
    <x v="7"/>
    <x v="0"/>
    <s v="XS"/>
    <s v="Green"/>
    <n v="93.74"/>
    <n v="0"/>
    <n v="93.74"/>
    <x v="61"/>
    <n v="39"/>
    <n v="4"/>
    <b v="0"/>
    <m/>
    <n v="250"/>
    <n v="0"/>
    <s v=""/>
    <x v="0"/>
  </r>
  <r>
    <s v="FB001591"/>
    <x v="4"/>
    <x v="7"/>
    <x v="3"/>
    <s v="XXL"/>
    <s v="White"/>
    <n v="31.57"/>
    <n v="0"/>
    <n v="31.57"/>
    <x v="1"/>
    <n v="2"/>
    <n v="3.1021739130434773"/>
    <b v="0"/>
    <m/>
    <n v="28"/>
    <n v="0"/>
    <s v=""/>
    <x v="0"/>
  </r>
  <r>
    <s v="FB001592"/>
    <x v="4"/>
    <x v="2"/>
    <x v="1"/>
    <s v="XXL"/>
    <s v="Brown"/>
    <n v="64.209999999999994"/>
    <n v="0"/>
    <n v="64.209999999999994"/>
    <x v="1"/>
    <n v="3"/>
    <n v="2.8"/>
    <b v="0"/>
    <m/>
    <n v="28"/>
    <n v="0"/>
    <s v=""/>
    <x v="0"/>
  </r>
  <r>
    <s v="FB001593"/>
    <x v="2"/>
    <x v="2"/>
    <x v="1"/>
    <m/>
    <s v="Green"/>
    <n v="56.13"/>
    <n v="8.1"/>
    <n v="51.58"/>
    <x v="1"/>
    <n v="12"/>
    <n v="3.8"/>
    <b v="0"/>
    <m/>
    <n v="28"/>
    <n v="97.199999999999989"/>
    <s v=""/>
    <x v="1"/>
  </r>
  <r>
    <s v="FB001594"/>
    <x v="1"/>
    <x v="1"/>
    <x v="3"/>
    <s v="XXL"/>
    <s v="Beige"/>
    <n v="70.89"/>
    <n v="0"/>
    <n v="70.89"/>
    <x v="1"/>
    <n v="14"/>
    <n v="4.7"/>
    <b v="1"/>
    <s v="Size Issue"/>
    <n v="28"/>
    <n v="0"/>
    <n v="1"/>
    <x v="0"/>
  </r>
  <r>
    <s v="FB001595"/>
    <x v="3"/>
    <x v="2"/>
    <x v="1"/>
    <s v="M"/>
    <s v="Purple"/>
    <n v="149.65"/>
    <n v="0"/>
    <n v="149.65"/>
    <x v="1"/>
    <n v="26"/>
    <n v="3.8"/>
    <b v="0"/>
    <m/>
    <n v="28"/>
    <n v="0"/>
    <s v=""/>
    <x v="0"/>
  </r>
  <r>
    <s v="FB001596"/>
    <x v="3"/>
    <x v="0"/>
    <x v="0"/>
    <s v="S"/>
    <s v="White"/>
    <n v="83.17"/>
    <n v="0"/>
    <n v="83.17"/>
    <x v="232"/>
    <n v="48"/>
    <n v="3.2"/>
    <b v="0"/>
    <m/>
    <n v="365"/>
    <n v="0"/>
    <s v=""/>
    <x v="0"/>
  </r>
  <r>
    <s v="FB001597"/>
    <x v="0"/>
    <x v="4"/>
    <x v="2"/>
    <s v="XL"/>
    <s v="Blue"/>
    <n v="121.56"/>
    <n v="0"/>
    <n v="121.56"/>
    <x v="1"/>
    <n v="18"/>
    <n v="3.3"/>
    <b v="0"/>
    <m/>
    <n v="28"/>
    <n v="0"/>
    <s v=""/>
    <x v="0"/>
  </r>
  <r>
    <s v="FB001598"/>
    <x v="4"/>
    <x v="0"/>
    <x v="1"/>
    <s v="M"/>
    <s v="Purple"/>
    <n v="48.62"/>
    <n v="0"/>
    <n v="48.62"/>
    <x v="1"/>
    <n v="3"/>
    <n v="2.9210526315789478"/>
    <b v="1"/>
    <s v="Damaged"/>
    <n v="28"/>
    <n v="0"/>
    <n v="1"/>
    <x v="0"/>
  </r>
  <r>
    <s v="FB001599"/>
    <x v="5"/>
    <x v="5"/>
    <x v="1"/>
    <s v="M"/>
    <s v="Blue"/>
    <n v="79.040000000000006"/>
    <n v="0"/>
    <n v="79.040000000000006"/>
    <x v="1"/>
    <n v="4"/>
    <n v="4.0999999999999996"/>
    <b v="0"/>
    <m/>
    <n v="28"/>
    <n v="0"/>
    <s v=""/>
    <x v="0"/>
  </r>
  <r>
    <s v="FB001600"/>
    <x v="0"/>
    <x v="3"/>
    <x v="0"/>
    <s v="XS"/>
    <s v="Gray"/>
    <n v="198.58"/>
    <n v="0"/>
    <n v="198.58"/>
    <x v="231"/>
    <n v="46"/>
    <n v="2.4137931034482762"/>
    <b v="0"/>
    <m/>
    <n v="222"/>
    <n v="0"/>
    <s v=""/>
    <x v="0"/>
  </r>
  <r>
    <s v="FB001601"/>
    <x v="0"/>
    <x v="2"/>
    <x v="3"/>
    <s v="M"/>
    <s v="Green"/>
    <n v="109.82"/>
    <n v="0"/>
    <n v="109.82"/>
    <x v="1"/>
    <n v="32"/>
    <n v="2.2999999999999998"/>
    <b v="0"/>
    <m/>
    <n v="28"/>
    <n v="0"/>
    <s v=""/>
    <x v="0"/>
  </r>
  <r>
    <s v="FB001602"/>
    <x v="2"/>
    <x v="2"/>
    <x v="3"/>
    <m/>
    <s v="Red"/>
    <n v="34.42"/>
    <n v="49.5"/>
    <n v="17.38"/>
    <x v="1"/>
    <n v="26"/>
    <n v="2.2000000000000002"/>
    <b v="0"/>
    <m/>
    <n v="28"/>
    <n v="1287"/>
    <s v=""/>
    <x v="1"/>
  </r>
  <r>
    <s v="FB001603"/>
    <x v="3"/>
    <x v="0"/>
    <x v="1"/>
    <m/>
    <s v="Gray"/>
    <n v="112.1"/>
    <n v="0"/>
    <n v="112.1"/>
    <x v="1"/>
    <n v="5"/>
    <n v="2"/>
    <b v="1"/>
    <s v="Color Mismatch"/>
    <n v="28"/>
    <n v="0"/>
    <n v="1"/>
    <x v="0"/>
  </r>
  <r>
    <s v="FB001604"/>
    <x v="4"/>
    <x v="6"/>
    <x v="2"/>
    <s v="XS"/>
    <s v="White"/>
    <n v="25.07"/>
    <n v="0"/>
    <n v="25.07"/>
    <x v="1"/>
    <n v="9"/>
    <n v="2.5"/>
    <b v="0"/>
    <m/>
    <n v="28"/>
    <n v="0"/>
    <s v=""/>
    <x v="0"/>
  </r>
  <r>
    <s v="FB001605"/>
    <x v="5"/>
    <x v="1"/>
    <x v="0"/>
    <s v="XL"/>
    <s v="Green"/>
    <n v="170.38"/>
    <n v="0"/>
    <n v="170.38"/>
    <x v="233"/>
    <n v="23"/>
    <n v="4.3"/>
    <b v="0"/>
    <m/>
    <n v="363"/>
    <n v="0"/>
    <s v=""/>
    <x v="0"/>
  </r>
  <r>
    <s v="FB001606"/>
    <x v="5"/>
    <x v="3"/>
    <x v="1"/>
    <s v="XXL"/>
    <s v="Green"/>
    <n v="77.319999999999993"/>
    <n v="0"/>
    <n v="77.319999999999993"/>
    <x v="1"/>
    <n v="30"/>
    <n v="2.2000000000000002"/>
    <b v="1"/>
    <s v="Color Mismatch"/>
    <n v="28"/>
    <n v="0"/>
    <n v="1"/>
    <x v="0"/>
  </r>
  <r>
    <s v="FB001607"/>
    <x v="3"/>
    <x v="3"/>
    <x v="1"/>
    <s v="XS"/>
    <s v="Black"/>
    <n v="111.88"/>
    <n v="0"/>
    <n v="111.88"/>
    <x v="1"/>
    <n v="17"/>
    <n v="4.5999999999999996"/>
    <b v="0"/>
    <m/>
    <n v="28"/>
    <n v="0"/>
    <s v=""/>
    <x v="0"/>
  </r>
  <r>
    <s v="FB001608"/>
    <x v="2"/>
    <x v="7"/>
    <x v="2"/>
    <m/>
    <s v="Black"/>
    <n v="24.71"/>
    <n v="0"/>
    <n v="24.71"/>
    <x v="1"/>
    <n v="37"/>
    <n v="2.8636363636363633"/>
    <b v="0"/>
    <m/>
    <n v="28"/>
    <n v="0"/>
    <s v=""/>
    <x v="0"/>
  </r>
  <r>
    <s v="FB001609"/>
    <x v="1"/>
    <x v="1"/>
    <x v="0"/>
    <s v="XL"/>
    <s v="Red"/>
    <n v="61.42"/>
    <n v="0"/>
    <n v="61.42"/>
    <x v="234"/>
    <n v="41"/>
    <n v="3.5"/>
    <b v="0"/>
    <m/>
    <n v="377"/>
    <n v="0"/>
    <s v=""/>
    <x v="0"/>
  </r>
  <r>
    <s v="FB001610"/>
    <x v="2"/>
    <x v="6"/>
    <x v="2"/>
    <m/>
    <s v="Blue"/>
    <n v="60.48"/>
    <n v="7.3"/>
    <n v="56.06"/>
    <x v="1"/>
    <n v="46"/>
    <n v="3.6"/>
    <b v="0"/>
    <m/>
    <n v="28"/>
    <n v="335.8"/>
    <s v=""/>
    <x v="1"/>
  </r>
  <r>
    <s v="FB001611"/>
    <x v="2"/>
    <x v="3"/>
    <x v="2"/>
    <m/>
    <s v="Purple"/>
    <n v="34.94"/>
    <n v="5.2"/>
    <n v="33.119999999999997"/>
    <x v="1"/>
    <n v="18"/>
    <n v="2.5131578947368416"/>
    <b v="0"/>
    <m/>
    <n v="28"/>
    <n v="93.600000000000009"/>
    <s v=""/>
    <x v="1"/>
  </r>
  <r>
    <s v="FB001612"/>
    <x v="4"/>
    <x v="2"/>
    <x v="0"/>
    <s v="XL"/>
    <s v="Red"/>
    <n v="30.51"/>
    <n v="0"/>
    <n v="30.51"/>
    <x v="32"/>
    <n v="17"/>
    <n v="1.2"/>
    <b v="0"/>
    <m/>
    <n v="232"/>
    <n v="0"/>
    <s v=""/>
    <x v="0"/>
  </r>
  <r>
    <s v="FB001613"/>
    <x v="5"/>
    <x v="2"/>
    <x v="1"/>
    <s v="XXL"/>
    <s v="Navy"/>
    <n v="65.540000000000006"/>
    <n v="40.299999999999997"/>
    <n v="39.130000000000003"/>
    <x v="1"/>
    <n v="27"/>
    <n v="1.2"/>
    <b v="0"/>
    <m/>
    <n v="28"/>
    <n v="1088.0999999999999"/>
    <s v=""/>
    <x v="1"/>
  </r>
  <r>
    <s v="FB001614"/>
    <x v="3"/>
    <x v="7"/>
    <x v="3"/>
    <s v="S"/>
    <s v="Beige"/>
    <n v="114.37"/>
    <n v="43.2"/>
    <n v="64.959999999999994"/>
    <x v="1"/>
    <n v="16"/>
    <n v="1.4"/>
    <b v="0"/>
    <m/>
    <n v="28"/>
    <n v="691.2"/>
    <s v=""/>
    <x v="1"/>
  </r>
  <r>
    <s v="FB001615"/>
    <x v="5"/>
    <x v="3"/>
    <x v="0"/>
    <s v="S"/>
    <s v="White"/>
    <n v="145.80000000000001"/>
    <n v="0"/>
    <n v="145.80000000000001"/>
    <x v="70"/>
    <n v="13"/>
    <n v="4"/>
    <b v="0"/>
    <m/>
    <n v="341"/>
    <n v="0"/>
    <s v=""/>
    <x v="0"/>
  </r>
  <r>
    <s v="FB001616"/>
    <x v="3"/>
    <x v="0"/>
    <x v="3"/>
    <s v="S"/>
    <s v="Red"/>
    <n v="121.43"/>
    <n v="44.1"/>
    <n v="67.88"/>
    <x v="1"/>
    <n v="2"/>
    <n v="4.4000000000000004"/>
    <b v="0"/>
    <m/>
    <n v="28"/>
    <n v="88.2"/>
    <s v=""/>
    <x v="1"/>
  </r>
  <r>
    <s v="FB001617"/>
    <x v="3"/>
    <x v="7"/>
    <x v="3"/>
    <s v="XXL"/>
    <s v="Green"/>
    <n v="94.49"/>
    <n v="0"/>
    <n v="94.49"/>
    <x v="1"/>
    <n v="30"/>
    <n v="1.5"/>
    <b v="0"/>
    <m/>
    <n v="28"/>
    <n v="0"/>
    <s v=""/>
    <x v="0"/>
  </r>
  <r>
    <s v="FB001618"/>
    <x v="0"/>
    <x v="7"/>
    <x v="2"/>
    <s v="M"/>
    <s v="Purple"/>
    <n v="218.64"/>
    <n v="0"/>
    <n v="218.64"/>
    <x v="1"/>
    <n v="5"/>
    <n v="2.9718749999999998"/>
    <b v="0"/>
    <m/>
    <n v="28"/>
    <n v="0"/>
    <s v=""/>
    <x v="0"/>
  </r>
  <r>
    <s v="FB001619"/>
    <x v="0"/>
    <x v="1"/>
    <x v="2"/>
    <s v="S"/>
    <s v="Black"/>
    <n v="80.41"/>
    <n v="11.9"/>
    <n v="70.84"/>
    <x v="1"/>
    <n v="35"/>
    <n v="1.5"/>
    <b v="0"/>
    <m/>
    <n v="28"/>
    <n v="416.5"/>
    <s v=""/>
    <x v="1"/>
  </r>
  <r>
    <s v="FB001620"/>
    <x v="3"/>
    <x v="6"/>
    <x v="1"/>
    <s v="XL"/>
    <s v="Beige"/>
    <n v="183.3"/>
    <n v="0"/>
    <n v="183.3"/>
    <x v="1"/>
    <n v="7"/>
    <n v="2"/>
    <b v="0"/>
    <m/>
    <n v="28"/>
    <n v="0"/>
    <s v=""/>
    <x v="0"/>
  </r>
  <r>
    <s v="FB001621"/>
    <x v="0"/>
    <x v="1"/>
    <x v="2"/>
    <s v="XS"/>
    <s v="White"/>
    <n v="241.81"/>
    <n v="0"/>
    <n v="241.81"/>
    <x v="1"/>
    <n v="38"/>
    <n v="3.5"/>
    <b v="0"/>
    <m/>
    <n v="28"/>
    <n v="0"/>
    <s v=""/>
    <x v="0"/>
  </r>
  <r>
    <s v="FB001622"/>
    <x v="0"/>
    <x v="3"/>
    <x v="0"/>
    <s v="XS"/>
    <s v="White"/>
    <n v="216.46"/>
    <n v="28.8"/>
    <n v="154.12"/>
    <x v="205"/>
    <n v="43"/>
    <n v="1.3"/>
    <b v="0"/>
    <m/>
    <n v="387"/>
    <n v="1238.4000000000001"/>
    <s v=""/>
    <x v="1"/>
  </r>
  <r>
    <s v="FB001623"/>
    <x v="5"/>
    <x v="1"/>
    <x v="0"/>
    <s v="S"/>
    <s v="Pink"/>
    <n v="63.07"/>
    <n v="53.6"/>
    <n v="29.26"/>
    <x v="235"/>
    <n v="4"/>
    <n v="1.5"/>
    <b v="1"/>
    <s v="Color Mismatch"/>
    <n v="106"/>
    <n v="214.4"/>
    <n v="1"/>
    <x v="1"/>
  </r>
  <r>
    <s v="FB001624"/>
    <x v="2"/>
    <x v="2"/>
    <x v="0"/>
    <m/>
    <s v="Green"/>
    <n v="44.7"/>
    <n v="0"/>
    <n v="44.7"/>
    <x v="163"/>
    <n v="29"/>
    <n v="3.2"/>
    <b v="0"/>
    <m/>
    <n v="170"/>
    <n v="0"/>
    <s v=""/>
    <x v="0"/>
  </r>
  <r>
    <s v="FB001625"/>
    <x v="1"/>
    <x v="0"/>
    <x v="2"/>
    <s v="XXL"/>
    <s v="White"/>
    <n v="28.23"/>
    <n v="40.299999999999997"/>
    <n v="16.850000000000001"/>
    <x v="1"/>
    <n v="21"/>
    <n v="2.7"/>
    <b v="0"/>
    <m/>
    <n v="28"/>
    <n v="846.3"/>
    <s v=""/>
    <x v="1"/>
  </r>
  <r>
    <s v="FB001626"/>
    <x v="3"/>
    <x v="5"/>
    <x v="2"/>
    <s v="XXL"/>
    <s v="Green"/>
    <n v="131.94"/>
    <n v="27.3"/>
    <n v="95.92"/>
    <x v="1"/>
    <n v="6"/>
    <n v="2.8"/>
    <b v="1"/>
    <s v="Damaged"/>
    <n v="28"/>
    <n v="163.80000000000001"/>
    <n v="1"/>
    <x v="1"/>
  </r>
  <r>
    <s v="FB001627"/>
    <x v="0"/>
    <x v="7"/>
    <x v="2"/>
    <s v="M"/>
    <s v="Blue"/>
    <n v="166.85"/>
    <n v="30.9"/>
    <n v="115.29"/>
    <x v="1"/>
    <n v="14"/>
    <n v="4.2"/>
    <b v="1"/>
    <s v="Changed Mind"/>
    <n v="28"/>
    <n v="432.59999999999997"/>
    <n v="1"/>
    <x v="1"/>
  </r>
  <r>
    <s v="FB001628"/>
    <x v="1"/>
    <x v="2"/>
    <x v="1"/>
    <s v="S"/>
    <s v="Navy"/>
    <n v="39.58"/>
    <n v="30.9"/>
    <n v="27.35"/>
    <x v="1"/>
    <n v="17"/>
    <n v="2.5"/>
    <b v="0"/>
    <m/>
    <n v="28"/>
    <n v="525.29999999999995"/>
    <s v=""/>
    <x v="1"/>
  </r>
  <r>
    <s v="FB001629"/>
    <x v="0"/>
    <x v="1"/>
    <x v="3"/>
    <s v="M"/>
    <s v="Blue"/>
    <n v="89.55"/>
    <n v="58"/>
    <n v="37.61"/>
    <x v="1"/>
    <n v="21"/>
    <n v="2.6"/>
    <b v="0"/>
    <m/>
    <n v="28"/>
    <n v="1218"/>
    <s v=""/>
    <x v="1"/>
  </r>
  <r>
    <s v="FB001630"/>
    <x v="0"/>
    <x v="3"/>
    <x v="2"/>
    <s v="M"/>
    <s v="Purple"/>
    <n v="138.55000000000001"/>
    <n v="0"/>
    <n v="138.55000000000001"/>
    <x v="1"/>
    <n v="25"/>
    <n v="2"/>
    <b v="0"/>
    <m/>
    <n v="28"/>
    <n v="0"/>
    <s v=""/>
    <x v="0"/>
  </r>
  <r>
    <s v="FB001631"/>
    <x v="2"/>
    <x v="1"/>
    <x v="2"/>
    <m/>
    <s v="Beige"/>
    <n v="43.84"/>
    <n v="0"/>
    <n v="43.84"/>
    <x v="1"/>
    <n v="28"/>
    <n v="2.8"/>
    <b v="0"/>
    <m/>
    <n v="28"/>
    <n v="0"/>
    <s v=""/>
    <x v="0"/>
  </r>
  <r>
    <s v="FB001632"/>
    <x v="1"/>
    <x v="7"/>
    <x v="2"/>
    <s v="XL"/>
    <s v="Brown"/>
    <n v="63.72"/>
    <n v="17.8"/>
    <n v="52.38"/>
    <x v="1"/>
    <n v="45"/>
    <n v="2.4"/>
    <b v="0"/>
    <m/>
    <n v="28"/>
    <n v="801"/>
    <s v=""/>
    <x v="1"/>
  </r>
  <r>
    <s v="FB001633"/>
    <x v="2"/>
    <x v="0"/>
    <x v="0"/>
    <m/>
    <s v="Red"/>
    <n v="74.61"/>
    <n v="0"/>
    <n v="74.61"/>
    <x v="236"/>
    <n v="38"/>
    <n v="2.8"/>
    <b v="0"/>
    <m/>
    <n v="128"/>
    <n v="0"/>
    <s v=""/>
    <x v="0"/>
  </r>
  <r>
    <s v="FB001634"/>
    <x v="3"/>
    <x v="1"/>
    <x v="0"/>
    <s v="S"/>
    <s v="Gray"/>
    <n v="148.24"/>
    <n v="10.9"/>
    <n v="132.08000000000001"/>
    <x v="237"/>
    <n v="44"/>
    <n v="1.3"/>
    <b v="0"/>
    <m/>
    <n v="372"/>
    <n v="479.6"/>
    <s v=""/>
    <x v="1"/>
  </r>
  <r>
    <s v="FB001635"/>
    <x v="1"/>
    <x v="6"/>
    <x v="0"/>
    <s v="XL"/>
    <s v="Gray"/>
    <n v="93.46"/>
    <n v="0"/>
    <n v="93.46"/>
    <x v="238"/>
    <n v="20"/>
    <n v="2.2000000000000002"/>
    <b v="0"/>
    <m/>
    <n v="203"/>
    <n v="0"/>
    <s v=""/>
    <x v="0"/>
  </r>
  <r>
    <s v="FB001636"/>
    <x v="0"/>
    <x v="1"/>
    <x v="3"/>
    <s v="XXL"/>
    <s v="Red"/>
    <n v="245.31"/>
    <n v="44.1"/>
    <n v="137.13"/>
    <x v="1"/>
    <n v="44"/>
    <n v="3.15"/>
    <b v="0"/>
    <m/>
    <n v="28"/>
    <n v="1940.4"/>
    <s v=""/>
    <x v="1"/>
  </r>
  <r>
    <s v="FB001637"/>
    <x v="1"/>
    <x v="2"/>
    <x v="0"/>
    <s v="XXL"/>
    <s v="Red"/>
    <n v="43.38"/>
    <n v="45.9"/>
    <n v="23.47"/>
    <x v="51"/>
    <n v="47"/>
    <n v="3.7"/>
    <b v="1"/>
    <s v="Changed Mind"/>
    <n v="274"/>
    <n v="2157.2999999999997"/>
    <n v="1"/>
    <x v="1"/>
  </r>
  <r>
    <s v="FB001638"/>
    <x v="2"/>
    <x v="5"/>
    <x v="2"/>
    <m/>
    <s v="Black"/>
    <n v="40.04"/>
    <n v="45.5"/>
    <n v="21.82"/>
    <x v="1"/>
    <n v="50"/>
    <n v="2.2000000000000002"/>
    <b v="0"/>
    <m/>
    <n v="28"/>
    <n v="2275"/>
    <s v=""/>
    <x v="1"/>
  </r>
  <r>
    <s v="FB001639"/>
    <x v="0"/>
    <x v="4"/>
    <x v="2"/>
    <s v="M"/>
    <s v="Beige"/>
    <n v="209.68"/>
    <n v="3.6"/>
    <n v="202.13"/>
    <x v="1"/>
    <n v="18"/>
    <n v="4.0999999999999996"/>
    <b v="0"/>
    <m/>
    <n v="28"/>
    <n v="64.8"/>
    <s v=""/>
    <x v="1"/>
  </r>
  <r>
    <s v="FB001640"/>
    <x v="2"/>
    <x v="3"/>
    <x v="1"/>
    <m/>
    <s v="Brown"/>
    <n v="38.08"/>
    <n v="0"/>
    <n v="38.08"/>
    <x v="1"/>
    <n v="0"/>
    <n v="1.6"/>
    <b v="0"/>
    <m/>
    <n v="28"/>
    <n v="0"/>
    <s v=""/>
    <x v="0"/>
  </r>
  <r>
    <s v="FB001641"/>
    <x v="0"/>
    <x v="5"/>
    <x v="0"/>
    <s v="XXL"/>
    <s v="Beige"/>
    <n v="123.04"/>
    <n v="0"/>
    <n v="123.04"/>
    <x v="196"/>
    <n v="13"/>
    <n v="1.2"/>
    <b v="0"/>
    <m/>
    <n v="151"/>
    <n v="0"/>
    <s v=""/>
    <x v="0"/>
  </r>
  <r>
    <s v="FB001642"/>
    <x v="2"/>
    <x v="1"/>
    <x v="3"/>
    <m/>
    <s v="Pink"/>
    <n v="39.94"/>
    <n v="0"/>
    <n v="39.94"/>
    <x v="1"/>
    <n v="32"/>
    <n v="3.1"/>
    <b v="0"/>
    <m/>
    <n v="28"/>
    <n v="0"/>
    <s v=""/>
    <x v="0"/>
  </r>
  <r>
    <s v="FB001643"/>
    <x v="5"/>
    <x v="4"/>
    <x v="3"/>
    <s v="M"/>
    <s v="Gray"/>
    <n v="80.19"/>
    <n v="0"/>
    <n v="80.19"/>
    <x v="1"/>
    <n v="43"/>
    <n v="3.8"/>
    <b v="0"/>
    <m/>
    <n v="28"/>
    <n v="0"/>
    <s v=""/>
    <x v="0"/>
  </r>
  <r>
    <s v="FB001644"/>
    <x v="1"/>
    <x v="1"/>
    <x v="0"/>
    <s v="XXL"/>
    <s v="Purple"/>
    <n v="35.03"/>
    <n v="10.1"/>
    <n v="31.49"/>
    <x v="204"/>
    <n v="5"/>
    <n v="3.8"/>
    <b v="0"/>
    <m/>
    <n v="96"/>
    <n v="50.5"/>
    <s v=""/>
    <x v="1"/>
  </r>
  <r>
    <s v="FB001645"/>
    <x v="1"/>
    <x v="4"/>
    <x v="3"/>
    <s v="M"/>
    <s v="Black"/>
    <n v="27.64"/>
    <n v="29"/>
    <n v="19.62"/>
    <x v="1"/>
    <n v="19"/>
    <n v="1"/>
    <b v="0"/>
    <m/>
    <n v="28"/>
    <n v="551"/>
    <s v=""/>
    <x v="1"/>
  </r>
  <r>
    <s v="FB001646"/>
    <x v="0"/>
    <x v="3"/>
    <x v="0"/>
    <s v="M"/>
    <s v="Navy"/>
    <n v="187.63"/>
    <n v="0"/>
    <n v="187.63"/>
    <x v="5"/>
    <n v="25"/>
    <n v="1.8"/>
    <b v="0"/>
    <m/>
    <n v="131"/>
    <n v="0"/>
    <s v=""/>
    <x v="0"/>
  </r>
  <r>
    <s v="FB001647"/>
    <x v="0"/>
    <x v="4"/>
    <x v="1"/>
    <s v="XXL"/>
    <s v="Black"/>
    <n v="193.17"/>
    <n v="34.6"/>
    <n v="126.33"/>
    <x v="1"/>
    <n v="26"/>
    <n v="2.9228571428571426"/>
    <b v="0"/>
    <m/>
    <n v="28"/>
    <n v="899.6"/>
    <s v=""/>
    <x v="1"/>
  </r>
  <r>
    <s v="FB001648"/>
    <x v="3"/>
    <x v="2"/>
    <x v="0"/>
    <s v="M"/>
    <s v="Black"/>
    <n v="157.78"/>
    <n v="40.200000000000003"/>
    <n v="94.35"/>
    <x v="144"/>
    <n v="23"/>
    <n v="3.1"/>
    <b v="0"/>
    <m/>
    <n v="32"/>
    <n v="924.6"/>
    <s v=""/>
    <x v="1"/>
  </r>
  <r>
    <s v="FB001649"/>
    <x v="3"/>
    <x v="0"/>
    <x v="1"/>
    <s v="L"/>
    <s v="Black"/>
    <n v="119.14"/>
    <n v="7.8"/>
    <n v="109.85"/>
    <x v="1"/>
    <n v="20"/>
    <n v="3.1"/>
    <b v="0"/>
    <m/>
    <n v="28"/>
    <n v="156"/>
    <s v=""/>
    <x v="1"/>
  </r>
  <r>
    <s v="FB001650"/>
    <x v="5"/>
    <x v="7"/>
    <x v="1"/>
    <s v="M"/>
    <s v="White"/>
    <n v="150.08000000000001"/>
    <n v="4.8"/>
    <n v="142.88"/>
    <x v="1"/>
    <n v="24"/>
    <n v="1.7"/>
    <b v="0"/>
    <m/>
    <n v="28"/>
    <n v="115.19999999999999"/>
    <s v=""/>
    <x v="1"/>
  </r>
  <r>
    <s v="FB001651"/>
    <x v="5"/>
    <x v="1"/>
    <x v="3"/>
    <s v="L"/>
    <s v="Blue"/>
    <n v="153.18"/>
    <n v="0"/>
    <n v="153.18"/>
    <x v="1"/>
    <n v="26"/>
    <n v="1.1000000000000001"/>
    <b v="0"/>
    <m/>
    <n v="28"/>
    <n v="0"/>
    <s v=""/>
    <x v="0"/>
  </r>
  <r>
    <s v="FB001652"/>
    <x v="1"/>
    <x v="2"/>
    <x v="1"/>
    <s v="S"/>
    <s v="Pink"/>
    <n v="118.69"/>
    <n v="47.7"/>
    <n v="62.07"/>
    <x v="1"/>
    <n v="11"/>
    <n v="2.8"/>
    <b v="0"/>
    <m/>
    <n v="28"/>
    <n v="524.70000000000005"/>
    <s v=""/>
    <x v="1"/>
  </r>
  <r>
    <s v="FB001653"/>
    <x v="2"/>
    <x v="4"/>
    <x v="0"/>
    <m/>
    <s v="Navy"/>
    <n v="50.12"/>
    <n v="0"/>
    <n v="50.12"/>
    <x v="239"/>
    <n v="27"/>
    <n v="2.4"/>
    <b v="0"/>
    <m/>
    <n v="178"/>
    <n v="0"/>
    <s v=""/>
    <x v="0"/>
  </r>
  <r>
    <s v="FB001654"/>
    <x v="5"/>
    <x v="6"/>
    <x v="0"/>
    <s v="XS"/>
    <s v="Blue"/>
    <n v="93.68"/>
    <n v="59.5"/>
    <n v="37.94"/>
    <x v="240"/>
    <n v="21"/>
    <n v="2.980952380952381"/>
    <b v="0"/>
    <m/>
    <n v="132"/>
    <n v="1249.5"/>
    <s v=""/>
    <x v="1"/>
  </r>
  <r>
    <s v="FB001655"/>
    <x v="1"/>
    <x v="1"/>
    <x v="3"/>
    <s v="S"/>
    <s v="Red"/>
    <n v="50.49"/>
    <n v="0"/>
    <n v="50.49"/>
    <x v="1"/>
    <n v="30"/>
    <n v="4.0999999999999996"/>
    <b v="0"/>
    <m/>
    <n v="28"/>
    <n v="0"/>
    <s v=""/>
    <x v="0"/>
  </r>
  <r>
    <s v="FB001656"/>
    <x v="3"/>
    <x v="3"/>
    <x v="3"/>
    <s v="XS"/>
    <s v="White"/>
    <n v="97.9"/>
    <n v="0"/>
    <n v="97.9"/>
    <x v="1"/>
    <n v="29"/>
    <n v="1.3"/>
    <b v="0"/>
    <m/>
    <n v="28"/>
    <n v="0"/>
    <s v=""/>
    <x v="0"/>
  </r>
  <r>
    <s v="FB001657"/>
    <x v="1"/>
    <x v="1"/>
    <x v="3"/>
    <s v="S"/>
    <s v="Gray"/>
    <n v="69"/>
    <n v="0"/>
    <n v="69"/>
    <x v="1"/>
    <n v="32"/>
    <n v="4.5"/>
    <b v="0"/>
    <m/>
    <n v="28"/>
    <n v="0"/>
    <s v=""/>
    <x v="0"/>
  </r>
  <r>
    <s v="FB001658"/>
    <x v="2"/>
    <x v="3"/>
    <x v="2"/>
    <m/>
    <s v="Purple"/>
    <n v="30.2"/>
    <n v="27.1"/>
    <n v="22.02"/>
    <x v="1"/>
    <n v="15"/>
    <n v="2.5131578947368416"/>
    <b v="0"/>
    <m/>
    <n v="28"/>
    <n v="406.5"/>
    <s v=""/>
    <x v="1"/>
  </r>
  <r>
    <s v="FB001659"/>
    <x v="1"/>
    <x v="2"/>
    <x v="1"/>
    <s v="L"/>
    <s v="Beige"/>
    <n v="84.92"/>
    <n v="59.1"/>
    <n v="34.729999999999997"/>
    <x v="1"/>
    <n v="42"/>
    <n v="2.953125"/>
    <b v="0"/>
    <m/>
    <n v="28"/>
    <n v="2482.2000000000003"/>
    <s v=""/>
    <x v="1"/>
  </r>
  <r>
    <s v="FB001660"/>
    <x v="1"/>
    <x v="7"/>
    <x v="2"/>
    <s v="XS"/>
    <s v="White"/>
    <n v="116.48"/>
    <n v="0"/>
    <n v="116.48"/>
    <x v="1"/>
    <n v="3"/>
    <n v="1.5"/>
    <b v="0"/>
    <m/>
    <n v="28"/>
    <n v="0"/>
    <s v=""/>
    <x v="0"/>
  </r>
  <r>
    <s v="FB001661"/>
    <x v="1"/>
    <x v="4"/>
    <x v="3"/>
    <s v="XL"/>
    <s v="Navy"/>
    <n v="40.68"/>
    <n v="0"/>
    <n v="40.68"/>
    <x v="1"/>
    <n v="41"/>
    <n v="1.1000000000000001"/>
    <b v="1"/>
    <s v="Changed Mind"/>
    <n v="28"/>
    <n v="0"/>
    <n v="1"/>
    <x v="0"/>
  </r>
  <r>
    <s v="FB001662"/>
    <x v="0"/>
    <x v="5"/>
    <x v="3"/>
    <s v="XL"/>
    <s v="Black"/>
    <n v="118.92"/>
    <n v="0"/>
    <n v="118.92"/>
    <x v="1"/>
    <n v="36"/>
    <n v="1.8"/>
    <b v="1"/>
    <s v="Wrong Item"/>
    <n v="28"/>
    <n v="0"/>
    <n v="1"/>
    <x v="0"/>
  </r>
  <r>
    <s v="FB001663"/>
    <x v="4"/>
    <x v="5"/>
    <x v="3"/>
    <s v="XXL"/>
    <s v="Black"/>
    <n v="26.86"/>
    <n v="0"/>
    <n v="26.86"/>
    <x v="1"/>
    <n v="18"/>
    <n v="3.2"/>
    <b v="0"/>
    <m/>
    <n v="28"/>
    <n v="0"/>
    <s v=""/>
    <x v="0"/>
  </r>
  <r>
    <s v="FB001664"/>
    <x v="5"/>
    <x v="2"/>
    <x v="2"/>
    <s v="S"/>
    <s v="Green"/>
    <n v="113.34"/>
    <n v="0"/>
    <n v="113.34"/>
    <x v="1"/>
    <n v="13"/>
    <n v="2.9000000000000008"/>
    <b v="0"/>
    <m/>
    <n v="28"/>
    <n v="0"/>
    <s v=""/>
    <x v="0"/>
  </r>
  <r>
    <s v="FB001665"/>
    <x v="1"/>
    <x v="6"/>
    <x v="3"/>
    <s v="L"/>
    <s v="Black"/>
    <n v="40.520000000000003"/>
    <n v="8.9"/>
    <n v="36.909999999999997"/>
    <x v="1"/>
    <n v="13"/>
    <n v="2.5"/>
    <b v="0"/>
    <m/>
    <n v="28"/>
    <n v="115.7"/>
    <s v=""/>
    <x v="1"/>
  </r>
  <r>
    <s v="FB001666"/>
    <x v="4"/>
    <x v="7"/>
    <x v="3"/>
    <s v="L"/>
    <s v="Pink"/>
    <n v="98.41"/>
    <n v="0"/>
    <n v="98.41"/>
    <x v="1"/>
    <n v="7"/>
    <n v="4.5999999999999996"/>
    <b v="0"/>
    <m/>
    <n v="28"/>
    <n v="0"/>
    <s v=""/>
    <x v="0"/>
  </r>
  <r>
    <s v="FB001667"/>
    <x v="4"/>
    <x v="7"/>
    <x v="1"/>
    <s v="XS"/>
    <s v="Red"/>
    <n v="83.18"/>
    <n v="0"/>
    <n v="83.18"/>
    <x v="1"/>
    <n v="17"/>
    <n v="1.7"/>
    <b v="1"/>
    <s v="Size Issue"/>
    <n v="28"/>
    <n v="0"/>
    <n v="1"/>
    <x v="0"/>
  </r>
  <r>
    <s v="FB001668"/>
    <x v="3"/>
    <x v="4"/>
    <x v="0"/>
    <s v="XXL"/>
    <s v="Purple"/>
    <n v="179.31"/>
    <n v="24.1"/>
    <n v="136.1"/>
    <x v="241"/>
    <n v="0"/>
    <n v="3.1"/>
    <b v="0"/>
    <m/>
    <n v="52"/>
    <n v="0"/>
    <s v=""/>
    <x v="1"/>
  </r>
  <r>
    <s v="FB001669"/>
    <x v="1"/>
    <x v="0"/>
    <x v="0"/>
    <s v="XXL"/>
    <s v="Green"/>
    <n v="47.88"/>
    <n v="0"/>
    <n v="47.88"/>
    <x v="152"/>
    <n v="44"/>
    <n v="1.9"/>
    <b v="0"/>
    <m/>
    <n v="256"/>
    <n v="0"/>
    <s v=""/>
    <x v="0"/>
  </r>
  <r>
    <s v="FB001670"/>
    <x v="0"/>
    <x v="3"/>
    <x v="1"/>
    <s v="XL"/>
    <s v="Navy"/>
    <n v="89.26"/>
    <n v="0"/>
    <n v="89.26"/>
    <x v="1"/>
    <n v="43"/>
    <n v="3.8"/>
    <b v="0"/>
    <m/>
    <n v="28"/>
    <n v="0"/>
    <s v=""/>
    <x v="0"/>
  </r>
  <r>
    <s v="FB001671"/>
    <x v="5"/>
    <x v="6"/>
    <x v="3"/>
    <s v="XXL"/>
    <s v="Black"/>
    <n v="114.2"/>
    <n v="0"/>
    <n v="114.2"/>
    <x v="1"/>
    <n v="15"/>
    <n v="2.980952380952381"/>
    <b v="0"/>
    <m/>
    <n v="28"/>
    <n v="0"/>
    <s v=""/>
    <x v="0"/>
  </r>
  <r>
    <s v="FB001672"/>
    <x v="3"/>
    <x v="6"/>
    <x v="3"/>
    <s v="L"/>
    <s v="Green"/>
    <n v="169.5"/>
    <n v="59.7"/>
    <n v="68.31"/>
    <x v="1"/>
    <n v="16"/>
    <n v="1.8"/>
    <b v="0"/>
    <m/>
    <n v="28"/>
    <n v="955.2"/>
    <s v=""/>
    <x v="1"/>
  </r>
  <r>
    <s v="FB001673"/>
    <x v="1"/>
    <x v="4"/>
    <x v="2"/>
    <s v="XS"/>
    <s v="White"/>
    <n v="77.989999999999995"/>
    <n v="0"/>
    <n v="77.989999999999995"/>
    <x v="1"/>
    <n v="42"/>
    <n v="2.9657142857142857"/>
    <b v="0"/>
    <m/>
    <n v="28"/>
    <n v="0"/>
    <s v=""/>
    <x v="0"/>
  </r>
  <r>
    <s v="FB001674"/>
    <x v="4"/>
    <x v="5"/>
    <x v="2"/>
    <m/>
    <s v="Pink"/>
    <n v="103.77"/>
    <n v="0"/>
    <n v="103.77"/>
    <x v="1"/>
    <n v="12"/>
    <n v="4.4000000000000004"/>
    <b v="0"/>
    <m/>
    <n v="28"/>
    <n v="0"/>
    <s v=""/>
    <x v="0"/>
  </r>
  <r>
    <s v="FB001675"/>
    <x v="2"/>
    <x v="7"/>
    <x v="2"/>
    <m/>
    <s v="Black"/>
    <n v="42.96"/>
    <n v="0"/>
    <n v="42.96"/>
    <x v="1"/>
    <n v="36"/>
    <n v="1.1000000000000001"/>
    <b v="0"/>
    <m/>
    <n v="28"/>
    <n v="0"/>
    <s v=""/>
    <x v="0"/>
  </r>
  <r>
    <s v="FB001676"/>
    <x v="5"/>
    <x v="2"/>
    <x v="2"/>
    <m/>
    <s v="Brown"/>
    <n v="126.11"/>
    <n v="0"/>
    <n v="126.11"/>
    <x v="1"/>
    <n v="16"/>
    <n v="3.5"/>
    <b v="0"/>
    <m/>
    <n v="28"/>
    <n v="0"/>
    <s v=""/>
    <x v="0"/>
  </r>
  <r>
    <s v="FB001677"/>
    <x v="2"/>
    <x v="2"/>
    <x v="3"/>
    <m/>
    <s v="Beige"/>
    <n v="43.83"/>
    <n v="0"/>
    <n v="43.83"/>
    <x v="1"/>
    <n v="31"/>
    <n v="2.5"/>
    <b v="0"/>
    <m/>
    <n v="28"/>
    <n v="0"/>
    <s v=""/>
    <x v="0"/>
  </r>
  <r>
    <s v="FB001678"/>
    <x v="3"/>
    <x v="2"/>
    <x v="2"/>
    <s v="S"/>
    <s v="Beige"/>
    <n v="94.1"/>
    <n v="0"/>
    <n v="94.1"/>
    <x v="1"/>
    <n v="24"/>
    <n v="1.4"/>
    <b v="0"/>
    <m/>
    <n v="28"/>
    <n v="0"/>
    <s v=""/>
    <x v="0"/>
  </r>
  <r>
    <s v="FB001679"/>
    <x v="3"/>
    <x v="0"/>
    <x v="2"/>
    <s v="M"/>
    <s v="Red"/>
    <n v="151.27000000000001"/>
    <n v="0"/>
    <n v="151.27000000000001"/>
    <x v="1"/>
    <n v="39"/>
    <n v="4"/>
    <b v="1"/>
    <s v="Damaged"/>
    <n v="28"/>
    <n v="0"/>
    <n v="1"/>
    <x v="0"/>
  </r>
  <r>
    <s v="FB001680"/>
    <x v="2"/>
    <x v="6"/>
    <x v="0"/>
    <m/>
    <s v="Navy"/>
    <n v="61.47"/>
    <n v="0"/>
    <n v="61.47"/>
    <x v="242"/>
    <n v="44"/>
    <n v="3.2720930232558145"/>
    <b v="0"/>
    <m/>
    <n v="374"/>
    <n v="0"/>
    <s v=""/>
    <x v="0"/>
  </r>
  <r>
    <s v="FB001681"/>
    <x v="3"/>
    <x v="3"/>
    <x v="3"/>
    <s v="M"/>
    <s v="Navy"/>
    <n v="185.96"/>
    <n v="0"/>
    <n v="185.96"/>
    <x v="1"/>
    <n v="35"/>
    <n v="1.3"/>
    <b v="0"/>
    <m/>
    <n v="28"/>
    <n v="0"/>
    <s v=""/>
    <x v="0"/>
  </r>
  <r>
    <s v="FB001682"/>
    <x v="5"/>
    <x v="6"/>
    <x v="2"/>
    <s v="M"/>
    <s v="Red"/>
    <n v="113.05"/>
    <n v="0"/>
    <n v="113.05"/>
    <x v="1"/>
    <n v="47"/>
    <n v="2"/>
    <b v="0"/>
    <m/>
    <n v="28"/>
    <n v="0"/>
    <s v=""/>
    <x v="0"/>
  </r>
  <r>
    <s v="FB001683"/>
    <x v="1"/>
    <x v="2"/>
    <x v="3"/>
    <s v="L"/>
    <s v="Brown"/>
    <n v="110.9"/>
    <n v="34.700000000000003"/>
    <n v="72.42"/>
    <x v="1"/>
    <n v="2"/>
    <n v="2.5"/>
    <b v="0"/>
    <m/>
    <n v="28"/>
    <n v="69.400000000000006"/>
    <s v=""/>
    <x v="1"/>
  </r>
  <r>
    <s v="FB001684"/>
    <x v="1"/>
    <x v="1"/>
    <x v="3"/>
    <s v="XXL"/>
    <s v="White"/>
    <n v="29.04"/>
    <n v="0"/>
    <n v="29.04"/>
    <x v="1"/>
    <n v="4"/>
    <n v="5"/>
    <b v="0"/>
    <m/>
    <n v="28"/>
    <n v="0"/>
    <s v=""/>
    <x v="0"/>
  </r>
  <r>
    <s v="FB001685"/>
    <x v="3"/>
    <x v="7"/>
    <x v="0"/>
    <s v="XL"/>
    <s v="Gray"/>
    <n v="164.48"/>
    <n v="51.5"/>
    <n v="79.77"/>
    <x v="100"/>
    <n v="27"/>
    <n v="3.4"/>
    <b v="0"/>
    <m/>
    <n v="361"/>
    <n v="1390.5"/>
    <s v=""/>
    <x v="1"/>
  </r>
  <r>
    <s v="FB001686"/>
    <x v="4"/>
    <x v="2"/>
    <x v="1"/>
    <s v="L"/>
    <s v="White"/>
    <n v="52.51"/>
    <n v="49.4"/>
    <n v="26.57"/>
    <x v="1"/>
    <n v="37"/>
    <n v="3.5"/>
    <b v="1"/>
    <s v="Changed Mind"/>
    <n v="28"/>
    <n v="1827.8"/>
    <n v="1"/>
    <x v="1"/>
  </r>
  <r>
    <s v="FB001687"/>
    <x v="5"/>
    <x v="5"/>
    <x v="1"/>
    <s v="XXL"/>
    <s v="Gray"/>
    <n v="175.74"/>
    <n v="42.9"/>
    <n v="100.35"/>
    <x v="1"/>
    <n v="48"/>
    <n v="3.1874999999999991"/>
    <b v="1"/>
    <s v="Changed Mind"/>
    <n v="28"/>
    <n v="2059.1999999999998"/>
    <n v="1"/>
    <x v="1"/>
  </r>
  <r>
    <s v="FB001688"/>
    <x v="1"/>
    <x v="5"/>
    <x v="0"/>
    <s v="XS"/>
    <s v="Beige"/>
    <n v="57.06"/>
    <n v="27.5"/>
    <n v="41.37"/>
    <x v="69"/>
    <n v="43"/>
    <n v="1.8"/>
    <b v="0"/>
    <m/>
    <n v="252"/>
    <n v="1182.5"/>
    <s v=""/>
    <x v="1"/>
  </r>
  <r>
    <s v="FB001689"/>
    <x v="5"/>
    <x v="5"/>
    <x v="1"/>
    <s v="L"/>
    <s v="Black"/>
    <n v="158.24"/>
    <n v="0"/>
    <n v="158.24"/>
    <x v="1"/>
    <n v="41"/>
    <n v="3.1"/>
    <b v="0"/>
    <m/>
    <n v="28"/>
    <n v="0"/>
    <s v=""/>
    <x v="0"/>
  </r>
  <r>
    <s v="FB001690"/>
    <x v="0"/>
    <x v="3"/>
    <x v="2"/>
    <m/>
    <s v="Pink"/>
    <n v="153.46"/>
    <n v="0"/>
    <n v="153.46"/>
    <x v="1"/>
    <n v="27"/>
    <n v="1.7"/>
    <b v="0"/>
    <m/>
    <n v="28"/>
    <n v="0"/>
    <s v=""/>
    <x v="0"/>
  </r>
  <r>
    <s v="FB001691"/>
    <x v="2"/>
    <x v="0"/>
    <x v="0"/>
    <m/>
    <s v="Brown"/>
    <n v="54.92"/>
    <n v="0"/>
    <n v="54.92"/>
    <x v="36"/>
    <n v="44"/>
    <n v="3.1"/>
    <b v="0"/>
    <m/>
    <n v="144"/>
    <n v="0"/>
    <s v=""/>
    <x v="0"/>
  </r>
  <r>
    <s v="FB001692"/>
    <x v="2"/>
    <x v="1"/>
    <x v="0"/>
    <m/>
    <s v="Purple"/>
    <n v="32.200000000000003"/>
    <n v="19.2"/>
    <n v="26.02"/>
    <x v="123"/>
    <n v="8"/>
    <n v="4.3"/>
    <b v="0"/>
    <m/>
    <n v="38"/>
    <n v="153.6"/>
    <s v=""/>
    <x v="1"/>
  </r>
  <r>
    <s v="FB001693"/>
    <x v="2"/>
    <x v="3"/>
    <x v="2"/>
    <m/>
    <s v="Brown"/>
    <n v="66.489999999999995"/>
    <n v="29.1"/>
    <n v="47.14"/>
    <x v="1"/>
    <n v="37"/>
    <n v="1.3"/>
    <b v="0"/>
    <m/>
    <n v="28"/>
    <n v="1076.7"/>
    <s v=""/>
    <x v="1"/>
  </r>
  <r>
    <s v="FB001694"/>
    <x v="2"/>
    <x v="3"/>
    <x v="1"/>
    <m/>
    <s v="Blue"/>
    <n v="32.950000000000003"/>
    <n v="50.2"/>
    <n v="16.41"/>
    <x v="1"/>
    <n v="46"/>
    <n v="2.5131578947368416"/>
    <b v="0"/>
    <m/>
    <n v="28"/>
    <n v="2309.2000000000003"/>
    <s v=""/>
    <x v="1"/>
  </r>
  <r>
    <s v="FB001695"/>
    <x v="2"/>
    <x v="4"/>
    <x v="2"/>
    <m/>
    <s v="Gray"/>
    <n v="54.31"/>
    <n v="19.2"/>
    <n v="43.88"/>
    <x v="1"/>
    <n v="19"/>
    <n v="1.8"/>
    <b v="0"/>
    <m/>
    <n v="28"/>
    <n v="364.8"/>
    <s v=""/>
    <x v="1"/>
  </r>
  <r>
    <s v="FB001696"/>
    <x v="2"/>
    <x v="2"/>
    <x v="3"/>
    <m/>
    <s v="Navy"/>
    <n v="19.68"/>
    <n v="0"/>
    <n v="19.68"/>
    <x v="1"/>
    <n v="29"/>
    <n v="1.5"/>
    <b v="1"/>
    <s v="Size Issue"/>
    <n v="28"/>
    <n v="0"/>
    <n v="1"/>
    <x v="0"/>
  </r>
  <r>
    <s v="FB001697"/>
    <x v="1"/>
    <x v="0"/>
    <x v="0"/>
    <s v="XS"/>
    <s v="Gray"/>
    <n v="105.19"/>
    <n v="24.3"/>
    <n v="79.63"/>
    <x v="243"/>
    <n v="47"/>
    <n v="5"/>
    <b v="0"/>
    <m/>
    <n v="81"/>
    <n v="1142.1000000000001"/>
    <s v=""/>
    <x v="1"/>
  </r>
  <r>
    <s v="FB001698"/>
    <x v="2"/>
    <x v="2"/>
    <x v="3"/>
    <m/>
    <s v="Green"/>
    <n v="20.3"/>
    <n v="19.600000000000001"/>
    <n v="16.32"/>
    <x v="1"/>
    <n v="47"/>
    <n v="2.9"/>
    <b v="1"/>
    <s v="Changed Mind"/>
    <n v="28"/>
    <n v="921.2"/>
    <n v="1"/>
    <x v="1"/>
  </r>
  <r>
    <s v="FB001699"/>
    <x v="4"/>
    <x v="3"/>
    <x v="3"/>
    <s v="S"/>
    <s v="Brown"/>
    <n v="105.37"/>
    <n v="19.600000000000001"/>
    <n v="84.72"/>
    <x v="1"/>
    <n v="39"/>
    <n v="4.3"/>
    <b v="0"/>
    <m/>
    <n v="28"/>
    <n v="764.40000000000009"/>
    <s v=""/>
    <x v="1"/>
  </r>
  <r>
    <s v="FB001700"/>
    <x v="5"/>
    <x v="5"/>
    <x v="1"/>
    <s v="XS"/>
    <s v="Green"/>
    <n v="156.24"/>
    <n v="0"/>
    <n v="156.24"/>
    <x v="1"/>
    <n v="15"/>
    <n v="5"/>
    <b v="0"/>
    <m/>
    <n v="28"/>
    <n v="0"/>
    <s v=""/>
    <x v="0"/>
  </r>
  <r>
    <s v="FB001701"/>
    <x v="3"/>
    <x v="3"/>
    <x v="1"/>
    <s v="XS"/>
    <s v="Brown"/>
    <n v="162.19"/>
    <n v="5.7"/>
    <n v="152.94999999999999"/>
    <x v="1"/>
    <n v="39"/>
    <n v="1.4"/>
    <b v="0"/>
    <m/>
    <n v="28"/>
    <n v="222.3"/>
    <s v=""/>
    <x v="1"/>
  </r>
  <r>
    <s v="FB001702"/>
    <x v="1"/>
    <x v="4"/>
    <x v="0"/>
    <s v="M"/>
    <s v="Beige"/>
    <n v="75.790000000000006"/>
    <n v="7.1"/>
    <n v="70.41"/>
    <x v="169"/>
    <n v="13"/>
    <n v="3.3"/>
    <b v="0"/>
    <m/>
    <n v="158"/>
    <n v="92.3"/>
    <s v=""/>
    <x v="1"/>
  </r>
  <r>
    <s v="FB001703"/>
    <x v="2"/>
    <x v="7"/>
    <x v="3"/>
    <m/>
    <s v="Pink"/>
    <n v="32.04"/>
    <n v="0"/>
    <n v="32.04"/>
    <x v="1"/>
    <n v="41"/>
    <n v="1.8"/>
    <b v="0"/>
    <m/>
    <n v="28"/>
    <n v="0"/>
    <s v=""/>
    <x v="0"/>
  </r>
  <r>
    <s v="FB001704"/>
    <x v="1"/>
    <x v="6"/>
    <x v="2"/>
    <s v="M"/>
    <s v="Black"/>
    <n v="27.65"/>
    <n v="31.8"/>
    <n v="18.86"/>
    <x v="1"/>
    <n v="2"/>
    <n v="3.7"/>
    <b v="1"/>
    <s v="Size Issue"/>
    <n v="28"/>
    <n v="63.6"/>
    <n v="1"/>
    <x v="1"/>
  </r>
  <r>
    <s v="FB001705"/>
    <x v="4"/>
    <x v="2"/>
    <x v="0"/>
    <s v="M"/>
    <s v="Purple"/>
    <n v="31.54"/>
    <n v="0"/>
    <n v="31.54"/>
    <x v="244"/>
    <n v="45"/>
    <n v="1.3"/>
    <b v="0"/>
    <m/>
    <n v="31"/>
    <n v="0"/>
    <s v=""/>
    <x v="0"/>
  </r>
  <r>
    <s v="FB001706"/>
    <x v="4"/>
    <x v="0"/>
    <x v="3"/>
    <s v="XXL"/>
    <s v="Beige"/>
    <n v="77.64"/>
    <n v="39.1"/>
    <n v="47.28"/>
    <x v="1"/>
    <n v="19"/>
    <n v="2.6"/>
    <b v="0"/>
    <m/>
    <n v="28"/>
    <n v="742.9"/>
    <s v=""/>
    <x v="1"/>
  </r>
  <r>
    <s v="FB001707"/>
    <x v="5"/>
    <x v="4"/>
    <x v="1"/>
    <s v="XL"/>
    <s v="Pink"/>
    <n v="51.48"/>
    <n v="0"/>
    <n v="51.48"/>
    <x v="1"/>
    <n v="10"/>
    <n v="1"/>
    <b v="0"/>
    <m/>
    <n v="28"/>
    <n v="0"/>
    <s v=""/>
    <x v="0"/>
  </r>
  <r>
    <s v="FB001708"/>
    <x v="0"/>
    <x v="0"/>
    <x v="2"/>
    <s v="M"/>
    <s v="Pink"/>
    <n v="108.58"/>
    <n v="0"/>
    <n v="108.58"/>
    <x v="1"/>
    <n v="44"/>
    <n v="2.4"/>
    <b v="0"/>
    <m/>
    <n v="28"/>
    <n v="0"/>
    <s v=""/>
    <x v="0"/>
  </r>
  <r>
    <s v="FB001709"/>
    <x v="1"/>
    <x v="7"/>
    <x v="1"/>
    <s v="XXL"/>
    <s v="Black"/>
    <n v="84.17"/>
    <n v="0"/>
    <n v="84.17"/>
    <x v="1"/>
    <n v="20"/>
    <n v="3.7"/>
    <b v="0"/>
    <m/>
    <n v="28"/>
    <n v="0"/>
    <s v=""/>
    <x v="0"/>
  </r>
  <r>
    <s v="FB001710"/>
    <x v="4"/>
    <x v="3"/>
    <x v="0"/>
    <s v="L"/>
    <s v="Pink"/>
    <n v="76.45"/>
    <n v="0"/>
    <n v="76.45"/>
    <x v="82"/>
    <n v="16"/>
    <n v="1"/>
    <b v="1"/>
    <s v="Color Mismatch"/>
    <n v="85"/>
    <n v="0"/>
    <n v="1"/>
    <x v="0"/>
  </r>
  <r>
    <s v="FB001711"/>
    <x v="2"/>
    <x v="1"/>
    <x v="0"/>
    <m/>
    <s v="Gray"/>
    <n v="50.31"/>
    <n v="0"/>
    <n v="50.31"/>
    <x v="240"/>
    <n v="36"/>
    <n v="3.1288461538461547"/>
    <b v="0"/>
    <m/>
    <n v="132"/>
    <n v="0"/>
    <s v=""/>
    <x v="0"/>
  </r>
  <r>
    <s v="FB001712"/>
    <x v="1"/>
    <x v="6"/>
    <x v="0"/>
    <s v="S"/>
    <s v="Pink"/>
    <n v="43.45"/>
    <n v="0"/>
    <n v="43.45"/>
    <x v="58"/>
    <n v="30"/>
    <n v="2.2999999999999998"/>
    <b v="0"/>
    <m/>
    <n v="48"/>
    <n v="0"/>
    <s v=""/>
    <x v="0"/>
  </r>
  <r>
    <s v="FB001713"/>
    <x v="5"/>
    <x v="1"/>
    <x v="2"/>
    <s v="XL"/>
    <s v="Gray"/>
    <n v="149.22"/>
    <n v="53.9"/>
    <n v="68.790000000000006"/>
    <x v="1"/>
    <n v="41"/>
    <n v="2.2000000000000002"/>
    <b v="0"/>
    <m/>
    <n v="28"/>
    <n v="2209.9"/>
    <s v=""/>
    <x v="1"/>
  </r>
  <r>
    <s v="FB001714"/>
    <x v="4"/>
    <x v="6"/>
    <x v="3"/>
    <s v="XS"/>
    <s v="Gray"/>
    <n v="48.24"/>
    <n v="31.7"/>
    <n v="32.950000000000003"/>
    <x v="1"/>
    <n v="46"/>
    <n v="3.7"/>
    <b v="0"/>
    <m/>
    <n v="28"/>
    <n v="1458.2"/>
    <s v=""/>
    <x v="1"/>
  </r>
  <r>
    <s v="FB001715"/>
    <x v="4"/>
    <x v="4"/>
    <x v="3"/>
    <s v="S"/>
    <s v="Brown"/>
    <n v="66.27"/>
    <n v="21.7"/>
    <n v="51.89"/>
    <x v="1"/>
    <n v="28"/>
    <n v="2.5"/>
    <b v="1"/>
    <s v="Changed Mind"/>
    <n v="28"/>
    <n v="607.6"/>
    <n v="1"/>
    <x v="1"/>
  </r>
  <r>
    <s v="FB001716"/>
    <x v="3"/>
    <x v="4"/>
    <x v="2"/>
    <s v="XXL"/>
    <s v="Navy"/>
    <n v="82.65"/>
    <n v="0"/>
    <n v="82.65"/>
    <x v="1"/>
    <n v="30"/>
    <n v="4.0999999999999996"/>
    <b v="0"/>
    <m/>
    <n v="28"/>
    <n v="0"/>
    <s v=""/>
    <x v="0"/>
  </r>
  <r>
    <s v="FB001717"/>
    <x v="4"/>
    <x v="5"/>
    <x v="1"/>
    <s v="XXL"/>
    <s v="Black"/>
    <n v="42.36"/>
    <n v="0"/>
    <n v="42.36"/>
    <x v="1"/>
    <n v="37"/>
    <n v="1.4"/>
    <b v="0"/>
    <m/>
    <n v="28"/>
    <n v="0"/>
    <s v=""/>
    <x v="0"/>
  </r>
  <r>
    <s v="FB001718"/>
    <x v="4"/>
    <x v="5"/>
    <x v="3"/>
    <s v="M"/>
    <s v="Red"/>
    <n v="109.36"/>
    <n v="0"/>
    <n v="109.36"/>
    <x v="1"/>
    <n v="24"/>
    <n v="1.7"/>
    <b v="0"/>
    <m/>
    <n v="28"/>
    <n v="0"/>
    <s v=""/>
    <x v="0"/>
  </r>
  <r>
    <s v="FB001719"/>
    <x v="2"/>
    <x v="5"/>
    <x v="1"/>
    <m/>
    <s v="Beige"/>
    <n v="59.98"/>
    <n v="0"/>
    <n v="59.98"/>
    <x v="1"/>
    <n v="28"/>
    <n v="2.2000000000000002"/>
    <b v="0"/>
    <m/>
    <n v="28"/>
    <n v="0"/>
    <s v=""/>
    <x v="0"/>
  </r>
  <r>
    <s v="FB001720"/>
    <x v="5"/>
    <x v="6"/>
    <x v="0"/>
    <m/>
    <s v="Purple"/>
    <n v="111.81"/>
    <n v="0"/>
    <n v="111.81"/>
    <x v="59"/>
    <n v="45"/>
    <n v="1.1000000000000001"/>
    <b v="0"/>
    <m/>
    <n v="378"/>
    <n v="0"/>
    <s v=""/>
    <x v="0"/>
  </r>
  <r>
    <s v="FB001721"/>
    <x v="4"/>
    <x v="2"/>
    <x v="1"/>
    <s v="XXL"/>
    <s v="Red"/>
    <n v="70.78"/>
    <n v="0"/>
    <n v="70.78"/>
    <x v="1"/>
    <n v="39"/>
    <n v="3.4"/>
    <b v="1"/>
    <s v="Color Mismatch"/>
    <n v="28"/>
    <n v="0"/>
    <n v="1"/>
    <x v="0"/>
  </r>
  <r>
    <s v="FB001722"/>
    <x v="2"/>
    <x v="3"/>
    <x v="1"/>
    <m/>
    <s v="Pink"/>
    <n v="76.13"/>
    <n v="58.5"/>
    <n v="31.59"/>
    <x v="1"/>
    <n v="40"/>
    <n v="1.6"/>
    <b v="0"/>
    <m/>
    <n v="28"/>
    <n v="2340"/>
    <s v=""/>
    <x v="1"/>
  </r>
  <r>
    <s v="FB001723"/>
    <x v="4"/>
    <x v="2"/>
    <x v="2"/>
    <s v="XS"/>
    <s v="Pink"/>
    <n v="71.09"/>
    <n v="41.5"/>
    <n v="41.59"/>
    <x v="1"/>
    <n v="20"/>
    <n v="3.1"/>
    <b v="0"/>
    <m/>
    <n v="28"/>
    <n v="830"/>
    <s v=""/>
    <x v="1"/>
  </r>
  <r>
    <s v="FB001724"/>
    <x v="4"/>
    <x v="3"/>
    <x v="2"/>
    <m/>
    <s v="Gray"/>
    <n v="53.64"/>
    <n v="55.9"/>
    <n v="23.66"/>
    <x v="1"/>
    <n v="10"/>
    <n v="2.5"/>
    <b v="0"/>
    <m/>
    <n v="28"/>
    <n v="559"/>
    <s v=""/>
    <x v="1"/>
  </r>
  <r>
    <s v="FB001725"/>
    <x v="3"/>
    <x v="5"/>
    <x v="2"/>
    <m/>
    <s v="Brown"/>
    <n v="110.2"/>
    <n v="59.7"/>
    <n v="44.41"/>
    <x v="1"/>
    <n v="13"/>
    <n v="3.5"/>
    <b v="1"/>
    <s v="Color Mismatch"/>
    <n v="28"/>
    <n v="776.1"/>
    <n v="1"/>
    <x v="1"/>
  </r>
  <r>
    <s v="FB001726"/>
    <x v="3"/>
    <x v="1"/>
    <x v="3"/>
    <s v="XXL"/>
    <s v="Green"/>
    <n v="80.63"/>
    <n v="17.399999999999999"/>
    <n v="66.599999999999994"/>
    <x v="1"/>
    <n v="6"/>
    <n v="2.8205128205128198"/>
    <b v="1"/>
    <s v="Damaged"/>
    <n v="28"/>
    <n v="104.39999999999999"/>
    <n v="1"/>
    <x v="1"/>
  </r>
  <r>
    <s v="FB001727"/>
    <x v="5"/>
    <x v="3"/>
    <x v="0"/>
    <s v="XL"/>
    <s v="Green"/>
    <n v="101.09"/>
    <n v="24.8"/>
    <n v="76.02"/>
    <x v="198"/>
    <n v="7"/>
    <n v="4.5"/>
    <b v="1"/>
    <s v="Damaged"/>
    <n v="366"/>
    <n v="173.6"/>
    <n v="1"/>
    <x v="1"/>
  </r>
  <r>
    <s v="FB001728"/>
    <x v="2"/>
    <x v="0"/>
    <x v="0"/>
    <m/>
    <s v="Navy"/>
    <n v="75.48"/>
    <n v="0"/>
    <n v="75.48"/>
    <x v="245"/>
    <n v="16"/>
    <n v="1.4"/>
    <b v="0"/>
    <m/>
    <n v="99"/>
    <n v="0"/>
    <s v=""/>
    <x v="0"/>
  </r>
  <r>
    <s v="FB001729"/>
    <x v="3"/>
    <x v="2"/>
    <x v="3"/>
    <s v="S"/>
    <s v="Brown"/>
    <n v="159.94999999999999"/>
    <n v="6.4"/>
    <n v="149.71"/>
    <x v="1"/>
    <n v="39"/>
    <n v="3"/>
    <b v="0"/>
    <m/>
    <n v="28"/>
    <n v="249.60000000000002"/>
    <s v=""/>
    <x v="1"/>
  </r>
  <r>
    <s v="FB001730"/>
    <x v="5"/>
    <x v="6"/>
    <x v="3"/>
    <s v="L"/>
    <s v="Black"/>
    <n v="61.9"/>
    <n v="0"/>
    <n v="61.9"/>
    <x v="1"/>
    <n v="29"/>
    <n v="4.4000000000000004"/>
    <b v="0"/>
    <m/>
    <n v="28"/>
    <n v="0"/>
    <s v=""/>
    <x v="0"/>
  </r>
  <r>
    <s v="FB001731"/>
    <x v="1"/>
    <x v="2"/>
    <x v="2"/>
    <s v="XL"/>
    <s v="Purple"/>
    <n v="63.45"/>
    <n v="12.3"/>
    <n v="55.65"/>
    <x v="1"/>
    <n v="23"/>
    <n v="4.9000000000000004"/>
    <b v="0"/>
    <m/>
    <n v="28"/>
    <n v="282.90000000000003"/>
    <s v=""/>
    <x v="1"/>
  </r>
  <r>
    <s v="FB001732"/>
    <x v="1"/>
    <x v="3"/>
    <x v="3"/>
    <s v="S"/>
    <s v="Red"/>
    <n v="43.22"/>
    <n v="46.7"/>
    <n v="23.04"/>
    <x v="1"/>
    <n v="29"/>
    <n v="1.3"/>
    <b v="0"/>
    <m/>
    <n v="28"/>
    <n v="1354.3000000000002"/>
    <s v=""/>
    <x v="1"/>
  </r>
  <r>
    <s v="FB001733"/>
    <x v="3"/>
    <x v="2"/>
    <x v="1"/>
    <s v="S"/>
    <s v="Navy"/>
    <n v="64.650000000000006"/>
    <n v="26.8"/>
    <n v="47.32"/>
    <x v="1"/>
    <n v="28"/>
    <n v="4.7"/>
    <b v="0"/>
    <m/>
    <n v="28"/>
    <n v="750.4"/>
    <s v=""/>
    <x v="1"/>
  </r>
  <r>
    <s v="FB001734"/>
    <x v="3"/>
    <x v="1"/>
    <x v="0"/>
    <s v="XXL"/>
    <s v="Purple"/>
    <n v="118.67"/>
    <n v="56"/>
    <n v="52.21"/>
    <x v="68"/>
    <n v="27"/>
    <n v="3.5"/>
    <b v="0"/>
    <m/>
    <n v="130"/>
    <n v="1512"/>
    <s v=""/>
    <x v="1"/>
  </r>
  <r>
    <s v="FB001735"/>
    <x v="5"/>
    <x v="2"/>
    <x v="0"/>
    <s v="XS"/>
    <s v="White"/>
    <n v="169.32"/>
    <n v="0"/>
    <n v="169.32"/>
    <x v="202"/>
    <n v="19"/>
    <n v="2.2000000000000002"/>
    <b v="0"/>
    <m/>
    <n v="260"/>
    <n v="0"/>
    <s v=""/>
    <x v="0"/>
  </r>
  <r>
    <s v="FB001736"/>
    <x v="3"/>
    <x v="5"/>
    <x v="0"/>
    <s v="XS"/>
    <s v="Gray"/>
    <n v="115.77"/>
    <n v="0"/>
    <n v="115.77"/>
    <x v="246"/>
    <n v="43"/>
    <n v="3.0068965517241386"/>
    <b v="0"/>
    <m/>
    <n v="283"/>
    <n v="0"/>
    <s v=""/>
    <x v="0"/>
  </r>
  <r>
    <s v="FB001737"/>
    <x v="3"/>
    <x v="3"/>
    <x v="2"/>
    <s v="XS"/>
    <s v="Beige"/>
    <n v="139.91"/>
    <n v="0"/>
    <n v="139.91"/>
    <x v="1"/>
    <n v="9"/>
    <n v="3.7"/>
    <b v="0"/>
    <m/>
    <n v="28"/>
    <n v="0"/>
    <s v=""/>
    <x v="0"/>
  </r>
  <r>
    <s v="FB001738"/>
    <x v="4"/>
    <x v="2"/>
    <x v="3"/>
    <s v="XXL"/>
    <s v="Purple"/>
    <n v="101.73"/>
    <n v="0"/>
    <n v="101.73"/>
    <x v="1"/>
    <n v="14"/>
    <n v="4.7"/>
    <b v="0"/>
    <m/>
    <n v="28"/>
    <n v="0"/>
    <s v=""/>
    <x v="0"/>
  </r>
  <r>
    <s v="FB001739"/>
    <x v="1"/>
    <x v="7"/>
    <x v="3"/>
    <m/>
    <s v="Pink"/>
    <n v="105.85"/>
    <n v="0"/>
    <n v="105.85"/>
    <x v="1"/>
    <n v="29"/>
    <n v="2.1"/>
    <b v="0"/>
    <m/>
    <n v="28"/>
    <n v="0"/>
    <s v=""/>
    <x v="0"/>
  </r>
  <r>
    <s v="FB001740"/>
    <x v="1"/>
    <x v="6"/>
    <x v="0"/>
    <s v="XL"/>
    <s v="Gray"/>
    <n v="105.37"/>
    <n v="0"/>
    <n v="105.37"/>
    <x v="183"/>
    <n v="24"/>
    <n v="1.2"/>
    <b v="0"/>
    <m/>
    <n v="141"/>
    <n v="0"/>
    <s v=""/>
    <x v="0"/>
  </r>
  <r>
    <s v="FB001741"/>
    <x v="1"/>
    <x v="4"/>
    <x v="3"/>
    <s v="S"/>
    <s v="Brown"/>
    <n v="44.42"/>
    <n v="0"/>
    <n v="44.42"/>
    <x v="1"/>
    <n v="49"/>
    <n v="2.9657142857142857"/>
    <b v="0"/>
    <m/>
    <n v="28"/>
    <n v="0"/>
    <s v=""/>
    <x v="0"/>
  </r>
  <r>
    <s v="FB001742"/>
    <x v="3"/>
    <x v="1"/>
    <x v="0"/>
    <s v="XS"/>
    <s v="Gray"/>
    <n v="164.86"/>
    <n v="14.3"/>
    <n v="141.29"/>
    <x v="92"/>
    <n v="7"/>
    <n v="2.2999999999999998"/>
    <b v="0"/>
    <m/>
    <n v="173"/>
    <n v="100.10000000000001"/>
    <s v=""/>
    <x v="1"/>
  </r>
  <r>
    <s v="FB001743"/>
    <x v="3"/>
    <x v="3"/>
    <x v="2"/>
    <s v="XXL"/>
    <s v="Black"/>
    <n v="163.88"/>
    <n v="5.9"/>
    <n v="154.21"/>
    <x v="1"/>
    <n v="39"/>
    <n v="2.6"/>
    <b v="0"/>
    <m/>
    <n v="28"/>
    <n v="230.10000000000002"/>
    <s v=""/>
    <x v="1"/>
  </r>
  <r>
    <s v="FB001744"/>
    <x v="4"/>
    <x v="0"/>
    <x v="2"/>
    <s v="XS"/>
    <s v="Green"/>
    <n v="36.54"/>
    <n v="5.3"/>
    <n v="34.6"/>
    <x v="1"/>
    <n v="13"/>
    <n v="2.5"/>
    <b v="0"/>
    <m/>
    <n v="28"/>
    <n v="68.899999999999991"/>
    <s v=""/>
    <x v="1"/>
  </r>
  <r>
    <s v="FB001745"/>
    <x v="5"/>
    <x v="2"/>
    <x v="0"/>
    <s v="M"/>
    <s v="Red"/>
    <n v="99.97"/>
    <n v="0"/>
    <n v="99.97"/>
    <x v="11"/>
    <n v="38"/>
    <n v="1.4"/>
    <b v="0"/>
    <m/>
    <n v="322"/>
    <n v="0"/>
    <s v=""/>
    <x v="0"/>
  </r>
  <r>
    <s v="FB001746"/>
    <x v="0"/>
    <x v="5"/>
    <x v="3"/>
    <s v="XL"/>
    <s v="Red"/>
    <n v="194.78"/>
    <n v="0"/>
    <n v="194.78"/>
    <x v="1"/>
    <n v="31"/>
    <n v="3.0305555555555546"/>
    <b v="0"/>
    <m/>
    <n v="28"/>
    <n v="0"/>
    <s v=""/>
    <x v="0"/>
  </r>
  <r>
    <s v="FB001747"/>
    <x v="0"/>
    <x v="1"/>
    <x v="2"/>
    <s v="XS"/>
    <s v="Blue"/>
    <n v="208.93"/>
    <n v="0"/>
    <n v="208.93"/>
    <x v="1"/>
    <n v="12"/>
    <n v="2.2999999999999998"/>
    <b v="0"/>
    <m/>
    <n v="28"/>
    <n v="0"/>
    <s v=""/>
    <x v="0"/>
  </r>
  <r>
    <s v="FB001748"/>
    <x v="4"/>
    <x v="5"/>
    <x v="0"/>
    <s v="XS"/>
    <s v="Red"/>
    <n v="68.459999999999994"/>
    <n v="50"/>
    <n v="34.229999999999997"/>
    <x v="17"/>
    <n v="24"/>
    <n v="1.9"/>
    <b v="0"/>
    <m/>
    <n v="220"/>
    <n v="1200"/>
    <s v=""/>
    <x v="1"/>
  </r>
  <r>
    <s v="FB001749"/>
    <x v="2"/>
    <x v="2"/>
    <x v="1"/>
    <m/>
    <s v="Purple"/>
    <n v="30.26"/>
    <n v="50"/>
    <n v="15.13"/>
    <x v="1"/>
    <n v="23"/>
    <n v="1.4"/>
    <b v="0"/>
    <m/>
    <n v="28"/>
    <n v="1150"/>
    <s v=""/>
    <x v="1"/>
  </r>
  <r>
    <s v="FB001750"/>
    <x v="0"/>
    <x v="3"/>
    <x v="3"/>
    <s v="XS"/>
    <s v="Green"/>
    <n v="186.66"/>
    <n v="30.9"/>
    <n v="128.97999999999999"/>
    <x v="1"/>
    <n v="7"/>
    <n v="1"/>
    <b v="0"/>
    <m/>
    <n v="28"/>
    <n v="216.29999999999998"/>
    <s v=""/>
    <x v="1"/>
  </r>
  <r>
    <s v="FB001751"/>
    <x v="1"/>
    <x v="0"/>
    <x v="1"/>
    <s v="S"/>
    <s v="Black"/>
    <n v="78.05"/>
    <n v="48.1"/>
    <n v="40.51"/>
    <x v="1"/>
    <n v="36"/>
    <n v="2.9"/>
    <b v="1"/>
    <s v="Changed Mind"/>
    <n v="28"/>
    <n v="1731.6000000000001"/>
    <n v="1"/>
    <x v="1"/>
  </r>
  <r>
    <s v="FB001752"/>
    <x v="1"/>
    <x v="1"/>
    <x v="0"/>
    <s v="M"/>
    <s v="Purple"/>
    <n v="104.75"/>
    <n v="0"/>
    <n v="104.75"/>
    <x v="129"/>
    <n v="11"/>
    <n v="3.34"/>
    <b v="0"/>
    <m/>
    <n v="312"/>
    <n v="0"/>
    <s v=""/>
    <x v="0"/>
  </r>
  <r>
    <s v="FB001753"/>
    <x v="3"/>
    <x v="1"/>
    <x v="3"/>
    <s v="M"/>
    <s v="Brown"/>
    <n v="121.33"/>
    <n v="0"/>
    <n v="121.33"/>
    <x v="1"/>
    <n v="30"/>
    <n v="4.2"/>
    <b v="0"/>
    <m/>
    <n v="28"/>
    <n v="0"/>
    <s v=""/>
    <x v="0"/>
  </r>
  <r>
    <s v="FB001754"/>
    <x v="5"/>
    <x v="3"/>
    <x v="2"/>
    <s v="XXL"/>
    <s v="Green"/>
    <n v="78.09"/>
    <n v="0"/>
    <n v="78.09"/>
    <x v="1"/>
    <n v="6"/>
    <n v="2"/>
    <b v="0"/>
    <m/>
    <n v="28"/>
    <n v="0"/>
    <s v=""/>
    <x v="0"/>
  </r>
  <r>
    <s v="FB001755"/>
    <x v="1"/>
    <x v="1"/>
    <x v="2"/>
    <s v="XXL"/>
    <s v="Red"/>
    <n v="109.19"/>
    <n v="0"/>
    <n v="109.19"/>
    <x v="1"/>
    <n v="47"/>
    <n v="4.5"/>
    <b v="0"/>
    <m/>
    <n v="28"/>
    <n v="0"/>
    <s v=""/>
    <x v="0"/>
  </r>
  <r>
    <s v="FB001756"/>
    <x v="3"/>
    <x v="5"/>
    <x v="1"/>
    <s v="L"/>
    <s v="Black"/>
    <n v="126.74"/>
    <n v="0"/>
    <n v="126.74"/>
    <x v="1"/>
    <n v="2"/>
    <n v="2.9"/>
    <b v="0"/>
    <m/>
    <n v="28"/>
    <n v="0"/>
    <s v=""/>
    <x v="0"/>
  </r>
  <r>
    <s v="FB001757"/>
    <x v="3"/>
    <x v="4"/>
    <x v="0"/>
    <s v="XL"/>
    <s v="Black"/>
    <n v="95.85"/>
    <n v="0"/>
    <n v="95.85"/>
    <x v="87"/>
    <n v="45"/>
    <n v="5"/>
    <b v="0"/>
    <m/>
    <n v="200"/>
    <n v="0"/>
    <s v=""/>
    <x v="0"/>
  </r>
  <r>
    <s v="FB001758"/>
    <x v="0"/>
    <x v="3"/>
    <x v="3"/>
    <s v="S"/>
    <s v="Blue"/>
    <n v="213.98"/>
    <n v="0"/>
    <n v="213.98"/>
    <x v="1"/>
    <n v="38"/>
    <n v="2.4137931034482762"/>
    <b v="0"/>
    <m/>
    <n v="28"/>
    <n v="0"/>
    <s v=""/>
    <x v="0"/>
  </r>
  <r>
    <s v="FB001759"/>
    <x v="3"/>
    <x v="7"/>
    <x v="0"/>
    <s v="XXL"/>
    <s v="Beige"/>
    <n v="146.22999999999999"/>
    <n v="40"/>
    <n v="87.74"/>
    <x v="148"/>
    <n v="17"/>
    <n v="2.6"/>
    <b v="1"/>
    <s v="Quality Issue"/>
    <n v="219"/>
    <n v="680"/>
    <n v="1"/>
    <x v="1"/>
  </r>
  <r>
    <s v="FB001760"/>
    <x v="4"/>
    <x v="3"/>
    <x v="1"/>
    <s v="L"/>
    <s v="Pink"/>
    <n v="115.57"/>
    <n v="16.100000000000001"/>
    <n v="96.96"/>
    <x v="1"/>
    <n v="32"/>
    <n v="3.1"/>
    <b v="1"/>
    <s v="Size Issue"/>
    <n v="28"/>
    <n v="515.20000000000005"/>
    <n v="1"/>
    <x v="1"/>
  </r>
  <r>
    <s v="FB001761"/>
    <x v="2"/>
    <x v="2"/>
    <x v="0"/>
    <m/>
    <s v="Blue"/>
    <n v="66.62"/>
    <n v="0"/>
    <n v="66.62"/>
    <x v="247"/>
    <n v="37"/>
    <n v="2.8694444444444449"/>
    <b v="0"/>
    <m/>
    <n v="311"/>
    <n v="0"/>
    <s v=""/>
    <x v="0"/>
  </r>
  <r>
    <s v="FB001762"/>
    <x v="5"/>
    <x v="2"/>
    <x v="0"/>
    <s v="XS"/>
    <s v="Purple"/>
    <n v="60.37"/>
    <n v="23.1"/>
    <n v="46.42"/>
    <x v="92"/>
    <n v="30"/>
    <n v="4.8"/>
    <b v="0"/>
    <m/>
    <n v="173"/>
    <n v="693"/>
    <s v=""/>
    <x v="1"/>
  </r>
  <r>
    <s v="FB001763"/>
    <x v="3"/>
    <x v="4"/>
    <x v="1"/>
    <s v="M"/>
    <s v="Blue"/>
    <n v="83.2"/>
    <n v="57.1"/>
    <n v="35.69"/>
    <x v="1"/>
    <n v="10"/>
    <n v="3.3"/>
    <b v="0"/>
    <m/>
    <n v="28"/>
    <n v="571"/>
    <s v=""/>
    <x v="1"/>
  </r>
  <r>
    <s v="FB001764"/>
    <x v="0"/>
    <x v="1"/>
    <x v="3"/>
    <s v="S"/>
    <s v="Navy"/>
    <n v="204.47"/>
    <n v="3.6"/>
    <n v="197.11"/>
    <x v="1"/>
    <n v="26"/>
    <n v="3.15"/>
    <b v="0"/>
    <m/>
    <n v="28"/>
    <n v="93.600000000000009"/>
    <s v=""/>
    <x v="1"/>
  </r>
  <r>
    <s v="FB001765"/>
    <x v="2"/>
    <x v="3"/>
    <x v="2"/>
    <m/>
    <s v="Purple"/>
    <n v="52.73"/>
    <n v="0"/>
    <n v="52.73"/>
    <x v="1"/>
    <n v="42"/>
    <n v="2.5131578947368416"/>
    <b v="0"/>
    <m/>
    <n v="28"/>
    <n v="0"/>
    <s v=""/>
    <x v="0"/>
  </r>
  <r>
    <s v="FB001766"/>
    <x v="4"/>
    <x v="7"/>
    <x v="2"/>
    <s v="XXL"/>
    <s v="Beige"/>
    <n v="61.1"/>
    <n v="0"/>
    <n v="61.1"/>
    <x v="1"/>
    <n v="30"/>
    <n v="4.5999999999999996"/>
    <b v="0"/>
    <m/>
    <n v="28"/>
    <n v="0"/>
    <s v=""/>
    <x v="0"/>
  </r>
  <r>
    <s v="FB001767"/>
    <x v="0"/>
    <x v="0"/>
    <x v="3"/>
    <s v="S"/>
    <s v="Gray"/>
    <n v="227.92"/>
    <n v="0"/>
    <n v="227.92"/>
    <x v="1"/>
    <n v="34"/>
    <n v="2.7030303030303036"/>
    <b v="0"/>
    <m/>
    <n v="28"/>
    <n v="0"/>
    <s v=""/>
    <x v="0"/>
  </r>
  <r>
    <s v="FB001768"/>
    <x v="5"/>
    <x v="4"/>
    <x v="2"/>
    <s v="L"/>
    <s v="Blue"/>
    <n v="111.55"/>
    <n v="0"/>
    <n v="111.55"/>
    <x v="1"/>
    <n v="14"/>
    <n v="3.1051282051282048"/>
    <b v="0"/>
    <m/>
    <n v="28"/>
    <n v="0"/>
    <s v=""/>
    <x v="0"/>
  </r>
  <r>
    <s v="FB001769"/>
    <x v="4"/>
    <x v="7"/>
    <x v="2"/>
    <s v="XS"/>
    <s v="Pink"/>
    <n v="29.09"/>
    <n v="29.6"/>
    <n v="20.48"/>
    <x v="1"/>
    <n v="25"/>
    <n v="4.8"/>
    <b v="0"/>
    <m/>
    <n v="28"/>
    <n v="740"/>
    <s v=""/>
    <x v="1"/>
  </r>
  <r>
    <s v="FB001770"/>
    <x v="5"/>
    <x v="4"/>
    <x v="2"/>
    <s v="M"/>
    <s v="Pink"/>
    <n v="179.71"/>
    <n v="0"/>
    <n v="179.71"/>
    <x v="1"/>
    <n v="9"/>
    <n v="3.9"/>
    <b v="0"/>
    <m/>
    <n v="28"/>
    <n v="0"/>
    <s v=""/>
    <x v="0"/>
  </r>
  <r>
    <s v="FB001771"/>
    <x v="2"/>
    <x v="4"/>
    <x v="3"/>
    <m/>
    <s v="Pink"/>
    <n v="52.76"/>
    <n v="39.4"/>
    <n v="31.97"/>
    <x v="1"/>
    <n v="0"/>
    <n v="1.4"/>
    <b v="0"/>
    <m/>
    <n v="28"/>
    <n v="0"/>
    <s v=""/>
    <x v="1"/>
  </r>
  <r>
    <s v="FB001772"/>
    <x v="2"/>
    <x v="1"/>
    <x v="0"/>
    <m/>
    <s v="Green"/>
    <n v="67.900000000000006"/>
    <n v="0"/>
    <n v="67.900000000000006"/>
    <x v="248"/>
    <n v="1"/>
    <n v="1.3"/>
    <b v="0"/>
    <m/>
    <n v="246"/>
    <n v="0"/>
    <s v=""/>
    <x v="0"/>
  </r>
  <r>
    <s v="FB001773"/>
    <x v="2"/>
    <x v="1"/>
    <x v="2"/>
    <m/>
    <s v="Navy"/>
    <n v="46.77"/>
    <n v="40.799999999999997"/>
    <n v="27.69"/>
    <x v="1"/>
    <n v="25"/>
    <n v="2.6"/>
    <b v="0"/>
    <m/>
    <n v="28"/>
    <n v="1019.9999999999999"/>
    <s v=""/>
    <x v="1"/>
  </r>
  <r>
    <s v="FB001774"/>
    <x v="1"/>
    <x v="1"/>
    <x v="1"/>
    <s v="XL"/>
    <s v="Navy"/>
    <n v="91.6"/>
    <n v="0"/>
    <n v="91.6"/>
    <x v="1"/>
    <n v="6"/>
    <n v="2.7"/>
    <b v="0"/>
    <m/>
    <n v="28"/>
    <n v="0"/>
    <s v=""/>
    <x v="0"/>
  </r>
  <r>
    <s v="FB001775"/>
    <x v="0"/>
    <x v="1"/>
    <x v="0"/>
    <s v="XS"/>
    <s v="Pink"/>
    <n v="230.39"/>
    <n v="4.2"/>
    <n v="220.71"/>
    <x v="249"/>
    <n v="34"/>
    <n v="3.5"/>
    <b v="0"/>
    <m/>
    <n v="323"/>
    <n v="142.80000000000001"/>
    <s v=""/>
    <x v="1"/>
  </r>
  <r>
    <s v="FB001776"/>
    <x v="0"/>
    <x v="5"/>
    <x v="2"/>
    <s v="M"/>
    <s v="Blue"/>
    <n v="118.37"/>
    <n v="0"/>
    <n v="118.37"/>
    <x v="1"/>
    <n v="45"/>
    <n v="3.0305555555555546"/>
    <b v="0"/>
    <m/>
    <n v="28"/>
    <n v="0"/>
    <s v=""/>
    <x v="0"/>
  </r>
  <r>
    <s v="FB001777"/>
    <x v="3"/>
    <x v="6"/>
    <x v="1"/>
    <s v="M"/>
    <s v="Red"/>
    <n v="81.260000000000005"/>
    <n v="32.700000000000003"/>
    <n v="54.69"/>
    <x v="1"/>
    <n v="2"/>
    <n v="3.3"/>
    <b v="0"/>
    <m/>
    <n v="28"/>
    <n v="65.400000000000006"/>
    <s v=""/>
    <x v="1"/>
  </r>
  <r>
    <s v="FB001778"/>
    <x v="2"/>
    <x v="4"/>
    <x v="2"/>
    <m/>
    <s v="Purple"/>
    <n v="57.21"/>
    <n v="18"/>
    <n v="46.91"/>
    <x v="1"/>
    <n v="7"/>
    <n v="2.5"/>
    <b v="0"/>
    <m/>
    <n v="28"/>
    <n v="126"/>
    <s v=""/>
    <x v="1"/>
  </r>
  <r>
    <s v="FB001779"/>
    <x v="5"/>
    <x v="7"/>
    <x v="3"/>
    <s v="XL"/>
    <s v="Brown"/>
    <n v="74.53"/>
    <n v="0"/>
    <n v="74.53"/>
    <x v="1"/>
    <n v="9"/>
    <n v="2.9636363636363638"/>
    <b v="0"/>
    <m/>
    <n v="28"/>
    <n v="0"/>
    <s v=""/>
    <x v="0"/>
  </r>
  <r>
    <s v="FB001780"/>
    <x v="5"/>
    <x v="2"/>
    <x v="3"/>
    <s v="M"/>
    <s v="Red"/>
    <n v="69.540000000000006"/>
    <n v="0"/>
    <n v="69.540000000000006"/>
    <x v="1"/>
    <n v="40"/>
    <n v="3.2"/>
    <b v="1"/>
    <s v="Size Issue"/>
    <n v="28"/>
    <n v="0"/>
    <n v="1"/>
    <x v="0"/>
  </r>
  <r>
    <s v="FB001781"/>
    <x v="5"/>
    <x v="5"/>
    <x v="3"/>
    <s v="XL"/>
    <s v="Brown"/>
    <n v="102.71"/>
    <n v="55.9"/>
    <n v="45.3"/>
    <x v="1"/>
    <n v="31"/>
    <n v="4.5999999999999996"/>
    <b v="0"/>
    <m/>
    <n v="28"/>
    <n v="1732.8999999999999"/>
    <s v=""/>
    <x v="1"/>
  </r>
  <r>
    <s v="FB001782"/>
    <x v="3"/>
    <x v="6"/>
    <x v="3"/>
    <s v="L"/>
    <s v="Beige"/>
    <n v="117.82"/>
    <n v="0"/>
    <n v="117.82"/>
    <x v="1"/>
    <n v="7"/>
    <n v="4.9000000000000004"/>
    <b v="0"/>
    <m/>
    <n v="28"/>
    <n v="0"/>
    <s v=""/>
    <x v="0"/>
  </r>
  <r>
    <s v="FB001783"/>
    <x v="2"/>
    <x v="6"/>
    <x v="0"/>
    <m/>
    <s v="Purple"/>
    <n v="61.01"/>
    <n v="0"/>
    <n v="61.01"/>
    <x v="5"/>
    <n v="30"/>
    <n v="3.4"/>
    <b v="0"/>
    <m/>
    <n v="131"/>
    <n v="0"/>
    <s v=""/>
    <x v="0"/>
  </r>
  <r>
    <s v="FB001784"/>
    <x v="0"/>
    <x v="7"/>
    <x v="1"/>
    <s v="XL"/>
    <s v="Pink"/>
    <n v="222.01"/>
    <n v="0"/>
    <n v="222.01"/>
    <x v="1"/>
    <n v="27"/>
    <n v="2.1"/>
    <b v="0"/>
    <m/>
    <n v="28"/>
    <n v="0"/>
    <s v=""/>
    <x v="0"/>
  </r>
  <r>
    <s v="FB001785"/>
    <x v="0"/>
    <x v="4"/>
    <x v="3"/>
    <s v="L"/>
    <s v="Brown"/>
    <n v="123.55"/>
    <n v="0"/>
    <n v="123.55"/>
    <x v="1"/>
    <n v="28"/>
    <n v="1.2"/>
    <b v="0"/>
    <m/>
    <n v="28"/>
    <n v="0"/>
    <s v=""/>
    <x v="0"/>
  </r>
  <r>
    <s v="FB001786"/>
    <x v="2"/>
    <x v="0"/>
    <x v="2"/>
    <m/>
    <s v="Black"/>
    <n v="24.65"/>
    <n v="0"/>
    <n v="24.65"/>
    <x v="1"/>
    <n v="43"/>
    <n v="1.1000000000000001"/>
    <b v="0"/>
    <m/>
    <n v="28"/>
    <n v="0"/>
    <s v=""/>
    <x v="0"/>
  </r>
  <r>
    <s v="FB001787"/>
    <x v="0"/>
    <x v="2"/>
    <x v="2"/>
    <s v="XXL"/>
    <s v="Navy"/>
    <n v="168.8"/>
    <n v="0"/>
    <n v="168.8"/>
    <x v="1"/>
    <n v="1"/>
    <n v="1"/>
    <b v="0"/>
    <m/>
    <n v="28"/>
    <n v="0"/>
    <s v=""/>
    <x v="0"/>
  </r>
  <r>
    <s v="FB001788"/>
    <x v="1"/>
    <x v="6"/>
    <x v="2"/>
    <s v="S"/>
    <s v="Green"/>
    <n v="39.159999999999997"/>
    <n v="40.1"/>
    <n v="23.46"/>
    <x v="1"/>
    <n v="4"/>
    <n v="2.8"/>
    <b v="0"/>
    <m/>
    <n v="28"/>
    <n v="160.4"/>
    <s v=""/>
    <x v="1"/>
  </r>
  <r>
    <s v="FB001789"/>
    <x v="4"/>
    <x v="4"/>
    <x v="2"/>
    <m/>
    <s v="Brown"/>
    <n v="74.760000000000005"/>
    <n v="0"/>
    <n v="74.760000000000005"/>
    <x v="1"/>
    <n v="50"/>
    <n v="4.4000000000000004"/>
    <b v="1"/>
    <s v="Color Mismatch"/>
    <n v="28"/>
    <n v="0"/>
    <n v="1"/>
    <x v="0"/>
  </r>
  <r>
    <s v="FB001790"/>
    <x v="2"/>
    <x v="6"/>
    <x v="1"/>
    <m/>
    <s v="Navy"/>
    <n v="37"/>
    <n v="0"/>
    <n v="37"/>
    <x v="1"/>
    <n v="5"/>
    <n v="4.9000000000000004"/>
    <b v="0"/>
    <m/>
    <n v="28"/>
    <n v="0"/>
    <s v=""/>
    <x v="0"/>
  </r>
  <r>
    <s v="FB001791"/>
    <x v="2"/>
    <x v="3"/>
    <x v="1"/>
    <m/>
    <s v="Black"/>
    <n v="67.38"/>
    <n v="0"/>
    <n v="67.38"/>
    <x v="1"/>
    <n v="15"/>
    <n v="1.6"/>
    <b v="0"/>
    <m/>
    <n v="28"/>
    <n v="0"/>
    <s v=""/>
    <x v="0"/>
  </r>
  <r>
    <s v="FB001792"/>
    <x v="4"/>
    <x v="4"/>
    <x v="3"/>
    <s v="XS"/>
    <s v="White"/>
    <n v="77.44"/>
    <n v="1.4"/>
    <n v="76.36"/>
    <x v="1"/>
    <n v="18"/>
    <n v="3.3"/>
    <b v="0"/>
    <m/>
    <n v="28"/>
    <n v="25.2"/>
    <s v=""/>
    <x v="1"/>
  </r>
  <r>
    <s v="FB001793"/>
    <x v="0"/>
    <x v="4"/>
    <x v="3"/>
    <s v="XS"/>
    <s v="Gray"/>
    <n v="215.06"/>
    <n v="0"/>
    <n v="215.06"/>
    <x v="1"/>
    <n v="50"/>
    <n v="1.6"/>
    <b v="0"/>
    <m/>
    <n v="28"/>
    <n v="0"/>
    <s v=""/>
    <x v="0"/>
  </r>
  <r>
    <s v="FB001794"/>
    <x v="0"/>
    <x v="2"/>
    <x v="1"/>
    <s v="XS"/>
    <s v="Gray"/>
    <n v="141.44"/>
    <n v="0"/>
    <n v="141.44"/>
    <x v="1"/>
    <n v="34"/>
    <n v="2.4"/>
    <b v="0"/>
    <m/>
    <n v="28"/>
    <n v="0"/>
    <s v=""/>
    <x v="0"/>
  </r>
  <r>
    <s v="FB001795"/>
    <x v="5"/>
    <x v="5"/>
    <x v="0"/>
    <s v="XXL"/>
    <s v="White"/>
    <n v="151.83000000000001"/>
    <n v="0"/>
    <n v="151.83000000000001"/>
    <x v="27"/>
    <n v="24"/>
    <n v="4.3"/>
    <b v="1"/>
    <s v="Wrong Item"/>
    <n v="78"/>
    <n v="0"/>
    <n v="1"/>
    <x v="0"/>
  </r>
  <r>
    <s v="FB001796"/>
    <x v="0"/>
    <x v="6"/>
    <x v="1"/>
    <s v="XL"/>
    <s v="Gray"/>
    <n v="140.07"/>
    <n v="0"/>
    <n v="140.07"/>
    <x v="1"/>
    <n v="23"/>
    <n v="2.7"/>
    <b v="0"/>
    <m/>
    <n v="28"/>
    <n v="0"/>
    <s v=""/>
    <x v="0"/>
  </r>
  <r>
    <s v="FB001797"/>
    <x v="5"/>
    <x v="3"/>
    <x v="3"/>
    <s v="XXL"/>
    <s v="Pink"/>
    <n v="94.26"/>
    <n v="28.9"/>
    <n v="67.02"/>
    <x v="1"/>
    <n v="44"/>
    <n v="3.6"/>
    <b v="0"/>
    <m/>
    <n v="28"/>
    <n v="1271.5999999999999"/>
    <s v=""/>
    <x v="1"/>
  </r>
  <r>
    <s v="FB001798"/>
    <x v="2"/>
    <x v="5"/>
    <x v="1"/>
    <m/>
    <s v="Green"/>
    <n v="55.79"/>
    <n v="27.3"/>
    <n v="40.56"/>
    <x v="1"/>
    <n v="39"/>
    <n v="4.9000000000000004"/>
    <b v="0"/>
    <m/>
    <n v="28"/>
    <n v="1064.7"/>
    <s v=""/>
    <x v="1"/>
  </r>
  <r>
    <s v="FB001799"/>
    <x v="2"/>
    <x v="6"/>
    <x v="1"/>
    <m/>
    <s v="Black"/>
    <n v="58.99"/>
    <n v="0"/>
    <n v="58.99"/>
    <x v="1"/>
    <n v="50"/>
    <n v="2.7"/>
    <b v="0"/>
    <m/>
    <n v="28"/>
    <n v="0"/>
    <s v=""/>
    <x v="0"/>
  </r>
  <r>
    <s v="FB001800"/>
    <x v="4"/>
    <x v="7"/>
    <x v="3"/>
    <s v="XXL"/>
    <s v="Purple"/>
    <n v="61.96"/>
    <n v="0"/>
    <n v="61.96"/>
    <x v="1"/>
    <n v="13"/>
    <n v="3.9"/>
    <b v="0"/>
    <m/>
    <n v="28"/>
    <n v="0"/>
    <s v=""/>
    <x v="0"/>
  </r>
  <r>
    <s v="FB001801"/>
    <x v="4"/>
    <x v="0"/>
    <x v="2"/>
    <s v="L"/>
    <s v="Brown"/>
    <n v="104.25"/>
    <n v="0"/>
    <n v="104.25"/>
    <x v="1"/>
    <n v="35"/>
    <n v="3.1"/>
    <b v="0"/>
    <m/>
    <n v="28"/>
    <n v="0"/>
    <s v=""/>
    <x v="0"/>
  </r>
  <r>
    <s v="FB001802"/>
    <x v="0"/>
    <x v="4"/>
    <x v="1"/>
    <s v="L"/>
    <s v="Gray"/>
    <n v="102.68"/>
    <n v="0"/>
    <n v="102.68"/>
    <x v="1"/>
    <n v="18"/>
    <n v="1.9"/>
    <b v="0"/>
    <m/>
    <n v="28"/>
    <n v="0"/>
    <s v=""/>
    <x v="0"/>
  </r>
  <r>
    <s v="FB001803"/>
    <x v="5"/>
    <x v="6"/>
    <x v="1"/>
    <s v="XXL"/>
    <s v="Beige"/>
    <n v="131.05000000000001"/>
    <n v="32.6"/>
    <n v="88.33"/>
    <x v="1"/>
    <n v="9"/>
    <n v="2.980952380952381"/>
    <b v="0"/>
    <m/>
    <n v="28"/>
    <n v="293.40000000000003"/>
    <s v=""/>
    <x v="1"/>
  </r>
  <r>
    <s v="FB001804"/>
    <x v="0"/>
    <x v="2"/>
    <x v="0"/>
    <s v="XS"/>
    <s v="Navy"/>
    <n v="139.72999999999999"/>
    <n v="54.3"/>
    <n v="63.86"/>
    <x v="175"/>
    <n v="38"/>
    <n v="3.0177777777777774"/>
    <b v="1"/>
    <s v="Changed Mind"/>
    <n v="160"/>
    <n v="2063.4"/>
    <n v="1"/>
    <x v="1"/>
  </r>
  <r>
    <s v="FB001805"/>
    <x v="2"/>
    <x v="7"/>
    <x v="1"/>
    <m/>
    <s v="Navy"/>
    <n v="17.59"/>
    <n v="0"/>
    <n v="17.59"/>
    <x v="1"/>
    <n v="14"/>
    <n v="2.8636363636363633"/>
    <b v="0"/>
    <m/>
    <n v="28"/>
    <n v="0"/>
    <s v=""/>
    <x v="0"/>
  </r>
  <r>
    <s v="FB001806"/>
    <x v="3"/>
    <x v="0"/>
    <x v="2"/>
    <s v="L"/>
    <s v="Red"/>
    <n v="115.09"/>
    <n v="0"/>
    <n v="115.09"/>
    <x v="1"/>
    <n v="10"/>
    <n v="2.5"/>
    <b v="0"/>
    <m/>
    <n v="28"/>
    <n v="0"/>
    <s v=""/>
    <x v="0"/>
  </r>
  <r>
    <s v="FB001807"/>
    <x v="2"/>
    <x v="0"/>
    <x v="3"/>
    <m/>
    <s v="Black"/>
    <n v="73.75"/>
    <n v="0"/>
    <n v="73.75"/>
    <x v="1"/>
    <n v="23"/>
    <n v="4.5"/>
    <b v="0"/>
    <m/>
    <n v="28"/>
    <n v="0"/>
    <s v=""/>
    <x v="0"/>
  </r>
  <r>
    <s v="FB001808"/>
    <x v="2"/>
    <x v="5"/>
    <x v="1"/>
    <m/>
    <s v="Navy"/>
    <n v="66.77"/>
    <n v="0"/>
    <n v="66.77"/>
    <x v="1"/>
    <n v="28"/>
    <n v="5"/>
    <b v="1"/>
    <s v="Size Issue"/>
    <n v="28"/>
    <n v="0"/>
    <n v="1"/>
    <x v="0"/>
  </r>
  <r>
    <s v="FB001809"/>
    <x v="1"/>
    <x v="4"/>
    <x v="2"/>
    <s v="L"/>
    <s v="White"/>
    <n v="63.92"/>
    <n v="0"/>
    <n v="63.92"/>
    <x v="1"/>
    <n v="10"/>
    <n v="4.4000000000000004"/>
    <b v="0"/>
    <m/>
    <n v="28"/>
    <n v="0"/>
    <s v=""/>
    <x v="0"/>
  </r>
  <r>
    <s v="FB001810"/>
    <x v="2"/>
    <x v="4"/>
    <x v="2"/>
    <m/>
    <s v="Green"/>
    <n v="26.26"/>
    <n v="0"/>
    <n v="26.26"/>
    <x v="1"/>
    <n v="27"/>
    <n v="2.7333333333333334"/>
    <b v="0"/>
    <m/>
    <n v="28"/>
    <n v="0"/>
    <s v=""/>
    <x v="0"/>
  </r>
  <r>
    <s v="FB001811"/>
    <x v="2"/>
    <x v="4"/>
    <x v="0"/>
    <m/>
    <s v="White"/>
    <n v="62.58"/>
    <n v="8.8000000000000007"/>
    <n v="57.07"/>
    <x v="170"/>
    <n v="1"/>
    <n v="1.7"/>
    <b v="0"/>
    <m/>
    <n v="301"/>
    <n v="8.8000000000000007"/>
    <s v=""/>
    <x v="1"/>
  </r>
  <r>
    <s v="FB001812"/>
    <x v="3"/>
    <x v="2"/>
    <x v="3"/>
    <s v="S"/>
    <s v="Green"/>
    <n v="143.88"/>
    <n v="0"/>
    <n v="143.88"/>
    <x v="1"/>
    <n v="1"/>
    <n v="3.1"/>
    <b v="0"/>
    <m/>
    <n v="28"/>
    <n v="0"/>
    <s v=""/>
    <x v="0"/>
  </r>
  <r>
    <s v="FB001813"/>
    <x v="0"/>
    <x v="0"/>
    <x v="0"/>
    <s v="XL"/>
    <s v="Blue"/>
    <n v="226.24"/>
    <n v="1.2"/>
    <n v="223.53"/>
    <x v="207"/>
    <n v="24"/>
    <n v="4.5"/>
    <b v="0"/>
    <m/>
    <n v="195"/>
    <n v="28.799999999999997"/>
    <s v=""/>
    <x v="1"/>
  </r>
  <r>
    <s v="FB001814"/>
    <x v="3"/>
    <x v="6"/>
    <x v="0"/>
    <s v="XXL"/>
    <s v="Black"/>
    <n v="164.75"/>
    <n v="0"/>
    <n v="164.75"/>
    <x v="250"/>
    <n v="8"/>
    <n v="3.7"/>
    <b v="0"/>
    <m/>
    <n v="124"/>
    <n v="0"/>
    <s v=""/>
    <x v="0"/>
  </r>
  <r>
    <s v="FB001815"/>
    <x v="4"/>
    <x v="0"/>
    <x v="3"/>
    <s v="L"/>
    <s v="Navy"/>
    <n v="56.14"/>
    <n v="0"/>
    <n v="56.14"/>
    <x v="1"/>
    <n v="16"/>
    <n v="4.3"/>
    <b v="0"/>
    <m/>
    <n v="28"/>
    <n v="0"/>
    <s v=""/>
    <x v="0"/>
  </r>
  <r>
    <s v="FB001816"/>
    <x v="2"/>
    <x v="4"/>
    <x v="1"/>
    <m/>
    <s v="Red"/>
    <n v="39.96"/>
    <n v="0"/>
    <n v="39.96"/>
    <x v="1"/>
    <n v="49"/>
    <n v="2.7333333333333334"/>
    <b v="0"/>
    <m/>
    <n v="28"/>
    <n v="0"/>
    <s v=""/>
    <x v="0"/>
  </r>
  <r>
    <s v="FB001817"/>
    <x v="4"/>
    <x v="5"/>
    <x v="3"/>
    <s v="L"/>
    <s v="Navy"/>
    <n v="26.5"/>
    <n v="57.9"/>
    <n v="11.16"/>
    <x v="1"/>
    <n v="8"/>
    <n v="1.7"/>
    <b v="0"/>
    <m/>
    <n v="28"/>
    <n v="463.2"/>
    <s v=""/>
    <x v="1"/>
  </r>
  <r>
    <s v="FB001818"/>
    <x v="3"/>
    <x v="4"/>
    <x v="0"/>
    <s v="XXL"/>
    <s v="Brown"/>
    <n v="118.53"/>
    <n v="55"/>
    <n v="53.34"/>
    <x v="5"/>
    <n v="2"/>
    <n v="4.9000000000000004"/>
    <b v="0"/>
    <m/>
    <n v="131"/>
    <n v="110"/>
    <s v=""/>
    <x v="1"/>
  </r>
  <r>
    <s v="FB001819"/>
    <x v="5"/>
    <x v="3"/>
    <x v="3"/>
    <s v="XL"/>
    <s v="Purple"/>
    <n v="58.08"/>
    <n v="0"/>
    <n v="58.08"/>
    <x v="1"/>
    <n v="42"/>
    <n v="1.6"/>
    <b v="0"/>
    <m/>
    <n v="28"/>
    <n v="0"/>
    <s v=""/>
    <x v="0"/>
  </r>
  <r>
    <s v="FB001820"/>
    <x v="3"/>
    <x v="4"/>
    <x v="3"/>
    <s v="S"/>
    <s v="Navy"/>
    <n v="138.85"/>
    <n v="15"/>
    <n v="118.02"/>
    <x v="1"/>
    <n v="17"/>
    <n v="3.3021276595744684"/>
    <b v="0"/>
    <m/>
    <n v="28"/>
    <n v="255"/>
    <s v=""/>
    <x v="1"/>
  </r>
  <r>
    <s v="FB001821"/>
    <x v="4"/>
    <x v="2"/>
    <x v="3"/>
    <s v="XS"/>
    <s v="Gray"/>
    <n v="73.33"/>
    <n v="0"/>
    <n v="73.33"/>
    <x v="1"/>
    <n v="3"/>
    <n v="3.1"/>
    <b v="1"/>
    <s v="Changed Mind"/>
    <n v="28"/>
    <n v="0"/>
    <n v="1"/>
    <x v="0"/>
  </r>
  <r>
    <s v="FB001822"/>
    <x v="0"/>
    <x v="7"/>
    <x v="1"/>
    <s v="S"/>
    <s v="Green"/>
    <n v="167.73"/>
    <n v="0"/>
    <n v="167.73"/>
    <x v="1"/>
    <n v="4"/>
    <n v="4.9000000000000004"/>
    <b v="0"/>
    <m/>
    <n v="28"/>
    <n v="0"/>
    <s v=""/>
    <x v="0"/>
  </r>
  <r>
    <s v="FB001823"/>
    <x v="1"/>
    <x v="4"/>
    <x v="1"/>
    <s v="XXL"/>
    <s v="Black"/>
    <n v="79.47"/>
    <n v="0"/>
    <n v="79.47"/>
    <x v="1"/>
    <n v="31"/>
    <n v="3.7"/>
    <b v="0"/>
    <m/>
    <n v="28"/>
    <n v="0"/>
    <s v=""/>
    <x v="0"/>
  </r>
  <r>
    <s v="FB001824"/>
    <x v="5"/>
    <x v="7"/>
    <x v="3"/>
    <s v="XL"/>
    <s v="White"/>
    <n v="69.12"/>
    <n v="49.4"/>
    <n v="34.97"/>
    <x v="1"/>
    <n v="45"/>
    <n v="2.2999999999999998"/>
    <b v="0"/>
    <m/>
    <n v="28"/>
    <n v="2223"/>
    <s v=""/>
    <x v="1"/>
  </r>
  <r>
    <s v="FB001825"/>
    <x v="4"/>
    <x v="3"/>
    <x v="3"/>
    <s v="S"/>
    <s v="Purple"/>
    <n v="56.18"/>
    <n v="6.7"/>
    <n v="52.42"/>
    <x v="1"/>
    <n v="35"/>
    <n v="2.6"/>
    <b v="1"/>
    <s v="Changed Mind"/>
    <n v="28"/>
    <n v="234.5"/>
    <n v="1"/>
    <x v="1"/>
  </r>
  <r>
    <s v="FB001826"/>
    <x v="1"/>
    <x v="6"/>
    <x v="1"/>
    <s v="XS"/>
    <s v="Gray"/>
    <n v="51.28"/>
    <n v="48.3"/>
    <n v="26.51"/>
    <x v="1"/>
    <n v="9"/>
    <n v="1.1000000000000001"/>
    <b v="1"/>
    <s v="Changed Mind"/>
    <n v="28"/>
    <n v="434.7"/>
    <n v="1"/>
    <x v="1"/>
  </r>
  <r>
    <s v="FB001827"/>
    <x v="0"/>
    <x v="6"/>
    <x v="0"/>
    <m/>
    <s v="Green"/>
    <n v="111.73"/>
    <n v="16.8"/>
    <n v="92.96"/>
    <x v="251"/>
    <n v="41"/>
    <n v="1.2"/>
    <b v="0"/>
    <m/>
    <n v="97"/>
    <n v="688.80000000000007"/>
    <s v=""/>
    <x v="1"/>
  </r>
  <r>
    <s v="FB001828"/>
    <x v="4"/>
    <x v="5"/>
    <x v="2"/>
    <s v="XXL"/>
    <s v="Gray"/>
    <n v="49.08"/>
    <n v="19.899999999999999"/>
    <n v="39.31"/>
    <x v="1"/>
    <n v="46"/>
    <n v="1"/>
    <b v="1"/>
    <s v="Changed Mind"/>
    <n v="28"/>
    <n v="915.4"/>
    <n v="1"/>
    <x v="1"/>
  </r>
  <r>
    <s v="FB001829"/>
    <x v="3"/>
    <x v="7"/>
    <x v="1"/>
    <s v="M"/>
    <s v="Pink"/>
    <n v="182.47"/>
    <n v="27.1"/>
    <n v="133.02000000000001"/>
    <x v="1"/>
    <n v="40"/>
    <n v="3.2576923076923077"/>
    <b v="0"/>
    <m/>
    <n v="28"/>
    <n v="1084"/>
    <s v=""/>
    <x v="1"/>
  </r>
  <r>
    <s v="FB001830"/>
    <x v="0"/>
    <x v="7"/>
    <x v="3"/>
    <s v="XS"/>
    <s v="Purple"/>
    <n v="241.22"/>
    <n v="5.9"/>
    <n v="226.99"/>
    <x v="1"/>
    <n v="13"/>
    <n v="1.2"/>
    <b v="0"/>
    <m/>
    <n v="28"/>
    <n v="76.7"/>
    <s v=""/>
    <x v="1"/>
  </r>
  <r>
    <s v="FB001831"/>
    <x v="5"/>
    <x v="5"/>
    <x v="0"/>
    <s v="XXL"/>
    <s v="Blue"/>
    <n v="78.3"/>
    <n v="0"/>
    <n v="78.3"/>
    <x v="92"/>
    <n v="19"/>
    <n v="3"/>
    <b v="0"/>
    <m/>
    <n v="173"/>
    <n v="0"/>
    <s v=""/>
    <x v="0"/>
  </r>
  <r>
    <s v="FB001832"/>
    <x v="3"/>
    <x v="2"/>
    <x v="1"/>
    <s v="M"/>
    <s v="Purple"/>
    <n v="73.930000000000007"/>
    <n v="0"/>
    <n v="73.930000000000007"/>
    <x v="1"/>
    <n v="0"/>
    <n v="3.1936170212765949"/>
    <b v="0"/>
    <m/>
    <n v="28"/>
    <n v="0"/>
    <s v=""/>
    <x v="0"/>
  </r>
  <r>
    <s v="FB001833"/>
    <x v="4"/>
    <x v="4"/>
    <x v="3"/>
    <s v="XXL"/>
    <s v="Green"/>
    <n v="97.5"/>
    <n v="0"/>
    <n v="97.5"/>
    <x v="1"/>
    <n v="43"/>
    <n v="1.6"/>
    <b v="0"/>
    <m/>
    <n v="28"/>
    <n v="0"/>
    <s v=""/>
    <x v="0"/>
  </r>
  <r>
    <s v="FB001834"/>
    <x v="1"/>
    <x v="5"/>
    <x v="3"/>
    <s v="XS"/>
    <s v="Green"/>
    <n v="38.9"/>
    <n v="0"/>
    <n v="38.9"/>
    <x v="1"/>
    <n v="1"/>
    <n v="5"/>
    <b v="0"/>
    <m/>
    <n v="28"/>
    <n v="0"/>
    <s v=""/>
    <x v="0"/>
  </r>
  <r>
    <s v="FB001835"/>
    <x v="3"/>
    <x v="2"/>
    <x v="3"/>
    <s v="S"/>
    <s v="Blue"/>
    <n v="95.52"/>
    <n v="0"/>
    <n v="95.52"/>
    <x v="1"/>
    <n v="47"/>
    <n v="3.9"/>
    <b v="0"/>
    <m/>
    <n v="28"/>
    <n v="0"/>
    <s v=""/>
    <x v="0"/>
  </r>
  <r>
    <s v="FB001836"/>
    <x v="0"/>
    <x v="0"/>
    <x v="2"/>
    <s v="M"/>
    <s v="Red"/>
    <n v="158.63999999999999"/>
    <n v="50.2"/>
    <n v="79"/>
    <x v="1"/>
    <n v="7"/>
    <n v="3"/>
    <b v="1"/>
    <s v="Changed Mind"/>
    <n v="28"/>
    <n v="351.40000000000003"/>
    <n v="1"/>
    <x v="1"/>
  </r>
  <r>
    <s v="FB001837"/>
    <x v="1"/>
    <x v="3"/>
    <x v="2"/>
    <s v="XL"/>
    <s v="Navy"/>
    <n v="26.11"/>
    <n v="0"/>
    <n v="26.11"/>
    <x v="1"/>
    <n v="41"/>
    <n v="4.3"/>
    <b v="0"/>
    <m/>
    <n v="28"/>
    <n v="0"/>
    <s v=""/>
    <x v="0"/>
  </r>
  <r>
    <s v="FB001838"/>
    <x v="3"/>
    <x v="7"/>
    <x v="0"/>
    <m/>
    <s v="White"/>
    <n v="107.09"/>
    <n v="43.1"/>
    <n v="60.93"/>
    <x v="173"/>
    <n v="16"/>
    <n v="4.7"/>
    <b v="1"/>
    <s v="Changed Mind"/>
    <n v="201"/>
    <n v="689.6"/>
    <n v="1"/>
    <x v="1"/>
  </r>
  <r>
    <s v="FB001839"/>
    <x v="2"/>
    <x v="6"/>
    <x v="3"/>
    <m/>
    <s v="Black"/>
    <n v="71.42"/>
    <n v="38"/>
    <n v="44.28"/>
    <x v="1"/>
    <n v="49"/>
    <n v="2.8"/>
    <b v="0"/>
    <m/>
    <n v="28"/>
    <n v="1862"/>
    <s v=""/>
    <x v="1"/>
  </r>
  <r>
    <s v="FB001840"/>
    <x v="3"/>
    <x v="0"/>
    <x v="3"/>
    <s v="XL"/>
    <s v="Red"/>
    <n v="124.56"/>
    <n v="0"/>
    <n v="124.56"/>
    <x v="1"/>
    <n v="18"/>
    <n v="3"/>
    <b v="0"/>
    <m/>
    <n v="28"/>
    <n v="0"/>
    <s v=""/>
    <x v="0"/>
  </r>
  <r>
    <s v="FB001841"/>
    <x v="4"/>
    <x v="1"/>
    <x v="3"/>
    <s v="L"/>
    <s v="Purple"/>
    <n v="30.91"/>
    <n v="0"/>
    <n v="30.91"/>
    <x v="1"/>
    <n v="45"/>
    <n v="1.8"/>
    <b v="0"/>
    <m/>
    <n v="28"/>
    <n v="0"/>
    <s v=""/>
    <x v="0"/>
  </r>
  <r>
    <s v="FB001842"/>
    <x v="1"/>
    <x v="0"/>
    <x v="1"/>
    <s v="XS"/>
    <s v="Beige"/>
    <n v="53.37"/>
    <n v="0"/>
    <n v="53.37"/>
    <x v="1"/>
    <n v="15"/>
    <n v="1.1000000000000001"/>
    <b v="0"/>
    <m/>
    <n v="28"/>
    <n v="0"/>
    <s v=""/>
    <x v="0"/>
  </r>
  <r>
    <s v="FB001843"/>
    <x v="3"/>
    <x v="6"/>
    <x v="3"/>
    <s v="XL"/>
    <s v="Green"/>
    <n v="159.16"/>
    <n v="0"/>
    <n v="159.16"/>
    <x v="1"/>
    <n v="40"/>
    <n v="2.9083333333333328"/>
    <b v="1"/>
    <s v="Changed Mind"/>
    <n v="28"/>
    <n v="0"/>
    <n v="1"/>
    <x v="0"/>
  </r>
  <r>
    <s v="FB001844"/>
    <x v="5"/>
    <x v="3"/>
    <x v="2"/>
    <s v="S"/>
    <s v="Pink"/>
    <n v="169.64"/>
    <n v="0"/>
    <n v="169.64"/>
    <x v="1"/>
    <n v="5"/>
    <n v="1.6"/>
    <b v="0"/>
    <m/>
    <n v="28"/>
    <n v="0"/>
    <s v=""/>
    <x v="0"/>
  </r>
  <r>
    <s v="FB001845"/>
    <x v="2"/>
    <x v="6"/>
    <x v="3"/>
    <m/>
    <s v="Blue"/>
    <n v="59.94"/>
    <n v="0"/>
    <n v="59.94"/>
    <x v="1"/>
    <n v="7"/>
    <n v="4"/>
    <b v="0"/>
    <m/>
    <n v="28"/>
    <n v="0"/>
    <s v=""/>
    <x v="0"/>
  </r>
  <r>
    <s v="FB001846"/>
    <x v="5"/>
    <x v="6"/>
    <x v="2"/>
    <s v="XL"/>
    <s v="Purple"/>
    <n v="92.59"/>
    <n v="0"/>
    <n v="92.59"/>
    <x v="1"/>
    <n v="29"/>
    <n v="3.5"/>
    <b v="1"/>
    <s v="Size Issue"/>
    <n v="28"/>
    <n v="0"/>
    <n v="1"/>
    <x v="0"/>
  </r>
  <r>
    <s v="FB001847"/>
    <x v="4"/>
    <x v="4"/>
    <x v="0"/>
    <s v="S"/>
    <s v="White"/>
    <n v="64.069999999999993"/>
    <n v="0"/>
    <n v="64.069999999999993"/>
    <x v="116"/>
    <n v="10"/>
    <n v="3.0659090909090896"/>
    <b v="0"/>
    <m/>
    <n v="169"/>
    <n v="0"/>
    <s v=""/>
    <x v="0"/>
  </r>
  <r>
    <s v="FB001848"/>
    <x v="5"/>
    <x v="7"/>
    <x v="2"/>
    <s v="XS"/>
    <s v="Blue"/>
    <n v="127.87"/>
    <n v="54.6"/>
    <n v="58.05"/>
    <x v="1"/>
    <n v="14"/>
    <n v="4.4000000000000004"/>
    <b v="0"/>
    <m/>
    <n v="28"/>
    <n v="764.4"/>
    <s v=""/>
    <x v="1"/>
  </r>
  <r>
    <s v="FB001849"/>
    <x v="4"/>
    <x v="2"/>
    <x v="2"/>
    <s v="M"/>
    <s v="Blue"/>
    <n v="32.46"/>
    <n v="12.9"/>
    <n v="28.27"/>
    <x v="1"/>
    <n v="9"/>
    <n v="3.0384615384615379"/>
    <b v="0"/>
    <m/>
    <n v="28"/>
    <n v="116.10000000000001"/>
    <s v=""/>
    <x v="1"/>
  </r>
  <r>
    <s v="FB001850"/>
    <x v="4"/>
    <x v="4"/>
    <x v="3"/>
    <s v="XXL"/>
    <s v="Pink"/>
    <n v="40.31"/>
    <n v="43"/>
    <n v="22.98"/>
    <x v="1"/>
    <n v="30"/>
    <n v="3.5"/>
    <b v="1"/>
    <s v="Color Mismatch"/>
    <n v="28"/>
    <n v="1290"/>
    <n v="1"/>
    <x v="1"/>
  </r>
  <r>
    <s v="FB001851"/>
    <x v="2"/>
    <x v="5"/>
    <x v="1"/>
    <m/>
    <s v="Green"/>
    <n v="51.3"/>
    <n v="6.1"/>
    <n v="48.17"/>
    <x v="1"/>
    <n v="31"/>
    <n v="3.2731707317073173"/>
    <b v="0"/>
    <m/>
    <n v="28"/>
    <n v="189.1"/>
    <s v=""/>
    <x v="1"/>
  </r>
  <r>
    <s v="FB001852"/>
    <x v="4"/>
    <x v="6"/>
    <x v="1"/>
    <s v="XS"/>
    <s v="Pink"/>
    <n v="28.62"/>
    <n v="0"/>
    <n v="28.62"/>
    <x v="1"/>
    <n v="41"/>
    <n v="4"/>
    <b v="0"/>
    <m/>
    <n v="28"/>
    <n v="0"/>
    <s v=""/>
    <x v="0"/>
  </r>
  <r>
    <s v="FB001853"/>
    <x v="2"/>
    <x v="6"/>
    <x v="2"/>
    <m/>
    <s v="Green"/>
    <n v="59.03"/>
    <n v="6.4"/>
    <n v="55.25"/>
    <x v="1"/>
    <n v="45"/>
    <n v="3.2720930232558145"/>
    <b v="0"/>
    <m/>
    <n v="28"/>
    <n v="288"/>
    <s v=""/>
    <x v="1"/>
  </r>
  <r>
    <s v="FB001854"/>
    <x v="1"/>
    <x v="5"/>
    <x v="3"/>
    <s v="S"/>
    <s v="Brown"/>
    <n v="99.65"/>
    <n v="7.4"/>
    <n v="92.28"/>
    <x v="1"/>
    <n v="31"/>
    <n v="3.8"/>
    <b v="0"/>
    <m/>
    <n v="28"/>
    <n v="229.4"/>
    <s v=""/>
    <x v="1"/>
  </r>
  <r>
    <s v="FB001855"/>
    <x v="5"/>
    <x v="7"/>
    <x v="1"/>
    <m/>
    <s v="Blue"/>
    <n v="128.55000000000001"/>
    <n v="0"/>
    <n v="128.55000000000001"/>
    <x v="1"/>
    <n v="1"/>
    <n v="3.7"/>
    <b v="0"/>
    <m/>
    <n v="28"/>
    <n v="0"/>
    <s v=""/>
    <x v="0"/>
  </r>
  <r>
    <s v="FB001856"/>
    <x v="4"/>
    <x v="3"/>
    <x v="0"/>
    <s v="L"/>
    <s v="Purple"/>
    <n v="78.09"/>
    <n v="56.3"/>
    <n v="34.130000000000003"/>
    <x v="84"/>
    <n v="20"/>
    <n v="1.3"/>
    <b v="0"/>
    <m/>
    <n v="133"/>
    <n v="1126"/>
    <s v=""/>
    <x v="1"/>
  </r>
  <r>
    <s v="FB001857"/>
    <x v="4"/>
    <x v="3"/>
    <x v="3"/>
    <s v="XXL"/>
    <s v="Navy"/>
    <n v="108.89"/>
    <n v="0"/>
    <n v="108.89"/>
    <x v="1"/>
    <n v="50"/>
    <n v="2.9"/>
    <b v="0"/>
    <m/>
    <n v="28"/>
    <n v="0"/>
    <s v=""/>
    <x v="0"/>
  </r>
  <r>
    <s v="FB001858"/>
    <x v="4"/>
    <x v="5"/>
    <x v="0"/>
    <m/>
    <s v="Gray"/>
    <n v="35.21"/>
    <n v="14.7"/>
    <n v="30.03"/>
    <x v="73"/>
    <n v="15"/>
    <n v="3.1"/>
    <b v="1"/>
    <s v="Quality Issue"/>
    <n v="254"/>
    <n v="220.5"/>
    <n v="1"/>
    <x v="1"/>
  </r>
  <r>
    <s v="FB001859"/>
    <x v="5"/>
    <x v="6"/>
    <x v="3"/>
    <s v="XXL"/>
    <s v="Brown"/>
    <n v="129.16"/>
    <n v="34"/>
    <n v="85.25"/>
    <x v="1"/>
    <n v="24"/>
    <n v="1.7"/>
    <b v="0"/>
    <m/>
    <n v="28"/>
    <n v="816"/>
    <s v=""/>
    <x v="1"/>
  </r>
  <r>
    <s v="FB001860"/>
    <x v="5"/>
    <x v="5"/>
    <x v="3"/>
    <s v="S"/>
    <s v="Gray"/>
    <n v="142.43"/>
    <n v="0"/>
    <n v="142.43"/>
    <x v="1"/>
    <n v="15"/>
    <n v="4.0999999999999996"/>
    <b v="1"/>
    <s v="Size Issue"/>
    <n v="28"/>
    <n v="0"/>
    <n v="1"/>
    <x v="0"/>
  </r>
  <r>
    <s v="FB001861"/>
    <x v="2"/>
    <x v="7"/>
    <x v="0"/>
    <m/>
    <s v="Navy"/>
    <n v="45.19"/>
    <n v="0"/>
    <n v="45.19"/>
    <x v="117"/>
    <n v="38"/>
    <n v="1.6"/>
    <b v="1"/>
    <s v="Wrong Item"/>
    <n v="187"/>
    <n v="0"/>
    <n v="1"/>
    <x v="0"/>
  </r>
  <r>
    <s v="FB001862"/>
    <x v="4"/>
    <x v="4"/>
    <x v="2"/>
    <s v="S"/>
    <s v="Purple"/>
    <n v="47.66"/>
    <n v="0"/>
    <n v="47.66"/>
    <x v="1"/>
    <n v="0"/>
    <n v="4.8"/>
    <b v="1"/>
    <s v="Size Issue"/>
    <n v="28"/>
    <n v="0"/>
    <n v="1"/>
    <x v="0"/>
  </r>
  <r>
    <s v="FB001863"/>
    <x v="4"/>
    <x v="1"/>
    <x v="3"/>
    <s v="XS"/>
    <s v="Beige"/>
    <n v="115.05"/>
    <n v="40"/>
    <n v="69.03"/>
    <x v="1"/>
    <n v="48"/>
    <n v="3.1"/>
    <b v="0"/>
    <m/>
    <n v="28"/>
    <n v="1920"/>
    <s v=""/>
    <x v="1"/>
  </r>
  <r>
    <s v="FB001864"/>
    <x v="4"/>
    <x v="2"/>
    <x v="3"/>
    <s v="XL"/>
    <s v="Brown"/>
    <n v="87.84"/>
    <n v="0"/>
    <n v="87.84"/>
    <x v="1"/>
    <n v="29"/>
    <n v="1.3"/>
    <b v="0"/>
    <m/>
    <n v="28"/>
    <n v="0"/>
    <s v=""/>
    <x v="0"/>
  </r>
  <r>
    <s v="FB001865"/>
    <x v="5"/>
    <x v="7"/>
    <x v="2"/>
    <s v="S"/>
    <s v="Blue"/>
    <n v="73.42"/>
    <n v="35"/>
    <n v="47.72"/>
    <x v="1"/>
    <n v="44"/>
    <n v="2.9636363636363638"/>
    <b v="0"/>
    <m/>
    <n v="28"/>
    <n v="1540"/>
    <s v=""/>
    <x v="1"/>
  </r>
  <r>
    <s v="FB001866"/>
    <x v="3"/>
    <x v="6"/>
    <x v="2"/>
    <s v="L"/>
    <s v="Navy"/>
    <n v="181.58"/>
    <n v="21.6"/>
    <n v="142.36000000000001"/>
    <x v="1"/>
    <n v="14"/>
    <n v="4.7"/>
    <b v="0"/>
    <m/>
    <n v="28"/>
    <n v="302.40000000000003"/>
    <s v=""/>
    <x v="1"/>
  </r>
  <r>
    <s v="FB001867"/>
    <x v="1"/>
    <x v="4"/>
    <x v="0"/>
    <s v="L"/>
    <s v="Black"/>
    <n v="71.680000000000007"/>
    <n v="0"/>
    <n v="71.680000000000007"/>
    <x v="133"/>
    <n v="0"/>
    <n v="1.5"/>
    <b v="0"/>
    <m/>
    <n v="29"/>
    <n v="0"/>
    <s v=""/>
    <x v="0"/>
  </r>
  <r>
    <s v="FB001868"/>
    <x v="1"/>
    <x v="2"/>
    <x v="1"/>
    <s v="XXL"/>
    <s v="Beige"/>
    <n v="25.63"/>
    <n v="0"/>
    <n v="25.63"/>
    <x v="1"/>
    <n v="27"/>
    <n v="1.2"/>
    <b v="0"/>
    <m/>
    <n v="28"/>
    <n v="0"/>
    <s v=""/>
    <x v="0"/>
  </r>
  <r>
    <s v="FB001869"/>
    <x v="1"/>
    <x v="7"/>
    <x v="1"/>
    <m/>
    <s v="Brown"/>
    <n v="31.34"/>
    <n v="48.5"/>
    <n v="16.14"/>
    <x v="1"/>
    <n v="36"/>
    <n v="1.6"/>
    <b v="1"/>
    <s v="Size Issue"/>
    <n v="28"/>
    <n v="1746"/>
    <n v="1"/>
    <x v="1"/>
  </r>
  <r>
    <s v="FB001870"/>
    <x v="5"/>
    <x v="4"/>
    <x v="2"/>
    <s v="L"/>
    <s v="Beige"/>
    <n v="98.91"/>
    <n v="33.799999999999997"/>
    <n v="65.48"/>
    <x v="1"/>
    <n v="33"/>
    <n v="3.1051282051282048"/>
    <b v="1"/>
    <s v="Color Mismatch"/>
    <n v="28"/>
    <n v="1115.3999999999999"/>
    <n v="1"/>
    <x v="1"/>
  </r>
  <r>
    <s v="FB001871"/>
    <x v="2"/>
    <x v="0"/>
    <x v="1"/>
    <m/>
    <s v="Red"/>
    <n v="43.33"/>
    <n v="7.8"/>
    <n v="39.950000000000003"/>
    <x v="1"/>
    <n v="4"/>
    <n v="1.3"/>
    <b v="0"/>
    <m/>
    <n v="28"/>
    <n v="31.2"/>
    <s v=""/>
    <x v="1"/>
  </r>
  <r>
    <s v="FB001872"/>
    <x v="3"/>
    <x v="6"/>
    <x v="3"/>
    <s v="M"/>
    <s v="Black"/>
    <n v="70.709999999999994"/>
    <n v="0"/>
    <n v="70.709999999999994"/>
    <x v="1"/>
    <n v="8"/>
    <n v="2.2999999999999998"/>
    <b v="0"/>
    <m/>
    <n v="28"/>
    <n v="0"/>
    <s v=""/>
    <x v="0"/>
  </r>
  <r>
    <s v="FB001873"/>
    <x v="0"/>
    <x v="4"/>
    <x v="1"/>
    <s v="S"/>
    <s v="Purple"/>
    <n v="215.99"/>
    <n v="38.1"/>
    <n v="133.69999999999999"/>
    <x v="1"/>
    <n v="14"/>
    <n v="3.9"/>
    <b v="0"/>
    <m/>
    <n v="28"/>
    <n v="533.4"/>
    <s v=""/>
    <x v="1"/>
  </r>
  <r>
    <s v="FB001874"/>
    <x v="5"/>
    <x v="2"/>
    <x v="1"/>
    <s v="XL"/>
    <s v="Green"/>
    <n v="145.57"/>
    <n v="5.0999999999999996"/>
    <n v="138.15"/>
    <x v="1"/>
    <n v="8"/>
    <n v="4.4000000000000004"/>
    <b v="0"/>
    <m/>
    <n v="28"/>
    <n v="40.799999999999997"/>
    <s v=""/>
    <x v="1"/>
  </r>
  <r>
    <s v="FB001875"/>
    <x v="3"/>
    <x v="2"/>
    <x v="2"/>
    <s v="XS"/>
    <s v="Navy"/>
    <n v="195.03"/>
    <n v="0"/>
    <n v="195.03"/>
    <x v="1"/>
    <n v="44"/>
    <n v="4.4000000000000004"/>
    <b v="0"/>
    <m/>
    <n v="28"/>
    <n v="0"/>
    <s v=""/>
    <x v="0"/>
  </r>
  <r>
    <s v="FB001876"/>
    <x v="4"/>
    <x v="5"/>
    <x v="1"/>
    <s v="XS"/>
    <s v="Black"/>
    <n v="74.88"/>
    <n v="9.6999999999999993"/>
    <n v="67.62"/>
    <x v="1"/>
    <n v="23"/>
    <n v="2.6"/>
    <b v="0"/>
    <m/>
    <n v="28"/>
    <n v="223.1"/>
    <s v=""/>
    <x v="1"/>
  </r>
  <r>
    <s v="FB001877"/>
    <x v="1"/>
    <x v="6"/>
    <x v="0"/>
    <s v="L"/>
    <s v="Pink"/>
    <n v="50.3"/>
    <n v="0"/>
    <n v="50.3"/>
    <x v="154"/>
    <n v="23"/>
    <n v="1.3"/>
    <b v="0"/>
    <m/>
    <n v="381"/>
    <n v="0"/>
    <s v=""/>
    <x v="0"/>
  </r>
  <r>
    <s v="FB001878"/>
    <x v="0"/>
    <x v="5"/>
    <x v="3"/>
    <s v="XXL"/>
    <s v="Red"/>
    <n v="130.65"/>
    <n v="0"/>
    <n v="130.65"/>
    <x v="1"/>
    <n v="20"/>
    <n v="2.6"/>
    <b v="0"/>
    <m/>
    <n v="28"/>
    <n v="0"/>
    <s v=""/>
    <x v="0"/>
  </r>
  <r>
    <s v="FB001879"/>
    <x v="5"/>
    <x v="7"/>
    <x v="0"/>
    <s v="XXL"/>
    <s v="Green"/>
    <n v="94.56"/>
    <n v="40.299999999999997"/>
    <n v="56.45"/>
    <x v="243"/>
    <n v="41"/>
    <n v="4.7"/>
    <b v="0"/>
    <m/>
    <n v="81"/>
    <n v="1652.3"/>
    <s v=""/>
    <x v="1"/>
  </r>
  <r>
    <s v="FB001880"/>
    <x v="0"/>
    <x v="1"/>
    <x v="0"/>
    <s v="S"/>
    <s v="Brown"/>
    <n v="138.97999999999999"/>
    <n v="10.199999999999999"/>
    <n v="124.8"/>
    <x v="112"/>
    <n v="36"/>
    <n v="1.4"/>
    <b v="0"/>
    <m/>
    <n v="43"/>
    <n v="367.2"/>
    <s v=""/>
    <x v="1"/>
  </r>
  <r>
    <s v="FB001881"/>
    <x v="2"/>
    <x v="4"/>
    <x v="1"/>
    <m/>
    <s v="Green"/>
    <n v="52.57"/>
    <n v="0"/>
    <n v="52.57"/>
    <x v="1"/>
    <n v="50"/>
    <n v="2.5"/>
    <b v="1"/>
    <s v="Damaged"/>
    <n v="28"/>
    <n v="0"/>
    <n v="1"/>
    <x v="0"/>
  </r>
  <r>
    <s v="FB001882"/>
    <x v="0"/>
    <x v="4"/>
    <x v="0"/>
    <m/>
    <s v="White"/>
    <n v="151.62"/>
    <n v="0"/>
    <n v="151.62"/>
    <x v="141"/>
    <n v="41"/>
    <n v="3.5"/>
    <b v="0"/>
    <m/>
    <n v="54"/>
    <n v="0"/>
    <s v=""/>
    <x v="0"/>
  </r>
  <r>
    <s v="FB001883"/>
    <x v="2"/>
    <x v="1"/>
    <x v="0"/>
    <m/>
    <s v="Blue"/>
    <n v="26.7"/>
    <n v="0"/>
    <n v="26.7"/>
    <x v="245"/>
    <n v="48"/>
    <n v="3.1"/>
    <b v="0"/>
    <m/>
    <n v="99"/>
    <n v="0"/>
    <s v=""/>
    <x v="0"/>
  </r>
  <r>
    <s v="FB001884"/>
    <x v="0"/>
    <x v="5"/>
    <x v="3"/>
    <s v="S"/>
    <s v="Brown"/>
    <n v="147.5"/>
    <n v="0"/>
    <n v="147.5"/>
    <x v="1"/>
    <n v="4"/>
    <n v="2.4"/>
    <b v="0"/>
    <m/>
    <n v="28"/>
    <n v="0"/>
    <s v=""/>
    <x v="0"/>
  </r>
  <r>
    <s v="FB001885"/>
    <x v="1"/>
    <x v="3"/>
    <x v="2"/>
    <s v="S"/>
    <s v="Navy"/>
    <n v="66"/>
    <n v="2.7"/>
    <n v="64.22"/>
    <x v="1"/>
    <n v="42"/>
    <n v="4.4000000000000004"/>
    <b v="0"/>
    <m/>
    <n v="28"/>
    <n v="113.4"/>
    <s v=""/>
    <x v="1"/>
  </r>
  <r>
    <s v="FB001886"/>
    <x v="0"/>
    <x v="0"/>
    <x v="2"/>
    <s v="XS"/>
    <s v="Red"/>
    <n v="183.6"/>
    <n v="0"/>
    <n v="183.6"/>
    <x v="1"/>
    <n v="10"/>
    <n v="2.7030303030303036"/>
    <b v="0"/>
    <m/>
    <n v="28"/>
    <n v="0"/>
    <s v=""/>
    <x v="0"/>
  </r>
  <r>
    <s v="FB001887"/>
    <x v="3"/>
    <x v="1"/>
    <x v="3"/>
    <s v="L"/>
    <s v="Blue"/>
    <n v="195.83"/>
    <n v="0"/>
    <n v="195.83"/>
    <x v="1"/>
    <n v="14"/>
    <n v="2.1"/>
    <b v="0"/>
    <m/>
    <n v="28"/>
    <n v="0"/>
    <s v=""/>
    <x v="0"/>
  </r>
  <r>
    <s v="FB001888"/>
    <x v="4"/>
    <x v="5"/>
    <x v="1"/>
    <s v="S"/>
    <s v="Beige"/>
    <n v="75.53"/>
    <n v="58.1"/>
    <n v="31.65"/>
    <x v="1"/>
    <n v="33"/>
    <n v="4"/>
    <b v="0"/>
    <m/>
    <n v="28"/>
    <n v="1917.3"/>
    <s v=""/>
    <x v="1"/>
  </r>
  <r>
    <s v="FB001889"/>
    <x v="1"/>
    <x v="3"/>
    <x v="0"/>
    <s v="XL"/>
    <s v="Beige"/>
    <n v="30.78"/>
    <n v="0"/>
    <n v="30.78"/>
    <x v="80"/>
    <n v="28"/>
    <n v="3.9"/>
    <b v="0"/>
    <m/>
    <n v="82"/>
    <n v="0"/>
    <s v=""/>
    <x v="0"/>
  </r>
  <r>
    <s v="FB001890"/>
    <x v="3"/>
    <x v="2"/>
    <x v="1"/>
    <s v="L"/>
    <s v="White"/>
    <n v="150.96"/>
    <n v="0"/>
    <n v="150.96"/>
    <x v="1"/>
    <n v="18"/>
    <n v="4.5999999999999996"/>
    <b v="0"/>
    <m/>
    <n v="28"/>
    <n v="0"/>
    <s v=""/>
    <x v="0"/>
  </r>
  <r>
    <s v="FB001891"/>
    <x v="4"/>
    <x v="7"/>
    <x v="3"/>
    <s v="L"/>
    <s v="Black"/>
    <n v="58.98"/>
    <n v="18.100000000000001"/>
    <n v="48.3"/>
    <x v="1"/>
    <n v="23"/>
    <n v="2.8"/>
    <b v="0"/>
    <m/>
    <n v="28"/>
    <n v="416.3"/>
    <s v=""/>
    <x v="1"/>
  </r>
  <r>
    <s v="FB001892"/>
    <x v="0"/>
    <x v="7"/>
    <x v="0"/>
    <s v="L"/>
    <s v="Purple"/>
    <n v="224.91"/>
    <n v="18.899999999999999"/>
    <n v="182.4"/>
    <x v="194"/>
    <n v="50"/>
    <n v="2.9718749999999998"/>
    <b v="0"/>
    <m/>
    <n v="349"/>
    <n v="944.99999999999989"/>
    <s v=""/>
    <x v="1"/>
  </r>
  <r>
    <s v="FB001893"/>
    <x v="0"/>
    <x v="2"/>
    <x v="0"/>
    <s v="XL"/>
    <s v="Brown"/>
    <n v="155.75"/>
    <n v="0"/>
    <n v="155.75"/>
    <x v="119"/>
    <n v="0"/>
    <n v="2.4"/>
    <b v="0"/>
    <m/>
    <n v="162"/>
    <n v="0"/>
    <s v=""/>
    <x v="0"/>
  </r>
  <r>
    <s v="FB001894"/>
    <x v="3"/>
    <x v="4"/>
    <x v="1"/>
    <s v="XL"/>
    <s v="Blue"/>
    <n v="194.4"/>
    <n v="16.2"/>
    <n v="162.91"/>
    <x v="1"/>
    <n v="36"/>
    <n v="1.5"/>
    <b v="0"/>
    <m/>
    <n v="28"/>
    <n v="583.19999999999993"/>
    <s v=""/>
    <x v="1"/>
  </r>
  <r>
    <s v="FB001895"/>
    <x v="3"/>
    <x v="2"/>
    <x v="2"/>
    <s v="L"/>
    <s v="Red"/>
    <n v="169.77"/>
    <n v="0"/>
    <n v="169.77"/>
    <x v="1"/>
    <n v="39"/>
    <n v="4.4000000000000004"/>
    <b v="0"/>
    <m/>
    <n v="28"/>
    <n v="0"/>
    <s v=""/>
    <x v="0"/>
  </r>
  <r>
    <s v="FB001896"/>
    <x v="2"/>
    <x v="1"/>
    <x v="1"/>
    <m/>
    <s v="Blue"/>
    <n v="41.52"/>
    <n v="27.3"/>
    <n v="30.19"/>
    <x v="1"/>
    <n v="48"/>
    <n v="3.4"/>
    <b v="0"/>
    <m/>
    <n v="28"/>
    <n v="1310.4000000000001"/>
    <s v=""/>
    <x v="1"/>
  </r>
  <r>
    <s v="FB001897"/>
    <x v="4"/>
    <x v="1"/>
    <x v="1"/>
    <s v="S"/>
    <s v="Green"/>
    <n v="29.5"/>
    <n v="0"/>
    <n v="29.5"/>
    <x v="1"/>
    <n v="36"/>
    <n v="2.6"/>
    <b v="0"/>
    <m/>
    <n v="28"/>
    <n v="0"/>
    <s v=""/>
    <x v="0"/>
  </r>
  <r>
    <s v="FB001898"/>
    <x v="0"/>
    <x v="2"/>
    <x v="0"/>
    <s v="S"/>
    <s v="Gray"/>
    <n v="224.47"/>
    <n v="2.7"/>
    <n v="218.41"/>
    <x v="148"/>
    <n v="15"/>
    <n v="3.5"/>
    <b v="0"/>
    <m/>
    <n v="219"/>
    <n v="40.5"/>
    <s v=""/>
    <x v="1"/>
  </r>
  <r>
    <s v="FB001899"/>
    <x v="4"/>
    <x v="7"/>
    <x v="3"/>
    <s v="S"/>
    <s v="Gray"/>
    <n v="101.45"/>
    <n v="7.8"/>
    <n v="93.54"/>
    <x v="1"/>
    <n v="4"/>
    <n v="1.1000000000000001"/>
    <b v="0"/>
    <m/>
    <n v="28"/>
    <n v="31.2"/>
    <s v=""/>
    <x v="1"/>
  </r>
  <r>
    <s v="FB001900"/>
    <x v="3"/>
    <x v="2"/>
    <x v="0"/>
    <s v="XXL"/>
    <s v="Red"/>
    <n v="84.65"/>
    <n v="0"/>
    <n v="84.65"/>
    <x v="214"/>
    <n v="49"/>
    <n v="3.6"/>
    <b v="0"/>
    <m/>
    <n v="39"/>
    <n v="0"/>
    <s v=""/>
    <x v="0"/>
  </r>
  <r>
    <s v="FB001901"/>
    <x v="0"/>
    <x v="5"/>
    <x v="3"/>
    <s v="S"/>
    <s v="Beige"/>
    <n v="155.85"/>
    <n v="0"/>
    <n v="155.85"/>
    <x v="1"/>
    <n v="38"/>
    <n v="3.0305555555555546"/>
    <b v="0"/>
    <m/>
    <n v="28"/>
    <n v="0"/>
    <s v=""/>
    <x v="0"/>
  </r>
  <r>
    <s v="FB001902"/>
    <x v="1"/>
    <x v="0"/>
    <x v="1"/>
    <s v="XL"/>
    <s v="Blue"/>
    <n v="89.62"/>
    <n v="0"/>
    <n v="89.62"/>
    <x v="1"/>
    <n v="0"/>
    <n v="4.5999999999999996"/>
    <b v="1"/>
    <s v="Color Mismatch"/>
    <n v="28"/>
    <n v="0"/>
    <n v="1"/>
    <x v="0"/>
  </r>
  <r>
    <s v="FB001903"/>
    <x v="1"/>
    <x v="6"/>
    <x v="3"/>
    <s v="L"/>
    <s v="Green"/>
    <n v="62.79"/>
    <n v="37.700000000000003"/>
    <n v="39.119999999999997"/>
    <x v="1"/>
    <n v="5"/>
    <n v="2.6"/>
    <b v="0"/>
    <m/>
    <n v="28"/>
    <n v="188.5"/>
    <s v=""/>
    <x v="1"/>
  </r>
  <r>
    <s v="FB001904"/>
    <x v="4"/>
    <x v="6"/>
    <x v="3"/>
    <s v="XL"/>
    <s v="Beige"/>
    <n v="84.72"/>
    <n v="24.2"/>
    <n v="64.22"/>
    <x v="1"/>
    <n v="44"/>
    <n v="3.1799999999999997"/>
    <b v="1"/>
    <s v="Color Mismatch"/>
    <n v="28"/>
    <n v="1064.8"/>
    <n v="1"/>
    <x v="1"/>
  </r>
  <r>
    <s v="FB001905"/>
    <x v="1"/>
    <x v="3"/>
    <x v="2"/>
    <s v="XL"/>
    <s v="Pink"/>
    <n v="50.9"/>
    <n v="0"/>
    <n v="50.9"/>
    <x v="1"/>
    <n v="1"/>
    <n v="1.8"/>
    <b v="0"/>
    <m/>
    <n v="28"/>
    <n v="0"/>
    <s v=""/>
    <x v="0"/>
  </r>
  <r>
    <s v="FB001906"/>
    <x v="2"/>
    <x v="0"/>
    <x v="1"/>
    <m/>
    <s v="Pink"/>
    <n v="31.23"/>
    <n v="0"/>
    <n v="31.23"/>
    <x v="1"/>
    <n v="25"/>
    <n v="2.8"/>
    <b v="0"/>
    <m/>
    <n v="28"/>
    <n v="0"/>
    <s v=""/>
    <x v="0"/>
  </r>
  <r>
    <s v="FB001907"/>
    <x v="1"/>
    <x v="0"/>
    <x v="0"/>
    <s v="XXL"/>
    <s v="Red"/>
    <n v="105.1"/>
    <n v="0"/>
    <n v="105.1"/>
    <x v="50"/>
    <n v="39"/>
    <n v="4.4000000000000004"/>
    <b v="0"/>
    <m/>
    <n v="371"/>
    <n v="0"/>
    <s v=""/>
    <x v="0"/>
  </r>
  <r>
    <s v="FB001908"/>
    <x v="5"/>
    <x v="7"/>
    <x v="3"/>
    <s v="XS"/>
    <s v="Brown"/>
    <n v="160.38"/>
    <n v="0"/>
    <n v="160.38"/>
    <x v="1"/>
    <n v="27"/>
    <n v="2.7"/>
    <b v="1"/>
    <s v="Wrong Item"/>
    <n v="28"/>
    <n v="0"/>
    <n v="1"/>
    <x v="0"/>
  </r>
  <r>
    <s v="FB001909"/>
    <x v="4"/>
    <x v="1"/>
    <x v="0"/>
    <s v="XS"/>
    <s v="Pink"/>
    <n v="96.68"/>
    <n v="26"/>
    <n v="71.540000000000006"/>
    <x v="91"/>
    <n v="16"/>
    <n v="3.0846153846153843"/>
    <b v="0"/>
    <m/>
    <n v="347"/>
    <n v="416"/>
    <s v=""/>
    <x v="1"/>
  </r>
  <r>
    <s v="FB001910"/>
    <x v="2"/>
    <x v="7"/>
    <x v="3"/>
    <m/>
    <s v="Beige"/>
    <n v="16.64"/>
    <n v="0"/>
    <n v="16.64"/>
    <x v="1"/>
    <n v="8"/>
    <n v="4.8"/>
    <b v="0"/>
    <m/>
    <n v="28"/>
    <n v="0"/>
    <s v=""/>
    <x v="0"/>
  </r>
  <r>
    <s v="FB001911"/>
    <x v="0"/>
    <x v="5"/>
    <x v="2"/>
    <s v="S"/>
    <s v="Beige"/>
    <n v="160.05000000000001"/>
    <n v="53.7"/>
    <n v="74.099999999999994"/>
    <x v="1"/>
    <n v="2"/>
    <n v="3.2"/>
    <b v="1"/>
    <s v="Quality Issue"/>
    <n v="28"/>
    <n v="107.4"/>
    <n v="1"/>
    <x v="1"/>
  </r>
  <r>
    <s v="FB001912"/>
    <x v="2"/>
    <x v="3"/>
    <x v="2"/>
    <m/>
    <s v="Gray"/>
    <n v="23.56"/>
    <n v="0"/>
    <n v="23.56"/>
    <x v="1"/>
    <n v="16"/>
    <n v="4.4000000000000004"/>
    <b v="0"/>
    <m/>
    <n v="28"/>
    <n v="0"/>
    <s v=""/>
    <x v="0"/>
  </r>
  <r>
    <s v="FB001913"/>
    <x v="3"/>
    <x v="0"/>
    <x v="2"/>
    <s v="XS"/>
    <s v="Black"/>
    <n v="68.37"/>
    <n v="24.2"/>
    <n v="51.82"/>
    <x v="1"/>
    <n v="8"/>
    <n v="3.7"/>
    <b v="0"/>
    <m/>
    <n v="28"/>
    <n v="193.6"/>
    <s v=""/>
    <x v="1"/>
  </r>
  <r>
    <s v="FB001914"/>
    <x v="0"/>
    <x v="3"/>
    <x v="2"/>
    <s v="S"/>
    <s v="Green"/>
    <n v="184.24"/>
    <n v="0"/>
    <n v="184.24"/>
    <x v="1"/>
    <n v="49"/>
    <n v="4"/>
    <b v="0"/>
    <m/>
    <n v="28"/>
    <n v="0"/>
    <s v=""/>
    <x v="0"/>
  </r>
  <r>
    <s v="FB001915"/>
    <x v="3"/>
    <x v="2"/>
    <x v="0"/>
    <s v="XS"/>
    <s v="Green"/>
    <n v="94.83"/>
    <n v="0"/>
    <n v="94.83"/>
    <x v="140"/>
    <n v="23"/>
    <n v="2.9"/>
    <b v="0"/>
    <m/>
    <n v="360"/>
    <n v="0"/>
    <s v=""/>
    <x v="0"/>
  </r>
  <r>
    <s v="FB001916"/>
    <x v="1"/>
    <x v="5"/>
    <x v="3"/>
    <s v="M"/>
    <s v="Pink"/>
    <n v="115.58"/>
    <n v="0"/>
    <n v="115.58"/>
    <x v="1"/>
    <n v="37"/>
    <n v="2.2000000000000002"/>
    <b v="0"/>
    <m/>
    <n v="28"/>
    <n v="0"/>
    <s v=""/>
    <x v="0"/>
  </r>
  <r>
    <s v="FB001917"/>
    <x v="0"/>
    <x v="0"/>
    <x v="1"/>
    <s v="XXL"/>
    <s v="Green"/>
    <n v="116.29"/>
    <n v="58.7"/>
    <n v="48.03"/>
    <x v="1"/>
    <n v="34"/>
    <n v="3.3"/>
    <b v="0"/>
    <m/>
    <n v="28"/>
    <n v="1995.8000000000002"/>
    <s v=""/>
    <x v="1"/>
  </r>
  <r>
    <s v="FB001918"/>
    <x v="2"/>
    <x v="2"/>
    <x v="3"/>
    <m/>
    <s v="Green"/>
    <n v="24.55"/>
    <n v="0"/>
    <n v="24.55"/>
    <x v="1"/>
    <n v="43"/>
    <n v="2.2999999999999998"/>
    <b v="0"/>
    <m/>
    <n v="28"/>
    <n v="0"/>
    <s v=""/>
    <x v="0"/>
  </r>
  <r>
    <s v="FB001919"/>
    <x v="5"/>
    <x v="0"/>
    <x v="0"/>
    <m/>
    <s v="Navy"/>
    <n v="81.56"/>
    <n v="0"/>
    <n v="81.56"/>
    <x v="252"/>
    <n v="28"/>
    <n v="3"/>
    <b v="0"/>
    <m/>
    <n v="237"/>
    <n v="0"/>
    <s v=""/>
    <x v="0"/>
  </r>
  <r>
    <s v="FB001920"/>
    <x v="0"/>
    <x v="2"/>
    <x v="0"/>
    <s v="M"/>
    <s v="White"/>
    <n v="234.63"/>
    <n v="0"/>
    <n v="234.63"/>
    <x v="199"/>
    <n v="30"/>
    <n v="4.3"/>
    <b v="0"/>
    <m/>
    <n v="208"/>
    <n v="0"/>
    <s v=""/>
    <x v="0"/>
  </r>
  <r>
    <s v="FB001921"/>
    <x v="2"/>
    <x v="0"/>
    <x v="2"/>
    <m/>
    <s v="White"/>
    <n v="27.6"/>
    <n v="0"/>
    <n v="27.6"/>
    <x v="1"/>
    <n v="33"/>
    <n v="2.8"/>
    <b v="0"/>
    <m/>
    <n v="28"/>
    <n v="0"/>
    <s v=""/>
    <x v="0"/>
  </r>
  <r>
    <s v="FB001922"/>
    <x v="1"/>
    <x v="5"/>
    <x v="2"/>
    <s v="XS"/>
    <s v="Gray"/>
    <n v="114.76"/>
    <n v="24.3"/>
    <n v="86.87"/>
    <x v="1"/>
    <n v="10"/>
    <n v="3.4"/>
    <b v="0"/>
    <m/>
    <n v="28"/>
    <n v="243"/>
    <s v=""/>
    <x v="1"/>
  </r>
  <r>
    <s v="FB001923"/>
    <x v="3"/>
    <x v="0"/>
    <x v="0"/>
    <s v="S"/>
    <s v="Green"/>
    <n v="133.52000000000001"/>
    <n v="0"/>
    <n v="133.52000000000001"/>
    <x v="53"/>
    <n v="32"/>
    <n v="2.9153846153846157"/>
    <b v="0"/>
    <m/>
    <n v="334"/>
    <n v="0"/>
    <s v=""/>
    <x v="0"/>
  </r>
  <r>
    <s v="FB001924"/>
    <x v="1"/>
    <x v="2"/>
    <x v="1"/>
    <s v="XS"/>
    <s v="Blue"/>
    <n v="64.34"/>
    <n v="59.3"/>
    <n v="26.19"/>
    <x v="1"/>
    <n v="34"/>
    <n v="1.2"/>
    <b v="0"/>
    <m/>
    <n v="28"/>
    <n v="2016.1999999999998"/>
    <s v=""/>
    <x v="1"/>
  </r>
  <r>
    <s v="FB001925"/>
    <x v="4"/>
    <x v="7"/>
    <x v="2"/>
    <s v="L"/>
    <s v="Purple"/>
    <n v="117.81"/>
    <n v="0"/>
    <n v="117.81"/>
    <x v="1"/>
    <n v="22"/>
    <n v="4.9000000000000004"/>
    <b v="0"/>
    <m/>
    <n v="28"/>
    <n v="0"/>
    <s v=""/>
    <x v="0"/>
  </r>
  <r>
    <s v="FB001926"/>
    <x v="2"/>
    <x v="5"/>
    <x v="0"/>
    <m/>
    <s v="Blue"/>
    <n v="29.19"/>
    <n v="0"/>
    <n v="29.19"/>
    <x v="253"/>
    <n v="20"/>
    <n v="1.9"/>
    <b v="0"/>
    <m/>
    <n v="172"/>
    <n v="0"/>
    <s v=""/>
    <x v="0"/>
  </r>
  <r>
    <s v="FB001927"/>
    <x v="1"/>
    <x v="1"/>
    <x v="2"/>
    <s v="M"/>
    <s v="Purple"/>
    <n v="34.72"/>
    <n v="0"/>
    <n v="34.72"/>
    <x v="1"/>
    <n v="7"/>
    <n v="3.34"/>
    <b v="0"/>
    <m/>
    <n v="28"/>
    <n v="0"/>
    <s v=""/>
    <x v="0"/>
  </r>
  <r>
    <s v="FB001928"/>
    <x v="5"/>
    <x v="6"/>
    <x v="2"/>
    <s v="XL"/>
    <s v="Gray"/>
    <n v="107.49"/>
    <n v="0"/>
    <n v="107.49"/>
    <x v="1"/>
    <n v="49"/>
    <n v="3.3"/>
    <b v="0"/>
    <m/>
    <n v="28"/>
    <n v="0"/>
    <s v=""/>
    <x v="0"/>
  </r>
  <r>
    <s v="FB001929"/>
    <x v="4"/>
    <x v="1"/>
    <x v="1"/>
    <s v="XXL"/>
    <s v="Blue"/>
    <n v="38.700000000000003"/>
    <n v="0"/>
    <n v="38.700000000000003"/>
    <x v="1"/>
    <n v="11"/>
    <n v="4"/>
    <b v="0"/>
    <m/>
    <n v="28"/>
    <n v="0"/>
    <s v=""/>
    <x v="0"/>
  </r>
  <r>
    <s v="FB001930"/>
    <x v="0"/>
    <x v="5"/>
    <x v="0"/>
    <s v="XS"/>
    <s v="Brown"/>
    <n v="152.63999999999999"/>
    <n v="0"/>
    <n v="152.63999999999999"/>
    <x v="196"/>
    <n v="19"/>
    <n v="4.0999999999999996"/>
    <b v="0"/>
    <m/>
    <n v="151"/>
    <n v="0"/>
    <s v=""/>
    <x v="0"/>
  </r>
  <r>
    <s v="FB001931"/>
    <x v="0"/>
    <x v="3"/>
    <x v="2"/>
    <s v="XS"/>
    <s v="Purple"/>
    <n v="181.66"/>
    <n v="56.4"/>
    <n v="79.2"/>
    <x v="1"/>
    <n v="43"/>
    <n v="1.2"/>
    <b v="0"/>
    <m/>
    <n v="28"/>
    <n v="2425.1999999999998"/>
    <s v=""/>
    <x v="1"/>
  </r>
  <r>
    <s v="FB001932"/>
    <x v="1"/>
    <x v="1"/>
    <x v="0"/>
    <s v="XL"/>
    <s v="Green"/>
    <n v="114.8"/>
    <n v="17.399999999999999"/>
    <n v="94.82"/>
    <x v="224"/>
    <n v="4"/>
    <n v="1.8"/>
    <b v="0"/>
    <m/>
    <n v="109"/>
    <n v="69.599999999999994"/>
    <s v=""/>
    <x v="1"/>
  </r>
  <r>
    <s v="FB001933"/>
    <x v="3"/>
    <x v="1"/>
    <x v="1"/>
    <s v="XXL"/>
    <s v="Green"/>
    <n v="102.95"/>
    <n v="0"/>
    <n v="102.95"/>
    <x v="1"/>
    <n v="38"/>
    <n v="3.8"/>
    <b v="0"/>
    <m/>
    <n v="28"/>
    <n v="0"/>
    <s v=""/>
    <x v="0"/>
  </r>
  <r>
    <s v="FB001934"/>
    <x v="1"/>
    <x v="7"/>
    <x v="1"/>
    <s v="XXL"/>
    <s v="Green"/>
    <n v="86.82"/>
    <n v="0"/>
    <n v="86.82"/>
    <x v="1"/>
    <n v="0"/>
    <n v="4.8"/>
    <b v="0"/>
    <m/>
    <n v="28"/>
    <n v="0"/>
    <s v=""/>
    <x v="0"/>
  </r>
  <r>
    <s v="FB001935"/>
    <x v="0"/>
    <x v="4"/>
    <x v="3"/>
    <s v="L"/>
    <s v="Red"/>
    <n v="83.68"/>
    <n v="28.1"/>
    <n v="60.17"/>
    <x v="1"/>
    <n v="46"/>
    <n v="2.9228571428571426"/>
    <b v="1"/>
    <s v="Quality Issue"/>
    <n v="28"/>
    <n v="1292.6000000000001"/>
    <n v="1"/>
    <x v="1"/>
  </r>
  <r>
    <s v="FB001936"/>
    <x v="0"/>
    <x v="2"/>
    <x v="2"/>
    <s v="S"/>
    <s v="Pink"/>
    <n v="167.31"/>
    <n v="50.7"/>
    <n v="82.48"/>
    <x v="1"/>
    <n v="9"/>
    <n v="3.2"/>
    <b v="0"/>
    <m/>
    <n v="28"/>
    <n v="456.3"/>
    <s v=""/>
    <x v="1"/>
  </r>
  <r>
    <s v="FB001937"/>
    <x v="4"/>
    <x v="4"/>
    <x v="2"/>
    <s v="XS"/>
    <s v="Gray"/>
    <n v="114.64"/>
    <n v="5.0999999999999996"/>
    <n v="108.79"/>
    <x v="1"/>
    <n v="21"/>
    <n v="2"/>
    <b v="0"/>
    <m/>
    <n v="28"/>
    <n v="107.1"/>
    <s v=""/>
    <x v="1"/>
  </r>
  <r>
    <s v="FB001938"/>
    <x v="0"/>
    <x v="4"/>
    <x v="0"/>
    <s v="XXL"/>
    <s v="White"/>
    <n v="109.53"/>
    <n v="29.3"/>
    <n v="77.44"/>
    <x v="62"/>
    <n v="35"/>
    <n v="1.3"/>
    <b v="0"/>
    <m/>
    <n v="305"/>
    <n v="1025.5"/>
    <s v=""/>
    <x v="1"/>
  </r>
  <r>
    <s v="FB001939"/>
    <x v="2"/>
    <x v="5"/>
    <x v="3"/>
    <m/>
    <s v="Beige"/>
    <n v="51.02"/>
    <n v="57.9"/>
    <n v="21.48"/>
    <x v="1"/>
    <n v="36"/>
    <n v="3.2731707317073173"/>
    <b v="0"/>
    <m/>
    <n v="28"/>
    <n v="2084.4"/>
    <s v=""/>
    <x v="1"/>
  </r>
  <r>
    <s v="FB001940"/>
    <x v="3"/>
    <x v="4"/>
    <x v="2"/>
    <s v="M"/>
    <s v="Green"/>
    <n v="77.45"/>
    <n v="52.8"/>
    <n v="36.56"/>
    <x v="1"/>
    <n v="6"/>
    <n v="2.7"/>
    <b v="0"/>
    <m/>
    <n v="28"/>
    <n v="316.79999999999995"/>
    <s v=""/>
    <x v="1"/>
  </r>
  <r>
    <s v="FB001941"/>
    <x v="3"/>
    <x v="5"/>
    <x v="2"/>
    <s v="XS"/>
    <s v="White"/>
    <n v="142.87"/>
    <n v="45.4"/>
    <n v="78.010000000000005"/>
    <x v="1"/>
    <n v="20"/>
    <n v="1.7"/>
    <b v="0"/>
    <m/>
    <n v="28"/>
    <n v="908"/>
    <s v=""/>
    <x v="1"/>
  </r>
  <r>
    <s v="FB001942"/>
    <x v="0"/>
    <x v="2"/>
    <x v="1"/>
    <s v="XS"/>
    <s v="White"/>
    <n v="138.87"/>
    <n v="0"/>
    <n v="138.87"/>
    <x v="1"/>
    <n v="37"/>
    <n v="3.2"/>
    <b v="0"/>
    <m/>
    <n v="28"/>
    <n v="0"/>
    <s v=""/>
    <x v="0"/>
  </r>
  <r>
    <s v="FB001943"/>
    <x v="3"/>
    <x v="5"/>
    <x v="0"/>
    <s v="S"/>
    <s v="Red"/>
    <n v="132.82"/>
    <n v="0"/>
    <n v="132.82"/>
    <x v="163"/>
    <n v="40"/>
    <n v="3.0068965517241386"/>
    <b v="1"/>
    <s v="Changed Mind"/>
    <n v="170"/>
    <n v="0"/>
    <n v="1"/>
    <x v="0"/>
  </r>
  <r>
    <s v="FB001944"/>
    <x v="3"/>
    <x v="4"/>
    <x v="3"/>
    <s v="L"/>
    <s v="Navy"/>
    <n v="110.54"/>
    <n v="0"/>
    <n v="110.54"/>
    <x v="1"/>
    <n v="24"/>
    <n v="3.3021276595744684"/>
    <b v="1"/>
    <s v="Size Issue"/>
    <n v="28"/>
    <n v="0"/>
    <n v="1"/>
    <x v="0"/>
  </r>
  <r>
    <s v="FB001945"/>
    <x v="4"/>
    <x v="0"/>
    <x v="3"/>
    <s v="XL"/>
    <s v="Beige"/>
    <n v="29.07"/>
    <n v="0"/>
    <n v="29.07"/>
    <x v="1"/>
    <n v="41"/>
    <n v="2.8"/>
    <b v="0"/>
    <m/>
    <n v="28"/>
    <n v="0"/>
    <s v=""/>
    <x v="0"/>
  </r>
  <r>
    <s v="FB001946"/>
    <x v="0"/>
    <x v="6"/>
    <x v="3"/>
    <s v="S"/>
    <s v="Navy"/>
    <n v="141.91999999999999"/>
    <n v="0"/>
    <n v="141.91999999999999"/>
    <x v="1"/>
    <n v="37"/>
    <n v="1.7"/>
    <b v="0"/>
    <m/>
    <n v="28"/>
    <n v="0"/>
    <s v=""/>
    <x v="0"/>
  </r>
  <r>
    <s v="FB001947"/>
    <x v="3"/>
    <x v="2"/>
    <x v="3"/>
    <s v="XL"/>
    <s v="Red"/>
    <n v="67.84"/>
    <n v="0"/>
    <n v="67.84"/>
    <x v="1"/>
    <n v="24"/>
    <n v="1.2"/>
    <b v="0"/>
    <m/>
    <n v="28"/>
    <n v="0"/>
    <s v=""/>
    <x v="0"/>
  </r>
  <r>
    <s v="FB001948"/>
    <x v="3"/>
    <x v="3"/>
    <x v="1"/>
    <s v="S"/>
    <s v="Brown"/>
    <n v="143.27000000000001"/>
    <n v="0"/>
    <n v="143.27000000000001"/>
    <x v="1"/>
    <n v="0"/>
    <n v="2.9804347826086954"/>
    <b v="0"/>
    <m/>
    <n v="28"/>
    <n v="0"/>
    <s v=""/>
    <x v="0"/>
  </r>
  <r>
    <s v="FB001949"/>
    <x v="2"/>
    <x v="2"/>
    <x v="1"/>
    <m/>
    <s v="Brown"/>
    <n v="20.97"/>
    <n v="0"/>
    <n v="20.97"/>
    <x v="1"/>
    <n v="44"/>
    <n v="4.5999999999999996"/>
    <b v="0"/>
    <m/>
    <n v="28"/>
    <n v="0"/>
    <s v=""/>
    <x v="0"/>
  </r>
  <r>
    <s v="FB001950"/>
    <x v="5"/>
    <x v="0"/>
    <x v="3"/>
    <s v="XL"/>
    <s v="Purple"/>
    <n v="105.5"/>
    <n v="59.8"/>
    <n v="42.41"/>
    <x v="1"/>
    <n v="34"/>
    <n v="3.0424242424242425"/>
    <b v="0"/>
    <m/>
    <n v="28"/>
    <n v="2033.1999999999998"/>
    <s v=""/>
    <x v="1"/>
  </r>
  <r>
    <s v="FB001951"/>
    <x v="3"/>
    <x v="2"/>
    <x v="0"/>
    <s v="XXL"/>
    <s v="Green"/>
    <n v="184.7"/>
    <n v="0"/>
    <n v="184.7"/>
    <x v="194"/>
    <n v="39"/>
    <n v="2.1"/>
    <b v="1"/>
    <s v="Size Issue"/>
    <n v="349"/>
    <n v="0"/>
    <n v="1"/>
    <x v="0"/>
  </r>
  <r>
    <s v="FB001952"/>
    <x v="3"/>
    <x v="4"/>
    <x v="0"/>
    <s v="XS"/>
    <s v="Blue"/>
    <n v="81.47"/>
    <n v="32"/>
    <n v="55.4"/>
    <x v="134"/>
    <n v="2"/>
    <n v="1.1000000000000001"/>
    <b v="0"/>
    <m/>
    <n v="367"/>
    <n v="64"/>
    <s v=""/>
    <x v="1"/>
  </r>
  <r>
    <s v="FB001953"/>
    <x v="0"/>
    <x v="2"/>
    <x v="1"/>
    <s v="L"/>
    <s v="Blue"/>
    <n v="107.67"/>
    <n v="20.3"/>
    <n v="85.81"/>
    <x v="1"/>
    <n v="16"/>
    <n v="4.3"/>
    <b v="0"/>
    <m/>
    <n v="28"/>
    <n v="324.8"/>
    <s v=""/>
    <x v="1"/>
  </r>
  <r>
    <s v="FB001954"/>
    <x v="1"/>
    <x v="2"/>
    <x v="3"/>
    <s v="XL"/>
    <s v="Purple"/>
    <n v="88.64"/>
    <n v="0"/>
    <n v="88.64"/>
    <x v="1"/>
    <n v="33"/>
    <n v="2.953125"/>
    <b v="0"/>
    <m/>
    <n v="28"/>
    <n v="0"/>
    <s v=""/>
    <x v="0"/>
  </r>
  <r>
    <s v="FB001955"/>
    <x v="2"/>
    <x v="0"/>
    <x v="1"/>
    <m/>
    <s v="Red"/>
    <n v="17.5"/>
    <n v="14.4"/>
    <n v="14.98"/>
    <x v="1"/>
    <n v="16"/>
    <n v="3.1"/>
    <b v="0"/>
    <m/>
    <n v="28"/>
    <n v="230.4"/>
    <s v=""/>
    <x v="1"/>
  </r>
  <r>
    <s v="FB001956"/>
    <x v="0"/>
    <x v="4"/>
    <x v="1"/>
    <s v="XL"/>
    <s v="Gray"/>
    <n v="205.37"/>
    <n v="0"/>
    <n v="205.37"/>
    <x v="1"/>
    <n v="25"/>
    <n v="2"/>
    <b v="1"/>
    <s v="Damaged"/>
    <n v="28"/>
    <n v="0"/>
    <n v="1"/>
    <x v="0"/>
  </r>
  <r>
    <s v="FB001957"/>
    <x v="5"/>
    <x v="3"/>
    <x v="1"/>
    <s v="XS"/>
    <s v="Beige"/>
    <n v="111.66"/>
    <n v="0"/>
    <n v="111.66"/>
    <x v="1"/>
    <n v="26"/>
    <n v="1.4"/>
    <b v="0"/>
    <m/>
    <n v="28"/>
    <n v="0"/>
    <s v=""/>
    <x v="0"/>
  </r>
  <r>
    <s v="FB001958"/>
    <x v="3"/>
    <x v="3"/>
    <x v="3"/>
    <s v="S"/>
    <s v="Pink"/>
    <n v="184.87"/>
    <n v="56.4"/>
    <n v="80.599999999999994"/>
    <x v="1"/>
    <n v="10"/>
    <n v="3.7"/>
    <b v="0"/>
    <m/>
    <n v="28"/>
    <n v="564"/>
    <s v=""/>
    <x v="1"/>
  </r>
  <r>
    <s v="FB001959"/>
    <x v="4"/>
    <x v="0"/>
    <x v="0"/>
    <s v="L"/>
    <s v="Green"/>
    <n v="84.58"/>
    <n v="0"/>
    <n v="84.58"/>
    <x v="189"/>
    <n v="33"/>
    <n v="4.5"/>
    <b v="0"/>
    <m/>
    <n v="229"/>
    <n v="0"/>
    <s v=""/>
    <x v="0"/>
  </r>
  <r>
    <s v="FB001960"/>
    <x v="4"/>
    <x v="7"/>
    <x v="3"/>
    <s v="XXL"/>
    <s v="White"/>
    <n v="66.739999999999995"/>
    <n v="0"/>
    <n v="66.739999999999995"/>
    <x v="1"/>
    <n v="26"/>
    <n v="4.5999999999999996"/>
    <b v="0"/>
    <m/>
    <n v="28"/>
    <n v="0"/>
    <s v=""/>
    <x v="0"/>
  </r>
  <r>
    <s v="FB001961"/>
    <x v="3"/>
    <x v="4"/>
    <x v="3"/>
    <s v="M"/>
    <s v="Green"/>
    <n v="104.19"/>
    <n v="0"/>
    <n v="104.19"/>
    <x v="1"/>
    <n v="4"/>
    <n v="4.7"/>
    <b v="0"/>
    <m/>
    <n v="28"/>
    <n v="0"/>
    <s v=""/>
    <x v="0"/>
  </r>
  <r>
    <s v="FB001962"/>
    <x v="0"/>
    <x v="1"/>
    <x v="3"/>
    <s v="M"/>
    <s v="Green"/>
    <n v="216.73"/>
    <n v="0"/>
    <n v="216.73"/>
    <x v="1"/>
    <n v="5"/>
    <n v="2.7"/>
    <b v="1"/>
    <s v="Wrong Item"/>
    <n v="28"/>
    <n v="0"/>
    <n v="1"/>
    <x v="0"/>
  </r>
  <r>
    <s v="FB001963"/>
    <x v="5"/>
    <x v="3"/>
    <x v="3"/>
    <s v="XXL"/>
    <s v="Beige"/>
    <n v="87.82"/>
    <n v="0"/>
    <n v="87.82"/>
    <x v="1"/>
    <n v="24"/>
    <n v="4.2"/>
    <b v="0"/>
    <m/>
    <n v="28"/>
    <n v="0"/>
    <s v=""/>
    <x v="0"/>
  </r>
  <r>
    <s v="FB001964"/>
    <x v="3"/>
    <x v="0"/>
    <x v="3"/>
    <s v="L"/>
    <s v="Green"/>
    <n v="81.59"/>
    <n v="0"/>
    <n v="81.59"/>
    <x v="1"/>
    <n v="5"/>
    <n v="2.5"/>
    <b v="0"/>
    <m/>
    <n v="28"/>
    <n v="0"/>
    <s v=""/>
    <x v="0"/>
  </r>
  <r>
    <s v="FB001965"/>
    <x v="0"/>
    <x v="6"/>
    <x v="3"/>
    <m/>
    <s v="Blue"/>
    <n v="93.14"/>
    <n v="32.799999999999997"/>
    <n v="62.59"/>
    <x v="1"/>
    <n v="45"/>
    <n v="4.5"/>
    <b v="0"/>
    <m/>
    <n v="28"/>
    <n v="1475.9999999999998"/>
    <s v=""/>
    <x v="1"/>
  </r>
  <r>
    <s v="FB001966"/>
    <x v="4"/>
    <x v="6"/>
    <x v="0"/>
    <s v="XS"/>
    <s v="Gray"/>
    <n v="96.73"/>
    <n v="0"/>
    <n v="96.73"/>
    <x v="165"/>
    <n v="18"/>
    <n v="4.8"/>
    <b v="0"/>
    <m/>
    <n v="298"/>
    <n v="0"/>
    <s v=""/>
    <x v="0"/>
  </r>
  <r>
    <s v="FB001967"/>
    <x v="2"/>
    <x v="7"/>
    <x v="1"/>
    <m/>
    <s v="Blue"/>
    <n v="19.34"/>
    <n v="0"/>
    <n v="19.34"/>
    <x v="1"/>
    <n v="19"/>
    <n v="2.8636363636363633"/>
    <b v="0"/>
    <m/>
    <n v="28"/>
    <n v="0"/>
    <s v=""/>
    <x v="0"/>
  </r>
  <r>
    <s v="FB001968"/>
    <x v="3"/>
    <x v="0"/>
    <x v="0"/>
    <s v="S"/>
    <s v="Red"/>
    <n v="113.88"/>
    <n v="31.1"/>
    <n v="78.459999999999994"/>
    <x v="82"/>
    <n v="22"/>
    <n v="3.1"/>
    <b v="0"/>
    <m/>
    <n v="85"/>
    <n v="684.2"/>
    <s v=""/>
    <x v="1"/>
  </r>
  <r>
    <s v="FB001969"/>
    <x v="5"/>
    <x v="0"/>
    <x v="0"/>
    <s v="XL"/>
    <s v="Navy"/>
    <n v="90.32"/>
    <n v="0"/>
    <n v="90.32"/>
    <x v="254"/>
    <n v="41"/>
    <n v="2.8"/>
    <b v="0"/>
    <m/>
    <n v="161"/>
    <n v="0"/>
    <s v=""/>
    <x v="0"/>
  </r>
  <r>
    <s v="FB001970"/>
    <x v="1"/>
    <x v="2"/>
    <x v="3"/>
    <s v="L"/>
    <s v="Gray"/>
    <n v="38.119999999999997"/>
    <n v="0"/>
    <n v="38.119999999999997"/>
    <x v="1"/>
    <n v="44"/>
    <n v="2.953125"/>
    <b v="0"/>
    <m/>
    <n v="28"/>
    <n v="0"/>
    <s v=""/>
    <x v="0"/>
  </r>
  <r>
    <s v="FB001971"/>
    <x v="3"/>
    <x v="2"/>
    <x v="3"/>
    <s v="S"/>
    <s v="Blue"/>
    <n v="175.31"/>
    <n v="0"/>
    <n v="175.31"/>
    <x v="1"/>
    <n v="13"/>
    <n v="3.1936170212765949"/>
    <b v="0"/>
    <m/>
    <n v="28"/>
    <n v="0"/>
    <s v=""/>
    <x v="0"/>
  </r>
  <r>
    <s v="FB001972"/>
    <x v="5"/>
    <x v="0"/>
    <x v="0"/>
    <s v="L"/>
    <s v="Red"/>
    <n v="171.92"/>
    <n v="0"/>
    <n v="171.92"/>
    <x v="255"/>
    <n v="12"/>
    <n v="1.3"/>
    <b v="0"/>
    <m/>
    <n v="87"/>
    <n v="0"/>
    <s v=""/>
    <x v="0"/>
  </r>
  <r>
    <s v="FB001973"/>
    <x v="2"/>
    <x v="6"/>
    <x v="3"/>
    <m/>
    <s v="Blue"/>
    <n v="35.6"/>
    <n v="0"/>
    <n v="35.6"/>
    <x v="1"/>
    <n v="24"/>
    <n v="3.1"/>
    <b v="0"/>
    <m/>
    <n v="28"/>
    <n v="0"/>
    <s v=""/>
    <x v="0"/>
  </r>
  <r>
    <s v="FB001974"/>
    <x v="4"/>
    <x v="4"/>
    <x v="3"/>
    <s v="M"/>
    <s v="Navy"/>
    <n v="81.7"/>
    <n v="0"/>
    <n v="81.7"/>
    <x v="1"/>
    <n v="33"/>
    <n v="3.0659090909090896"/>
    <b v="1"/>
    <s v="Wrong Item"/>
    <n v="28"/>
    <n v="0"/>
    <n v="1"/>
    <x v="0"/>
  </r>
  <r>
    <s v="FB001975"/>
    <x v="4"/>
    <x v="2"/>
    <x v="3"/>
    <m/>
    <s v="Purple"/>
    <n v="29.7"/>
    <n v="0"/>
    <n v="29.7"/>
    <x v="1"/>
    <n v="16"/>
    <n v="2.7"/>
    <b v="0"/>
    <m/>
    <n v="28"/>
    <n v="0"/>
    <s v=""/>
    <x v="0"/>
  </r>
  <r>
    <s v="FB001976"/>
    <x v="0"/>
    <x v="3"/>
    <x v="1"/>
    <s v="S"/>
    <s v="Brown"/>
    <n v="239.65"/>
    <n v="0"/>
    <n v="239.65"/>
    <x v="1"/>
    <n v="27"/>
    <n v="2.9"/>
    <b v="0"/>
    <m/>
    <n v="28"/>
    <n v="0"/>
    <s v=""/>
    <x v="0"/>
  </r>
  <r>
    <s v="FB001977"/>
    <x v="1"/>
    <x v="4"/>
    <x v="2"/>
    <s v="M"/>
    <s v="Red"/>
    <n v="90.41"/>
    <n v="0"/>
    <n v="90.41"/>
    <x v="1"/>
    <n v="11"/>
    <n v="2.9657142857142857"/>
    <b v="0"/>
    <m/>
    <n v="28"/>
    <n v="0"/>
    <s v=""/>
    <x v="0"/>
  </r>
  <r>
    <s v="FB001978"/>
    <x v="5"/>
    <x v="5"/>
    <x v="1"/>
    <s v="XL"/>
    <s v="White"/>
    <n v="81.78"/>
    <n v="10"/>
    <n v="73.599999999999994"/>
    <x v="1"/>
    <n v="24"/>
    <n v="1.2"/>
    <b v="0"/>
    <m/>
    <n v="28"/>
    <n v="240"/>
    <s v=""/>
    <x v="1"/>
  </r>
  <r>
    <s v="FB001979"/>
    <x v="0"/>
    <x v="7"/>
    <x v="1"/>
    <s v="L"/>
    <s v="Black"/>
    <n v="142.55000000000001"/>
    <n v="0"/>
    <n v="142.55000000000001"/>
    <x v="1"/>
    <n v="21"/>
    <n v="4.5"/>
    <b v="0"/>
    <m/>
    <n v="28"/>
    <n v="0"/>
    <s v=""/>
    <x v="0"/>
  </r>
  <r>
    <s v="FB001980"/>
    <x v="5"/>
    <x v="6"/>
    <x v="2"/>
    <s v="S"/>
    <s v="Black"/>
    <n v="53.13"/>
    <n v="0"/>
    <n v="53.13"/>
    <x v="1"/>
    <n v="5"/>
    <n v="4.5999999999999996"/>
    <b v="0"/>
    <m/>
    <n v="28"/>
    <n v="0"/>
    <s v=""/>
    <x v="0"/>
  </r>
  <r>
    <s v="FB001981"/>
    <x v="4"/>
    <x v="7"/>
    <x v="3"/>
    <s v="L"/>
    <s v="Navy"/>
    <n v="80.81"/>
    <n v="0"/>
    <n v="80.81"/>
    <x v="1"/>
    <n v="15"/>
    <n v="4.5999999999999996"/>
    <b v="0"/>
    <m/>
    <n v="28"/>
    <n v="0"/>
    <s v=""/>
    <x v="0"/>
  </r>
  <r>
    <s v="FB001982"/>
    <x v="1"/>
    <x v="1"/>
    <x v="2"/>
    <s v="M"/>
    <s v="Navy"/>
    <n v="89.39"/>
    <n v="0"/>
    <n v="89.39"/>
    <x v="1"/>
    <n v="33"/>
    <n v="4.2"/>
    <b v="0"/>
    <m/>
    <n v="28"/>
    <n v="0"/>
    <s v=""/>
    <x v="0"/>
  </r>
  <r>
    <s v="FB001983"/>
    <x v="4"/>
    <x v="3"/>
    <x v="3"/>
    <s v="S"/>
    <s v="Blue"/>
    <n v="37.9"/>
    <n v="37.9"/>
    <n v="23.54"/>
    <x v="1"/>
    <n v="34"/>
    <n v="1.3"/>
    <b v="0"/>
    <m/>
    <n v="28"/>
    <n v="1288.5999999999999"/>
    <s v=""/>
    <x v="1"/>
  </r>
  <r>
    <s v="FB001984"/>
    <x v="2"/>
    <x v="3"/>
    <x v="0"/>
    <m/>
    <s v="Brown"/>
    <n v="44.49"/>
    <n v="0"/>
    <n v="44.49"/>
    <x v="71"/>
    <n v="34"/>
    <n v="2.1"/>
    <b v="0"/>
    <m/>
    <n v="68"/>
    <n v="0"/>
    <s v=""/>
    <x v="0"/>
  </r>
  <r>
    <s v="FB001985"/>
    <x v="1"/>
    <x v="3"/>
    <x v="3"/>
    <s v="L"/>
    <s v="Beige"/>
    <n v="111.7"/>
    <n v="0"/>
    <n v="111.7"/>
    <x v="1"/>
    <n v="2"/>
    <n v="2.9742857142857138"/>
    <b v="1"/>
    <s v="Size Issue"/>
    <n v="28"/>
    <n v="0"/>
    <n v="1"/>
    <x v="0"/>
  </r>
  <r>
    <s v="FB001986"/>
    <x v="1"/>
    <x v="4"/>
    <x v="0"/>
    <s v="L"/>
    <s v="Navy"/>
    <n v="109.76"/>
    <n v="0"/>
    <n v="109.76"/>
    <x v="195"/>
    <n v="23"/>
    <n v="2"/>
    <b v="1"/>
    <s v="Quality Issue"/>
    <n v="234"/>
    <n v="0"/>
    <n v="1"/>
    <x v="0"/>
  </r>
  <r>
    <s v="FB001987"/>
    <x v="2"/>
    <x v="1"/>
    <x v="2"/>
    <m/>
    <s v="Navy"/>
    <n v="33"/>
    <n v="0"/>
    <n v="33"/>
    <x v="1"/>
    <n v="50"/>
    <n v="4"/>
    <b v="0"/>
    <m/>
    <n v="28"/>
    <n v="0"/>
    <s v=""/>
    <x v="0"/>
  </r>
  <r>
    <s v="FB001988"/>
    <x v="3"/>
    <x v="5"/>
    <x v="1"/>
    <s v="M"/>
    <s v="Green"/>
    <n v="150.65"/>
    <n v="8.9"/>
    <n v="137.24"/>
    <x v="1"/>
    <n v="43"/>
    <n v="3.4"/>
    <b v="0"/>
    <m/>
    <n v="28"/>
    <n v="382.7"/>
    <s v=""/>
    <x v="1"/>
  </r>
  <r>
    <s v="FB001989"/>
    <x v="4"/>
    <x v="0"/>
    <x v="2"/>
    <s v="S"/>
    <s v="Green"/>
    <n v="66.34"/>
    <n v="19"/>
    <n v="53.74"/>
    <x v="1"/>
    <n v="42"/>
    <n v="1.9"/>
    <b v="0"/>
    <m/>
    <n v="28"/>
    <n v="798"/>
    <s v=""/>
    <x v="1"/>
  </r>
  <r>
    <s v="FB001990"/>
    <x v="4"/>
    <x v="6"/>
    <x v="0"/>
    <s v="M"/>
    <s v="Pink"/>
    <n v="27.89"/>
    <n v="17.399999999999999"/>
    <n v="23.04"/>
    <x v="29"/>
    <n v="43"/>
    <n v="2.1"/>
    <b v="0"/>
    <m/>
    <n v="362"/>
    <n v="748.19999999999993"/>
    <s v=""/>
    <x v="1"/>
  </r>
  <r>
    <s v="FB001991"/>
    <x v="2"/>
    <x v="1"/>
    <x v="3"/>
    <m/>
    <s v="Gray"/>
    <n v="60.18"/>
    <n v="0"/>
    <n v="60.18"/>
    <x v="1"/>
    <n v="36"/>
    <n v="1.4"/>
    <b v="0"/>
    <m/>
    <n v="28"/>
    <n v="0"/>
    <s v=""/>
    <x v="0"/>
  </r>
  <r>
    <s v="FB001992"/>
    <x v="1"/>
    <x v="0"/>
    <x v="2"/>
    <s v="XL"/>
    <s v="Red"/>
    <n v="54.26"/>
    <n v="18.399999999999999"/>
    <n v="44.28"/>
    <x v="1"/>
    <n v="29"/>
    <n v="2.6"/>
    <b v="0"/>
    <m/>
    <n v="28"/>
    <n v="533.59999999999991"/>
    <s v=""/>
    <x v="1"/>
  </r>
  <r>
    <s v="FB001993"/>
    <x v="3"/>
    <x v="1"/>
    <x v="0"/>
    <s v="S"/>
    <s v="Red"/>
    <n v="78.44"/>
    <n v="0"/>
    <n v="78.44"/>
    <x v="256"/>
    <n v="42"/>
    <n v="2.8205128205128198"/>
    <b v="1"/>
    <s v="Quality Issue"/>
    <n v="348"/>
    <n v="0"/>
    <n v="1"/>
    <x v="0"/>
  </r>
  <r>
    <s v="FB001994"/>
    <x v="0"/>
    <x v="4"/>
    <x v="2"/>
    <s v="XS"/>
    <s v="Black"/>
    <n v="183.05"/>
    <n v="0"/>
    <n v="183.05"/>
    <x v="1"/>
    <n v="4"/>
    <n v="4.5999999999999996"/>
    <b v="0"/>
    <m/>
    <n v="28"/>
    <n v="0"/>
    <s v=""/>
    <x v="0"/>
  </r>
  <r>
    <s v="FB001995"/>
    <x v="3"/>
    <x v="1"/>
    <x v="0"/>
    <s v="M"/>
    <s v="Gray"/>
    <n v="76.3"/>
    <n v="0"/>
    <n v="76.3"/>
    <x v="99"/>
    <n v="35"/>
    <n v="2.6"/>
    <b v="0"/>
    <m/>
    <n v="62"/>
    <n v="0"/>
    <s v=""/>
    <x v="0"/>
  </r>
  <r>
    <s v="FB001996"/>
    <x v="1"/>
    <x v="0"/>
    <x v="0"/>
    <s v="XS"/>
    <s v="Purple"/>
    <n v="84.21"/>
    <n v="0"/>
    <n v="84.21"/>
    <x v="257"/>
    <n v="43"/>
    <n v="3.4"/>
    <b v="0"/>
    <m/>
    <n v="231"/>
    <n v="0"/>
    <s v=""/>
    <x v="0"/>
  </r>
  <r>
    <s v="FB001997"/>
    <x v="2"/>
    <x v="5"/>
    <x v="0"/>
    <m/>
    <s v="Gray"/>
    <n v="77.34"/>
    <n v="0"/>
    <n v="77.34"/>
    <x v="258"/>
    <n v="27"/>
    <n v="3.2731707317073173"/>
    <b v="0"/>
    <m/>
    <n v="236"/>
    <n v="0"/>
    <s v=""/>
    <x v="0"/>
  </r>
  <r>
    <s v="FB001998"/>
    <x v="5"/>
    <x v="0"/>
    <x v="0"/>
    <s v="S"/>
    <s v="Navy"/>
    <n v="122.82"/>
    <n v="45.4"/>
    <n v="67.06"/>
    <x v="259"/>
    <n v="9"/>
    <n v="3.1"/>
    <b v="0"/>
    <m/>
    <n v="369"/>
    <n v="408.59999999999997"/>
    <s v=""/>
    <x v="1"/>
  </r>
  <r>
    <s v="FB001999"/>
    <x v="5"/>
    <x v="3"/>
    <x v="1"/>
    <s v="XXL"/>
    <s v="Blue"/>
    <n v="103.85"/>
    <n v="0"/>
    <n v="103.85"/>
    <x v="1"/>
    <n v="26"/>
    <n v="3.1"/>
    <b v="0"/>
    <m/>
    <n v="28"/>
    <n v="0"/>
    <s v=""/>
    <x v="0"/>
  </r>
  <r>
    <s v="FB002000"/>
    <x v="4"/>
    <x v="4"/>
    <x v="2"/>
    <s v="XXL"/>
    <s v="Red"/>
    <n v="117.73"/>
    <n v="41.3"/>
    <n v="69.11"/>
    <x v="1"/>
    <n v="8"/>
    <n v="3.0659090909090896"/>
    <b v="0"/>
    <m/>
    <n v="28"/>
    <n v="330.4"/>
    <s v=""/>
    <x v="1"/>
  </r>
  <r>
    <s v="FB002001"/>
    <x v="5"/>
    <x v="7"/>
    <x v="2"/>
    <s v="XL"/>
    <s v="Green"/>
    <n v="115.98"/>
    <n v="0"/>
    <n v="115.98"/>
    <x v="1"/>
    <n v="42"/>
    <n v="3.7"/>
    <b v="0"/>
    <m/>
    <n v="28"/>
    <n v="0"/>
    <s v=""/>
    <x v="0"/>
  </r>
  <r>
    <s v="FB002002"/>
    <x v="5"/>
    <x v="0"/>
    <x v="2"/>
    <s v="L"/>
    <s v="Navy"/>
    <n v="175.43"/>
    <n v="0"/>
    <n v="175.43"/>
    <x v="1"/>
    <n v="3"/>
    <n v="1.8"/>
    <b v="1"/>
    <s v="Color Mismatch"/>
    <n v="28"/>
    <n v="0"/>
    <n v="1"/>
    <x v="0"/>
  </r>
  <r>
    <s v="FB002003"/>
    <x v="0"/>
    <x v="6"/>
    <x v="0"/>
    <s v="S"/>
    <s v="Green"/>
    <n v="162.81"/>
    <n v="0"/>
    <n v="162.81"/>
    <x v="258"/>
    <n v="40"/>
    <n v="2.1"/>
    <b v="0"/>
    <m/>
    <n v="236"/>
    <n v="0"/>
    <s v=""/>
    <x v="0"/>
  </r>
  <r>
    <s v="FB002004"/>
    <x v="5"/>
    <x v="1"/>
    <x v="0"/>
    <s v="L"/>
    <s v="Purple"/>
    <n v="146.68"/>
    <n v="0"/>
    <n v="146.68"/>
    <x v="104"/>
    <n v="8"/>
    <n v="3.1666666666666665"/>
    <b v="0"/>
    <m/>
    <n v="392"/>
    <n v="0"/>
    <s v=""/>
    <x v="0"/>
  </r>
  <r>
    <s v="FB002005"/>
    <x v="5"/>
    <x v="4"/>
    <x v="2"/>
    <s v="L"/>
    <s v="Pink"/>
    <n v="82.9"/>
    <n v="42.2"/>
    <n v="47.92"/>
    <x v="1"/>
    <n v="4"/>
    <n v="2.1"/>
    <b v="0"/>
    <m/>
    <n v="28"/>
    <n v="168.8"/>
    <s v=""/>
    <x v="1"/>
  </r>
  <r>
    <s v="FB002006"/>
    <x v="1"/>
    <x v="0"/>
    <x v="2"/>
    <s v="XS"/>
    <s v="White"/>
    <n v="92.9"/>
    <n v="0"/>
    <n v="92.9"/>
    <x v="1"/>
    <n v="30"/>
    <n v="2.9181818181818175"/>
    <b v="0"/>
    <m/>
    <n v="28"/>
    <n v="0"/>
    <s v=""/>
    <x v="0"/>
  </r>
  <r>
    <s v="FB002007"/>
    <x v="5"/>
    <x v="2"/>
    <x v="1"/>
    <s v="XXL"/>
    <s v="Blue"/>
    <n v="133.88999999999999"/>
    <n v="5.7"/>
    <n v="126.26"/>
    <x v="1"/>
    <n v="17"/>
    <n v="3.4"/>
    <b v="1"/>
    <s v="Size Issue"/>
    <n v="28"/>
    <n v="96.9"/>
    <n v="1"/>
    <x v="1"/>
  </r>
  <r>
    <s v="FB002008"/>
    <x v="5"/>
    <x v="5"/>
    <x v="1"/>
    <s v="XXL"/>
    <s v="Beige"/>
    <n v="89.1"/>
    <n v="0"/>
    <n v="89.1"/>
    <x v="1"/>
    <n v="8"/>
    <n v="2.2000000000000002"/>
    <b v="0"/>
    <m/>
    <n v="28"/>
    <n v="0"/>
    <s v=""/>
    <x v="0"/>
  </r>
  <r>
    <s v="FB002009"/>
    <x v="0"/>
    <x v="2"/>
    <x v="1"/>
    <s v="XL"/>
    <s v="Beige"/>
    <n v="175.62"/>
    <n v="3.2"/>
    <n v="170"/>
    <x v="1"/>
    <n v="46"/>
    <n v="3.0177777777777774"/>
    <b v="0"/>
    <m/>
    <n v="28"/>
    <n v="147.20000000000002"/>
    <s v=""/>
    <x v="1"/>
  </r>
  <r>
    <s v="FB002010"/>
    <x v="5"/>
    <x v="4"/>
    <x v="3"/>
    <s v="L"/>
    <s v="Black"/>
    <n v="154.02000000000001"/>
    <n v="0"/>
    <n v="154.02000000000001"/>
    <x v="1"/>
    <n v="21"/>
    <n v="3.3"/>
    <b v="0"/>
    <m/>
    <n v="28"/>
    <n v="0"/>
    <s v=""/>
    <x v="0"/>
  </r>
  <r>
    <s v="FB002011"/>
    <x v="0"/>
    <x v="0"/>
    <x v="2"/>
    <s v="S"/>
    <s v="Beige"/>
    <n v="215.1"/>
    <n v="0"/>
    <n v="215.1"/>
    <x v="1"/>
    <n v="16"/>
    <n v="2.5"/>
    <b v="0"/>
    <m/>
    <n v="28"/>
    <n v="0"/>
    <s v=""/>
    <x v="0"/>
  </r>
  <r>
    <s v="FB002012"/>
    <x v="1"/>
    <x v="5"/>
    <x v="2"/>
    <s v="M"/>
    <s v="Brown"/>
    <n v="40.28"/>
    <n v="0"/>
    <n v="40.28"/>
    <x v="1"/>
    <n v="35"/>
    <n v="3.8"/>
    <b v="0"/>
    <m/>
    <n v="28"/>
    <n v="0"/>
    <s v=""/>
    <x v="0"/>
  </r>
  <r>
    <s v="FB002013"/>
    <x v="2"/>
    <x v="7"/>
    <x v="2"/>
    <m/>
    <s v="Gray"/>
    <n v="25.95"/>
    <n v="18.8"/>
    <n v="21.07"/>
    <x v="1"/>
    <n v="1"/>
    <n v="4"/>
    <b v="0"/>
    <m/>
    <n v="28"/>
    <n v="18.8"/>
    <s v=""/>
    <x v="1"/>
  </r>
  <r>
    <s v="FB002014"/>
    <x v="2"/>
    <x v="1"/>
    <x v="2"/>
    <m/>
    <s v="Navy"/>
    <n v="21.26"/>
    <n v="50.7"/>
    <n v="10.48"/>
    <x v="1"/>
    <n v="39"/>
    <n v="4.3"/>
    <b v="0"/>
    <m/>
    <n v="28"/>
    <n v="1977.3000000000002"/>
    <s v=""/>
    <x v="1"/>
  </r>
  <r>
    <s v="FB002015"/>
    <x v="5"/>
    <x v="0"/>
    <x v="0"/>
    <s v="XS"/>
    <s v="Blue"/>
    <n v="146.07"/>
    <n v="0"/>
    <n v="146.07"/>
    <x v="260"/>
    <n v="33"/>
    <n v="3.7"/>
    <b v="0"/>
    <m/>
    <n v="56"/>
    <n v="0"/>
    <s v=""/>
    <x v="0"/>
  </r>
  <r>
    <s v="FB002016"/>
    <x v="5"/>
    <x v="5"/>
    <x v="0"/>
    <s v="S"/>
    <s v="Gray"/>
    <n v="135.97"/>
    <n v="0"/>
    <n v="135.97"/>
    <x v="136"/>
    <n v="30"/>
    <n v="1.1000000000000001"/>
    <b v="0"/>
    <m/>
    <n v="358"/>
    <n v="0"/>
    <s v=""/>
    <x v="0"/>
  </r>
  <r>
    <s v="FB002017"/>
    <x v="3"/>
    <x v="0"/>
    <x v="0"/>
    <s v="L"/>
    <s v="Green"/>
    <n v="84.88"/>
    <n v="7.4"/>
    <n v="78.599999999999994"/>
    <x v="254"/>
    <n v="42"/>
    <n v="3.4"/>
    <b v="0"/>
    <m/>
    <n v="161"/>
    <n v="310.8"/>
    <s v=""/>
    <x v="1"/>
  </r>
  <r>
    <s v="FB002018"/>
    <x v="3"/>
    <x v="4"/>
    <x v="1"/>
    <s v="XS"/>
    <s v="Beige"/>
    <n v="159.25"/>
    <n v="5.5"/>
    <n v="150.49"/>
    <x v="1"/>
    <n v="8"/>
    <n v="3.3021276595744684"/>
    <b v="0"/>
    <m/>
    <n v="28"/>
    <n v="44"/>
    <s v=""/>
    <x v="1"/>
  </r>
  <r>
    <s v="FB002019"/>
    <x v="4"/>
    <x v="5"/>
    <x v="1"/>
    <s v="M"/>
    <s v="Brown"/>
    <n v="84.29"/>
    <n v="0"/>
    <n v="84.29"/>
    <x v="1"/>
    <n v="4"/>
    <n v="2.8"/>
    <b v="0"/>
    <m/>
    <n v="28"/>
    <n v="0"/>
    <s v=""/>
    <x v="0"/>
  </r>
  <r>
    <s v="FB002020"/>
    <x v="2"/>
    <x v="7"/>
    <x v="1"/>
    <m/>
    <s v="Red"/>
    <n v="38.86"/>
    <n v="0"/>
    <n v="38.86"/>
    <x v="1"/>
    <n v="44"/>
    <n v="2.8636363636363633"/>
    <b v="0"/>
    <m/>
    <n v="28"/>
    <n v="0"/>
    <s v=""/>
    <x v="0"/>
  </r>
  <r>
    <s v="FB002021"/>
    <x v="1"/>
    <x v="2"/>
    <x v="3"/>
    <s v="M"/>
    <s v="Blue"/>
    <n v="38.72"/>
    <n v="0"/>
    <n v="38.72"/>
    <x v="1"/>
    <n v="35"/>
    <n v="4"/>
    <b v="0"/>
    <m/>
    <n v="28"/>
    <n v="0"/>
    <s v=""/>
    <x v="0"/>
  </r>
  <r>
    <s v="FB002022"/>
    <x v="5"/>
    <x v="0"/>
    <x v="1"/>
    <s v="XS"/>
    <s v="Black"/>
    <n v="177.1"/>
    <n v="0"/>
    <n v="177.1"/>
    <x v="1"/>
    <n v="49"/>
    <n v="1.6"/>
    <b v="0"/>
    <m/>
    <n v="28"/>
    <n v="0"/>
    <s v=""/>
    <x v="0"/>
  </r>
  <r>
    <s v="FB002023"/>
    <x v="4"/>
    <x v="7"/>
    <x v="0"/>
    <s v="XS"/>
    <s v="Gray"/>
    <n v="31.49"/>
    <n v="0"/>
    <n v="31.49"/>
    <x v="261"/>
    <n v="28"/>
    <n v="3.1021739130434773"/>
    <b v="0"/>
    <m/>
    <n v="319"/>
    <n v="0"/>
    <s v=""/>
    <x v="0"/>
  </r>
  <r>
    <s v="FB002024"/>
    <x v="1"/>
    <x v="1"/>
    <x v="3"/>
    <m/>
    <s v="Pink"/>
    <n v="118.14"/>
    <n v="0"/>
    <n v="118.14"/>
    <x v="1"/>
    <n v="33"/>
    <n v="2.4"/>
    <b v="0"/>
    <m/>
    <n v="28"/>
    <n v="0"/>
    <s v=""/>
    <x v="0"/>
  </r>
  <r>
    <s v="FB002025"/>
    <x v="1"/>
    <x v="6"/>
    <x v="0"/>
    <s v="S"/>
    <s v="Green"/>
    <n v="26.51"/>
    <n v="24"/>
    <n v="20.149999999999999"/>
    <x v="262"/>
    <n v="1"/>
    <n v="4.7"/>
    <b v="0"/>
    <m/>
    <n v="102"/>
    <n v="24"/>
    <s v=""/>
    <x v="1"/>
  </r>
  <r>
    <s v="FB002026"/>
    <x v="1"/>
    <x v="7"/>
    <x v="2"/>
    <s v="L"/>
    <s v="Blue"/>
    <n v="29.61"/>
    <n v="0"/>
    <n v="29.61"/>
    <x v="1"/>
    <n v="9"/>
    <n v="1"/>
    <b v="0"/>
    <m/>
    <n v="28"/>
    <n v="0"/>
    <s v=""/>
    <x v="0"/>
  </r>
  <r>
    <s v="FB002027"/>
    <x v="0"/>
    <x v="5"/>
    <x v="3"/>
    <s v="S"/>
    <s v="Gray"/>
    <n v="244.13"/>
    <n v="0"/>
    <n v="244.13"/>
    <x v="1"/>
    <n v="2"/>
    <n v="3.5"/>
    <b v="1"/>
    <s v="Size Issue"/>
    <n v="28"/>
    <n v="0"/>
    <n v="1"/>
    <x v="0"/>
  </r>
  <r>
    <s v="FB002028"/>
    <x v="2"/>
    <x v="6"/>
    <x v="0"/>
    <m/>
    <s v="White"/>
    <n v="16.54"/>
    <n v="0"/>
    <n v="16.54"/>
    <x v="68"/>
    <n v="30"/>
    <n v="3.2720930232558145"/>
    <b v="0"/>
    <m/>
    <n v="130"/>
    <n v="0"/>
    <s v=""/>
    <x v="0"/>
  </r>
  <r>
    <s v="FB002029"/>
    <x v="1"/>
    <x v="0"/>
    <x v="2"/>
    <s v="S"/>
    <s v="White"/>
    <n v="100.98"/>
    <n v="0"/>
    <n v="100.98"/>
    <x v="1"/>
    <n v="41"/>
    <n v="2.9181818181818175"/>
    <b v="0"/>
    <m/>
    <n v="28"/>
    <n v="0"/>
    <s v=""/>
    <x v="0"/>
  </r>
  <r>
    <s v="FB002030"/>
    <x v="0"/>
    <x v="1"/>
    <x v="1"/>
    <m/>
    <s v="Gray"/>
    <n v="175.42"/>
    <n v="0"/>
    <n v="175.42"/>
    <x v="1"/>
    <n v="5"/>
    <n v="3.6"/>
    <b v="0"/>
    <m/>
    <n v="28"/>
    <n v="0"/>
    <s v=""/>
    <x v="0"/>
  </r>
  <r>
    <s v="FB002031"/>
    <x v="5"/>
    <x v="5"/>
    <x v="0"/>
    <s v="XXL"/>
    <s v="Pink"/>
    <n v="133.15"/>
    <n v="20.3"/>
    <n v="106.12"/>
    <x v="263"/>
    <n v="9"/>
    <n v="3.2"/>
    <b v="0"/>
    <m/>
    <n v="92"/>
    <n v="182.70000000000002"/>
    <s v=""/>
    <x v="1"/>
  </r>
  <r>
    <s v="FB002032"/>
    <x v="5"/>
    <x v="1"/>
    <x v="2"/>
    <m/>
    <s v="Pink"/>
    <n v="94.21"/>
    <n v="44.7"/>
    <n v="52.1"/>
    <x v="1"/>
    <n v="48"/>
    <n v="4.3"/>
    <b v="0"/>
    <m/>
    <n v="28"/>
    <n v="2145.6000000000004"/>
    <s v=""/>
    <x v="1"/>
  </r>
  <r>
    <s v="FB002033"/>
    <x v="1"/>
    <x v="7"/>
    <x v="1"/>
    <s v="M"/>
    <s v="Pink"/>
    <n v="115.44"/>
    <n v="0"/>
    <n v="115.44"/>
    <x v="1"/>
    <n v="21"/>
    <n v="1.2"/>
    <b v="0"/>
    <m/>
    <n v="28"/>
    <n v="0"/>
    <s v=""/>
    <x v="0"/>
  </r>
  <r>
    <s v="FB002034"/>
    <x v="0"/>
    <x v="0"/>
    <x v="0"/>
    <s v="S"/>
    <s v="White"/>
    <n v="194.39"/>
    <n v="26.5"/>
    <n v="142.88"/>
    <x v="183"/>
    <n v="12"/>
    <n v="1.2"/>
    <b v="0"/>
    <m/>
    <n v="141"/>
    <n v="318"/>
    <s v=""/>
    <x v="1"/>
  </r>
  <r>
    <s v="FB002035"/>
    <x v="3"/>
    <x v="2"/>
    <x v="0"/>
    <s v="L"/>
    <s v="White"/>
    <n v="132.38999999999999"/>
    <n v="27.6"/>
    <n v="95.85"/>
    <x v="264"/>
    <n v="16"/>
    <n v="3.1936170212765949"/>
    <b v="0"/>
    <m/>
    <n v="307"/>
    <n v="441.6"/>
    <s v=""/>
    <x v="1"/>
  </r>
  <r>
    <s v="FB002036"/>
    <x v="2"/>
    <x v="1"/>
    <x v="0"/>
    <m/>
    <s v="Red"/>
    <n v="52.54"/>
    <n v="14.6"/>
    <n v="44.87"/>
    <x v="48"/>
    <n v="7"/>
    <n v="1.4"/>
    <b v="0"/>
    <m/>
    <n v="351"/>
    <n v="102.2"/>
    <s v=""/>
    <x v="1"/>
  </r>
  <r>
    <s v="FB002037"/>
    <x v="5"/>
    <x v="1"/>
    <x v="0"/>
    <s v="XL"/>
    <s v="Black"/>
    <n v="165.01"/>
    <n v="41.2"/>
    <n v="97.03"/>
    <x v="261"/>
    <n v="22"/>
    <n v="3.1666666666666665"/>
    <b v="0"/>
    <m/>
    <n v="319"/>
    <n v="906.40000000000009"/>
    <s v=""/>
    <x v="1"/>
  </r>
  <r>
    <s v="FB002038"/>
    <x v="2"/>
    <x v="5"/>
    <x v="0"/>
    <m/>
    <s v="Purple"/>
    <n v="42.94"/>
    <n v="34.299999999999997"/>
    <n v="28.21"/>
    <x v="265"/>
    <n v="41"/>
    <n v="3.2731707317073173"/>
    <b v="0"/>
    <m/>
    <n v="255"/>
    <n v="1406.3"/>
    <s v=""/>
    <x v="1"/>
  </r>
  <r>
    <s v="FB002039"/>
    <x v="1"/>
    <x v="1"/>
    <x v="2"/>
    <s v="XL"/>
    <s v="Beige"/>
    <n v="72.78"/>
    <n v="0"/>
    <n v="72.78"/>
    <x v="1"/>
    <n v="49"/>
    <n v="3.1"/>
    <b v="0"/>
    <m/>
    <n v="28"/>
    <n v="0"/>
    <s v=""/>
    <x v="0"/>
  </r>
  <r>
    <s v="FB002040"/>
    <x v="3"/>
    <x v="1"/>
    <x v="2"/>
    <s v="S"/>
    <s v="Red"/>
    <n v="189.32"/>
    <n v="0"/>
    <n v="189.32"/>
    <x v="1"/>
    <n v="35"/>
    <n v="2.5"/>
    <b v="0"/>
    <m/>
    <n v="28"/>
    <n v="0"/>
    <s v=""/>
    <x v="0"/>
  </r>
  <r>
    <s v="FB002041"/>
    <x v="5"/>
    <x v="5"/>
    <x v="3"/>
    <s v="XL"/>
    <s v="White"/>
    <n v="157"/>
    <n v="55.7"/>
    <n v="69.55"/>
    <x v="1"/>
    <n v="6"/>
    <n v="2.1"/>
    <b v="0"/>
    <m/>
    <n v="28"/>
    <n v="334.20000000000005"/>
    <s v=""/>
    <x v="1"/>
  </r>
  <r>
    <s v="FB002042"/>
    <x v="1"/>
    <x v="6"/>
    <x v="0"/>
    <s v="S"/>
    <s v="Purple"/>
    <n v="28.73"/>
    <n v="26.4"/>
    <n v="21.15"/>
    <x v="63"/>
    <n v="47"/>
    <n v="2.2999999999999998"/>
    <b v="1"/>
    <s v="Size Issue"/>
    <n v="328"/>
    <n v="1240.8"/>
    <n v="1"/>
    <x v="1"/>
  </r>
  <r>
    <s v="FB002043"/>
    <x v="0"/>
    <x v="7"/>
    <x v="1"/>
    <s v="L"/>
    <s v="Gray"/>
    <n v="144.63999999999999"/>
    <n v="0"/>
    <n v="144.63999999999999"/>
    <x v="1"/>
    <n v="0"/>
    <n v="4.5"/>
    <b v="0"/>
    <m/>
    <n v="28"/>
    <n v="0"/>
    <s v=""/>
    <x v="0"/>
  </r>
  <r>
    <s v="FB002044"/>
    <x v="3"/>
    <x v="2"/>
    <x v="2"/>
    <s v="L"/>
    <s v="Blue"/>
    <n v="180.99"/>
    <n v="0"/>
    <n v="180.99"/>
    <x v="1"/>
    <n v="0"/>
    <n v="4.5"/>
    <b v="0"/>
    <m/>
    <n v="28"/>
    <n v="0"/>
    <s v=""/>
    <x v="0"/>
  </r>
  <r>
    <s v="FB002045"/>
    <x v="1"/>
    <x v="5"/>
    <x v="2"/>
    <s v="M"/>
    <s v="Green"/>
    <n v="74.959999999999994"/>
    <n v="56.1"/>
    <n v="32.909999999999997"/>
    <x v="1"/>
    <n v="16"/>
    <n v="2.9846153846153847"/>
    <b v="1"/>
    <s v="Wrong Item"/>
    <n v="28"/>
    <n v="897.6"/>
    <n v="1"/>
    <x v="1"/>
  </r>
  <r>
    <s v="FB002046"/>
    <x v="5"/>
    <x v="5"/>
    <x v="2"/>
    <s v="XXL"/>
    <s v="Navy"/>
    <n v="63.46"/>
    <n v="0"/>
    <n v="63.46"/>
    <x v="1"/>
    <n v="36"/>
    <n v="1.2"/>
    <b v="0"/>
    <m/>
    <n v="28"/>
    <n v="0"/>
    <s v=""/>
    <x v="0"/>
  </r>
  <r>
    <s v="FB002047"/>
    <x v="3"/>
    <x v="3"/>
    <x v="0"/>
    <s v="S"/>
    <s v="Black"/>
    <n v="105.95"/>
    <n v="31.6"/>
    <n v="72.47"/>
    <x v="18"/>
    <n v="38"/>
    <n v="3.5"/>
    <b v="0"/>
    <m/>
    <n v="155"/>
    <n v="1200.8"/>
    <s v=""/>
    <x v="1"/>
  </r>
  <r>
    <s v="FB002048"/>
    <x v="5"/>
    <x v="3"/>
    <x v="3"/>
    <s v="S"/>
    <s v="Navy"/>
    <n v="86.55"/>
    <n v="24.5"/>
    <n v="65.349999999999994"/>
    <x v="1"/>
    <n v="40"/>
    <n v="3.5"/>
    <b v="0"/>
    <m/>
    <n v="28"/>
    <n v="980"/>
    <s v=""/>
    <x v="1"/>
  </r>
  <r>
    <s v="FB002049"/>
    <x v="4"/>
    <x v="6"/>
    <x v="2"/>
    <s v="M"/>
    <s v="Navy"/>
    <n v="90.97"/>
    <n v="10.8"/>
    <n v="81.150000000000006"/>
    <x v="1"/>
    <n v="33"/>
    <n v="2.2000000000000002"/>
    <b v="1"/>
    <s v="Damaged"/>
    <n v="28"/>
    <n v="356.40000000000003"/>
    <n v="1"/>
    <x v="1"/>
  </r>
  <r>
    <s v="FB002050"/>
    <x v="5"/>
    <x v="3"/>
    <x v="1"/>
    <s v="L"/>
    <s v="Beige"/>
    <n v="122.41"/>
    <n v="48.2"/>
    <n v="63.41"/>
    <x v="1"/>
    <n v="49"/>
    <n v="4.5"/>
    <b v="0"/>
    <m/>
    <n v="28"/>
    <n v="2361.8000000000002"/>
    <s v=""/>
    <x v="1"/>
  </r>
  <r>
    <s v="FB002051"/>
    <x v="3"/>
    <x v="2"/>
    <x v="1"/>
    <s v="XXL"/>
    <s v="Gray"/>
    <n v="198.22"/>
    <n v="0"/>
    <n v="198.22"/>
    <x v="1"/>
    <n v="12"/>
    <n v="3.1936170212765949"/>
    <b v="0"/>
    <m/>
    <n v="28"/>
    <n v="0"/>
    <s v=""/>
    <x v="0"/>
  </r>
  <r>
    <s v="FB002052"/>
    <x v="3"/>
    <x v="0"/>
    <x v="1"/>
    <s v="M"/>
    <s v="Beige"/>
    <n v="129.56"/>
    <n v="20.8"/>
    <n v="102.61"/>
    <x v="1"/>
    <n v="3"/>
    <n v="2.9"/>
    <b v="0"/>
    <m/>
    <n v="28"/>
    <n v="62.400000000000006"/>
    <s v=""/>
    <x v="1"/>
  </r>
  <r>
    <s v="FB002053"/>
    <x v="2"/>
    <x v="0"/>
    <x v="3"/>
    <m/>
    <s v="Pink"/>
    <n v="49.31"/>
    <n v="0"/>
    <n v="49.31"/>
    <x v="1"/>
    <n v="49"/>
    <n v="3.4"/>
    <b v="0"/>
    <m/>
    <n v="28"/>
    <n v="0"/>
    <s v=""/>
    <x v="0"/>
  </r>
  <r>
    <s v="FB002054"/>
    <x v="0"/>
    <x v="1"/>
    <x v="3"/>
    <s v="S"/>
    <s v="Pink"/>
    <n v="206.94"/>
    <n v="0"/>
    <n v="206.94"/>
    <x v="1"/>
    <n v="43"/>
    <n v="3.3"/>
    <b v="0"/>
    <m/>
    <n v="28"/>
    <n v="0"/>
    <s v=""/>
    <x v="0"/>
  </r>
  <r>
    <s v="FB002055"/>
    <x v="2"/>
    <x v="2"/>
    <x v="3"/>
    <m/>
    <s v="Black"/>
    <n v="36.93"/>
    <n v="0"/>
    <n v="36.93"/>
    <x v="1"/>
    <n v="18"/>
    <n v="2.8694444444444449"/>
    <b v="0"/>
    <m/>
    <n v="28"/>
    <n v="0"/>
    <s v=""/>
    <x v="0"/>
  </r>
  <r>
    <s v="FB002056"/>
    <x v="2"/>
    <x v="1"/>
    <x v="3"/>
    <m/>
    <s v="Green"/>
    <n v="21.85"/>
    <n v="12"/>
    <n v="19.23"/>
    <x v="1"/>
    <n v="18"/>
    <n v="4.8"/>
    <b v="0"/>
    <m/>
    <n v="28"/>
    <n v="216"/>
    <s v=""/>
    <x v="1"/>
  </r>
  <r>
    <s v="FB002057"/>
    <x v="3"/>
    <x v="2"/>
    <x v="1"/>
    <s v="S"/>
    <s v="Brown"/>
    <n v="174.65"/>
    <n v="43.8"/>
    <n v="98.15"/>
    <x v="1"/>
    <n v="28"/>
    <n v="3.3"/>
    <b v="0"/>
    <m/>
    <n v="28"/>
    <n v="1226.3999999999999"/>
    <s v=""/>
    <x v="1"/>
  </r>
  <r>
    <s v="FB002058"/>
    <x v="2"/>
    <x v="3"/>
    <x v="0"/>
    <m/>
    <s v="Pink"/>
    <n v="19.96"/>
    <n v="0"/>
    <n v="19.96"/>
    <x v="266"/>
    <n v="16"/>
    <n v="1.4"/>
    <b v="0"/>
    <m/>
    <n v="76"/>
    <n v="0"/>
    <s v=""/>
    <x v="0"/>
  </r>
  <r>
    <s v="FB002059"/>
    <x v="1"/>
    <x v="4"/>
    <x v="2"/>
    <s v="M"/>
    <s v="Green"/>
    <n v="90.46"/>
    <n v="54.1"/>
    <n v="41.52"/>
    <x v="1"/>
    <n v="15"/>
    <n v="2.5"/>
    <b v="0"/>
    <m/>
    <n v="28"/>
    <n v="811.5"/>
    <s v=""/>
    <x v="1"/>
  </r>
  <r>
    <s v="FB002060"/>
    <x v="3"/>
    <x v="4"/>
    <x v="2"/>
    <s v="L"/>
    <s v="Blue"/>
    <n v="189.24"/>
    <n v="0"/>
    <n v="189.24"/>
    <x v="1"/>
    <n v="25"/>
    <n v="3.6"/>
    <b v="1"/>
    <s v="Color Mismatch"/>
    <n v="28"/>
    <n v="0"/>
    <n v="1"/>
    <x v="0"/>
  </r>
  <r>
    <s v="FB002061"/>
    <x v="0"/>
    <x v="2"/>
    <x v="3"/>
    <s v="XXL"/>
    <s v="Black"/>
    <n v="231.24"/>
    <n v="44.6"/>
    <n v="128.11000000000001"/>
    <x v="1"/>
    <n v="15"/>
    <n v="3.7"/>
    <b v="0"/>
    <m/>
    <n v="28"/>
    <n v="669"/>
    <s v=""/>
    <x v="1"/>
  </r>
  <r>
    <s v="FB002062"/>
    <x v="2"/>
    <x v="3"/>
    <x v="2"/>
    <m/>
    <s v="Beige"/>
    <n v="66.48"/>
    <n v="0"/>
    <n v="66.48"/>
    <x v="1"/>
    <n v="38"/>
    <n v="1.4"/>
    <b v="0"/>
    <m/>
    <n v="28"/>
    <n v="0"/>
    <s v=""/>
    <x v="0"/>
  </r>
  <r>
    <s v="FB002063"/>
    <x v="2"/>
    <x v="4"/>
    <x v="2"/>
    <m/>
    <s v="Beige"/>
    <n v="37.270000000000003"/>
    <n v="0"/>
    <n v="37.270000000000003"/>
    <x v="1"/>
    <n v="15"/>
    <n v="3.8"/>
    <b v="0"/>
    <m/>
    <n v="28"/>
    <n v="0"/>
    <s v=""/>
    <x v="0"/>
  </r>
  <r>
    <s v="FB002064"/>
    <x v="3"/>
    <x v="1"/>
    <x v="0"/>
    <s v="L"/>
    <s v="Brown"/>
    <n v="178.05"/>
    <n v="0"/>
    <n v="178.05"/>
    <x v="267"/>
    <n v="24"/>
    <n v="2.8205128205128198"/>
    <b v="0"/>
    <m/>
    <n v="179"/>
    <n v="0"/>
    <s v=""/>
    <x v="0"/>
  </r>
  <r>
    <s v="FB002065"/>
    <x v="1"/>
    <x v="7"/>
    <x v="0"/>
    <s v="XS"/>
    <s v="Pink"/>
    <n v="73.760000000000005"/>
    <n v="0"/>
    <n v="73.760000000000005"/>
    <x v="218"/>
    <n v="25"/>
    <n v="1.3"/>
    <b v="0"/>
    <m/>
    <n v="380"/>
    <n v="0"/>
    <s v=""/>
    <x v="0"/>
  </r>
  <r>
    <s v="FB002066"/>
    <x v="4"/>
    <x v="0"/>
    <x v="1"/>
    <s v="XL"/>
    <s v="Pink"/>
    <n v="36.229999999999997"/>
    <n v="0"/>
    <n v="36.229999999999997"/>
    <x v="1"/>
    <n v="49"/>
    <n v="2.9210526315789478"/>
    <b v="0"/>
    <m/>
    <n v="28"/>
    <n v="0"/>
    <s v=""/>
    <x v="0"/>
  </r>
  <r>
    <s v="FB002067"/>
    <x v="4"/>
    <x v="4"/>
    <x v="0"/>
    <s v="S"/>
    <s v="Purple"/>
    <n v="48.89"/>
    <n v="0"/>
    <n v="48.89"/>
    <x v="208"/>
    <n v="9"/>
    <n v="3.1"/>
    <b v="0"/>
    <m/>
    <n v="267"/>
    <n v="0"/>
    <s v=""/>
    <x v="0"/>
  </r>
  <r>
    <s v="FB002068"/>
    <x v="1"/>
    <x v="4"/>
    <x v="1"/>
    <s v="XL"/>
    <s v="Pink"/>
    <n v="94.15"/>
    <n v="31"/>
    <n v="64.959999999999994"/>
    <x v="1"/>
    <n v="25"/>
    <n v="2.9657142857142857"/>
    <b v="0"/>
    <m/>
    <n v="28"/>
    <n v="775"/>
    <s v=""/>
    <x v="1"/>
  </r>
  <r>
    <s v="FB002069"/>
    <x v="2"/>
    <x v="7"/>
    <x v="3"/>
    <m/>
    <s v="Brown"/>
    <n v="27.7"/>
    <n v="0"/>
    <n v="27.7"/>
    <x v="1"/>
    <n v="27"/>
    <n v="4.8"/>
    <b v="0"/>
    <m/>
    <n v="28"/>
    <n v="0"/>
    <s v=""/>
    <x v="0"/>
  </r>
  <r>
    <s v="FB002070"/>
    <x v="3"/>
    <x v="4"/>
    <x v="0"/>
    <s v="XXL"/>
    <s v="Gray"/>
    <n v="122.55"/>
    <n v="11.2"/>
    <n v="108.82"/>
    <x v="164"/>
    <n v="23"/>
    <n v="3.3021276595744684"/>
    <b v="0"/>
    <m/>
    <n v="336"/>
    <n v="257.59999999999997"/>
    <s v=""/>
    <x v="1"/>
  </r>
  <r>
    <s v="FB002071"/>
    <x v="5"/>
    <x v="3"/>
    <x v="0"/>
    <s v="XL"/>
    <s v="Pink"/>
    <n v="173.77"/>
    <n v="17"/>
    <n v="144.22999999999999"/>
    <x v="223"/>
    <n v="5"/>
    <n v="1.9"/>
    <b v="0"/>
    <m/>
    <n v="287"/>
    <n v="85"/>
    <s v=""/>
    <x v="1"/>
  </r>
  <r>
    <s v="FB002072"/>
    <x v="2"/>
    <x v="1"/>
    <x v="3"/>
    <m/>
    <s v="Pink"/>
    <n v="77.45"/>
    <n v="0"/>
    <n v="77.45"/>
    <x v="1"/>
    <n v="0"/>
    <n v="3.1"/>
    <b v="0"/>
    <m/>
    <n v="28"/>
    <n v="0"/>
    <s v=""/>
    <x v="0"/>
  </r>
  <r>
    <s v="FB002073"/>
    <x v="4"/>
    <x v="1"/>
    <x v="1"/>
    <s v="M"/>
    <s v="Black"/>
    <n v="34.159999999999997"/>
    <n v="0"/>
    <n v="34.159999999999997"/>
    <x v="1"/>
    <n v="37"/>
    <n v="1.3"/>
    <b v="0"/>
    <m/>
    <n v="28"/>
    <n v="0"/>
    <s v=""/>
    <x v="0"/>
  </r>
  <r>
    <s v="FB002074"/>
    <x v="2"/>
    <x v="7"/>
    <x v="3"/>
    <m/>
    <s v="White"/>
    <n v="71.3"/>
    <n v="0"/>
    <n v="71.3"/>
    <x v="1"/>
    <n v="21"/>
    <n v="1.6"/>
    <b v="0"/>
    <m/>
    <n v="28"/>
    <n v="0"/>
    <s v=""/>
    <x v="0"/>
  </r>
  <r>
    <s v="FB002075"/>
    <x v="1"/>
    <x v="4"/>
    <x v="3"/>
    <s v="M"/>
    <s v="Brown"/>
    <n v="63.67"/>
    <n v="0"/>
    <n v="63.67"/>
    <x v="1"/>
    <n v="18"/>
    <n v="1.6"/>
    <b v="0"/>
    <m/>
    <n v="28"/>
    <n v="0"/>
    <s v=""/>
    <x v="0"/>
  </r>
  <r>
    <s v="FB002076"/>
    <x v="0"/>
    <x v="7"/>
    <x v="2"/>
    <s v="S"/>
    <s v="Gray"/>
    <n v="249.98"/>
    <n v="0"/>
    <n v="249.98"/>
    <x v="1"/>
    <n v="46"/>
    <n v="3.6"/>
    <b v="0"/>
    <m/>
    <n v="28"/>
    <n v="0"/>
    <s v=""/>
    <x v="0"/>
  </r>
  <r>
    <s v="FB002077"/>
    <x v="0"/>
    <x v="5"/>
    <x v="0"/>
    <s v="XL"/>
    <s v="Green"/>
    <n v="103.92"/>
    <n v="0"/>
    <n v="103.92"/>
    <x v="9"/>
    <n v="5"/>
    <n v="3.0305555555555546"/>
    <b v="0"/>
    <m/>
    <n v="314"/>
    <n v="0"/>
    <s v=""/>
    <x v="0"/>
  </r>
  <r>
    <s v="FB002078"/>
    <x v="3"/>
    <x v="1"/>
    <x v="3"/>
    <s v="XL"/>
    <s v="Black"/>
    <n v="116.76"/>
    <n v="0"/>
    <n v="116.76"/>
    <x v="1"/>
    <n v="13"/>
    <n v="2.8205128205128198"/>
    <b v="0"/>
    <m/>
    <n v="28"/>
    <n v="0"/>
    <s v=""/>
    <x v="0"/>
  </r>
  <r>
    <s v="FB002079"/>
    <x v="3"/>
    <x v="6"/>
    <x v="1"/>
    <s v="XXL"/>
    <s v="White"/>
    <n v="102.61"/>
    <n v="0"/>
    <n v="102.61"/>
    <x v="1"/>
    <n v="47"/>
    <n v="3.5"/>
    <b v="0"/>
    <m/>
    <n v="28"/>
    <n v="0"/>
    <s v=""/>
    <x v="0"/>
  </r>
  <r>
    <s v="FB002080"/>
    <x v="2"/>
    <x v="5"/>
    <x v="0"/>
    <m/>
    <s v="Pink"/>
    <n v="43.48"/>
    <n v="0"/>
    <n v="43.48"/>
    <x v="268"/>
    <n v="11"/>
    <n v="4.7"/>
    <b v="0"/>
    <m/>
    <n v="376"/>
    <n v="0"/>
    <s v=""/>
    <x v="0"/>
  </r>
  <r>
    <s v="FB002081"/>
    <x v="2"/>
    <x v="7"/>
    <x v="1"/>
    <m/>
    <s v="Pink"/>
    <n v="39.9"/>
    <n v="0"/>
    <n v="39.9"/>
    <x v="1"/>
    <n v="6"/>
    <n v="2.4"/>
    <b v="1"/>
    <s v="Damaged"/>
    <n v="28"/>
    <n v="0"/>
    <n v="1"/>
    <x v="0"/>
  </r>
  <r>
    <s v="FB002082"/>
    <x v="4"/>
    <x v="0"/>
    <x v="0"/>
    <s v="S"/>
    <s v="Pink"/>
    <n v="86"/>
    <n v="36.700000000000003"/>
    <n v="54.44"/>
    <x v="84"/>
    <n v="18"/>
    <n v="2.4"/>
    <b v="1"/>
    <s v="Size Issue"/>
    <n v="133"/>
    <n v="660.6"/>
    <n v="1"/>
    <x v="1"/>
  </r>
  <r>
    <s v="FB002083"/>
    <x v="3"/>
    <x v="6"/>
    <x v="3"/>
    <s v="XXL"/>
    <s v="Blue"/>
    <n v="154.47999999999999"/>
    <n v="58.5"/>
    <n v="64.11"/>
    <x v="1"/>
    <n v="19"/>
    <n v="3.2"/>
    <b v="0"/>
    <m/>
    <n v="28"/>
    <n v="1111.5"/>
    <s v=""/>
    <x v="1"/>
  </r>
  <r>
    <s v="FB002084"/>
    <x v="5"/>
    <x v="6"/>
    <x v="3"/>
    <s v="S"/>
    <s v="Red"/>
    <n v="141.97"/>
    <n v="35.299999999999997"/>
    <n v="91.85"/>
    <x v="1"/>
    <n v="12"/>
    <n v="2.6"/>
    <b v="0"/>
    <m/>
    <n v="28"/>
    <n v="423.59999999999997"/>
    <s v=""/>
    <x v="1"/>
  </r>
  <r>
    <s v="FB002085"/>
    <x v="0"/>
    <x v="6"/>
    <x v="0"/>
    <s v="XS"/>
    <s v="Red"/>
    <n v="119.36"/>
    <n v="0"/>
    <n v="119.36"/>
    <x v="127"/>
    <n v="30"/>
    <n v="2.7"/>
    <b v="1"/>
    <s v="Size Issue"/>
    <n v="63"/>
    <n v="0"/>
    <n v="1"/>
    <x v="0"/>
  </r>
  <r>
    <s v="FB002086"/>
    <x v="2"/>
    <x v="7"/>
    <x v="3"/>
    <m/>
    <s v="Navy"/>
    <n v="15.71"/>
    <n v="47.6"/>
    <n v="8.23"/>
    <x v="1"/>
    <n v="42"/>
    <n v="2"/>
    <b v="0"/>
    <m/>
    <n v="28"/>
    <n v="1999.2"/>
    <s v=""/>
    <x v="1"/>
  </r>
  <r>
    <s v="FB002087"/>
    <x v="3"/>
    <x v="3"/>
    <x v="1"/>
    <s v="M"/>
    <s v="Black"/>
    <n v="89.12"/>
    <n v="0"/>
    <n v="89.12"/>
    <x v="1"/>
    <n v="27"/>
    <n v="2.9804347826086954"/>
    <b v="1"/>
    <s v="Damaged"/>
    <n v="28"/>
    <n v="0"/>
    <n v="1"/>
    <x v="0"/>
  </r>
  <r>
    <s v="FB002088"/>
    <x v="4"/>
    <x v="4"/>
    <x v="2"/>
    <s v="S"/>
    <s v="Blue"/>
    <n v="30.43"/>
    <n v="0"/>
    <n v="30.43"/>
    <x v="1"/>
    <n v="32"/>
    <n v="3.1"/>
    <b v="0"/>
    <m/>
    <n v="28"/>
    <n v="0"/>
    <s v=""/>
    <x v="0"/>
  </r>
  <r>
    <s v="FB002089"/>
    <x v="5"/>
    <x v="7"/>
    <x v="1"/>
    <s v="XS"/>
    <s v="Pink"/>
    <n v="115.4"/>
    <n v="0"/>
    <n v="115.4"/>
    <x v="1"/>
    <n v="7"/>
    <n v="4.5"/>
    <b v="0"/>
    <m/>
    <n v="28"/>
    <n v="0"/>
    <s v=""/>
    <x v="0"/>
  </r>
  <r>
    <s v="FB002090"/>
    <x v="0"/>
    <x v="6"/>
    <x v="1"/>
    <s v="S"/>
    <s v="Red"/>
    <n v="155.19999999999999"/>
    <n v="0"/>
    <n v="155.19999999999999"/>
    <x v="1"/>
    <n v="5"/>
    <n v="4.8"/>
    <b v="0"/>
    <m/>
    <n v="28"/>
    <n v="0"/>
    <s v=""/>
    <x v="0"/>
  </r>
  <r>
    <s v="FB002091"/>
    <x v="4"/>
    <x v="7"/>
    <x v="2"/>
    <s v="L"/>
    <s v="Gray"/>
    <n v="104.83"/>
    <n v="0"/>
    <n v="104.83"/>
    <x v="1"/>
    <n v="26"/>
    <n v="4"/>
    <b v="0"/>
    <m/>
    <n v="28"/>
    <n v="0"/>
    <s v=""/>
    <x v="0"/>
  </r>
  <r>
    <s v="FB002092"/>
    <x v="2"/>
    <x v="6"/>
    <x v="3"/>
    <m/>
    <s v="Gray"/>
    <n v="41.62"/>
    <n v="0"/>
    <n v="41.62"/>
    <x v="1"/>
    <n v="33"/>
    <n v="3.2720930232558145"/>
    <b v="0"/>
    <m/>
    <n v="28"/>
    <n v="0"/>
    <s v=""/>
    <x v="0"/>
  </r>
  <r>
    <s v="FB002093"/>
    <x v="4"/>
    <x v="5"/>
    <x v="0"/>
    <s v="M"/>
    <s v="Beige"/>
    <n v="94.92"/>
    <n v="0"/>
    <n v="94.92"/>
    <x v="269"/>
    <n v="20"/>
    <n v="2.2999999999999998"/>
    <b v="0"/>
    <m/>
    <n v="339"/>
    <n v="0"/>
    <s v=""/>
    <x v="0"/>
  </r>
  <r>
    <s v="FB002094"/>
    <x v="4"/>
    <x v="3"/>
    <x v="2"/>
    <s v="XXL"/>
    <s v="Red"/>
    <n v="107.92"/>
    <n v="22.2"/>
    <n v="83.96"/>
    <x v="1"/>
    <n v="35"/>
    <n v="3.7"/>
    <b v="0"/>
    <m/>
    <n v="28"/>
    <n v="777"/>
    <s v=""/>
    <x v="1"/>
  </r>
  <r>
    <s v="FB002095"/>
    <x v="2"/>
    <x v="7"/>
    <x v="3"/>
    <m/>
    <s v="Green"/>
    <n v="45.52"/>
    <n v="0"/>
    <n v="45.52"/>
    <x v="1"/>
    <n v="41"/>
    <n v="1.6"/>
    <b v="0"/>
    <m/>
    <n v="28"/>
    <n v="0"/>
    <s v=""/>
    <x v="0"/>
  </r>
  <r>
    <s v="FB002096"/>
    <x v="4"/>
    <x v="6"/>
    <x v="1"/>
    <s v="M"/>
    <s v="Green"/>
    <n v="112.1"/>
    <n v="30.7"/>
    <n v="77.69"/>
    <x v="1"/>
    <n v="10"/>
    <n v="1"/>
    <b v="0"/>
    <m/>
    <n v="28"/>
    <n v="307"/>
    <s v=""/>
    <x v="1"/>
  </r>
  <r>
    <s v="FB002097"/>
    <x v="3"/>
    <x v="1"/>
    <x v="0"/>
    <s v="L"/>
    <s v="Purple"/>
    <n v="103.9"/>
    <n v="0"/>
    <n v="103.9"/>
    <x v="110"/>
    <n v="27"/>
    <n v="2.1"/>
    <b v="0"/>
    <m/>
    <n v="42"/>
    <n v="0"/>
    <s v=""/>
    <x v="0"/>
  </r>
  <r>
    <s v="FB002098"/>
    <x v="0"/>
    <x v="2"/>
    <x v="1"/>
    <s v="L"/>
    <s v="Pink"/>
    <n v="168.02"/>
    <n v="0"/>
    <n v="168.02"/>
    <x v="1"/>
    <n v="30"/>
    <n v="1.6"/>
    <b v="1"/>
    <s v="Size Issue"/>
    <n v="28"/>
    <n v="0"/>
    <n v="1"/>
    <x v="0"/>
  </r>
  <r>
    <s v="FB002099"/>
    <x v="3"/>
    <x v="3"/>
    <x v="2"/>
    <s v="M"/>
    <s v="Brown"/>
    <n v="80.41"/>
    <n v="0"/>
    <n v="80.41"/>
    <x v="1"/>
    <n v="46"/>
    <n v="2.8"/>
    <b v="0"/>
    <m/>
    <n v="28"/>
    <n v="0"/>
    <s v=""/>
    <x v="0"/>
  </r>
  <r>
    <s v="FB002100"/>
    <x v="4"/>
    <x v="7"/>
    <x v="0"/>
    <s v="XL"/>
    <s v="Green"/>
    <n v="102.76"/>
    <n v="0"/>
    <n v="102.76"/>
    <x v="35"/>
    <n v="35"/>
    <n v="2.2000000000000002"/>
    <b v="0"/>
    <m/>
    <n v="291"/>
    <n v="0"/>
    <s v=""/>
    <x v="0"/>
  </r>
  <r>
    <s v="FB002101"/>
    <x v="1"/>
    <x v="7"/>
    <x v="2"/>
    <s v="XXL"/>
    <s v="Black"/>
    <n v="81.2"/>
    <n v="0"/>
    <n v="81.2"/>
    <x v="1"/>
    <n v="27"/>
    <n v="1.7"/>
    <b v="0"/>
    <m/>
    <n v="28"/>
    <n v="0"/>
    <s v=""/>
    <x v="0"/>
  </r>
  <r>
    <s v="FB002102"/>
    <x v="2"/>
    <x v="1"/>
    <x v="2"/>
    <m/>
    <s v="Gray"/>
    <n v="68.95"/>
    <n v="0"/>
    <n v="68.95"/>
    <x v="1"/>
    <n v="47"/>
    <n v="3.6"/>
    <b v="0"/>
    <m/>
    <n v="28"/>
    <n v="0"/>
    <s v=""/>
    <x v="0"/>
  </r>
  <r>
    <s v="FB002103"/>
    <x v="4"/>
    <x v="0"/>
    <x v="3"/>
    <s v="XS"/>
    <s v="Purple"/>
    <n v="43.04"/>
    <n v="0"/>
    <n v="43.04"/>
    <x v="1"/>
    <n v="26"/>
    <n v="4.8"/>
    <b v="1"/>
    <s v="Wrong Item"/>
    <n v="28"/>
    <n v="0"/>
    <n v="1"/>
    <x v="0"/>
  </r>
  <r>
    <s v="FB002104"/>
    <x v="1"/>
    <x v="0"/>
    <x v="0"/>
    <s v="XS"/>
    <s v="Beige"/>
    <n v="81.819999999999993"/>
    <n v="0"/>
    <n v="81.819999999999993"/>
    <x v="81"/>
    <n v="1"/>
    <n v="3.5"/>
    <b v="0"/>
    <m/>
    <n v="117"/>
    <n v="0"/>
    <s v=""/>
    <x v="0"/>
  </r>
  <r>
    <s v="FB002105"/>
    <x v="2"/>
    <x v="3"/>
    <x v="3"/>
    <m/>
    <s v="Blue"/>
    <n v="53.7"/>
    <n v="0"/>
    <n v="53.7"/>
    <x v="1"/>
    <n v="16"/>
    <n v="1.4"/>
    <b v="1"/>
    <s v="Damaged"/>
    <n v="28"/>
    <n v="0"/>
    <n v="1"/>
    <x v="0"/>
  </r>
  <r>
    <s v="FB002106"/>
    <x v="1"/>
    <x v="3"/>
    <x v="3"/>
    <s v="L"/>
    <s v="Red"/>
    <n v="100.11"/>
    <n v="0"/>
    <n v="100.11"/>
    <x v="1"/>
    <n v="41"/>
    <n v="4.7"/>
    <b v="0"/>
    <m/>
    <n v="28"/>
    <n v="0"/>
    <s v=""/>
    <x v="0"/>
  </r>
  <r>
    <s v="FB002107"/>
    <x v="2"/>
    <x v="5"/>
    <x v="1"/>
    <m/>
    <s v="Gray"/>
    <n v="24.08"/>
    <n v="38.5"/>
    <n v="14.81"/>
    <x v="1"/>
    <n v="43"/>
    <n v="4.0999999999999996"/>
    <b v="0"/>
    <m/>
    <n v="28"/>
    <n v="1655.5"/>
    <s v=""/>
    <x v="1"/>
  </r>
  <r>
    <s v="FB002108"/>
    <x v="2"/>
    <x v="5"/>
    <x v="0"/>
    <m/>
    <s v="Red"/>
    <n v="74.77"/>
    <n v="0"/>
    <n v="74.77"/>
    <x v="116"/>
    <n v="26"/>
    <n v="2.9"/>
    <b v="0"/>
    <m/>
    <n v="169"/>
    <n v="0"/>
    <s v=""/>
    <x v="0"/>
  </r>
  <r>
    <s v="FB002109"/>
    <x v="5"/>
    <x v="4"/>
    <x v="0"/>
    <s v="XL"/>
    <s v="Navy"/>
    <n v="105.98"/>
    <n v="0"/>
    <n v="105.98"/>
    <x v="164"/>
    <n v="32"/>
    <n v="2.5"/>
    <b v="1"/>
    <s v="Size Issue"/>
    <n v="336"/>
    <n v="0"/>
    <n v="1"/>
    <x v="0"/>
  </r>
  <r>
    <s v="FB002110"/>
    <x v="3"/>
    <x v="0"/>
    <x v="3"/>
    <s v="L"/>
    <s v="White"/>
    <n v="81.650000000000006"/>
    <n v="7.7"/>
    <n v="75.36"/>
    <x v="1"/>
    <n v="23"/>
    <n v="2.6"/>
    <b v="0"/>
    <m/>
    <n v="28"/>
    <n v="177.1"/>
    <s v=""/>
    <x v="1"/>
  </r>
  <r>
    <s v="FB002111"/>
    <x v="3"/>
    <x v="7"/>
    <x v="2"/>
    <s v="S"/>
    <s v="Black"/>
    <n v="92.66"/>
    <n v="8.3000000000000007"/>
    <n v="84.97"/>
    <x v="1"/>
    <n v="5"/>
    <n v="3.3"/>
    <b v="0"/>
    <m/>
    <n v="28"/>
    <n v="41.5"/>
    <s v=""/>
    <x v="1"/>
  </r>
  <r>
    <s v="FB002112"/>
    <x v="2"/>
    <x v="3"/>
    <x v="3"/>
    <m/>
    <s v="Brown"/>
    <n v="41.04"/>
    <n v="0"/>
    <n v="41.04"/>
    <x v="1"/>
    <n v="43"/>
    <n v="2.5131578947368416"/>
    <b v="0"/>
    <m/>
    <n v="28"/>
    <n v="0"/>
    <s v=""/>
    <x v="0"/>
  </r>
  <r>
    <s v="FB002113"/>
    <x v="0"/>
    <x v="7"/>
    <x v="2"/>
    <s v="M"/>
    <s v="Pink"/>
    <n v="169.98"/>
    <n v="5.8"/>
    <n v="160.12"/>
    <x v="1"/>
    <n v="12"/>
    <n v="2.1"/>
    <b v="0"/>
    <m/>
    <n v="28"/>
    <n v="69.599999999999994"/>
    <s v=""/>
    <x v="1"/>
  </r>
  <r>
    <s v="FB002114"/>
    <x v="2"/>
    <x v="3"/>
    <x v="1"/>
    <m/>
    <s v="Red"/>
    <n v="66.12"/>
    <n v="51"/>
    <n v="32.4"/>
    <x v="1"/>
    <n v="17"/>
    <n v="2.2000000000000002"/>
    <b v="0"/>
    <m/>
    <n v="28"/>
    <n v="867"/>
    <s v=""/>
    <x v="1"/>
  </r>
  <r>
    <s v="FB002115"/>
    <x v="5"/>
    <x v="2"/>
    <x v="0"/>
    <s v="S"/>
    <s v="Purple"/>
    <n v="139.87"/>
    <n v="14.5"/>
    <n v="119.59"/>
    <x v="21"/>
    <n v="13"/>
    <n v="1.3"/>
    <b v="0"/>
    <m/>
    <n v="355"/>
    <n v="188.5"/>
    <s v=""/>
    <x v="1"/>
  </r>
  <r>
    <s v="FB002116"/>
    <x v="2"/>
    <x v="0"/>
    <x v="1"/>
    <m/>
    <s v="Pink"/>
    <n v="70.23"/>
    <n v="49.9"/>
    <n v="35.19"/>
    <x v="1"/>
    <n v="0"/>
    <n v="4.5999999999999996"/>
    <b v="1"/>
    <s v="Damaged"/>
    <n v="28"/>
    <n v="0"/>
    <n v="1"/>
    <x v="1"/>
  </r>
  <r>
    <s v="FB002117"/>
    <x v="3"/>
    <x v="0"/>
    <x v="1"/>
    <s v="XL"/>
    <s v="Blue"/>
    <n v="129.9"/>
    <n v="39.9"/>
    <n v="78.069999999999993"/>
    <x v="1"/>
    <n v="28"/>
    <n v="1.3"/>
    <b v="0"/>
    <m/>
    <n v="28"/>
    <n v="1117.2"/>
    <s v=""/>
    <x v="1"/>
  </r>
  <r>
    <s v="FB002118"/>
    <x v="4"/>
    <x v="0"/>
    <x v="0"/>
    <s v="L"/>
    <s v="Beige"/>
    <n v="75.78"/>
    <n v="0"/>
    <n v="75.78"/>
    <x v="270"/>
    <n v="12"/>
    <n v="3.6"/>
    <b v="0"/>
    <m/>
    <n v="218"/>
    <n v="0"/>
    <s v=""/>
    <x v="0"/>
  </r>
  <r>
    <s v="FB002119"/>
    <x v="4"/>
    <x v="4"/>
    <x v="1"/>
    <s v="M"/>
    <s v="Beige"/>
    <n v="93.41"/>
    <n v="0"/>
    <n v="93.41"/>
    <x v="1"/>
    <n v="4"/>
    <n v="3.2"/>
    <b v="1"/>
    <s v="Size Issue"/>
    <n v="28"/>
    <n v="0"/>
    <n v="1"/>
    <x v="0"/>
  </r>
  <r>
    <s v="FB002120"/>
    <x v="1"/>
    <x v="2"/>
    <x v="0"/>
    <s v="L"/>
    <s v="Red"/>
    <n v="66.900000000000006"/>
    <n v="0"/>
    <n v="66.900000000000006"/>
    <x v="271"/>
    <n v="1"/>
    <n v="2.8"/>
    <b v="0"/>
    <m/>
    <n v="119"/>
    <n v="0"/>
    <s v=""/>
    <x v="0"/>
  </r>
  <r>
    <s v="FB002121"/>
    <x v="1"/>
    <x v="3"/>
    <x v="2"/>
    <s v="L"/>
    <s v="Green"/>
    <n v="110.45"/>
    <n v="6.6"/>
    <n v="103.16"/>
    <x v="1"/>
    <n v="6"/>
    <n v="2.9742857142857138"/>
    <b v="0"/>
    <m/>
    <n v="28"/>
    <n v="39.599999999999994"/>
    <s v=""/>
    <x v="1"/>
  </r>
  <r>
    <s v="FB002122"/>
    <x v="4"/>
    <x v="0"/>
    <x v="2"/>
    <s v="L"/>
    <s v="Gray"/>
    <n v="52.73"/>
    <n v="0"/>
    <n v="52.73"/>
    <x v="1"/>
    <n v="10"/>
    <n v="4.5"/>
    <b v="0"/>
    <m/>
    <n v="28"/>
    <n v="0"/>
    <s v=""/>
    <x v="0"/>
  </r>
  <r>
    <s v="FB002123"/>
    <x v="0"/>
    <x v="5"/>
    <x v="2"/>
    <s v="L"/>
    <s v="Blue"/>
    <n v="89.13"/>
    <n v="0"/>
    <n v="89.13"/>
    <x v="1"/>
    <n v="17"/>
    <n v="4.0999999999999996"/>
    <b v="0"/>
    <m/>
    <n v="28"/>
    <n v="0"/>
    <s v=""/>
    <x v="0"/>
  </r>
  <r>
    <s v="FB002124"/>
    <x v="0"/>
    <x v="2"/>
    <x v="3"/>
    <s v="L"/>
    <s v="Green"/>
    <n v="171.78"/>
    <n v="44.1"/>
    <n v="96.03"/>
    <x v="1"/>
    <n v="25"/>
    <n v="3.0177777777777774"/>
    <b v="1"/>
    <s v="Color Mismatch"/>
    <n v="28"/>
    <n v="1102.5"/>
    <n v="1"/>
    <x v="1"/>
  </r>
  <r>
    <s v="FB002125"/>
    <x v="3"/>
    <x v="6"/>
    <x v="1"/>
    <s v="M"/>
    <s v="Pink"/>
    <n v="129"/>
    <n v="0"/>
    <n v="129"/>
    <x v="1"/>
    <n v="13"/>
    <n v="3.8"/>
    <b v="1"/>
    <s v="Changed Mind"/>
    <n v="28"/>
    <n v="0"/>
    <n v="1"/>
    <x v="0"/>
  </r>
  <r>
    <s v="FB002126"/>
    <x v="3"/>
    <x v="0"/>
    <x v="3"/>
    <s v="XS"/>
    <s v="Brown"/>
    <n v="160.59"/>
    <n v="0"/>
    <n v="160.59"/>
    <x v="1"/>
    <n v="8"/>
    <n v="2.9"/>
    <b v="0"/>
    <m/>
    <n v="28"/>
    <n v="0"/>
    <s v=""/>
    <x v="0"/>
  </r>
  <r>
    <s v="FB002127"/>
    <x v="1"/>
    <x v="2"/>
    <x v="3"/>
    <s v="L"/>
    <s v="Red"/>
    <n v="56.38"/>
    <n v="0"/>
    <n v="56.38"/>
    <x v="1"/>
    <n v="9"/>
    <n v="2.953125"/>
    <b v="0"/>
    <m/>
    <n v="28"/>
    <n v="0"/>
    <s v=""/>
    <x v="0"/>
  </r>
  <r>
    <s v="FB002128"/>
    <x v="0"/>
    <x v="6"/>
    <x v="1"/>
    <s v="L"/>
    <s v="Green"/>
    <n v="109.2"/>
    <n v="26.6"/>
    <n v="80.150000000000006"/>
    <x v="1"/>
    <n v="21"/>
    <n v="3.9"/>
    <b v="1"/>
    <s v="Quality Issue"/>
    <n v="28"/>
    <n v="558.6"/>
    <n v="1"/>
    <x v="1"/>
  </r>
  <r>
    <s v="FB002129"/>
    <x v="2"/>
    <x v="1"/>
    <x v="0"/>
    <m/>
    <s v="Pink"/>
    <n v="21.43"/>
    <n v="0"/>
    <n v="21.43"/>
    <x v="135"/>
    <n v="38"/>
    <n v="1.9"/>
    <b v="0"/>
    <m/>
    <n v="212"/>
    <n v="0"/>
    <s v=""/>
    <x v="0"/>
  </r>
  <r>
    <s v="FB002130"/>
    <x v="3"/>
    <x v="4"/>
    <x v="1"/>
    <s v="M"/>
    <s v="Purple"/>
    <n v="87.11"/>
    <n v="0"/>
    <n v="87.11"/>
    <x v="1"/>
    <n v="36"/>
    <n v="2.2999999999999998"/>
    <b v="0"/>
    <m/>
    <n v="28"/>
    <n v="0"/>
    <s v=""/>
    <x v="0"/>
  </r>
  <r>
    <s v="FB002131"/>
    <x v="2"/>
    <x v="7"/>
    <x v="2"/>
    <m/>
    <s v="Navy"/>
    <n v="36.29"/>
    <n v="0"/>
    <n v="36.29"/>
    <x v="1"/>
    <n v="47"/>
    <n v="2.8"/>
    <b v="0"/>
    <m/>
    <n v="28"/>
    <n v="0"/>
    <s v=""/>
    <x v="0"/>
  </r>
  <r>
    <s v="FB002132"/>
    <x v="5"/>
    <x v="4"/>
    <x v="0"/>
    <s v="M"/>
    <s v="Green"/>
    <n v="105.59"/>
    <n v="0"/>
    <n v="105.59"/>
    <x v="71"/>
    <n v="37"/>
    <n v="4.7"/>
    <b v="0"/>
    <m/>
    <n v="68"/>
    <n v="0"/>
    <s v=""/>
    <x v="0"/>
  </r>
  <r>
    <s v="FB002133"/>
    <x v="5"/>
    <x v="0"/>
    <x v="2"/>
    <s v="S"/>
    <s v="Black"/>
    <n v="93.5"/>
    <n v="0"/>
    <n v="93.5"/>
    <x v="1"/>
    <n v="4"/>
    <n v="3.7"/>
    <b v="0"/>
    <m/>
    <n v="28"/>
    <n v="0"/>
    <s v=""/>
    <x v="0"/>
  </r>
  <r>
    <s v="FB002134"/>
    <x v="2"/>
    <x v="5"/>
    <x v="1"/>
    <m/>
    <s v="Black"/>
    <n v="41.72"/>
    <n v="9.5"/>
    <n v="37.76"/>
    <x v="1"/>
    <n v="9"/>
    <n v="3.9"/>
    <b v="0"/>
    <m/>
    <n v="28"/>
    <n v="85.5"/>
    <s v=""/>
    <x v="1"/>
  </r>
  <r>
    <s v="FB002135"/>
    <x v="2"/>
    <x v="3"/>
    <x v="3"/>
    <m/>
    <s v="Red"/>
    <n v="74.540000000000006"/>
    <n v="58.1"/>
    <n v="31.23"/>
    <x v="1"/>
    <n v="35"/>
    <n v="4.8"/>
    <b v="0"/>
    <m/>
    <n v="28"/>
    <n v="2033.5"/>
    <s v=""/>
    <x v="1"/>
  </r>
  <r>
    <s v="FB002136"/>
    <x v="5"/>
    <x v="1"/>
    <x v="0"/>
    <m/>
    <s v="Blue"/>
    <n v="85.49"/>
    <n v="0"/>
    <n v="85.49"/>
    <x v="153"/>
    <n v="0"/>
    <n v="3.7"/>
    <b v="0"/>
    <m/>
    <n v="261"/>
    <n v="0"/>
    <s v=""/>
    <x v="0"/>
  </r>
  <r>
    <s v="FB002137"/>
    <x v="5"/>
    <x v="0"/>
    <x v="3"/>
    <s v="M"/>
    <s v="Green"/>
    <n v="131.05000000000001"/>
    <n v="0"/>
    <n v="131.05000000000001"/>
    <x v="1"/>
    <n v="23"/>
    <n v="4.9000000000000004"/>
    <b v="0"/>
    <m/>
    <n v="28"/>
    <n v="0"/>
    <s v=""/>
    <x v="0"/>
  </r>
  <r>
    <s v="FB002138"/>
    <x v="4"/>
    <x v="7"/>
    <x v="3"/>
    <s v="XL"/>
    <s v="Pink"/>
    <n v="63.5"/>
    <n v="0"/>
    <n v="63.5"/>
    <x v="1"/>
    <n v="17"/>
    <n v="2.6"/>
    <b v="0"/>
    <m/>
    <n v="28"/>
    <n v="0"/>
    <s v=""/>
    <x v="0"/>
  </r>
  <r>
    <s v="FB002139"/>
    <x v="1"/>
    <x v="1"/>
    <x v="2"/>
    <s v="M"/>
    <s v="Beige"/>
    <n v="75.540000000000006"/>
    <n v="0"/>
    <n v="75.540000000000006"/>
    <x v="1"/>
    <n v="7"/>
    <n v="3.3"/>
    <b v="0"/>
    <m/>
    <n v="28"/>
    <n v="0"/>
    <s v=""/>
    <x v="0"/>
  </r>
  <r>
    <s v="FB002140"/>
    <x v="1"/>
    <x v="3"/>
    <x v="2"/>
    <s v="XXL"/>
    <s v="Beige"/>
    <n v="110.77"/>
    <n v="0"/>
    <n v="110.77"/>
    <x v="1"/>
    <n v="48"/>
    <n v="2.6"/>
    <b v="0"/>
    <m/>
    <n v="28"/>
    <n v="0"/>
    <s v=""/>
    <x v="0"/>
  </r>
  <r>
    <s v="FB002141"/>
    <x v="3"/>
    <x v="3"/>
    <x v="3"/>
    <s v="M"/>
    <s v="White"/>
    <n v="190.71"/>
    <n v="6.3"/>
    <n v="178.7"/>
    <x v="1"/>
    <n v="1"/>
    <n v="2"/>
    <b v="0"/>
    <m/>
    <n v="28"/>
    <n v="6.3"/>
    <s v=""/>
    <x v="1"/>
  </r>
  <r>
    <s v="FB002142"/>
    <x v="1"/>
    <x v="3"/>
    <x v="2"/>
    <s v="L"/>
    <s v="White"/>
    <n v="100.56"/>
    <n v="17.3"/>
    <n v="83.16"/>
    <x v="1"/>
    <n v="21"/>
    <n v="3.6"/>
    <b v="0"/>
    <m/>
    <n v="28"/>
    <n v="363.3"/>
    <s v=""/>
    <x v="1"/>
  </r>
  <r>
    <s v="FB002143"/>
    <x v="0"/>
    <x v="7"/>
    <x v="3"/>
    <s v="XXL"/>
    <s v="Pink"/>
    <n v="221.59"/>
    <n v="8.6"/>
    <n v="202.53"/>
    <x v="1"/>
    <n v="5"/>
    <n v="2.9718749999999998"/>
    <b v="0"/>
    <m/>
    <n v="28"/>
    <n v="43"/>
    <s v=""/>
    <x v="1"/>
  </r>
  <r>
    <s v="FB002144"/>
    <x v="4"/>
    <x v="6"/>
    <x v="3"/>
    <s v="L"/>
    <s v="Beige"/>
    <n v="55.21"/>
    <n v="0"/>
    <n v="55.21"/>
    <x v="1"/>
    <n v="21"/>
    <n v="1.8"/>
    <b v="1"/>
    <s v="Wrong Item"/>
    <n v="28"/>
    <n v="0"/>
    <n v="1"/>
    <x v="0"/>
  </r>
  <r>
    <s v="FB002145"/>
    <x v="2"/>
    <x v="1"/>
    <x v="2"/>
    <m/>
    <s v="Black"/>
    <n v="17.87"/>
    <n v="0"/>
    <n v="17.87"/>
    <x v="1"/>
    <n v="47"/>
    <n v="3.1288461538461547"/>
    <b v="0"/>
    <m/>
    <n v="28"/>
    <n v="0"/>
    <s v=""/>
    <x v="0"/>
  </r>
  <r>
    <s v="FB002146"/>
    <x v="4"/>
    <x v="1"/>
    <x v="3"/>
    <s v="XS"/>
    <s v="Pink"/>
    <n v="56.57"/>
    <n v="0"/>
    <n v="56.57"/>
    <x v="1"/>
    <n v="43"/>
    <n v="4.4000000000000004"/>
    <b v="1"/>
    <s v="Size Issue"/>
    <n v="28"/>
    <n v="0"/>
    <n v="1"/>
    <x v="0"/>
  </r>
  <r>
    <s v="FB002147"/>
    <x v="2"/>
    <x v="6"/>
    <x v="0"/>
    <m/>
    <s v="Purple"/>
    <n v="47.74"/>
    <n v="0"/>
    <n v="47.74"/>
    <x v="69"/>
    <n v="17"/>
    <n v="2.9"/>
    <b v="0"/>
    <m/>
    <n v="252"/>
    <n v="0"/>
    <s v=""/>
    <x v="0"/>
  </r>
  <r>
    <s v="FB002148"/>
    <x v="5"/>
    <x v="2"/>
    <x v="2"/>
    <s v="M"/>
    <s v="Navy"/>
    <n v="152.88"/>
    <n v="8.9"/>
    <n v="139.27000000000001"/>
    <x v="1"/>
    <n v="19"/>
    <n v="2.2000000000000002"/>
    <b v="0"/>
    <m/>
    <n v="28"/>
    <n v="169.1"/>
    <s v=""/>
    <x v="1"/>
  </r>
  <r>
    <s v="FB002149"/>
    <x v="0"/>
    <x v="2"/>
    <x v="1"/>
    <s v="M"/>
    <s v="Beige"/>
    <n v="199.61"/>
    <n v="37.700000000000003"/>
    <n v="124.36"/>
    <x v="1"/>
    <n v="6"/>
    <n v="3.0177777777777774"/>
    <b v="0"/>
    <m/>
    <n v="28"/>
    <n v="226.20000000000002"/>
    <s v=""/>
    <x v="1"/>
  </r>
  <r>
    <s v="FB002150"/>
    <x v="2"/>
    <x v="6"/>
    <x v="3"/>
    <m/>
    <s v="Gray"/>
    <n v="57.25"/>
    <n v="0"/>
    <n v="57.25"/>
    <x v="1"/>
    <n v="22"/>
    <n v="5"/>
    <b v="0"/>
    <m/>
    <n v="28"/>
    <n v="0"/>
    <s v=""/>
    <x v="0"/>
  </r>
  <r>
    <s v="FB002151"/>
    <x v="5"/>
    <x v="4"/>
    <x v="2"/>
    <s v="XL"/>
    <s v="Blue"/>
    <n v="134.41"/>
    <n v="55.3"/>
    <n v="60.08"/>
    <x v="1"/>
    <n v="12"/>
    <n v="3.2"/>
    <b v="0"/>
    <m/>
    <n v="28"/>
    <n v="663.59999999999991"/>
    <s v=""/>
    <x v="1"/>
  </r>
  <r>
    <s v="FB002152"/>
    <x v="4"/>
    <x v="5"/>
    <x v="2"/>
    <s v="S"/>
    <s v="Brown"/>
    <n v="111.43"/>
    <n v="43.5"/>
    <n v="62.96"/>
    <x v="1"/>
    <n v="22"/>
    <n v="4.8"/>
    <b v="0"/>
    <m/>
    <n v="28"/>
    <n v="957"/>
    <s v=""/>
    <x v="1"/>
  </r>
  <r>
    <s v="FB002153"/>
    <x v="2"/>
    <x v="1"/>
    <x v="0"/>
    <m/>
    <s v="Brown"/>
    <n v="15.36"/>
    <n v="36.799999999999997"/>
    <n v="9.7100000000000009"/>
    <x v="56"/>
    <n v="46"/>
    <n v="2.2999999999999998"/>
    <b v="0"/>
    <m/>
    <n v="127"/>
    <n v="1692.8"/>
    <s v=""/>
    <x v="1"/>
  </r>
  <r>
    <s v="FB002154"/>
    <x v="1"/>
    <x v="6"/>
    <x v="2"/>
    <s v="XL"/>
    <s v="Black"/>
    <n v="100.03"/>
    <n v="51.8"/>
    <n v="48.21"/>
    <x v="1"/>
    <n v="43"/>
    <n v="5"/>
    <b v="0"/>
    <m/>
    <n v="28"/>
    <n v="2227.4"/>
    <s v=""/>
    <x v="1"/>
  </r>
  <r>
    <s v="FB002155"/>
    <x v="3"/>
    <x v="1"/>
    <x v="3"/>
    <s v="S"/>
    <s v="Black"/>
    <n v="173.75"/>
    <n v="19.2"/>
    <n v="140.38999999999999"/>
    <x v="1"/>
    <n v="38"/>
    <n v="2.8205128205128198"/>
    <b v="0"/>
    <m/>
    <n v="28"/>
    <n v="729.6"/>
    <s v=""/>
    <x v="1"/>
  </r>
  <r>
    <s v="FB002156"/>
    <x v="4"/>
    <x v="6"/>
    <x v="1"/>
    <s v="XL"/>
    <s v="Green"/>
    <n v="37.979999999999997"/>
    <n v="15.2"/>
    <n v="32.21"/>
    <x v="1"/>
    <n v="25"/>
    <n v="3.6"/>
    <b v="0"/>
    <m/>
    <n v="28"/>
    <n v="380"/>
    <s v=""/>
    <x v="1"/>
  </r>
  <r>
    <s v="FB002157"/>
    <x v="5"/>
    <x v="7"/>
    <x v="3"/>
    <s v="M"/>
    <s v="Black"/>
    <n v="154.11000000000001"/>
    <n v="0"/>
    <n v="154.11000000000001"/>
    <x v="1"/>
    <n v="50"/>
    <n v="3.1"/>
    <b v="0"/>
    <m/>
    <n v="28"/>
    <n v="0"/>
    <s v=""/>
    <x v="0"/>
  </r>
  <r>
    <s v="FB002158"/>
    <x v="2"/>
    <x v="5"/>
    <x v="0"/>
    <m/>
    <s v="Purple"/>
    <n v="69.8"/>
    <n v="46.9"/>
    <n v="37.06"/>
    <x v="193"/>
    <n v="26"/>
    <n v="3.8"/>
    <b v="0"/>
    <m/>
    <n v="317"/>
    <n v="1219.3999999999999"/>
    <s v=""/>
    <x v="1"/>
  </r>
  <r>
    <s v="FB002159"/>
    <x v="5"/>
    <x v="6"/>
    <x v="1"/>
    <s v="XXL"/>
    <s v="Gray"/>
    <n v="171.16"/>
    <n v="0"/>
    <n v="171.16"/>
    <x v="1"/>
    <n v="26"/>
    <n v="4.3"/>
    <b v="0"/>
    <m/>
    <n v="28"/>
    <n v="0"/>
    <s v=""/>
    <x v="0"/>
  </r>
  <r>
    <s v="FB002160"/>
    <x v="0"/>
    <x v="0"/>
    <x v="3"/>
    <s v="XXL"/>
    <s v="White"/>
    <n v="118.57"/>
    <n v="0"/>
    <n v="118.57"/>
    <x v="1"/>
    <n v="6"/>
    <n v="1.4"/>
    <b v="1"/>
    <s v="Quality Issue"/>
    <n v="28"/>
    <n v="0"/>
    <n v="1"/>
    <x v="0"/>
  </r>
  <r>
    <s v="FB002161"/>
    <x v="5"/>
    <x v="3"/>
    <x v="1"/>
    <s v="XXL"/>
    <s v="Pink"/>
    <n v="118.46"/>
    <n v="0"/>
    <n v="118.46"/>
    <x v="1"/>
    <n v="40"/>
    <n v="2.2999999999999998"/>
    <b v="0"/>
    <m/>
    <n v="28"/>
    <n v="0"/>
    <s v=""/>
    <x v="0"/>
  </r>
  <r>
    <s v="FB002162"/>
    <x v="3"/>
    <x v="0"/>
    <x v="3"/>
    <s v="L"/>
    <s v="Green"/>
    <n v="122.7"/>
    <n v="0"/>
    <n v="122.7"/>
    <x v="1"/>
    <n v="9"/>
    <n v="2.9153846153846157"/>
    <b v="0"/>
    <m/>
    <n v="28"/>
    <n v="0"/>
    <s v=""/>
    <x v="0"/>
  </r>
  <r>
    <s v="FB002163"/>
    <x v="2"/>
    <x v="6"/>
    <x v="0"/>
    <m/>
    <s v="Black"/>
    <n v="68.2"/>
    <n v="0"/>
    <n v="68.2"/>
    <x v="196"/>
    <n v="2"/>
    <n v="3.8"/>
    <b v="0"/>
    <m/>
    <n v="151"/>
    <n v="0"/>
    <s v=""/>
    <x v="0"/>
  </r>
  <r>
    <s v="FB002164"/>
    <x v="3"/>
    <x v="4"/>
    <x v="0"/>
    <s v="XL"/>
    <s v="White"/>
    <n v="178.56"/>
    <n v="0"/>
    <n v="178.56"/>
    <x v="272"/>
    <n v="46"/>
    <n v="2.6"/>
    <b v="0"/>
    <m/>
    <n v="171"/>
    <n v="0"/>
    <s v=""/>
    <x v="0"/>
  </r>
  <r>
    <s v="FB002165"/>
    <x v="2"/>
    <x v="1"/>
    <x v="3"/>
    <m/>
    <s v="Green"/>
    <n v="30.46"/>
    <n v="31.4"/>
    <n v="20.9"/>
    <x v="1"/>
    <n v="40"/>
    <n v="2.4"/>
    <b v="0"/>
    <m/>
    <n v="28"/>
    <n v="1256"/>
    <s v=""/>
    <x v="1"/>
  </r>
  <r>
    <s v="FB002166"/>
    <x v="2"/>
    <x v="2"/>
    <x v="3"/>
    <m/>
    <s v="Black"/>
    <n v="76.08"/>
    <n v="0"/>
    <n v="76.08"/>
    <x v="1"/>
    <n v="6"/>
    <n v="4.9000000000000004"/>
    <b v="0"/>
    <m/>
    <n v="28"/>
    <n v="0"/>
    <s v=""/>
    <x v="0"/>
  </r>
  <r>
    <s v="FB002167"/>
    <x v="3"/>
    <x v="2"/>
    <x v="1"/>
    <s v="M"/>
    <s v="Brown"/>
    <n v="116.15"/>
    <n v="16.5"/>
    <n v="96.99"/>
    <x v="1"/>
    <n v="11"/>
    <n v="3"/>
    <b v="0"/>
    <m/>
    <n v="28"/>
    <n v="181.5"/>
    <s v=""/>
    <x v="1"/>
  </r>
  <r>
    <s v="FB002168"/>
    <x v="3"/>
    <x v="4"/>
    <x v="1"/>
    <s v="XS"/>
    <s v="White"/>
    <n v="98.22"/>
    <n v="0"/>
    <n v="98.22"/>
    <x v="1"/>
    <n v="27"/>
    <n v="3.3"/>
    <b v="0"/>
    <m/>
    <n v="28"/>
    <n v="0"/>
    <s v=""/>
    <x v="0"/>
  </r>
  <r>
    <s v="FB002169"/>
    <x v="3"/>
    <x v="5"/>
    <x v="1"/>
    <m/>
    <s v="Beige"/>
    <n v="66.58"/>
    <n v="0"/>
    <n v="66.58"/>
    <x v="1"/>
    <n v="45"/>
    <n v="3.4"/>
    <b v="0"/>
    <m/>
    <n v="28"/>
    <n v="0"/>
    <s v=""/>
    <x v="0"/>
  </r>
  <r>
    <s v="FB002170"/>
    <x v="2"/>
    <x v="1"/>
    <x v="0"/>
    <m/>
    <s v="Beige"/>
    <n v="69.22"/>
    <n v="0"/>
    <n v="69.22"/>
    <x v="233"/>
    <n v="42"/>
    <n v="3.8"/>
    <b v="0"/>
    <m/>
    <n v="363"/>
    <n v="0"/>
    <s v=""/>
    <x v="0"/>
  </r>
  <r>
    <s v="FB002171"/>
    <x v="1"/>
    <x v="1"/>
    <x v="1"/>
    <s v="XL"/>
    <s v="Black"/>
    <n v="85.01"/>
    <n v="0"/>
    <n v="85.01"/>
    <x v="1"/>
    <n v="39"/>
    <n v="4.3"/>
    <b v="0"/>
    <m/>
    <n v="28"/>
    <n v="0"/>
    <s v=""/>
    <x v="0"/>
  </r>
  <r>
    <s v="FB002172"/>
    <x v="1"/>
    <x v="3"/>
    <x v="3"/>
    <s v="XL"/>
    <s v="Black"/>
    <n v="31.41"/>
    <n v="0"/>
    <n v="31.41"/>
    <x v="1"/>
    <n v="10"/>
    <n v="2.1"/>
    <b v="0"/>
    <m/>
    <n v="28"/>
    <n v="0"/>
    <s v=""/>
    <x v="0"/>
  </r>
  <r>
    <s v="FB002173"/>
    <x v="5"/>
    <x v="2"/>
    <x v="1"/>
    <s v="L"/>
    <s v="Brown"/>
    <n v="50.58"/>
    <n v="0"/>
    <n v="50.58"/>
    <x v="1"/>
    <n v="1"/>
    <n v="3.1"/>
    <b v="1"/>
    <s v="Changed Mind"/>
    <n v="28"/>
    <n v="0"/>
    <n v="1"/>
    <x v="0"/>
  </r>
  <r>
    <s v="FB002174"/>
    <x v="2"/>
    <x v="2"/>
    <x v="1"/>
    <m/>
    <s v="Beige"/>
    <n v="79.37"/>
    <n v="54.8"/>
    <n v="35.880000000000003"/>
    <x v="1"/>
    <n v="40"/>
    <n v="2.6"/>
    <b v="0"/>
    <m/>
    <n v="28"/>
    <n v="2192"/>
    <s v=""/>
    <x v="1"/>
  </r>
  <r>
    <s v="FB002175"/>
    <x v="4"/>
    <x v="5"/>
    <x v="3"/>
    <s v="XL"/>
    <s v="Pink"/>
    <n v="105.52"/>
    <n v="0"/>
    <n v="105.52"/>
    <x v="1"/>
    <n v="20"/>
    <n v="4.9000000000000004"/>
    <b v="1"/>
    <s v="Size Issue"/>
    <n v="28"/>
    <n v="0"/>
    <n v="1"/>
    <x v="0"/>
  </r>
  <r>
    <s v="FB002176"/>
    <x v="3"/>
    <x v="5"/>
    <x v="3"/>
    <s v="XXL"/>
    <s v="White"/>
    <n v="154.02000000000001"/>
    <n v="0"/>
    <n v="154.02000000000001"/>
    <x v="1"/>
    <n v="23"/>
    <n v="1.3"/>
    <b v="0"/>
    <m/>
    <n v="28"/>
    <n v="0"/>
    <s v=""/>
    <x v="0"/>
  </r>
</pivotCacheRecords>
</file>

<file path=xl/pivotCache/pivotCacheRecords4.xml><?xml version="1.0" encoding="utf-8"?>
<pivotCacheRecords xmlns="http://schemas.openxmlformats.org/spreadsheetml/2006/main" xmlns:r="http://schemas.openxmlformats.org/officeDocument/2006/relationships" count="2176">
  <r>
    <s v="FB000001"/>
    <x v="0"/>
    <x v="0"/>
    <x v="0"/>
    <x v="0"/>
    <x v="0"/>
    <n v="196.01"/>
    <n v="0"/>
    <n v="196.01"/>
    <d v="2025-07-05T00:00:00"/>
    <n v="37"/>
    <n v="3"/>
    <b v="0"/>
    <m/>
    <n v="59"/>
  </r>
  <r>
    <s v="FB000002"/>
    <x v="1"/>
    <x v="1"/>
    <x v="1"/>
    <x v="1"/>
    <x v="1"/>
    <n v="119.64"/>
    <n v="0"/>
    <n v="119.64"/>
    <d v="2025-08-06T00:00:00"/>
    <n v="2"/>
    <n v="2.5"/>
    <b v="0"/>
    <m/>
    <n v="27"/>
  </r>
  <r>
    <s v="FB000003"/>
    <x v="2"/>
    <x v="1"/>
    <x v="1"/>
    <x v="2"/>
    <x v="2"/>
    <n v="33.799999999999997"/>
    <n v="0"/>
    <n v="33.799999999999997"/>
    <d v="2025-08-06T00:00:00"/>
    <n v="22"/>
    <n v="4.3"/>
    <b v="0"/>
    <m/>
    <n v="27"/>
  </r>
  <r>
    <s v="FB000004"/>
    <x v="3"/>
    <x v="1"/>
    <x v="0"/>
    <x v="0"/>
    <x v="2"/>
    <n v="75.36"/>
    <n v="0"/>
    <n v="75.36"/>
    <d v="2025-07-07T00:00:00"/>
    <n v="48"/>
    <n v="2.6"/>
    <b v="0"/>
    <m/>
    <n v="57"/>
  </r>
  <r>
    <s v="FB000005"/>
    <x v="1"/>
    <x v="2"/>
    <x v="1"/>
    <x v="0"/>
    <x v="2"/>
    <n v="105.02"/>
    <n v="0"/>
    <n v="105.02"/>
    <d v="2025-08-06T00:00:00"/>
    <n v="10"/>
    <n v="2.953125"/>
    <b v="0"/>
    <m/>
    <n v="27"/>
  </r>
  <r>
    <s v="FB000006"/>
    <x v="2"/>
    <x v="0"/>
    <x v="2"/>
    <x v="2"/>
    <x v="3"/>
    <n v="35.03"/>
    <n v="35.4"/>
    <n v="22.63"/>
    <d v="2025-08-06T00:00:00"/>
    <n v="38"/>
    <n v="2.9"/>
    <b v="1"/>
    <s v="Color Mismatch"/>
    <n v="27"/>
  </r>
  <r>
    <s v="FB000007"/>
    <x v="4"/>
    <x v="0"/>
    <x v="0"/>
    <x v="3"/>
    <x v="4"/>
    <n v="53.83"/>
    <n v="54.5"/>
    <n v="24.49"/>
    <d v="2024-10-29T00:00:00"/>
    <n v="38"/>
    <n v="2.6"/>
    <b v="0"/>
    <m/>
    <n v="308"/>
  </r>
  <r>
    <s v="FB000008"/>
    <x v="5"/>
    <x v="3"/>
    <x v="1"/>
    <x v="0"/>
    <x v="5"/>
    <n v="91.55"/>
    <n v="22.1"/>
    <n v="71.319999999999993"/>
    <d v="2025-08-06T00:00:00"/>
    <n v="47"/>
    <n v="1.6"/>
    <b v="0"/>
    <m/>
    <n v="27"/>
  </r>
  <r>
    <s v="FB000009"/>
    <x v="0"/>
    <x v="1"/>
    <x v="0"/>
    <x v="0"/>
    <x v="6"/>
    <n v="227.73"/>
    <n v="12.8"/>
    <n v="198.58"/>
    <d v="2025-03-24T00:00:00"/>
    <n v="14"/>
    <n v="3.15"/>
    <b v="0"/>
    <m/>
    <n v="162"/>
  </r>
  <r>
    <s v="FB000010"/>
    <x v="0"/>
    <x v="4"/>
    <x v="2"/>
    <x v="4"/>
    <x v="1"/>
    <n v="248.41"/>
    <n v="10.9"/>
    <n v="221.33"/>
    <d v="2025-08-06T00:00:00"/>
    <n v="37"/>
    <n v="2.9228571428571426"/>
    <b v="0"/>
    <m/>
    <n v="27"/>
  </r>
  <r>
    <s v="FB000011"/>
    <x v="1"/>
    <x v="3"/>
    <x v="0"/>
    <x v="1"/>
    <x v="2"/>
    <n v="116.84"/>
    <n v="0"/>
    <n v="116.84"/>
    <d v="2025-04-25T00:00:00"/>
    <n v="3"/>
    <n v="4.4000000000000004"/>
    <b v="0"/>
    <m/>
    <n v="130"/>
  </r>
  <r>
    <s v="FB000012"/>
    <x v="3"/>
    <x v="1"/>
    <x v="1"/>
    <x v="3"/>
    <x v="5"/>
    <n v="146.97999999999999"/>
    <n v="0"/>
    <n v="146.97999999999999"/>
    <d v="2025-08-06T00:00:00"/>
    <n v="2"/>
    <n v="3.4"/>
    <b v="0"/>
    <m/>
    <n v="27"/>
  </r>
  <r>
    <s v="FB000013"/>
    <x v="4"/>
    <x v="5"/>
    <x v="0"/>
    <x v="3"/>
    <x v="3"/>
    <n v="37.51"/>
    <n v="0"/>
    <n v="37.51"/>
    <d v="2025-01-04T00:00:00"/>
    <n v="43"/>
    <n v="3.0575757575757576"/>
    <b v="0"/>
    <m/>
    <n v="241"/>
  </r>
  <r>
    <s v="FB000014"/>
    <x v="5"/>
    <x v="1"/>
    <x v="2"/>
    <x v="5"/>
    <x v="7"/>
    <n v="48.15"/>
    <n v="0"/>
    <n v="48.15"/>
    <d v="2025-08-06T00:00:00"/>
    <n v="39"/>
    <n v="1.6"/>
    <b v="0"/>
    <m/>
    <n v="27"/>
  </r>
  <r>
    <s v="FB000015"/>
    <x v="1"/>
    <x v="3"/>
    <x v="1"/>
    <x v="6"/>
    <x v="7"/>
    <n v="79.66"/>
    <n v="0"/>
    <n v="79.66"/>
    <d v="2025-08-06T00:00:00"/>
    <n v="7"/>
    <n v="1.7"/>
    <b v="0"/>
    <m/>
    <n v="27"/>
  </r>
  <r>
    <s v="FB000016"/>
    <x v="2"/>
    <x v="3"/>
    <x v="1"/>
    <x v="2"/>
    <x v="6"/>
    <n v="67.569999999999993"/>
    <n v="0"/>
    <n v="67.569999999999993"/>
    <d v="2025-08-06T00:00:00"/>
    <n v="17"/>
    <n v="2.4"/>
    <b v="0"/>
    <m/>
    <n v="27"/>
  </r>
  <r>
    <s v="FB000017"/>
    <x v="3"/>
    <x v="6"/>
    <x v="3"/>
    <x v="3"/>
    <x v="7"/>
    <n v="123.53"/>
    <n v="0"/>
    <n v="123.53"/>
    <d v="2025-08-06T00:00:00"/>
    <n v="14"/>
    <n v="4.5999999999999996"/>
    <b v="0"/>
    <m/>
    <n v="27"/>
  </r>
  <r>
    <s v="FB000018"/>
    <x v="1"/>
    <x v="5"/>
    <x v="1"/>
    <x v="1"/>
    <x v="8"/>
    <n v="102.35"/>
    <n v="0"/>
    <n v="102.35"/>
    <d v="2025-08-06T00:00:00"/>
    <n v="14"/>
    <n v="3.5"/>
    <b v="0"/>
    <m/>
    <n v="27"/>
  </r>
  <r>
    <s v="FB000019"/>
    <x v="0"/>
    <x v="3"/>
    <x v="3"/>
    <x v="6"/>
    <x v="9"/>
    <n v="137.94999999999999"/>
    <n v="58.5"/>
    <n v="57.25"/>
    <d v="2025-08-06T00:00:00"/>
    <n v="16"/>
    <n v="4.0999999999999996"/>
    <b v="0"/>
    <m/>
    <n v="27"/>
  </r>
  <r>
    <s v="FB000020"/>
    <x v="0"/>
    <x v="2"/>
    <x v="3"/>
    <x v="4"/>
    <x v="4"/>
    <n v="142.59"/>
    <n v="0"/>
    <n v="142.59"/>
    <d v="2025-08-06T00:00:00"/>
    <n v="1"/>
    <n v="3.7"/>
    <b v="0"/>
    <m/>
    <n v="27"/>
  </r>
  <r>
    <s v="FB000021"/>
    <x v="4"/>
    <x v="3"/>
    <x v="2"/>
    <x v="1"/>
    <x v="7"/>
    <n v="33.33"/>
    <n v="21.8"/>
    <n v="26.06"/>
    <d v="2025-08-06T00:00:00"/>
    <n v="42"/>
    <n v="2.8142857142857149"/>
    <b v="0"/>
    <m/>
    <n v="27"/>
  </r>
  <r>
    <s v="FB000022"/>
    <x v="2"/>
    <x v="0"/>
    <x v="0"/>
    <x v="2"/>
    <x v="10"/>
    <n v="62.3"/>
    <n v="0"/>
    <n v="62.3"/>
    <d v="2024-09-24T00:00:00"/>
    <n v="10"/>
    <n v="2.5"/>
    <b v="0"/>
    <m/>
    <n v="343"/>
  </r>
  <r>
    <s v="FB000023"/>
    <x v="2"/>
    <x v="0"/>
    <x v="1"/>
    <x v="2"/>
    <x v="1"/>
    <n v="38.479999999999997"/>
    <n v="0"/>
    <n v="38.479999999999997"/>
    <d v="2025-08-06T00:00:00"/>
    <n v="46"/>
    <n v="1.2"/>
    <b v="0"/>
    <m/>
    <n v="27"/>
  </r>
  <r>
    <s v="FB000024"/>
    <x v="5"/>
    <x v="2"/>
    <x v="3"/>
    <x v="0"/>
    <x v="6"/>
    <n v="91.36"/>
    <n v="0"/>
    <n v="91.36"/>
    <d v="2025-08-06T00:00:00"/>
    <n v="37"/>
    <n v="1.2"/>
    <b v="1"/>
    <s v="Size Issue"/>
    <n v="27"/>
  </r>
  <r>
    <s v="FB000025"/>
    <x v="1"/>
    <x v="7"/>
    <x v="2"/>
    <x v="5"/>
    <x v="5"/>
    <n v="80.47"/>
    <n v="29.1"/>
    <n v="57.05"/>
    <d v="2025-08-06T00:00:00"/>
    <n v="38"/>
    <n v="3.6"/>
    <b v="0"/>
    <m/>
    <n v="27"/>
  </r>
  <r>
    <s v="FB000026"/>
    <x v="4"/>
    <x v="1"/>
    <x v="0"/>
    <x v="6"/>
    <x v="0"/>
    <n v="40.89"/>
    <n v="34"/>
    <n v="26.99"/>
    <d v="2025-06-11T00:00:00"/>
    <n v="16"/>
    <n v="3.7"/>
    <b v="0"/>
    <m/>
    <n v="83"/>
  </r>
  <r>
    <s v="FB000027"/>
    <x v="4"/>
    <x v="2"/>
    <x v="3"/>
    <x v="1"/>
    <x v="0"/>
    <n v="47.04"/>
    <n v="36"/>
    <n v="30.11"/>
    <d v="2025-08-06T00:00:00"/>
    <n v="25"/>
    <n v="1.1000000000000001"/>
    <b v="1"/>
    <s v="Damaged"/>
    <n v="27"/>
  </r>
  <r>
    <s v="FB000028"/>
    <x v="4"/>
    <x v="6"/>
    <x v="3"/>
    <x v="6"/>
    <x v="5"/>
    <n v="53.37"/>
    <n v="0"/>
    <n v="53.37"/>
    <d v="2025-08-06T00:00:00"/>
    <n v="28"/>
    <n v="3.8"/>
    <b v="0"/>
    <m/>
    <n v="27"/>
  </r>
  <r>
    <s v="FB000029"/>
    <x v="5"/>
    <x v="5"/>
    <x v="3"/>
    <x v="1"/>
    <x v="3"/>
    <n v="114.35"/>
    <n v="0"/>
    <n v="114.35"/>
    <d v="2025-08-06T00:00:00"/>
    <n v="6"/>
    <n v="1.2"/>
    <b v="0"/>
    <m/>
    <n v="27"/>
  </r>
  <r>
    <s v="FB000030"/>
    <x v="3"/>
    <x v="6"/>
    <x v="0"/>
    <x v="0"/>
    <x v="0"/>
    <n v="77.63"/>
    <n v="0"/>
    <n v="77.63"/>
    <d v="2024-10-24T00:00:00"/>
    <n v="1"/>
    <n v="2.9083333333333328"/>
    <b v="0"/>
    <m/>
    <n v="313"/>
  </r>
  <r>
    <s v="FB000031"/>
    <x v="3"/>
    <x v="1"/>
    <x v="3"/>
    <x v="3"/>
    <x v="0"/>
    <n v="71.290000000000006"/>
    <n v="0"/>
    <n v="71.290000000000006"/>
    <d v="2025-08-06T00:00:00"/>
    <n v="37"/>
    <n v="4.0999999999999996"/>
    <b v="1"/>
    <s v="Quality Issue"/>
    <n v="27"/>
  </r>
  <r>
    <s v="FB000032"/>
    <x v="1"/>
    <x v="6"/>
    <x v="0"/>
    <x v="1"/>
    <x v="9"/>
    <n v="37.43"/>
    <n v="24.4"/>
    <n v="28.3"/>
    <d v="2025-04-16T00:00:00"/>
    <n v="5"/>
    <n v="2.9074999999999998"/>
    <b v="0"/>
    <m/>
    <n v="139"/>
  </r>
  <r>
    <s v="FB000033"/>
    <x v="3"/>
    <x v="0"/>
    <x v="0"/>
    <x v="0"/>
    <x v="9"/>
    <n v="143.78"/>
    <n v="0"/>
    <n v="143.78"/>
    <d v="2024-10-16T00:00:00"/>
    <n v="43"/>
    <n v="1.1000000000000001"/>
    <b v="0"/>
    <m/>
    <n v="321"/>
  </r>
  <r>
    <s v="FB000034"/>
    <x v="1"/>
    <x v="2"/>
    <x v="3"/>
    <x v="0"/>
    <x v="4"/>
    <n v="88.23"/>
    <n v="0"/>
    <n v="88.23"/>
    <d v="2025-08-06T00:00:00"/>
    <n v="44"/>
    <n v="1.6"/>
    <b v="0"/>
    <m/>
    <n v="27"/>
  </r>
  <r>
    <s v="FB000035"/>
    <x v="2"/>
    <x v="7"/>
    <x v="2"/>
    <x v="2"/>
    <x v="8"/>
    <n v="58.57"/>
    <n v="0"/>
    <n v="58.57"/>
    <d v="2025-08-06T00:00:00"/>
    <n v="38"/>
    <n v="1.5"/>
    <b v="0"/>
    <m/>
    <n v="27"/>
  </r>
  <r>
    <s v="FB000036"/>
    <x v="1"/>
    <x v="1"/>
    <x v="1"/>
    <x v="4"/>
    <x v="3"/>
    <n v="119.7"/>
    <n v="5.7"/>
    <n v="112.88"/>
    <d v="2025-08-06T00:00:00"/>
    <n v="37"/>
    <n v="4.9000000000000004"/>
    <b v="0"/>
    <m/>
    <n v="27"/>
  </r>
  <r>
    <s v="FB000037"/>
    <x v="4"/>
    <x v="2"/>
    <x v="2"/>
    <x v="4"/>
    <x v="6"/>
    <n v="97.06"/>
    <n v="47.8"/>
    <n v="50.67"/>
    <d v="2025-08-06T00:00:00"/>
    <n v="31"/>
    <n v="4.0999999999999996"/>
    <b v="0"/>
    <m/>
    <n v="27"/>
  </r>
  <r>
    <s v="FB000038"/>
    <x v="5"/>
    <x v="2"/>
    <x v="3"/>
    <x v="1"/>
    <x v="3"/>
    <n v="110.09"/>
    <n v="0"/>
    <n v="110.09"/>
    <d v="2025-08-06T00:00:00"/>
    <n v="32"/>
    <n v="3.4"/>
    <b v="0"/>
    <m/>
    <n v="27"/>
  </r>
  <r>
    <s v="FB000039"/>
    <x v="3"/>
    <x v="0"/>
    <x v="1"/>
    <x v="5"/>
    <x v="6"/>
    <n v="198.42"/>
    <n v="14.2"/>
    <n v="170.24"/>
    <d v="2025-08-06T00:00:00"/>
    <n v="10"/>
    <n v="2.9153846153846157"/>
    <b v="0"/>
    <m/>
    <n v="27"/>
  </r>
  <r>
    <s v="FB000040"/>
    <x v="4"/>
    <x v="2"/>
    <x v="1"/>
    <x v="2"/>
    <x v="9"/>
    <n v="101.72"/>
    <n v="0"/>
    <n v="101.72"/>
    <d v="2025-08-06T00:00:00"/>
    <n v="40"/>
    <n v="3.0384615384615379"/>
    <b v="0"/>
    <m/>
    <n v="27"/>
  </r>
  <r>
    <s v="FB000041"/>
    <x v="1"/>
    <x v="1"/>
    <x v="3"/>
    <x v="3"/>
    <x v="3"/>
    <n v="117.86"/>
    <n v="0"/>
    <n v="117.86"/>
    <d v="2025-08-06T00:00:00"/>
    <n v="6"/>
    <n v="3.34"/>
    <b v="0"/>
    <m/>
    <n v="27"/>
  </r>
  <r>
    <s v="FB000042"/>
    <x v="1"/>
    <x v="5"/>
    <x v="3"/>
    <x v="6"/>
    <x v="6"/>
    <n v="78.86"/>
    <n v="0"/>
    <n v="78.86"/>
    <d v="2025-08-06T00:00:00"/>
    <n v="22"/>
    <n v="4.3"/>
    <b v="0"/>
    <m/>
    <n v="27"/>
  </r>
  <r>
    <s v="FB000043"/>
    <x v="0"/>
    <x v="0"/>
    <x v="1"/>
    <x v="5"/>
    <x v="8"/>
    <n v="216.16"/>
    <n v="51.4"/>
    <n v="105.05"/>
    <d v="2025-08-06T00:00:00"/>
    <n v="36"/>
    <n v="4"/>
    <b v="0"/>
    <m/>
    <n v="27"/>
  </r>
  <r>
    <s v="FB000044"/>
    <x v="3"/>
    <x v="0"/>
    <x v="0"/>
    <x v="0"/>
    <x v="1"/>
    <n v="129.85"/>
    <n v="0"/>
    <n v="129.85"/>
    <d v="2025-04-25T00:00:00"/>
    <n v="36"/>
    <n v="3.3"/>
    <b v="0"/>
    <m/>
    <n v="130"/>
  </r>
  <r>
    <s v="FB000045"/>
    <x v="1"/>
    <x v="2"/>
    <x v="1"/>
    <x v="4"/>
    <x v="6"/>
    <n v="111.3"/>
    <n v="0"/>
    <n v="111.3"/>
    <d v="2025-08-06T00:00:00"/>
    <n v="11"/>
    <n v="1.7"/>
    <b v="0"/>
    <m/>
    <n v="27"/>
  </r>
  <r>
    <s v="FB000046"/>
    <x v="5"/>
    <x v="1"/>
    <x v="3"/>
    <x v="0"/>
    <x v="10"/>
    <n v="73.650000000000006"/>
    <n v="0"/>
    <n v="73.650000000000006"/>
    <d v="2025-08-06T00:00:00"/>
    <n v="33"/>
    <n v="3.6"/>
    <b v="0"/>
    <m/>
    <n v="27"/>
  </r>
  <r>
    <s v="FB000047"/>
    <x v="3"/>
    <x v="3"/>
    <x v="3"/>
    <x v="1"/>
    <x v="1"/>
    <n v="147.13"/>
    <n v="30.3"/>
    <n v="102.55"/>
    <d v="2025-08-06T00:00:00"/>
    <n v="13"/>
    <n v="4.4000000000000004"/>
    <b v="0"/>
    <m/>
    <n v="27"/>
  </r>
  <r>
    <s v="FB000048"/>
    <x v="2"/>
    <x v="5"/>
    <x v="1"/>
    <x v="2"/>
    <x v="6"/>
    <n v="44.6"/>
    <n v="53.9"/>
    <n v="20.56"/>
    <d v="2025-08-06T00:00:00"/>
    <n v="42"/>
    <n v="2.4"/>
    <b v="0"/>
    <m/>
    <n v="27"/>
  </r>
  <r>
    <s v="FB000049"/>
    <x v="4"/>
    <x v="7"/>
    <x v="3"/>
    <x v="0"/>
    <x v="3"/>
    <n v="101.8"/>
    <n v="0"/>
    <n v="101.8"/>
    <d v="2025-08-06T00:00:00"/>
    <n v="7"/>
    <n v="2.8"/>
    <b v="0"/>
    <m/>
    <n v="27"/>
  </r>
  <r>
    <s v="FB000050"/>
    <x v="2"/>
    <x v="2"/>
    <x v="3"/>
    <x v="2"/>
    <x v="10"/>
    <n v="16.52"/>
    <n v="55.9"/>
    <n v="7.29"/>
    <d v="2025-08-06T00:00:00"/>
    <n v="43"/>
    <n v="2.8694444444444449"/>
    <b v="0"/>
    <m/>
    <n v="27"/>
  </r>
  <r>
    <s v="FB000051"/>
    <x v="4"/>
    <x v="4"/>
    <x v="2"/>
    <x v="6"/>
    <x v="7"/>
    <n v="50.91"/>
    <n v="0"/>
    <n v="50.91"/>
    <d v="2025-08-06T00:00:00"/>
    <n v="3"/>
    <n v="1.8"/>
    <b v="0"/>
    <m/>
    <n v="27"/>
  </r>
  <r>
    <s v="FB000052"/>
    <x v="0"/>
    <x v="7"/>
    <x v="0"/>
    <x v="3"/>
    <x v="3"/>
    <n v="222.26"/>
    <n v="0"/>
    <n v="222.26"/>
    <d v="2025-05-03T00:00:00"/>
    <n v="50"/>
    <n v="4.5"/>
    <b v="0"/>
    <m/>
    <n v="122"/>
  </r>
  <r>
    <s v="FB000053"/>
    <x v="3"/>
    <x v="6"/>
    <x v="3"/>
    <x v="3"/>
    <x v="8"/>
    <n v="104.14"/>
    <n v="57.1"/>
    <n v="44.68"/>
    <d v="2025-08-06T00:00:00"/>
    <n v="14"/>
    <n v="1.8"/>
    <b v="0"/>
    <m/>
    <n v="27"/>
  </r>
  <r>
    <s v="FB000054"/>
    <x v="0"/>
    <x v="0"/>
    <x v="0"/>
    <x v="3"/>
    <x v="3"/>
    <n v="166.76"/>
    <n v="0"/>
    <n v="166.76"/>
    <d v="2025-06-12T00:00:00"/>
    <n v="21"/>
    <n v="4.2"/>
    <b v="0"/>
    <m/>
    <n v="82"/>
  </r>
  <r>
    <s v="FB000055"/>
    <x v="2"/>
    <x v="2"/>
    <x v="2"/>
    <x v="2"/>
    <x v="2"/>
    <n v="44.13"/>
    <n v="50.9"/>
    <n v="21.67"/>
    <d v="2025-08-06T00:00:00"/>
    <n v="21"/>
    <n v="3"/>
    <b v="0"/>
    <m/>
    <n v="27"/>
  </r>
  <r>
    <s v="FB000056"/>
    <x v="0"/>
    <x v="6"/>
    <x v="3"/>
    <x v="3"/>
    <x v="6"/>
    <n v="121.29"/>
    <n v="15.2"/>
    <n v="102.85"/>
    <d v="2025-08-06T00:00:00"/>
    <n v="42"/>
    <n v="2.9034482758620692"/>
    <b v="0"/>
    <m/>
    <n v="27"/>
  </r>
  <r>
    <s v="FB000057"/>
    <x v="1"/>
    <x v="4"/>
    <x v="0"/>
    <x v="3"/>
    <x v="7"/>
    <n v="73.709999999999994"/>
    <n v="0"/>
    <n v="73.709999999999994"/>
    <d v="2025-07-10T00:00:00"/>
    <n v="35"/>
    <n v="3.9"/>
    <b v="1"/>
    <s v="Quality Issue"/>
    <n v="54"/>
  </r>
  <r>
    <s v="FB000058"/>
    <x v="4"/>
    <x v="0"/>
    <x v="0"/>
    <x v="0"/>
    <x v="10"/>
    <n v="84.07"/>
    <n v="26.3"/>
    <n v="61.96"/>
    <d v="2024-10-25T00:00:00"/>
    <n v="19"/>
    <n v="2.2999999999999998"/>
    <b v="1"/>
    <s v="Size Issue"/>
    <n v="312"/>
  </r>
  <r>
    <s v="FB000059"/>
    <x v="1"/>
    <x v="3"/>
    <x v="3"/>
    <x v="5"/>
    <x v="2"/>
    <n v="28.59"/>
    <n v="0"/>
    <n v="28.59"/>
    <d v="2025-08-06T00:00:00"/>
    <n v="39"/>
    <n v="1.4"/>
    <b v="0"/>
    <m/>
    <n v="27"/>
  </r>
  <r>
    <s v="FB000060"/>
    <x v="3"/>
    <x v="3"/>
    <x v="1"/>
    <x v="4"/>
    <x v="5"/>
    <n v="166.49"/>
    <n v="2.6"/>
    <n v="162.16"/>
    <d v="2025-08-06T00:00:00"/>
    <n v="27"/>
    <n v="2.9804347826086954"/>
    <b v="0"/>
    <m/>
    <n v="27"/>
  </r>
  <r>
    <s v="FB000061"/>
    <x v="3"/>
    <x v="5"/>
    <x v="3"/>
    <x v="6"/>
    <x v="3"/>
    <n v="145.94999999999999"/>
    <n v="6.6"/>
    <n v="136.32"/>
    <d v="2025-08-06T00:00:00"/>
    <n v="15"/>
    <n v="4"/>
    <b v="0"/>
    <m/>
    <n v="27"/>
  </r>
  <r>
    <s v="FB000062"/>
    <x v="0"/>
    <x v="6"/>
    <x v="2"/>
    <x v="6"/>
    <x v="9"/>
    <n v="218.42"/>
    <n v="0"/>
    <n v="218.42"/>
    <d v="2025-08-06T00:00:00"/>
    <n v="33"/>
    <n v="4.4000000000000004"/>
    <b v="1"/>
    <s v="Changed Mind"/>
    <n v="27"/>
  </r>
  <r>
    <s v="FB000063"/>
    <x v="2"/>
    <x v="7"/>
    <x v="1"/>
    <x v="2"/>
    <x v="3"/>
    <n v="46.17"/>
    <n v="1.1000000000000001"/>
    <n v="45.66"/>
    <d v="2025-08-06T00:00:00"/>
    <n v="30"/>
    <n v="1.9"/>
    <b v="0"/>
    <m/>
    <n v="27"/>
  </r>
  <r>
    <s v="FB000064"/>
    <x v="3"/>
    <x v="4"/>
    <x v="3"/>
    <x v="2"/>
    <x v="6"/>
    <n v="106.18"/>
    <n v="18"/>
    <n v="87.07"/>
    <d v="2025-08-06T00:00:00"/>
    <n v="11"/>
    <n v="4.5"/>
    <b v="0"/>
    <m/>
    <n v="27"/>
  </r>
  <r>
    <s v="FB000065"/>
    <x v="1"/>
    <x v="0"/>
    <x v="1"/>
    <x v="5"/>
    <x v="4"/>
    <n v="93.33"/>
    <n v="2.4"/>
    <n v="91.09"/>
    <d v="2025-08-06T00:00:00"/>
    <n v="20"/>
    <n v="4.2"/>
    <b v="0"/>
    <m/>
    <n v="27"/>
  </r>
  <r>
    <s v="FB000066"/>
    <x v="4"/>
    <x v="3"/>
    <x v="0"/>
    <x v="5"/>
    <x v="3"/>
    <n v="86.54"/>
    <n v="21.7"/>
    <n v="67.760000000000005"/>
    <d v="2025-06-01T00:00:00"/>
    <n v="21"/>
    <n v="3.6"/>
    <b v="1"/>
    <s v="Changed Mind"/>
    <n v="93"/>
  </r>
  <r>
    <s v="FB000067"/>
    <x v="2"/>
    <x v="5"/>
    <x v="3"/>
    <x v="2"/>
    <x v="6"/>
    <n v="55.57"/>
    <n v="0"/>
    <n v="55.57"/>
    <d v="2025-08-06T00:00:00"/>
    <n v="44"/>
    <n v="3.8"/>
    <b v="0"/>
    <m/>
    <n v="27"/>
  </r>
  <r>
    <s v="FB000068"/>
    <x v="1"/>
    <x v="7"/>
    <x v="0"/>
    <x v="0"/>
    <x v="2"/>
    <n v="76.5"/>
    <n v="0"/>
    <n v="76.5"/>
    <d v="2025-01-26T00:00:00"/>
    <n v="17"/>
    <n v="4.5999999999999996"/>
    <b v="0"/>
    <m/>
    <n v="219"/>
  </r>
  <r>
    <s v="FB000069"/>
    <x v="5"/>
    <x v="7"/>
    <x v="0"/>
    <x v="5"/>
    <x v="6"/>
    <n v="137.19"/>
    <n v="9.5"/>
    <n v="124.16"/>
    <d v="2025-04-01T00:00:00"/>
    <n v="17"/>
    <n v="2.9636363636363638"/>
    <b v="0"/>
    <m/>
    <n v="154"/>
  </r>
  <r>
    <s v="FB000070"/>
    <x v="1"/>
    <x v="0"/>
    <x v="3"/>
    <x v="0"/>
    <x v="9"/>
    <n v="48.92"/>
    <n v="19.8"/>
    <n v="39.229999999999997"/>
    <d v="2025-08-06T00:00:00"/>
    <n v="17"/>
    <n v="2.6"/>
    <b v="0"/>
    <m/>
    <n v="27"/>
  </r>
  <r>
    <s v="FB000071"/>
    <x v="3"/>
    <x v="5"/>
    <x v="1"/>
    <x v="0"/>
    <x v="3"/>
    <n v="69.819999999999993"/>
    <n v="0"/>
    <n v="69.819999999999993"/>
    <d v="2025-08-06T00:00:00"/>
    <n v="46"/>
    <n v="3.0068965517241386"/>
    <b v="1"/>
    <s v="Wrong Item"/>
    <n v="27"/>
  </r>
  <r>
    <s v="FB000072"/>
    <x v="0"/>
    <x v="3"/>
    <x v="3"/>
    <x v="4"/>
    <x v="0"/>
    <n v="199.39"/>
    <n v="7.4"/>
    <n v="184.64"/>
    <d v="2025-08-06T00:00:00"/>
    <n v="49"/>
    <n v="2.4137931034482762"/>
    <b v="0"/>
    <m/>
    <n v="27"/>
  </r>
  <r>
    <s v="FB000073"/>
    <x v="0"/>
    <x v="2"/>
    <x v="3"/>
    <x v="6"/>
    <x v="3"/>
    <n v="222.09"/>
    <n v="55.2"/>
    <n v="99.5"/>
    <d v="2025-08-06T00:00:00"/>
    <n v="21"/>
    <n v="4.5"/>
    <b v="0"/>
    <m/>
    <n v="27"/>
  </r>
  <r>
    <s v="FB000074"/>
    <x v="1"/>
    <x v="3"/>
    <x v="2"/>
    <x v="5"/>
    <x v="0"/>
    <n v="112.86"/>
    <n v="0"/>
    <n v="112.86"/>
    <d v="2025-08-06T00:00:00"/>
    <n v="8"/>
    <n v="2.9"/>
    <b v="0"/>
    <m/>
    <n v="27"/>
  </r>
  <r>
    <s v="FB000075"/>
    <x v="5"/>
    <x v="3"/>
    <x v="0"/>
    <x v="5"/>
    <x v="6"/>
    <n v="100.96"/>
    <n v="0"/>
    <n v="100.96"/>
    <d v="2025-05-10T00:00:00"/>
    <n v="32"/>
    <n v="3.3"/>
    <b v="0"/>
    <m/>
    <n v="115"/>
  </r>
  <r>
    <s v="FB000076"/>
    <x v="0"/>
    <x v="6"/>
    <x v="0"/>
    <x v="0"/>
    <x v="6"/>
    <n v="243.56"/>
    <n v="48"/>
    <n v="126.65"/>
    <d v="2024-10-14T00:00:00"/>
    <n v="22"/>
    <n v="4.4000000000000004"/>
    <b v="1"/>
    <s v="Changed Mind"/>
    <n v="323"/>
  </r>
  <r>
    <s v="FB000077"/>
    <x v="5"/>
    <x v="3"/>
    <x v="0"/>
    <x v="4"/>
    <x v="0"/>
    <n v="153.32"/>
    <n v="0"/>
    <n v="153.32"/>
    <d v="2024-09-13T00:00:00"/>
    <n v="43"/>
    <n v="2.9"/>
    <b v="0"/>
    <m/>
    <n v="354"/>
  </r>
  <r>
    <s v="FB000078"/>
    <x v="2"/>
    <x v="1"/>
    <x v="2"/>
    <x v="2"/>
    <x v="9"/>
    <n v="42.95"/>
    <n v="22.5"/>
    <n v="33.29"/>
    <d v="2025-08-06T00:00:00"/>
    <n v="7"/>
    <n v="1.9"/>
    <b v="1"/>
    <s v="Size Issue"/>
    <n v="27"/>
  </r>
  <r>
    <s v="FB000079"/>
    <x v="1"/>
    <x v="4"/>
    <x v="3"/>
    <x v="3"/>
    <x v="6"/>
    <n v="30.79"/>
    <n v="0"/>
    <n v="30.79"/>
    <d v="2025-08-06T00:00:00"/>
    <n v="36"/>
    <n v="3.4"/>
    <b v="0"/>
    <m/>
    <n v="27"/>
  </r>
  <r>
    <s v="FB000080"/>
    <x v="2"/>
    <x v="1"/>
    <x v="2"/>
    <x v="2"/>
    <x v="10"/>
    <n v="59.85"/>
    <n v="0"/>
    <n v="59.85"/>
    <d v="2025-08-06T00:00:00"/>
    <n v="38"/>
    <n v="4"/>
    <b v="0"/>
    <m/>
    <n v="27"/>
  </r>
  <r>
    <s v="FB000081"/>
    <x v="1"/>
    <x v="2"/>
    <x v="0"/>
    <x v="3"/>
    <x v="8"/>
    <n v="78.16"/>
    <n v="19.100000000000001"/>
    <n v="63.23"/>
    <d v="2025-07-25T00:00:00"/>
    <n v="23"/>
    <n v="2.953125"/>
    <b v="0"/>
    <m/>
    <n v="39"/>
  </r>
  <r>
    <s v="FB000082"/>
    <x v="1"/>
    <x v="5"/>
    <x v="2"/>
    <x v="6"/>
    <x v="3"/>
    <n v="113.17"/>
    <n v="19.100000000000001"/>
    <n v="91.55"/>
    <d v="2025-08-06T00:00:00"/>
    <n v="15"/>
    <n v="4.9000000000000004"/>
    <b v="0"/>
    <m/>
    <n v="27"/>
  </r>
  <r>
    <s v="FB000083"/>
    <x v="5"/>
    <x v="5"/>
    <x v="1"/>
    <x v="3"/>
    <x v="5"/>
    <n v="174.13"/>
    <n v="0"/>
    <n v="174.13"/>
    <d v="2025-08-06T00:00:00"/>
    <n v="34"/>
    <n v="3.7"/>
    <b v="0"/>
    <m/>
    <n v="27"/>
  </r>
  <r>
    <s v="FB000084"/>
    <x v="3"/>
    <x v="0"/>
    <x v="3"/>
    <x v="5"/>
    <x v="9"/>
    <n v="191.96"/>
    <n v="0"/>
    <n v="191.96"/>
    <d v="2025-08-06T00:00:00"/>
    <n v="50"/>
    <n v="2.9153846153846157"/>
    <b v="0"/>
    <m/>
    <n v="27"/>
  </r>
  <r>
    <s v="FB000085"/>
    <x v="0"/>
    <x v="5"/>
    <x v="0"/>
    <x v="0"/>
    <x v="7"/>
    <n v="222.55"/>
    <n v="22.6"/>
    <n v="172.25"/>
    <d v="2025-02-10T00:00:00"/>
    <n v="50"/>
    <n v="3.0305555555555546"/>
    <b v="0"/>
    <m/>
    <n v="204"/>
  </r>
  <r>
    <s v="FB000086"/>
    <x v="4"/>
    <x v="7"/>
    <x v="1"/>
    <x v="5"/>
    <x v="2"/>
    <n v="37.85"/>
    <n v="11.9"/>
    <n v="33.35"/>
    <d v="2025-08-06T00:00:00"/>
    <n v="45"/>
    <n v="3.4"/>
    <b v="1"/>
    <s v="Changed Mind"/>
    <n v="27"/>
  </r>
  <r>
    <s v="FB000087"/>
    <x v="0"/>
    <x v="1"/>
    <x v="3"/>
    <x v="6"/>
    <x v="4"/>
    <n v="241.09"/>
    <n v="0"/>
    <n v="241.09"/>
    <d v="2025-08-06T00:00:00"/>
    <n v="26"/>
    <n v="3.15"/>
    <b v="0"/>
    <m/>
    <n v="27"/>
  </r>
  <r>
    <s v="FB000088"/>
    <x v="5"/>
    <x v="2"/>
    <x v="0"/>
    <x v="3"/>
    <x v="8"/>
    <n v="136.97"/>
    <n v="0"/>
    <n v="136.97"/>
    <d v="2024-10-25T00:00:00"/>
    <n v="17"/>
    <n v="4.4000000000000004"/>
    <b v="1"/>
    <s v="Quality Issue"/>
    <n v="312"/>
  </r>
  <r>
    <s v="FB000089"/>
    <x v="3"/>
    <x v="4"/>
    <x v="0"/>
    <x v="6"/>
    <x v="5"/>
    <n v="113.79"/>
    <n v="55.3"/>
    <n v="50.86"/>
    <d v="2024-12-29T00:00:00"/>
    <n v="47"/>
    <n v="4.0999999999999996"/>
    <b v="0"/>
    <m/>
    <n v="247"/>
  </r>
  <r>
    <s v="FB000090"/>
    <x v="4"/>
    <x v="4"/>
    <x v="3"/>
    <x v="4"/>
    <x v="3"/>
    <n v="93.23"/>
    <n v="40"/>
    <n v="55.94"/>
    <d v="2025-08-06T00:00:00"/>
    <n v="46"/>
    <n v="1.9"/>
    <b v="0"/>
    <m/>
    <n v="27"/>
  </r>
  <r>
    <s v="FB000091"/>
    <x v="3"/>
    <x v="1"/>
    <x v="0"/>
    <x v="3"/>
    <x v="8"/>
    <n v="106.24"/>
    <n v="6.4"/>
    <n v="99.44"/>
    <d v="2024-09-09T00:00:00"/>
    <n v="50"/>
    <n v="1.5"/>
    <b v="0"/>
    <m/>
    <n v="358"/>
  </r>
  <r>
    <s v="FB000092"/>
    <x v="2"/>
    <x v="0"/>
    <x v="1"/>
    <x v="2"/>
    <x v="10"/>
    <n v="30.95"/>
    <n v="0"/>
    <n v="30.95"/>
    <d v="2025-08-06T00:00:00"/>
    <n v="27"/>
    <n v="3.1"/>
    <b v="1"/>
    <s v="Changed Mind"/>
    <n v="27"/>
  </r>
  <r>
    <s v="FB000093"/>
    <x v="3"/>
    <x v="0"/>
    <x v="3"/>
    <x v="3"/>
    <x v="2"/>
    <n v="76.92"/>
    <n v="49.5"/>
    <n v="38.840000000000003"/>
    <d v="2025-08-06T00:00:00"/>
    <n v="7"/>
    <n v="1.1000000000000001"/>
    <b v="0"/>
    <m/>
    <n v="27"/>
  </r>
  <r>
    <s v="FB000094"/>
    <x v="4"/>
    <x v="4"/>
    <x v="2"/>
    <x v="5"/>
    <x v="7"/>
    <n v="80.64"/>
    <n v="0"/>
    <n v="80.64"/>
    <d v="2025-08-06T00:00:00"/>
    <n v="26"/>
    <n v="3.0659090909090896"/>
    <b v="0"/>
    <m/>
    <n v="27"/>
  </r>
  <r>
    <s v="FB000095"/>
    <x v="4"/>
    <x v="0"/>
    <x v="2"/>
    <x v="5"/>
    <x v="7"/>
    <n v="32.46"/>
    <n v="52.4"/>
    <n v="15.45"/>
    <d v="2025-08-06T00:00:00"/>
    <n v="14"/>
    <n v="3.9"/>
    <b v="0"/>
    <m/>
    <n v="27"/>
  </r>
  <r>
    <s v="FB000096"/>
    <x v="2"/>
    <x v="6"/>
    <x v="3"/>
    <x v="2"/>
    <x v="2"/>
    <n v="54.79"/>
    <n v="0"/>
    <n v="54.79"/>
    <d v="2025-08-06T00:00:00"/>
    <n v="12"/>
    <n v="4.5"/>
    <b v="0"/>
    <m/>
    <n v="27"/>
  </r>
  <r>
    <s v="FB000097"/>
    <x v="4"/>
    <x v="4"/>
    <x v="1"/>
    <x v="6"/>
    <x v="1"/>
    <n v="71.14"/>
    <n v="56.4"/>
    <n v="31.02"/>
    <d v="2025-08-06T00:00:00"/>
    <n v="12"/>
    <n v="3.4"/>
    <b v="0"/>
    <m/>
    <n v="27"/>
  </r>
  <r>
    <s v="FB000098"/>
    <x v="4"/>
    <x v="5"/>
    <x v="3"/>
    <x v="4"/>
    <x v="8"/>
    <n v="57.85"/>
    <n v="0"/>
    <n v="57.85"/>
    <d v="2025-08-06T00:00:00"/>
    <n v="36"/>
    <n v="3.5"/>
    <b v="0"/>
    <m/>
    <n v="27"/>
  </r>
  <r>
    <s v="FB000099"/>
    <x v="4"/>
    <x v="0"/>
    <x v="3"/>
    <x v="5"/>
    <x v="6"/>
    <n v="33.369999999999997"/>
    <n v="3"/>
    <n v="32.369999999999997"/>
    <d v="2025-08-06T00:00:00"/>
    <n v="40"/>
    <n v="1.3"/>
    <b v="0"/>
    <m/>
    <n v="27"/>
  </r>
  <r>
    <s v="FB000100"/>
    <x v="1"/>
    <x v="6"/>
    <x v="3"/>
    <x v="1"/>
    <x v="2"/>
    <n v="91.83"/>
    <n v="0"/>
    <n v="91.83"/>
    <d v="2025-08-06T00:00:00"/>
    <n v="39"/>
    <n v="4.9000000000000004"/>
    <b v="0"/>
    <m/>
    <n v="27"/>
  </r>
  <r>
    <s v="FB000101"/>
    <x v="4"/>
    <x v="0"/>
    <x v="2"/>
    <x v="1"/>
    <x v="3"/>
    <n v="60.12"/>
    <n v="19.5"/>
    <n v="48.4"/>
    <d v="2025-08-06T00:00:00"/>
    <n v="42"/>
    <n v="1"/>
    <b v="0"/>
    <m/>
    <n v="27"/>
  </r>
  <r>
    <s v="FB000102"/>
    <x v="5"/>
    <x v="2"/>
    <x v="1"/>
    <x v="3"/>
    <x v="3"/>
    <n v="163.5"/>
    <n v="0"/>
    <n v="163.5"/>
    <d v="2025-08-06T00:00:00"/>
    <n v="34"/>
    <n v="4.9000000000000004"/>
    <b v="0"/>
    <m/>
    <n v="27"/>
  </r>
  <r>
    <s v="FB000103"/>
    <x v="5"/>
    <x v="1"/>
    <x v="0"/>
    <x v="3"/>
    <x v="7"/>
    <n v="126.37"/>
    <n v="0"/>
    <n v="126.37"/>
    <d v="2024-11-08T00:00:00"/>
    <n v="25"/>
    <n v="1.8"/>
    <b v="0"/>
    <m/>
    <n v="298"/>
  </r>
  <r>
    <s v="FB000104"/>
    <x v="4"/>
    <x v="1"/>
    <x v="1"/>
    <x v="1"/>
    <x v="8"/>
    <n v="50.01"/>
    <n v="58.2"/>
    <n v="20.9"/>
    <d v="2025-08-06T00:00:00"/>
    <n v="32"/>
    <n v="4.8"/>
    <b v="0"/>
    <m/>
    <n v="27"/>
  </r>
  <r>
    <s v="FB000105"/>
    <x v="3"/>
    <x v="4"/>
    <x v="1"/>
    <x v="3"/>
    <x v="0"/>
    <n v="84.31"/>
    <n v="0"/>
    <n v="84.31"/>
    <d v="2025-08-06T00:00:00"/>
    <n v="10"/>
    <n v="3.9"/>
    <b v="0"/>
    <m/>
    <n v="27"/>
  </r>
  <r>
    <s v="FB000106"/>
    <x v="4"/>
    <x v="2"/>
    <x v="0"/>
    <x v="0"/>
    <x v="7"/>
    <n v="100.98"/>
    <n v="0"/>
    <n v="100.98"/>
    <d v="2025-06-17T00:00:00"/>
    <n v="21"/>
    <n v="2.8"/>
    <b v="0"/>
    <m/>
    <n v="77"/>
  </r>
  <r>
    <s v="FB000107"/>
    <x v="4"/>
    <x v="2"/>
    <x v="3"/>
    <x v="6"/>
    <x v="7"/>
    <n v="38.020000000000003"/>
    <n v="0"/>
    <n v="38.020000000000003"/>
    <d v="2025-08-06T00:00:00"/>
    <n v="44"/>
    <n v="4.7"/>
    <b v="0"/>
    <m/>
    <n v="27"/>
  </r>
  <r>
    <s v="FB000108"/>
    <x v="4"/>
    <x v="4"/>
    <x v="2"/>
    <x v="0"/>
    <x v="5"/>
    <n v="63.85"/>
    <n v="0"/>
    <n v="63.85"/>
    <d v="2025-08-06T00:00:00"/>
    <n v="41"/>
    <n v="3.0659090909090896"/>
    <b v="0"/>
    <m/>
    <n v="27"/>
  </r>
  <r>
    <s v="FB000109"/>
    <x v="3"/>
    <x v="4"/>
    <x v="2"/>
    <x v="5"/>
    <x v="8"/>
    <n v="183.15"/>
    <n v="0"/>
    <n v="183.15"/>
    <d v="2025-08-06T00:00:00"/>
    <n v="23"/>
    <n v="4.0999999999999996"/>
    <b v="0"/>
    <m/>
    <n v="27"/>
  </r>
  <r>
    <s v="FB000110"/>
    <x v="5"/>
    <x v="0"/>
    <x v="1"/>
    <x v="3"/>
    <x v="4"/>
    <n v="91"/>
    <n v="59.5"/>
    <n v="36.86"/>
    <d v="2025-08-06T00:00:00"/>
    <n v="5"/>
    <n v="3.9"/>
    <b v="0"/>
    <m/>
    <n v="27"/>
  </r>
  <r>
    <s v="FB000111"/>
    <x v="0"/>
    <x v="1"/>
    <x v="0"/>
    <x v="1"/>
    <x v="2"/>
    <n v="92.83"/>
    <n v="0"/>
    <n v="92.83"/>
    <d v="2025-07-20T00:00:00"/>
    <n v="9"/>
    <n v="1.2"/>
    <b v="0"/>
    <m/>
    <n v="44"/>
  </r>
  <r>
    <s v="FB000112"/>
    <x v="2"/>
    <x v="2"/>
    <x v="1"/>
    <x v="2"/>
    <x v="10"/>
    <n v="34.450000000000003"/>
    <n v="0"/>
    <n v="34.450000000000003"/>
    <d v="2025-08-06T00:00:00"/>
    <n v="4"/>
    <n v="4.5"/>
    <b v="0"/>
    <m/>
    <n v="27"/>
  </r>
  <r>
    <s v="FB000113"/>
    <x v="5"/>
    <x v="4"/>
    <x v="2"/>
    <x v="3"/>
    <x v="9"/>
    <n v="128.15"/>
    <n v="50"/>
    <n v="64.08"/>
    <d v="2025-08-06T00:00:00"/>
    <n v="28"/>
    <n v="3.2"/>
    <b v="0"/>
    <m/>
    <n v="27"/>
  </r>
  <r>
    <s v="FB000114"/>
    <x v="1"/>
    <x v="3"/>
    <x v="3"/>
    <x v="4"/>
    <x v="0"/>
    <n v="99.62"/>
    <n v="33.799999999999997"/>
    <n v="65.95"/>
    <d v="2025-08-06T00:00:00"/>
    <n v="27"/>
    <n v="2.1"/>
    <b v="0"/>
    <m/>
    <n v="27"/>
  </r>
  <r>
    <s v="FB000115"/>
    <x v="4"/>
    <x v="7"/>
    <x v="1"/>
    <x v="3"/>
    <x v="1"/>
    <n v="87.39"/>
    <n v="25.5"/>
    <n v="65.11"/>
    <d v="2025-08-06T00:00:00"/>
    <n v="8"/>
    <n v="2.2999999999999998"/>
    <b v="0"/>
    <m/>
    <n v="27"/>
  </r>
  <r>
    <s v="FB000116"/>
    <x v="1"/>
    <x v="0"/>
    <x v="0"/>
    <x v="4"/>
    <x v="10"/>
    <n v="49.67"/>
    <n v="0"/>
    <n v="49.67"/>
    <d v="2024-09-06T00:00:00"/>
    <n v="37"/>
    <n v="2.2999999999999998"/>
    <b v="0"/>
    <m/>
    <n v="361"/>
  </r>
  <r>
    <s v="FB000117"/>
    <x v="2"/>
    <x v="1"/>
    <x v="2"/>
    <x v="2"/>
    <x v="10"/>
    <n v="72.040000000000006"/>
    <n v="0"/>
    <n v="72.040000000000006"/>
    <d v="2025-08-06T00:00:00"/>
    <n v="48"/>
    <n v="3.1288461538461547"/>
    <b v="1"/>
    <s v="Wrong Item"/>
    <n v="27"/>
  </r>
  <r>
    <s v="FB000118"/>
    <x v="5"/>
    <x v="0"/>
    <x v="0"/>
    <x v="6"/>
    <x v="8"/>
    <n v="133.82"/>
    <n v="0"/>
    <n v="133.82"/>
    <d v="2024-11-25T00:00:00"/>
    <n v="12"/>
    <n v="1.7"/>
    <b v="0"/>
    <m/>
    <n v="281"/>
  </r>
  <r>
    <s v="FB000119"/>
    <x v="4"/>
    <x v="1"/>
    <x v="1"/>
    <x v="3"/>
    <x v="2"/>
    <n v="62.93"/>
    <n v="0"/>
    <n v="62.93"/>
    <d v="2025-08-06T00:00:00"/>
    <n v="49"/>
    <n v="3.0846153846153843"/>
    <b v="0"/>
    <m/>
    <n v="27"/>
  </r>
  <r>
    <s v="FB000120"/>
    <x v="0"/>
    <x v="0"/>
    <x v="0"/>
    <x v="1"/>
    <x v="0"/>
    <n v="248.58"/>
    <n v="0"/>
    <n v="248.58"/>
    <d v="2025-07-04T00:00:00"/>
    <n v="27"/>
    <n v="1.5"/>
    <b v="0"/>
    <m/>
    <n v="60"/>
  </r>
  <r>
    <s v="FB000121"/>
    <x v="3"/>
    <x v="1"/>
    <x v="2"/>
    <x v="4"/>
    <x v="8"/>
    <n v="61.08"/>
    <n v="0"/>
    <n v="61.08"/>
    <d v="2025-08-06T00:00:00"/>
    <n v="27"/>
    <n v="2.8205128205128198"/>
    <b v="1"/>
    <s v="Changed Mind"/>
    <n v="27"/>
  </r>
  <r>
    <s v="FB000122"/>
    <x v="4"/>
    <x v="6"/>
    <x v="1"/>
    <x v="3"/>
    <x v="0"/>
    <n v="109.12"/>
    <n v="0"/>
    <n v="109.12"/>
    <d v="2025-08-06T00:00:00"/>
    <n v="34"/>
    <n v="3.1799999999999997"/>
    <b v="0"/>
    <m/>
    <n v="27"/>
  </r>
  <r>
    <s v="FB000123"/>
    <x v="0"/>
    <x v="0"/>
    <x v="1"/>
    <x v="4"/>
    <x v="9"/>
    <n v="82.91"/>
    <n v="45.9"/>
    <n v="44.85"/>
    <d v="2025-08-06T00:00:00"/>
    <n v="24"/>
    <n v="2.7030303030303036"/>
    <b v="1"/>
    <s v="Quality Issue"/>
    <n v="27"/>
  </r>
  <r>
    <s v="FB000124"/>
    <x v="3"/>
    <x v="4"/>
    <x v="3"/>
    <x v="5"/>
    <x v="9"/>
    <n v="113.53"/>
    <n v="10.9"/>
    <n v="101.16"/>
    <d v="2025-08-06T00:00:00"/>
    <n v="40"/>
    <n v="2.8"/>
    <b v="0"/>
    <m/>
    <n v="27"/>
  </r>
  <r>
    <s v="FB000125"/>
    <x v="2"/>
    <x v="1"/>
    <x v="1"/>
    <x v="2"/>
    <x v="10"/>
    <n v="38.89"/>
    <n v="51.5"/>
    <n v="18.86"/>
    <d v="2025-08-06T00:00:00"/>
    <n v="28"/>
    <n v="4.3"/>
    <b v="0"/>
    <m/>
    <n v="27"/>
  </r>
  <r>
    <s v="FB000126"/>
    <x v="5"/>
    <x v="6"/>
    <x v="0"/>
    <x v="4"/>
    <x v="2"/>
    <n v="53.01"/>
    <n v="45.9"/>
    <n v="28.68"/>
    <d v="2025-01-14T00:00:00"/>
    <n v="37"/>
    <n v="3.7"/>
    <b v="0"/>
    <m/>
    <n v="231"/>
  </r>
  <r>
    <s v="FB000127"/>
    <x v="3"/>
    <x v="5"/>
    <x v="0"/>
    <x v="4"/>
    <x v="5"/>
    <n v="81.64"/>
    <n v="0"/>
    <n v="81.64"/>
    <d v="2024-12-06T00:00:00"/>
    <n v="50"/>
    <n v="1.1000000000000001"/>
    <b v="0"/>
    <m/>
    <n v="270"/>
  </r>
  <r>
    <s v="FB000128"/>
    <x v="3"/>
    <x v="5"/>
    <x v="0"/>
    <x v="4"/>
    <x v="3"/>
    <n v="125.24"/>
    <n v="21.5"/>
    <n v="98.31"/>
    <d v="2024-09-06T00:00:00"/>
    <n v="7"/>
    <n v="2.9"/>
    <b v="0"/>
    <m/>
    <n v="361"/>
  </r>
  <r>
    <s v="FB000129"/>
    <x v="0"/>
    <x v="5"/>
    <x v="0"/>
    <x v="5"/>
    <x v="1"/>
    <n v="98.61"/>
    <n v="0"/>
    <n v="98.61"/>
    <d v="2025-03-05T00:00:00"/>
    <n v="1"/>
    <n v="2.6"/>
    <b v="0"/>
    <m/>
    <n v="181"/>
  </r>
  <r>
    <s v="FB000130"/>
    <x v="3"/>
    <x v="6"/>
    <x v="2"/>
    <x v="5"/>
    <x v="5"/>
    <n v="77.540000000000006"/>
    <n v="0"/>
    <n v="77.540000000000006"/>
    <d v="2025-08-06T00:00:00"/>
    <n v="36"/>
    <n v="3.4"/>
    <b v="0"/>
    <m/>
    <n v="27"/>
  </r>
  <r>
    <s v="FB000131"/>
    <x v="5"/>
    <x v="2"/>
    <x v="0"/>
    <x v="0"/>
    <x v="9"/>
    <n v="79.13"/>
    <n v="0"/>
    <n v="79.13"/>
    <d v="2024-11-16T00:00:00"/>
    <n v="11"/>
    <n v="3.6"/>
    <b v="0"/>
    <m/>
    <n v="290"/>
  </r>
  <r>
    <s v="FB000132"/>
    <x v="4"/>
    <x v="3"/>
    <x v="0"/>
    <x v="3"/>
    <x v="6"/>
    <n v="96.11"/>
    <n v="0"/>
    <n v="96.11"/>
    <d v="2025-04-12T00:00:00"/>
    <n v="13"/>
    <n v="4.2"/>
    <b v="0"/>
    <m/>
    <n v="143"/>
  </r>
  <r>
    <s v="FB000133"/>
    <x v="1"/>
    <x v="3"/>
    <x v="0"/>
    <x v="0"/>
    <x v="3"/>
    <n v="116.61"/>
    <n v="0"/>
    <n v="116.61"/>
    <d v="2024-11-04T00:00:00"/>
    <n v="31"/>
    <n v="2.9742857142857138"/>
    <b v="0"/>
    <m/>
    <n v="302"/>
  </r>
  <r>
    <s v="FB000134"/>
    <x v="2"/>
    <x v="5"/>
    <x v="1"/>
    <x v="2"/>
    <x v="5"/>
    <n v="57.8"/>
    <n v="27"/>
    <n v="42.19"/>
    <d v="2025-08-06T00:00:00"/>
    <n v="9"/>
    <n v="1.8"/>
    <b v="0"/>
    <m/>
    <n v="27"/>
  </r>
  <r>
    <s v="FB000135"/>
    <x v="1"/>
    <x v="4"/>
    <x v="0"/>
    <x v="3"/>
    <x v="3"/>
    <n v="110.78"/>
    <n v="0"/>
    <n v="110.78"/>
    <d v="2025-01-13T00:00:00"/>
    <n v="9"/>
    <n v="1.4"/>
    <b v="0"/>
    <m/>
    <n v="232"/>
  </r>
  <r>
    <s v="FB000136"/>
    <x v="1"/>
    <x v="6"/>
    <x v="0"/>
    <x v="1"/>
    <x v="2"/>
    <n v="112.63"/>
    <n v="0"/>
    <n v="112.63"/>
    <d v="2024-10-14T00:00:00"/>
    <n v="50"/>
    <n v="3.6"/>
    <b v="1"/>
    <s v="Quality Issue"/>
    <n v="323"/>
  </r>
  <r>
    <s v="FB000137"/>
    <x v="1"/>
    <x v="4"/>
    <x v="3"/>
    <x v="5"/>
    <x v="9"/>
    <n v="89.36"/>
    <n v="0"/>
    <n v="89.36"/>
    <d v="2025-08-06T00:00:00"/>
    <n v="24"/>
    <n v="4.3"/>
    <b v="1"/>
    <s v="Damaged"/>
    <n v="27"/>
  </r>
  <r>
    <s v="FB000138"/>
    <x v="0"/>
    <x v="7"/>
    <x v="2"/>
    <x v="6"/>
    <x v="1"/>
    <n v="127.99"/>
    <n v="0"/>
    <n v="127.99"/>
    <d v="2025-08-06T00:00:00"/>
    <n v="16"/>
    <n v="2.9718749999999998"/>
    <b v="0"/>
    <m/>
    <n v="27"/>
  </r>
  <r>
    <s v="FB000139"/>
    <x v="4"/>
    <x v="0"/>
    <x v="1"/>
    <x v="4"/>
    <x v="7"/>
    <n v="54.88"/>
    <n v="58.8"/>
    <n v="22.61"/>
    <d v="2025-08-06T00:00:00"/>
    <n v="50"/>
    <n v="3.5"/>
    <b v="0"/>
    <m/>
    <n v="27"/>
  </r>
  <r>
    <s v="FB000140"/>
    <x v="3"/>
    <x v="1"/>
    <x v="0"/>
    <x v="1"/>
    <x v="3"/>
    <n v="154.13"/>
    <n v="0"/>
    <n v="154.13"/>
    <d v="2024-10-01T00:00:00"/>
    <n v="31"/>
    <n v="4.0999999999999996"/>
    <b v="1"/>
    <s v="Size Issue"/>
    <n v="336"/>
  </r>
  <r>
    <s v="FB000141"/>
    <x v="5"/>
    <x v="5"/>
    <x v="0"/>
    <x v="5"/>
    <x v="4"/>
    <n v="131.5"/>
    <n v="0"/>
    <n v="131.5"/>
    <d v="2024-11-03T00:00:00"/>
    <n v="5"/>
    <n v="3.1874999999999991"/>
    <b v="0"/>
    <m/>
    <n v="303"/>
  </r>
  <r>
    <s v="FB000142"/>
    <x v="0"/>
    <x v="6"/>
    <x v="3"/>
    <x v="6"/>
    <x v="5"/>
    <n v="133.26"/>
    <n v="0"/>
    <n v="133.26"/>
    <d v="2025-08-06T00:00:00"/>
    <n v="29"/>
    <n v="1.3"/>
    <b v="0"/>
    <m/>
    <n v="27"/>
  </r>
  <r>
    <s v="FB000143"/>
    <x v="3"/>
    <x v="7"/>
    <x v="1"/>
    <x v="0"/>
    <x v="0"/>
    <n v="173.91"/>
    <n v="0"/>
    <n v="173.91"/>
    <d v="2025-08-06T00:00:00"/>
    <n v="21"/>
    <n v="3.2576923076923077"/>
    <b v="0"/>
    <m/>
    <n v="27"/>
  </r>
  <r>
    <s v="FB000144"/>
    <x v="1"/>
    <x v="4"/>
    <x v="0"/>
    <x v="1"/>
    <x v="7"/>
    <n v="102.99"/>
    <n v="0"/>
    <n v="102.99"/>
    <d v="2025-07-16T00:00:00"/>
    <n v="41"/>
    <n v="3.9"/>
    <b v="0"/>
    <m/>
    <n v="48"/>
  </r>
  <r>
    <s v="FB000145"/>
    <x v="0"/>
    <x v="0"/>
    <x v="0"/>
    <x v="1"/>
    <x v="7"/>
    <n v="87.78"/>
    <n v="45.3"/>
    <n v="48.02"/>
    <d v="2025-02-17T00:00:00"/>
    <n v="34"/>
    <n v="1.8"/>
    <b v="0"/>
    <m/>
    <n v="197"/>
  </r>
  <r>
    <s v="FB000146"/>
    <x v="1"/>
    <x v="1"/>
    <x v="1"/>
    <x v="2"/>
    <x v="7"/>
    <n v="91.8"/>
    <n v="15.8"/>
    <n v="77.3"/>
    <d v="2025-08-06T00:00:00"/>
    <n v="30"/>
    <n v="4.2"/>
    <b v="0"/>
    <m/>
    <n v="27"/>
  </r>
  <r>
    <s v="FB000147"/>
    <x v="1"/>
    <x v="0"/>
    <x v="1"/>
    <x v="1"/>
    <x v="3"/>
    <n v="107.32"/>
    <n v="25.4"/>
    <n v="80.06"/>
    <d v="2025-08-06T00:00:00"/>
    <n v="50"/>
    <n v="4.4000000000000004"/>
    <b v="0"/>
    <m/>
    <n v="27"/>
  </r>
  <r>
    <s v="FB000148"/>
    <x v="4"/>
    <x v="2"/>
    <x v="0"/>
    <x v="4"/>
    <x v="10"/>
    <n v="67.69"/>
    <n v="57.3"/>
    <n v="28.9"/>
    <d v="2025-07-24T00:00:00"/>
    <n v="50"/>
    <n v="4.5999999999999996"/>
    <b v="0"/>
    <m/>
    <n v="40"/>
  </r>
  <r>
    <s v="FB000149"/>
    <x v="1"/>
    <x v="5"/>
    <x v="3"/>
    <x v="6"/>
    <x v="7"/>
    <n v="68.11"/>
    <n v="46"/>
    <n v="36.78"/>
    <d v="2025-08-06T00:00:00"/>
    <n v="3"/>
    <n v="2.5"/>
    <b v="0"/>
    <m/>
    <n v="27"/>
  </r>
  <r>
    <s v="FB000150"/>
    <x v="3"/>
    <x v="2"/>
    <x v="0"/>
    <x v="1"/>
    <x v="5"/>
    <n v="94.29"/>
    <n v="0"/>
    <n v="94.29"/>
    <d v="2024-09-15T00:00:00"/>
    <n v="18"/>
    <n v="1.7"/>
    <b v="0"/>
    <m/>
    <n v="352"/>
  </r>
  <r>
    <s v="FB000151"/>
    <x v="1"/>
    <x v="5"/>
    <x v="1"/>
    <x v="0"/>
    <x v="4"/>
    <n v="94.97"/>
    <n v="0"/>
    <n v="94.97"/>
    <d v="2025-08-06T00:00:00"/>
    <n v="46"/>
    <n v="4.3"/>
    <b v="0"/>
    <m/>
    <n v="27"/>
  </r>
  <r>
    <s v="FB000152"/>
    <x v="3"/>
    <x v="2"/>
    <x v="1"/>
    <x v="6"/>
    <x v="8"/>
    <n v="65.87"/>
    <n v="11.4"/>
    <n v="58.36"/>
    <d v="2025-08-06T00:00:00"/>
    <n v="15"/>
    <n v="3.9"/>
    <b v="0"/>
    <m/>
    <n v="27"/>
  </r>
  <r>
    <s v="FB000153"/>
    <x v="5"/>
    <x v="0"/>
    <x v="1"/>
    <x v="4"/>
    <x v="5"/>
    <n v="155.06"/>
    <n v="29.4"/>
    <n v="109.47"/>
    <d v="2025-08-06T00:00:00"/>
    <n v="5"/>
    <n v="3.6"/>
    <b v="0"/>
    <m/>
    <n v="27"/>
  </r>
  <r>
    <s v="FB000154"/>
    <x v="0"/>
    <x v="0"/>
    <x v="1"/>
    <x v="1"/>
    <x v="10"/>
    <n v="172.59"/>
    <n v="0"/>
    <n v="172.59"/>
    <d v="2025-08-06T00:00:00"/>
    <n v="1"/>
    <n v="2.1"/>
    <b v="0"/>
    <m/>
    <n v="27"/>
  </r>
  <r>
    <s v="FB000155"/>
    <x v="5"/>
    <x v="4"/>
    <x v="3"/>
    <x v="6"/>
    <x v="5"/>
    <n v="68.72"/>
    <n v="0"/>
    <n v="68.72"/>
    <d v="2025-08-06T00:00:00"/>
    <n v="28"/>
    <n v="1.7"/>
    <b v="1"/>
    <s v="Quality Issue"/>
    <n v="27"/>
  </r>
  <r>
    <s v="FB000156"/>
    <x v="1"/>
    <x v="2"/>
    <x v="0"/>
    <x v="0"/>
    <x v="5"/>
    <n v="28.78"/>
    <n v="0"/>
    <n v="28.78"/>
    <d v="2024-10-03T00:00:00"/>
    <n v="21"/>
    <n v="2.953125"/>
    <b v="0"/>
    <m/>
    <n v="334"/>
  </r>
  <r>
    <s v="FB000157"/>
    <x v="0"/>
    <x v="4"/>
    <x v="1"/>
    <x v="4"/>
    <x v="2"/>
    <n v="110.32"/>
    <n v="28.3"/>
    <n v="79.099999999999994"/>
    <d v="2025-08-06T00:00:00"/>
    <n v="49"/>
    <n v="3.3"/>
    <b v="0"/>
    <m/>
    <n v="27"/>
  </r>
  <r>
    <s v="FB000158"/>
    <x v="3"/>
    <x v="3"/>
    <x v="3"/>
    <x v="4"/>
    <x v="2"/>
    <n v="194.24"/>
    <n v="0"/>
    <n v="194.24"/>
    <d v="2025-08-06T00:00:00"/>
    <n v="17"/>
    <n v="1.2"/>
    <b v="1"/>
    <s v="Changed Mind"/>
    <n v="27"/>
  </r>
  <r>
    <s v="FB000159"/>
    <x v="3"/>
    <x v="6"/>
    <x v="2"/>
    <x v="5"/>
    <x v="7"/>
    <n v="175.91"/>
    <n v="0"/>
    <n v="175.91"/>
    <d v="2025-08-06T00:00:00"/>
    <n v="4"/>
    <n v="2.8"/>
    <b v="0"/>
    <m/>
    <n v="27"/>
  </r>
  <r>
    <s v="FB000160"/>
    <x v="4"/>
    <x v="3"/>
    <x v="1"/>
    <x v="4"/>
    <x v="4"/>
    <n v="79.34"/>
    <n v="0"/>
    <n v="79.34"/>
    <d v="2025-08-06T00:00:00"/>
    <n v="30"/>
    <n v="4.4000000000000004"/>
    <b v="0"/>
    <m/>
    <n v="27"/>
  </r>
  <r>
    <s v="FB000161"/>
    <x v="4"/>
    <x v="4"/>
    <x v="3"/>
    <x v="6"/>
    <x v="6"/>
    <n v="111.88"/>
    <n v="0"/>
    <n v="111.88"/>
    <d v="2025-08-06T00:00:00"/>
    <n v="41"/>
    <n v="4.5"/>
    <b v="0"/>
    <m/>
    <n v="27"/>
  </r>
  <r>
    <s v="FB000162"/>
    <x v="2"/>
    <x v="6"/>
    <x v="0"/>
    <x v="2"/>
    <x v="8"/>
    <n v="42.84"/>
    <n v="40.6"/>
    <n v="25.45"/>
    <d v="2024-09-12T00:00:00"/>
    <n v="18"/>
    <n v="2.6"/>
    <b v="0"/>
    <m/>
    <n v="355"/>
  </r>
  <r>
    <s v="FB000163"/>
    <x v="4"/>
    <x v="6"/>
    <x v="0"/>
    <x v="4"/>
    <x v="8"/>
    <n v="26.28"/>
    <n v="1.1000000000000001"/>
    <n v="25.99"/>
    <d v="2025-06-20T00:00:00"/>
    <n v="35"/>
    <n v="5"/>
    <b v="0"/>
    <m/>
    <n v="74"/>
  </r>
  <r>
    <s v="FB000164"/>
    <x v="2"/>
    <x v="4"/>
    <x v="0"/>
    <x v="2"/>
    <x v="6"/>
    <n v="23.11"/>
    <n v="0"/>
    <n v="23.11"/>
    <d v="2024-09-17T00:00:00"/>
    <n v="2"/>
    <n v="1.4"/>
    <b v="0"/>
    <m/>
    <n v="350"/>
  </r>
  <r>
    <s v="FB000165"/>
    <x v="3"/>
    <x v="0"/>
    <x v="1"/>
    <x v="6"/>
    <x v="3"/>
    <n v="168.36"/>
    <n v="0"/>
    <n v="168.36"/>
    <d v="2025-08-06T00:00:00"/>
    <n v="47"/>
    <n v="2.9153846153846157"/>
    <b v="1"/>
    <s v="Damaged"/>
    <n v="27"/>
  </r>
  <r>
    <s v="FB000166"/>
    <x v="3"/>
    <x v="6"/>
    <x v="2"/>
    <x v="0"/>
    <x v="6"/>
    <n v="99.26"/>
    <n v="0"/>
    <n v="99.26"/>
    <d v="2025-08-06T00:00:00"/>
    <n v="33"/>
    <n v="2.9083333333333328"/>
    <b v="1"/>
    <s v="Quality Issue"/>
    <n v="27"/>
  </r>
  <r>
    <s v="FB000167"/>
    <x v="2"/>
    <x v="3"/>
    <x v="0"/>
    <x v="2"/>
    <x v="2"/>
    <n v="53.66"/>
    <n v="0"/>
    <n v="53.66"/>
    <d v="2024-12-19T00:00:00"/>
    <n v="40"/>
    <n v="2.8"/>
    <b v="0"/>
    <m/>
    <n v="257"/>
  </r>
  <r>
    <s v="FB000168"/>
    <x v="2"/>
    <x v="5"/>
    <x v="3"/>
    <x v="2"/>
    <x v="4"/>
    <n v="69.709999999999994"/>
    <n v="18"/>
    <n v="57.16"/>
    <d v="2025-08-06T00:00:00"/>
    <n v="34"/>
    <n v="4.2"/>
    <b v="1"/>
    <s v="Color Mismatch"/>
    <n v="27"/>
  </r>
  <r>
    <s v="FB000169"/>
    <x v="5"/>
    <x v="7"/>
    <x v="2"/>
    <x v="4"/>
    <x v="4"/>
    <n v="60.3"/>
    <n v="21.4"/>
    <n v="47.4"/>
    <d v="2025-08-06T00:00:00"/>
    <n v="4"/>
    <n v="3.6"/>
    <b v="0"/>
    <m/>
    <n v="27"/>
  </r>
  <r>
    <s v="FB000170"/>
    <x v="3"/>
    <x v="2"/>
    <x v="1"/>
    <x v="4"/>
    <x v="0"/>
    <n v="113.58"/>
    <n v="0"/>
    <n v="113.58"/>
    <d v="2025-08-06T00:00:00"/>
    <n v="33"/>
    <n v="4.9000000000000004"/>
    <b v="1"/>
    <s v="Wrong Item"/>
    <n v="27"/>
  </r>
  <r>
    <s v="FB000171"/>
    <x v="4"/>
    <x v="5"/>
    <x v="2"/>
    <x v="5"/>
    <x v="10"/>
    <n v="54.86"/>
    <n v="1.7"/>
    <n v="53.93"/>
    <d v="2025-08-06T00:00:00"/>
    <n v="40"/>
    <n v="2.5"/>
    <b v="0"/>
    <m/>
    <n v="27"/>
  </r>
  <r>
    <s v="FB000172"/>
    <x v="1"/>
    <x v="0"/>
    <x v="1"/>
    <x v="5"/>
    <x v="0"/>
    <n v="92.25"/>
    <n v="0"/>
    <n v="92.25"/>
    <d v="2025-08-06T00:00:00"/>
    <n v="13"/>
    <n v="2.8"/>
    <b v="1"/>
    <s v="Damaged"/>
    <n v="27"/>
  </r>
  <r>
    <s v="FB000173"/>
    <x v="2"/>
    <x v="5"/>
    <x v="1"/>
    <x v="2"/>
    <x v="3"/>
    <n v="54.07"/>
    <n v="0"/>
    <n v="54.07"/>
    <d v="2025-08-06T00:00:00"/>
    <n v="47"/>
    <n v="4.5999999999999996"/>
    <b v="0"/>
    <m/>
    <n v="27"/>
  </r>
  <r>
    <s v="FB000174"/>
    <x v="3"/>
    <x v="2"/>
    <x v="1"/>
    <x v="0"/>
    <x v="0"/>
    <n v="104.4"/>
    <n v="0"/>
    <n v="104.4"/>
    <d v="2025-08-06T00:00:00"/>
    <n v="41"/>
    <n v="3.4"/>
    <b v="0"/>
    <m/>
    <n v="27"/>
  </r>
  <r>
    <s v="FB000175"/>
    <x v="5"/>
    <x v="5"/>
    <x v="0"/>
    <x v="6"/>
    <x v="4"/>
    <n v="45.97"/>
    <n v="0"/>
    <n v="45.97"/>
    <d v="2024-08-28T00:00:00"/>
    <n v="37"/>
    <n v="3.2"/>
    <b v="1"/>
    <s v="Quality Issue"/>
    <n v="370"/>
  </r>
  <r>
    <s v="FB000176"/>
    <x v="1"/>
    <x v="5"/>
    <x v="3"/>
    <x v="4"/>
    <x v="2"/>
    <n v="28.79"/>
    <n v="0"/>
    <n v="28.79"/>
    <d v="2025-08-06T00:00:00"/>
    <n v="4"/>
    <n v="4.4000000000000004"/>
    <b v="0"/>
    <m/>
    <n v="27"/>
  </r>
  <r>
    <s v="FB000177"/>
    <x v="0"/>
    <x v="1"/>
    <x v="1"/>
    <x v="6"/>
    <x v="4"/>
    <n v="204.21"/>
    <n v="0"/>
    <n v="204.21"/>
    <d v="2025-08-06T00:00:00"/>
    <n v="5"/>
    <n v="3.3"/>
    <b v="0"/>
    <m/>
    <n v="27"/>
  </r>
  <r>
    <s v="FB000178"/>
    <x v="3"/>
    <x v="3"/>
    <x v="2"/>
    <x v="4"/>
    <x v="1"/>
    <n v="190.75"/>
    <n v="20"/>
    <n v="152.6"/>
    <d v="2025-08-06T00:00:00"/>
    <n v="47"/>
    <n v="2.9804347826086954"/>
    <b v="0"/>
    <m/>
    <n v="27"/>
  </r>
  <r>
    <s v="FB000179"/>
    <x v="1"/>
    <x v="7"/>
    <x v="1"/>
    <x v="5"/>
    <x v="10"/>
    <n v="33.01"/>
    <n v="39.200000000000003"/>
    <n v="20.07"/>
    <d v="2025-08-06T00:00:00"/>
    <n v="16"/>
    <n v="3.7"/>
    <b v="0"/>
    <m/>
    <n v="27"/>
  </r>
  <r>
    <s v="FB000180"/>
    <x v="2"/>
    <x v="2"/>
    <x v="0"/>
    <x v="2"/>
    <x v="5"/>
    <n v="47.61"/>
    <n v="39.799999999999997"/>
    <n v="28.66"/>
    <d v="2024-12-03T00:00:00"/>
    <n v="18"/>
    <n v="1.3"/>
    <b v="0"/>
    <m/>
    <n v="273"/>
  </r>
  <r>
    <s v="FB000181"/>
    <x v="0"/>
    <x v="4"/>
    <x v="0"/>
    <x v="5"/>
    <x v="0"/>
    <n v="137.16"/>
    <n v="0"/>
    <n v="137.16"/>
    <d v="2024-09-26T00:00:00"/>
    <n v="34"/>
    <n v="3.2"/>
    <b v="0"/>
    <m/>
    <n v="341"/>
  </r>
  <r>
    <s v="FB000182"/>
    <x v="1"/>
    <x v="6"/>
    <x v="2"/>
    <x v="6"/>
    <x v="8"/>
    <n v="108.49"/>
    <n v="0"/>
    <n v="108.49"/>
    <d v="2025-08-06T00:00:00"/>
    <n v="7"/>
    <n v="3.3"/>
    <b v="0"/>
    <m/>
    <n v="27"/>
  </r>
  <r>
    <s v="FB000183"/>
    <x v="1"/>
    <x v="2"/>
    <x v="1"/>
    <x v="0"/>
    <x v="6"/>
    <n v="106.49"/>
    <n v="0"/>
    <n v="106.49"/>
    <d v="2025-08-06T00:00:00"/>
    <n v="23"/>
    <n v="4"/>
    <b v="0"/>
    <m/>
    <n v="27"/>
  </r>
  <r>
    <s v="FB000184"/>
    <x v="1"/>
    <x v="3"/>
    <x v="1"/>
    <x v="4"/>
    <x v="1"/>
    <n v="114.86"/>
    <n v="0"/>
    <n v="114.86"/>
    <d v="2025-08-06T00:00:00"/>
    <n v="48"/>
    <n v="1.1000000000000001"/>
    <b v="0"/>
    <m/>
    <n v="27"/>
  </r>
  <r>
    <s v="FB000185"/>
    <x v="5"/>
    <x v="0"/>
    <x v="2"/>
    <x v="1"/>
    <x v="5"/>
    <n v="121.68"/>
    <n v="0"/>
    <n v="121.68"/>
    <d v="2025-08-06T00:00:00"/>
    <n v="9"/>
    <n v="1.5"/>
    <b v="0"/>
    <m/>
    <n v="27"/>
  </r>
  <r>
    <s v="FB000186"/>
    <x v="4"/>
    <x v="0"/>
    <x v="3"/>
    <x v="4"/>
    <x v="2"/>
    <n v="74.08"/>
    <n v="3.9"/>
    <n v="71.19"/>
    <d v="2025-08-06T00:00:00"/>
    <n v="37"/>
    <n v="1.7"/>
    <b v="0"/>
    <m/>
    <n v="27"/>
  </r>
  <r>
    <s v="FB000187"/>
    <x v="1"/>
    <x v="6"/>
    <x v="2"/>
    <x v="6"/>
    <x v="5"/>
    <n v="92.37"/>
    <n v="35.9"/>
    <n v="59.21"/>
    <d v="2025-08-06T00:00:00"/>
    <n v="20"/>
    <n v="2.9074999999999998"/>
    <b v="0"/>
    <m/>
    <n v="27"/>
  </r>
  <r>
    <s v="FB000188"/>
    <x v="1"/>
    <x v="1"/>
    <x v="3"/>
    <x v="4"/>
    <x v="7"/>
    <n v="34.06"/>
    <n v="0"/>
    <n v="34.06"/>
    <d v="2025-08-06T00:00:00"/>
    <n v="39"/>
    <n v="4.5"/>
    <b v="0"/>
    <m/>
    <n v="27"/>
  </r>
  <r>
    <s v="FB000189"/>
    <x v="5"/>
    <x v="0"/>
    <x v="3"/>
    <x v="1"/>
    <x v="1"/>
    <n v="173.42"/>
    <n v="0"/>
    <n v="173.42"/>
    <d v="2025-08-06T00:00:00"/>
    <n v="47"/>
    <n v="4.2"/>
    <b v="0"/>
    <m/>
    <n v="27"/>
  </r>
  <r>
    <s v="FB000190"/>
    <x v="4"/>
    <x v="1"/>
    <x v="0"/>
    <x v="4"/>
    <x v="10"/>
    <n v="66.510000000000005"/>
    <n v="0"/>
    <n v="66.510000000000005"/>
    <d v="2024-10-04T00:00:00"/>
    <n v="32"/>
    <n v="2.1"/>
    <b v="0"/>
    <m/>
    <n v="333"/>
  </r>
  <r>
    <s v="FB000191"/>
    <x v="4"/>
    <x v="1"/>
    <x v="2"/>
    <x v="4"/>
    <x v="5"/>
    <n v="72.44"/>
    <n v="7.1"/>
    <n v="67.3"/>
    <d v="2025-08-06T00:00:00"/>
    <n v="10"/>
    <n v="1.8"/>
    <b v="0"/>
    <m/>
    <n v="27"/>
  </r>
  <r>
    <s v="FB000192"/>
    <x v="1"/>
    <x v="5"/>
    <x v="2"/>
    <x v="3"/>
    <x v="2"/>
    <n v="81.2"/>
    <n v="0"/>
    <n v="81.2"/>
    <d v="2025-08-06T00:00:00"/>
    <n v="3"/>
    <n v="1.5"/>
    <b v="0"/>
    <m/>
    <n v="27"/>
  </r>
  <r>
    <s v="FB000193"/>
    <x v="0"/>
    <x v="6"/>
    <x v="3"/>
    <x v="4"/>
    <x v="0"/>
    <n v="104.5"/>
    <n v="12.3"/>
    <n v="91.65"/>
    <d v="2025-08-06T00:00:00"/>
    <n v="42"/>
    <n v="2.9034482758620692"/>
    <b v="0"/>
    <m/>
    <n v="27"/>
  </r>
  <r>
    <s v="FB000194"/>
    <x v="5"/>
    <x v="6"/>
    <x v="1"/>
    <x v="0"/>
    <x v="1"/>
    <n v="57.53"/>
    <n v="13"/>
    <n v="50.05"/>
    <d v="2025-08-06T00:00:00"/>
    <n v="12"/>
    <n v="4.0999999999999996"/>
    <b v="0"/>
    <m/>
    <n v="27"/>
  </r>
  <r>
    <s v="FB000195"/>
    <x v="3"/>
    <x v="2"/>
    <x v="3"/>
    <x v="4"/>
    <x v="4"/>
    <n v="142.58000000000001"/>
    <n v="0"/>
    <n v="142.58000000000001"/>
    <d v="2025-08-06T00:00:00"/>
    <n v="25"/>
    <n v="4.8"/>
    <b v="1"/>
    <s v="Quality Issue"/>
    <n v="27"/>
  </r>
  <r>
    <s v="FB000196"/>
    <x v="5"/>
    <x v="0"/>
    <x v="2"/>
    <x v="4"/>
    <x v="6"/>
    <n v="162.22999999999999"/>
    <n v="29.4"/>
    <n v="114.53"/>
    <d v="2025-08-06T00:00:00"/>
    <n v="41"/>
    <n v="4"/>
    <b v="1"/>
    <s v="Quality Issue"/>
    <n v="27"/>
  </r>
  <r>
    <s v="FB000197"/>
    <x v="4"/>
    <x v="5"/>
    <x v="0"/>
    <x v="4"/>
    <x v="0"/>
    <n v="32.1"/>
    <n v="51.7"/>
    <n v="15.5"/>
    <d v="2024-11-23T00:00:00"/>
    <n v="27"/>
    <n v="3.0575757575757576"/>
    <b v="0"/>
    <m/>
    <n v="283"/>
  </r>
  <r>
    <s v="FB000198"/>
    <x v="3"/>
    <x v="1"/>
    <x v="2"/>
    <x v="1"/>
    <x v="2"/>
    <n v="162.41"/>
    <n v="42.7"/>
    <n v="93.06"/>
    <d v="2025-08-06T00:00:00"/>
    <n v="22"/>
    <n v="4.8"/>
    <b v="0"/>
    <m/>
    <n v="27"/>
  </r>
  <r>
    <s v="FB000199"/>
    <x v="1"/>
    <x v="2"/>
    <x v="2"/>
    <x v="6"/>
    <x v="4"/>
    <n v="77.459999999999994"/>
    <n v="57.5"/>
    <n v="32.92"/>
    <d v="2025-08-06T00:00:00"/>
    <n v="23"/>
    <n v="4"/>
    <b v="0"/>
    <m/>
    <n v="27"/>
  </r>
  <r>
    <s v="FB000200"/>
    <x v="1"/>
    <x v="4"/>
    <x v="2"/>
    <x v="4"/>
    <x v="5"/>
    <n v="103.42"/>
    <n v="56.1"/>
    <n v="45.4"/>
    <d v="2025-08-06T00:00:00"/>
    <n v="4"/>
    <n v="4.7"/>
    <b v="0"/>
    <m/>
    <n v="27"/>
  </r>
  <r>
    <s v="FB000201"/>
    <x v="4"/>
    <x v="0"/>
    <x v="0"/>
    <x v="5"/>
    <x v="6"/>
    <n v="42.91"/>
    <n v="33.299999999999997"/>
    <n v="28.62"/>
    <d v="2024-11-23T00:00:00"/>
    <n v="18"/>
    <n v="2.9210526315789478"/>
    <b v="0"/>
    <m/>
    <n v="283"/>
  </r>
  <r>
    <s v="FB000202"/>
    <x v="3"/>
    <x v="0"/>
    <x v="3"/>
    <x v="0"/>
    <x v="6"/>
    <n v="144.91999999999999"/>
    <n v="17"/>
    <n v="120.28"/>
    <d v="2025-08-06T00:00:00"/>
    <n v="32"/>
    <n v="2"/>
    <b v="0"/>
    <m/>
    <n v="27"/>
  </r>
  <r>
    <s v="FB000203"/>
    <x v="3"/>
    <x v="2"/>
    <x v="3"/>
    <x v="5"/>
    <x v="2"/>
    <n v="93.07"/>
    <n v="23.9"/>
    <n v="70.83"/>
    <d v="2025-08-06T00:00:00"/>
    <n v="10"/>
    <n v="3.5"/>
    <b v="1"/>
    <s v="Changed Mind"/>
    <n v="27"/>
  </r>
  <r>
    <s v="FB000204"/>
    <x v="0"/>
    <x v="4"/>
    <x v="3"/>
    <x v="3"/>
    <x v="0"/>
    <n v="119.96"/>
    <n v="0"/>
    <n v="119.96"/>
    <d v="2025-08-06T00:00:00"/>
    <n v="20"/>
    <n v="1.1000000000000001"/>
    <b v="0"/>
    <m/>
    <n v="27"/>
  </r>
  <r>
    <s v="FB000205"/>
    <x v="2"/>
    <x v="7"/>
    <x v="3"/>
    <x v="2"/>
    <x v="4"/>
    <n v="42.04"/>
    <n v="50.9"/>
    <n v="20.64"/>
    <d v="2025-08-06T00:00:00"/>
    <n v="43"/>
    <n v="2.2999999999999998"/>
    <b v="1"/>
    <s v="Wrong Item"/>
    <n v="27"/>
  </r>
  <r>
    <s v="FB000206"/>
    <x v="2"/>
    <x v="2"/>
    <x v="1"/>
    <x v="2"/>
    <x v="0"/>
    <n v="54.45"/>
    <n v="0"/>
    <n v="54.45"/>
    <d v="2025-08-06T00:00:00"/>
    <n v="12"/>
    <n v="2.7"/>
    <b v="0"/>
    <m/>
    <n v="27"/>
  </r>
  <r>
    <s v="FB000207"/>
    <x v="1"/>
    <x v="3"/>
    <x v="0"/>
    <x v="6"/>
    <x v="6"/>
    <n v="66.95"/>
    <n v="36.4"/>
    <n v="42.58"/>
    <d v="2024-09-28T00:00:00"/>
    <n v="44"/>
    <n v="1.9"/>
    <b v="1"/>
    <s v="Quality Issue"/>
    <n v="339"/>
  </r>
  <r>
    <s v="FB000208"/>
    <x v="1"/>
    <x v="5"/>
    <x v="0"/>
    <x v="0"/>
    <x v="7"/>
    <n v="116.96"/>
    <n v="8.8000000000000007"/>
    <n v="106.67"/>
    <d v="2025-04-29T00:00:00"/>
    <n v="33"/>
    <n v="1.6"/>
    <b v="0"/>
    <m/>
    <n v="126"/>
  </r>
  <r>
    <s v="FB000209"/>
    <x v="1"/>
    <x v="7"/>
    <x v="2"/>
    <x v="4"/>
    <x v="1"/>
    <n v="111.14"/>
    <n v="0"/>
    <n v="111.14"/>
    <d v="2025-08-06T00:00:00"/>
    <n v="49"/>
    <n v="1.6"/>
    <b v="0"/>
    <m/>
    <n v="27"/>
  </r>
  <r>
    <s v="FB000210"/>
    <x v="1"/>
    <x v="2"/>
    <x v="2"/>
    <x v="5"/>
    <x v="5"/>
    <n v="59.6"/>
    <n v="0"/>
    <n v="59.6"/>
    <d v="2025-08-06T00:00:00"/>
    <n v="40"/>
    <n v="2.1"/>
    <b v="0"/>
    <m/>
    <n v="27"/>
  </r>
  <r>
    <s v="FB000211"/>
    <x v="1"/>
    <x v="5"/>
    <x v="0"/>
    <x v="3"/>
    <x v="4"/>
    <n v="25.49"/>
    <n v="16.7"/>
    <n v="21.23"/>
    <d v="2025-05-23T00:00:00"/>
    <n v="32"/>
    <n v="2.9846153846153847"/>
    <b v="0"/>
    <m/>
    <n v="102"/>
  </r>
  <r>
    <s v="FB000212"/>
    <x v="1"/>
    <x v="0"/>
    <x v="0"/>
    <x v="6"/>
    <x v="2"/>
    <n v="82.94"/>
    <n v="0"/>
    <n v="82.94"/>
    <d v="2025-07-17T00:00:00"/>
    <n v="46"/>
    <n v="1.5"/>
    <b v="0"/>
    <m/>
    <n v="47"/>
  </r>
  <r>
    <s v="FB000213"/>
    <x v="1"/>
    <x v="1"/>
    <x v="0"/>
    <x v="1"/>
    <x v="5"/>
    <n v="99.71"/>
    <n v="0"/>
    <n v="99.71"/>
    <d v="2024-08-21T00:00:00"/>
    <n v="23"/>
    <n v="1.4"/>
    <b v="0"/>
    <m/>
    <n v="377"/>
  </r>
  <r>
    <s v="FB000214"/>
    <x v="2"/>
    <x v="2"/>
    <x v="2"/>
    <x v="2"/>
    <x v="2"/>
    <n v="69.739999999999995"/>
    <n v="0"/>
    <n v="69.739999999999995"/>
    <d v="2025-08-06T00:00:00"/>
    <n v="11"/>
    <n v="3.3"/>
    <b v="1"/>
    <s v="Changed Mind"/>
    <n v="27"/>
  </r>
  <r>
    <s v="FB000215"/>
    <x v="4"/>
    <x v="4"/>
    <x v="3"/>
    <x v="4"/>
    <x v="6"/>
    <n v="57.19"/>
    <n v="0"/>
    <n v="57.19"/>
    <d v="2025-08-06T00:00:00"/>
    <n v="12"/>
    <n v="2.5"/>
    <b v="0"/>
    <m/>
    <n v="27"/>
  </r>
  <r>
    <s v="FB000216"/>
    <x v="1"/>
    <x v="4"/>
    <x v="3"/>
    <x v="4"/>
    <x v="0"/>
    <n v="58.65"/>
    <n v="0"/>
    <n v="58.65"/>
    <d v="2025-08-06T00:00:00"/>
    <n v="4"/>
    <n v="1.1000000000000001"/>
    <b v="0"/>
    <m/>
    <n v="27"/>
  </r>
  <r>
    <s v="FB000217"/>
    <x v="0"/>
    <x v="1"/>
    <x v="2"/>
    <x v="0"/>
    <x v="1"/>
    <n v="110.22"/>
    <n v="0"/>
    <n v="110.22"/>
    <d v="2025-08-06T00:00:00"/>
    <n v="4"/>
    <n v="1.6"/>
    <b v="0"/>
    <m/>
    <n v="27"/>
  </r>
  <r>
    <s v="FB000218"/>
    <x v="1"/>
    <x v="0"/>
    <x v="3"/>
    <x v="4"/>
    <x v="1"/>
    <n v="69.36"/>
    <n v="0"/>
    <n v="69.36"/>
    <d v="2025-08-06T00:00:00"/>
    <n v="25"/>
    <n v="2.9181818181818175"/>
    <b v="0"/>
    <m/>
    <n v="27"/>
  </r>
  <r>
    <s v="FB000219"/>
    <x v="4"/>
    <x v="0"/>
    <x v="1"/>
    <x v="3"/>
    <x v="2"/>
    <n v="87.03"/>
    <n v="0"/>
    <n v="87.03"/>
    <d v="2025-08-06T00:00:00"/>
    <n v="39"/>
    <n v="4.3"/>
    <b v="0"/>
    <m/>
    <n v="27"/>
  </r>
  <r>
    <s v="FB000220"/>
    <x v="5"/>
    <x v="0"/>
    <x v="1"/>
    <x v="4"/>
    <x v="10"/>
    <n v="160.6"/>
    <n v="18.399999999999999"/>
    <n v="131.05000000000001"/>
    <d v="2025-08-06T00:00:00"/>
    <n v="41"/>
    <n v="3"/>
    <b v="0"/>
    <m/>
    <n v="27"/>
  </r>
  <r>
    <s v="FB000221"/>
    <x v="0"/>
    <x v="4"/>
    <x v="0"/>
    <x v="5"/>
    <x v="9"/>
    <n v="167.02"/>
    <n v="0"/>
    <n v="167.02"/>
    <d v="2025-01-30T00:00:00"/>
    <n v="26"/>
    <n v="2.6"/>
    <b v="1"/>
    <s v="Size Issue"/>
    <n v="215"/>
  </r>
  <r>
    <s v="FB000222"/>
    <x v="1"/>
    <x v="0"/>
    <x v="3"/>
    <x v="4"/>
    <x v="4"/>
    <n v="26.09"/>
    <n v="0"/>
    <n v="26.09"/>
    <d v="2025-08-06T00:00:00"/>
    <n v="32"/>
    <n v="4.5999999999999996"/>
    <b v="1"/>
    <s v="Damaged"/>
    <n v="27"/>
  </r>
  <r>
    <s v="FB000223"/>
    <x v="0"/>
    <x v="4"/>
    <x v="3"/>
    <x v="0"/>
    <x v="10"/>
    <n v="246.65"/>
    <n v="0"/>
    <n v="246.65"/>
    <d v="2025-08-06T00:00:00"/>
    <n v="17"/>
    <n v="2.9"/>
    <b v="1"/>
    <s v="Damaged"/>
    <n v="27"/>
  </r>
  <r>
    <s v="FB000224"/>
    <x v="0"/>
    <x v="7"/>
    <x v="3"/>
    <x v="3"/>
    <x v="0"/>
    <n v="206.91"/>
    <n v="0"/>
    <n v="206.91"/>
    <d v="2025-08-06T00:00:00"/>
    <n v="34"/>
    <n v="2.2999999999999998"/>
    <b v="0"/>
    <m/>
    <n v="27"/>
  </r>
  <r>
    <s v="FB000225"/>
    <x v="5"/>
    <x v="6"/>
    <x v="1"/>
    <x v="0"/>
    <x v="2"/>
    <n v="85.08"/>
    <n v="0"/>
    <n v="85.08"/>
    <d v="2025-08-06T00:00:00"/>
    <n v="29"/>
    <n v="2.980952380952381"/>
    <b v="0"/>
    <m/>
    <n v="27"/>
  </r>
  <r>
    <s v="FB000226"/>
    <x v="0"/>
    <x v="7"/>
    <x v="0"/>
    <x v="4"/>
    <x v="3"/>
    <n v="240.32"/>
    <n v="54.8"/>
    <n v="108.62"/>
    <d v="2024-12-27T00:00:00"/>
    <n v="3"/>
    <n v="4.5"/>
    <b v="0"/>
    <m/>
    <n v="249"/>
  </r>
  <r>
    <s v="FB000227"/>
    <x v="5"/>
    <x v="1"/>
    <x v="2"/>
    <x v="4"/>
    <x v="0"/>
    <n v="130.12"/>
    <n v="1.4"/>
    <n v="128.30000000000001"/>
    <d v="2025-08-06T00:00:00"/>
    <n v="0"/>
    <n v="5"/>
    <b v="0"/>
    <m/>
    <n v="27"/>
  </r>
  <r>
    <s v="FB000228"/>
    <x v="4"/>
    <x v="4"/>
    <x v="0"/>
    <x v="5"/>
    <x v="2"/>
    <n v="42.29"/>
    <n v="15.8"/>
    <n v="35.61"/>
    <d v="2024-11-02T00:00:00"/>
    <n v="11"/>
    <n v="1.6"/>
    <b v="0"/>
    <m/>
    <n v="304"/>
  </r>
  <r>
    <s v="FB000229"/>
    <x v="0"/>
    <x v="4"/>
    <x v="0"/>
    <x v="3"/>
    <x v="7"/>
    <n v="191.54"/>
    <n v="0"/>
    <n v="191.54"/>
    <d v="2024-10-10T00:00:00"/>
    <n v="18"/>
    <n v="1.2"/>
    <b v="0"/>
    <m/>
    <n v="327"/>
  </r>
  <r>
    <s v="FB000230"/>
    <x v="2"/>
    <x v="5"/>
    <x v="0"/>
    <x v="2"/>
    <x v="7"/>
    <n v="42.23"/>
    <n v="0"/>
    <n v="42.23"/>
    <d v="2025-07-14T00:00:00"/>
    <n v="15"/>
    <n v="3.2731707317073173"/>
    <b v="0"/>
    <m/>
    <n v="50"/>
  </r>
  <r>
    <s v="FB000231"/>
    <x v="3"/>
    <x v="4"/>
    <x v="3"/>
    <x v="3"/>
    <x v="4"/>
    <n v="109.76"/>
    <n v="0"/>
    <n v="109.76"/>
    <d v="2025-08-06T00:00:00"/>
    <n v="16"/>
    <n v="4.3"/>
    <b v="0"/>
    <m/>
    <n v="27"/>
  </r>
  <r>
    <s v="FB000232"/>
    <x v="2"/>
    <x v="3"/>
    <x v="3"/>
    <x v="2"/>
    <x v="0"/>
    <n v="76.8"/>
    <n v="43.3"/>
    <n v="43.55"/>
    <d v="2025-08-06T00:00:00"/>
    <n v="24"/>
    <n v="2.5131578947368416"/>
    <b v="0"/>
    <m/>
    <n v="27"/>
  </r>
  <r>
    <s v="FB000233"/>
    <x v="5"/>
    <x v="7"/>
    <x v="1"/>
    <x v="2"/>
    <x v="2"/>
    <n v="56.34"/>
    <n v="22.4"/>
    <n v="43.72"/>
    <d v="2025-08-06T00:00:00"/>
    <n v="37"/>
    <n v="2.5"/>
    <b v="1"/>
    <s v="Wrong Item"/>
    <n v="27"/>
  </r>
  <r>
    <s v="FB000234"/>
    <x v="1"/>
    <x v="6"/>
    <x v="2"/>
    <x v="2"/>
    <x v="7"/>
    <n v="88.41"/>
    <n v="0"/>
    <n v="88.41"/>
    <d v="2025-08-06T00:00:00"/>
    <n v="24"/>
    <n v="4.4000000000000004"/>
    <b v="0"/>
    <m/>
    <n v="27"/>
  </r>
  <r>
    <s v="FB000235"/>
    <x v="1"/>
    <x v="6"/>
    <x v="0"/>
    <x v="3"/>
    <x v="2"/>
    <n v="25.96"/>
    <n v="0"/>
    <n v="25.96"/>
    <d v="2024-10-04T00:00:00"/>
    <n v="2"/>
    <n v="1.4"/>
    <b v="0"/>
    <m/>
    <n v="333"/>
  </r>
  <r>
    <s v="FB000236"/>
    <x v="4"/>
    <x v="0"/>
    <x v="0"/>
    <x v="4"/>
    <x v="0"/>
    <n v="60.25"/>
    <n v="0"/>
    <n v="60.25"/>
    <d v="2024-08-16T00:00:00"/>
    <n v="25"/>
    <n v="4.0999999999999996"/>
    <b v="0"/>
    <m/>
    <n v="382"/>
  </r>
  <r>
    <s v="FB000237"/>
    <x v="2"/>
    <x v="4"/>
    <x v="2"/>
    <x v="2"/>
    <x v="0"/>
    <n v="52.33"/>
    <n v="19.100000000000001"/>
    <n v="42.33"/>
    <d v="2025-08-06T00:00:00"/>
    <n v="4"/>
    <n v="2.7333333333333334"/>
    <b v="0"/>
    <m/>
    <n v="27"/>
  </r>
  <r>
    <s v="FB000238"/>
    <x v="2"/>
    <x v="3"/>
    <x v="2"/>
    <x v="2"/>
    <x v="3"/>
    <n v="67.61"/>
    <n v="0"/>
    <n v="67.61"/>
    <d v="2025-08-06T00:00:00"/>
    <n v="14"/>
    <n v="1.8"/>
    <b v="0"/>
    <m/>
    <n v="27"/>
  </r>
  <r>
    <s v="FB000239"/>
    <x v="3"/>
    <x v="7"/>
    <x v="0"/>
    <x v="1"/>
    <x v="10"/>
    <n v="136"/>
    <n v="0"/>
    <n v="136"/>
    <d v="2025-08-01T00:00:00"/>
    <n v="46"/>
    <n v="4.5"/>
    <b v="0"/>
    <m/>
    <n v="32"/>
  </r>
  <r>
    <s v="FB000240"/>
    <x v="3"/>
    <x v="0"/>
    <x v="2"/>
    <x v="2"/>
    <x v="10"/>
    <n v="74.48"/>
    <n v="0"/>
    <n v="74.48"/>
    <d v="2025-08-06T00:00:00"/>
    <n v="24"/>
    <n v="3.7"/>
    <b v="0"/>
    <m/>
    <n v="27"/>
  </r>
  <r>
    <s v="FB000241"/>
    <x v="5"/>
    <x v="7"/>
    <x v="2"/>
    <x v="5"/>
    <x v="1"/>
    <n v="101.39"/>
    <n v="0"/>
    <n v="101.39"/>
    <d v="2025-08-06T00:00:00"/>
    <n v="33"/>
    <n v="2.4"/>
    <b v="1"/>
    <s v="Size Issue"/>
    <n v="27"/>
  </r>
  <r>
    <s v="FB000242"/>
    <x v="5"/>
    <x v="7"/>
    <x v="2"/>
    <x v="4"/>
    <x v="6"/>
    <n v="169.68"/>
    <n v="41.7"/>
    <n v="98.92"/>
    <d v="2025-08-06T00:00:00"/>
    <n v="43"/>
    <n v="4.5999999999999996"/>
    <b v="0"/>
    <m/>
    <n v="27"/>
  </r>
  <r>
    <s v="FB000243"/>
    <x v="2"/>
    <x v="7"/>
    <x v="1"/>
    <x v="2"/>
    <x v="9"/>
    <n v="52.45"/>
    <n v="0"/>
    <n v="52.45"/>
    <d v="2025-08-06T00:00:00"/>
    <n v="34"/>
    <n v="2.1"/>
    <b v="0"/>
    <m/>
    <n v="27"/>
  </r>
  <r>
    <s v="FB000244"/>
    <x v="3"/>
    <x v="1"/>
    <x v="3"/>
    <x v="4"/>
    <x v="1"/>
    <n v="153.85"/>
    <n v="47.6"/>
    <n v="80.62"/>
    <d v="2025-08-06T00:00:00"/>
    <n v="12"/>
    <n v="3.1"/>
    <b v="0"/>
    <m/>
    <n v="27"/>
  </r>
  <r>
    <s v="FB000245"/>
    <x v="4"/>
    <x v="3"/>
    <x v="2"/>
    <x v="6"/>
    <x v="10"/>
    <n v="32.700000000000003"/>
    <n v="50.5"/>
    <n v="16.190000000000001"/>
    <d v="2025-08-06T00:00:00"/>
    <n v="46"/>
    <n v="1.3"/>
    <b v="0"/>
    <m/>
    <n v="27"/>
  </r>
  <r>
    <s v="FB000246"/>
    <x v="0"/>
    <x v="1"/>
    <x v="2"/>
    <x v="1"/>
    <x v="8"/>
    <n v="104.27"/>
    <n v="54.6"/>
    <n v="47.34"/>
    <d v="2025-08-06T00:00:00"/>
    <n v="42"/>
    <n v="4.2"/>
    <b v="0"/>
    <m/>
    <n v="27"/>
  </r>
  <r>
    <s v="FB000247"/>
    <x v="5"/>
    <x v="7"/>
    <x v="3"/>
    <x v="6"/>
    <x v="4"/>
    <n v="80.040000000000006"/>
    <n v="50.9"/>
    <n v="39.299999999999997"/>
    <d v="2025-08-06T00:00:00"/>
    <n v="45"/>
    <n v="2.9636363636363638"/>
    <b v="0"/>
    <m/>
    <n v="27"/>
  </r>
  <r>
    <s v="FB000248"/>
    <x v="4"/>
    <x v="2"/>
    <x v="0"/>
    <x v="6"/>
    <x v="2"/>
    <n v="72.069999999999993"/>
    <n v="0"/>
    <n v="72.069999999999993"/>
    <d v="2025-05-08T00:00:00"/>
    <n v="20"/>
    <n v="3.0384615384615379"/>
    <b v="1"/>
    <s v="Color Mismatch"/>
    <n v="117"/>
  </r>
  <r>
    <s v="FB000249"/>
    <x v="0"/>
    <x v="0"/>
    <x v="2"/>
    <x v="6"/>
    <x v="6"/>
    <n v="220.99"/>
    <n v="0"/>
    <n v="220.99"/>
    <d v="2025-08-06T00:00:00"/>
    <n v="42"/>
    <n v="3.6"/>
    <b v="0"/>
    <m/>
    <n v="27"/>
  </r>
  <r>
    <s v="FB000250"/>
    <x v="0"/>
    <x v="1"/>
    <x v="2"/>
    <x v="5"/>
    <x v="2"/>
    <n v="117.36"/>
    <n v="14.6"/>
    <n v="100.23"/>
    <d v="2025-08-06T00:00:00"/>
    <n v="33"/>
    <n v="3.15"/>
    <b v="1"/>
    <s v="Size Issue"/>
    <n v="27"/>
  </r>
  <r>
    <s v="FB000251"/>
    <x v="0"/>
    <x v="2"/>
    <x v="0"/>
    <x v="1"/>
    <x v="8"/>
    <n v="198.76"/>
    <n v="48.8"/>
    <n v="101.77"/>
    <d v="2025-04-26T00:00:00"/>
    <n v="36"/>
    <n v="3"/>
    <b v="0"/>
    <m/>
    <n v="129"/>
  </r>
  <r>
    <s v="FB000252"/>
    <x v="0"/>
    <x v="4"/>
    <x v="2"/>
    <x v="1"/>
    <x v="2"/>
    <n v="121.03"/>
    <n v="0"/>
    <n v="121.03"/>
    <d v="2025-08-06T00:00:00"/>
    <n v="14"/>
    <n v="1.6"/>
    <b v="1"/>
    <s v="Changed Mind"/>
    <n v="27"/>
  </r>
  <r>
    <s v="FB000253"/>
    <x v="1"/>
    <x v="4"/>
    <x v="2"/>
    <x v="1"/>
    <x v="3"/>
    <n v="88.62"/>
    <n v="0"/>
    <n v="88.62"/>
    <d v="2025-08-06T00:00:00"/>
    <n v="48"/>
    <n v="2.4"/>
    <b v="0"/>
    <m/>
    <n v="27"/>
  </r>
  <r>
    <s v="FB000254"/>
    <x v="3"/>
    <x v="4"/>
    <x v="3"/>
    <x v="0"/>
    <x v="6"/>
    <n v="88.94"/>
    <n v="0"/>
    <n v="88.94"/>
    <d v="2025-08-06T00:00:00"/>
    <n v="29"/>
    <n v="3.9"/>
    <b v="0"/>
    <m/>
    <n v="27"/>
  </r>
  <r>
    <s v="FB000255"/>
    <x v="4"/>
    <x v="0"/>
    <x v="1"/>
    <x v="3"/>
    <x v="2"/>
    <n v="115.7"/>
    <n v="17.8"/>
    <n v="95.11"/>
    <d v="2025-08-06T00:00:00"/>
    <n v="32"/>
    <n v="1.7"/>
    <b v="0"/>
    <m/>
    <n v="27"/>
  </r>
  <r>
    <s v="FB000256"/>
    <x v="4"/>
    <x v="7"/>
    <x v="2"/>
    <x v="4"/>
    <x v="2"/>
    <n v="75.66"/>
    <n v="0"/>
    <n v="75.66"/>
    <d v="2025-08-06T00:00:00"/>
    <n v="20"/>
    <n v="3"/>
    <b v="0"/>
    <m/>
    <n v="27"/>
  </r>
  <r>
    <s v="FB000257"/>
    <x v="2"/>
    <x v="5"/>
    <x v="1"/>
    <x v="2"/>
    <x v="6"/>
    <n v="42.11"/>
    <n v="0"/>
    <n v="42.11"/>
    <d v="2025-08-06T00:00:00"/>
    <n v="26"/>
    <n v="4"/>
    <b v="0"/>
    <m/>
    <n v="27"/>
  </r>
  <r>
    <s v="FB000258"/>
    <x v="0"/>
    <x v="4"/>
    <x v="0"/>
    <x v="4"/>
    <x v="7"/>
    <n v="247.9"/>
    <n v="4.3"/>
    <n v="237.24"/>
    <d v="2024-12-25T00:00:00"/>
    <n v="25"/>
    <n v="4.5999999999999996"/>
    <b v="0"/>
    <m/>
    <n v="251"/>
  </r>
  <r>
    <s v="FB000259"/>
    <x v="3"/>
    <x v="2"/>
    <x v="0"/>
    <x v="0"/>
    <x v="7"/>
    <n v="143.44999999999999"/>
    <n v="0"/>
    <n v="143.44999999999999"/>
    <d v="2024-09-27T00:00:00"/>
    <n v="39"/>
    <n v="3.1936170212765949"/>
    <b v="1"/>
    <s v="Quality Issue"/>
    <n v="340"/>
  </r>
  <r>
    <s v="FB000260"/>
    <x v="2"/>
    <x v="2"/>
    <x v="1"/>
    <x v="2"/>
    <x v="7"/>
    <n v="24.96"/>
    <n v="44.7"/>
    <n v="13.8"/>
    <d v="2025-08-06T00:00:00"/>
    <n v="44"/>
    <n v="2.8694444444444449"/>
    <b v="0"/>
    <m/>
    <n v="27"/>
  </r>
  <r>
    <s v="FB000261"/>
    <x v="0"/>
    <x v="7"/>
    <x v="3"/>
    <x v="0"/>
    <x v="8"/>
    <n v="109.74"/>
    <n v="0"/>
    <n v="109.74"/>
    <d v="2025-08-06T00:00:00"/>
    <n v="45"/>
    <n v="1.9"/>
    <b v="0"/>
    <m/>
    <n v="27"/>
  </r>
  <r>
    <s v="FB000262"/>
    <x v="5"/>
    <x v="4"/>
    <x v="3"/>
    <x v="0"/>
    <x v="5"/>
    <n v="161.13999999999999"/>
    <n v="0"/>
    <n v="161.13999999999999"/>
    <d v="2025-08-06T00:00:00"/>
    <n v="44"/>
    <n v="1.6"/>
    <b v="0"/>
    <m/>
    <n v="27"/>
  </r>
  <r>
    <s v="FB000263"/>
    <x v="0"/>
    <x v="2"/>
    <x v="0"/>
    <x v="4"/>
    <x v="10"/>
    <n v="220.14"/>
    <n v="9.1999999999999993"/>
    <n v="199.89"/>
    <d v="2025-06-27T00:00:00"/>
    <n v="23"/>
    <n v="4.8"/>
    <b v="0"/>
    <m/>
    <n v="67"/>
  </r>
  <r>
    <s v="FB000264"/>
    <x v="5"/>
    <x v="7"/>
    <x v="3"/>
    <x v="3"/>
    <x v="1"/>
    <n v="57.33"/>
    <n v="0"/>
    <n v="57.33"/>
    <d v="2025-08-06T00:00:00"/>
    <n v="23"/>
    <n v="2"/>
    <b v="0"/>
    <m/>
    <n v="27"/>
  </r>
  <r>
    <s v="FB000265"/>
    <x v="4"/>
    <x v="0"/>
    <x v="2"/>
    <x v="4"/>
    <x v="5"/>
    <n v="108.24"/>
    <n v="0"/>
    <n v="108.24"/>
    <d v="2025-08-06T00:00:00"/>
    <n v="8"/>
    <n v="2.2999999999999998"/>
    <b v="0"/>
    <m/>
    <n v="27"/>
  </r>
  <r>
    <s v="FB000266"/>
    <x v="2"/>
    <x v="2"/>
    <x v="3"/>
    <x v="2"/>
    <x v="4"/>
    <n v="67.930000000000007"/>
    <n v="0"/>
    <n v="67.930000000000007"/>
    <d v="2025-08-06T00:00:00"/>
    <n v="22"/>
    <n v="4.5999999999999996"/>
    <b v="0"/>
    <m/>
    <n v="27"/>
  </r>
  <r>
    <s v="FB000267"/>
    <x v="5"/>
    <x v="0"/>
    <x v="1"/>
    <x v="5"/>
    <x v="5"/>
    <n v="168.96"/>
    <n v="0"/>
    <n v="168.96"/>
    <d v="2025-08-06T00:00:00"/>
    <n v="9"/>
    <n v="3.0424242424242425"/>
    <b v="0"/>
    <m/>
    <n v="27"/>
  </r>
  <r>
    <s v="FB000268"/>
    <x v="1"/>
    <x v="5"/>
    <x v="2"/>
    <x v="3"/>
    <x v="3"/>
    <n v="90.63"/>
    <n v="0"/>
    <n v="90.63"/>
    <d v="2025-08-06T00:00:00"/>
    <n v="33"/>
    <n v="4.2"/>
    <b v="0"/>
    <m/>
    <n v="27"/>
  </r>
  <r>
    <s v="FB000269"/>
    <x v="2"/>
    <x v="3"/>
    <x v="0"/>
    <x v="2"/>
    <x v="6"/>
    <n v="72.3"/>
    <n v="0.4"/>
    <n v="72.010000000000005"/>
    <d v="2024-12-29T00:00:00"/>
    <n v="38"/>
    <n v="3"/>
    <b v="1"/>
    <s v="Color Mismatch"/>
    <n v="247"/>
  </r>
  <r>
    <s v="FB000270"/>
    <x v="4"/>
    <x v="4"/>
    <x v="1"/>
    <x v="3"/>
    <x v="7"/>
    <n v="27.98"/>
    <n v="0"/>
    <n v="27.98"/>
    <d v="2025-08-06T00:00:00"/>
    <n v="0"/>
    <n v="3"/>
    <b v="0"/>
    <m/>
    <n v="27"/>
  </r>
  <r>
    <s v="FB000271"/>
    <x v="5"/>
    <x v="7"/>
    <x v="3"/>
    <x v="2"/>
    <x v="8"/>
    <n v="92.73"/>
    <n v="0"/>
    <n v="92.73"/>
    <d v="2025-08-06T00:00:00"/>
    <n v="15"/>
    <n v="1.4"/>
    <b v="0"/>
    <m/>
    <n v="27"/>
  </r>
  <r>
    <s v="FB000272"/>
    <x v="4"/>
    <x v="3"/>
    <x v="3"/>
    <x v="4"/>
    <x v="3"/>
    <n v="64.28"/>
    <n v="0"/>
    <n v="64.28"/>
    <d v="2025-08-06T00:00:00"/>
    <n v="46"/>
    <n v="3"/>
    <b v="0"/>
    <m/>
    <n v="27"/>
  </r>
  <r>
    <s v="FB000273"/>
    <x v="5"/>
    <x v="5"/>
    <x v="2"/>
    <x v="6"/>
    <x v="2"/>
    <n v="133.12"/>
    <n v="0"/>
    <n v="133.12"/>
    <d v="2025-08-06T00:00:00"/>
    <n v="35"/>
    <n v="1.9"/>
    <b v="0"/>
    <m/>
    <n v="27"/>
  </r>
  <r>
    <s v="FB000274"/>
    <x v="1"/>
    <x v="6"/>
    <x v="1"/>
    <x v="4"/>
    <x v="10"/>
    <n v="70.36"/>
    <n v="0"/>
    <n v="70.36"/>
    <d v="2025-08-06T00:00:00"/>
    <n v="0"/>
    <n v="2.9074999999999998"/>
    <b v="0"/>
    <m/>
    <n v="27"/>
  </r>
  <r>
    <s v="FB000275"/>
    <x v="0"/>
    <x v="1"/>
    <x v="3"/>
    <x v="0"/>
    <x v="1"/>
    <n v="199.01"/>
    <n v="0"/>
    <n v="199.01"/>
    <d v="2025-08-06T00:00:00"/>
    <n v="8"/>
    <n v="4.4000000000000004"/>
    <b v="0"/>
    <m/>
    <n v="27"/>
  </r>
  <r>
    <s v="FB000276"/>
    <x v="4"/>
    <x v="4"/>
    <x v="3"/>
    <x v="1"/>
    <x v="8"/>
    <n v="62.41"/>
    <n v="37.1"/>
    <n v="39.26"/>
    <d v="2025-08-06T00:00:00"/>
    <n v="6"/>
    <n v="4.0999999999999996"/>
    <b v="0"/>
    <m/>
    <n v="27"/>
  </r>
  <r>
    <s v="FB000277"/>
    <x v="3"/>
    <x v="1"/>
    <x v="3"/>
    <x v="5"/>
    <x v="2"/>
    <n v="71.44"/>
    <n v="0"/>
    <n v="71.44"/>
    <d v="2025-08-06T00:00:00"/>
    <n v="45"/>
    <n v="4"/>
    <b v="0"/>
    <m/>
    <n v="27"/>
  </r>
  <r>
    <s v="FB000278"/>
    <x v="5"/>
    <x v="0"/>
    <x v="1"/>
    <x v="2"/>
    <x v="5"/>
    <n v="89.69"/>
    <n v="0"/>
    <n v="89.69"/>
    <d v="2025-08-06T00:00:00"/>
    <n v="50"/>
    <n v="4.3"/>
    <b v="0"/>
    <m/>
    <n v="27"/>
  </r>
  <r>
    <s v="FB000279"/>
    <x v="0"/>
    <x v="3"/>
    <x v="0"/>
    <x v="4"/>
    <x v="4"/>
    <n v="161.65"/>
    <n v="10.199999999999999"/>
    <n v="145.16"/>
    <d v="2025-03-30T00:00:00"/>
    <n v="42"/>
    <n v="2.4137931034482762"/>
    <b v="0"/>
    <m/>
    <n v="156"/>
  </r>
  <r>
    <s v="FB000280"/>
    <x v="2"/>
    <x v="1"/>
    <x v="1"/>
    <x v="2"/>
    <x v="3"/>
    <n v="46.59"/>
    <n v="0"/>
    <n v="46.59"/>
    <d v="2025-08-06T00:00:00"/>
    <n v="29"/>
    <n v="4.8"/>
    <b v="0"/>
    <m/>
    <n v="27"/>
  </r>
  <r>
    <s v="FB000281"/>
    <x v="2"/>
    <x v="0"/>
    <x v="2"/>
    <x v="2"/>
    <x v="1"/>
    <n v="74.2"/>
    <n v="0"/>
    <n v="74.2"/>
    <d v="2025-08-06T00:00:00"/>
    <n v="22"/>
    <n v="1.7"/>
    <b v="0"/>
    <m/>
    <n v="27"/>
  </r>
  <r>
    <s v="FB000282"/>
    <x v="4"/>
    <x v="1"/>
    <x v="2"/>
    <x v="3"/>
    <x v="10"/>
    <n v="99.67"/>
    <n v="0"/>
    <n v="99.67"/>
    <d v="2025-08-06T00:00:00"/>
    <n v="13"/>
    <n v="5"/>
    <b v="0"/>
    <m/>
    <n v="27"/>
  </r>
  <r>
    <s v="FB000283"/>
    <x v="3"/>
    <x v="7"/>
    <x v="2"/>
    <x v="5"/>
    <x v="9"/>
    <n v="112.74"/>
    <n v="23"/>
    <n v="86.81"/>
    <d v="2025-08-06T00:00:00"/>
    <n v="37"/>
    <n v="1"/>
    <b v="0"/>
    <m/>
    <n v="27"/>
  </r>
  <r>
    <s v="FB000284"/>
    <x v="1"/>
    <x v="2"/>
    <x v="3"/>
    <x v="3"/>
    <x v="2"/>
    <n v="95.82"/>
    <n v="39.4"/>
    <n v="58.07"/>
    <d v="2025-08-06T00:00:00"/>
    <n v="6"/>
    <n v="2.953125"/>
    <b v="1"/>
    <s v="Damaged"/>
    <n v="27"/>
  </r>
  <r>
    <s v="FB000285"/>
    <x v="3"/>
    <x v="5"/>
    <x v="1"/>
    <x v="6"/>
    <x v="6"/>
    <n v="157.41999999999999"/>
    <n v="0"/>
    <n v="157.41999999999999"/>
    <d v="2025-08-06T00:00:00"/>
    <n v="38"/>
    <n v="2.4"/>
    <b v="0"/>
    <m/>
    <n v="27"/>
  </r>
  <r>
    <s v="FB000286"/>
    <x v="2"/>
    <x v="0"/>
    <x v="2"/>
    <x v="2"/>
    <x v="0"/>
    <n v="60.17"/>
    <n v="14.1"/>
    <n v="51.69"/>
    <d v="2025-08-06T00:00:00"/>
    <n v="38"/>
    <n v="5"/>
    <b v="0"/>
    <m/>
    <n v="27"/>
  </r>
  <r>
    <s v="FB000287"/>
    <x v="0"/>
    <x v="3"/>
    <x v="1"/>
    <x v="0"/>
    <x v="1"/>
    <n v="169.03"/>
    <n v="0"/>
    <n v="169.03"/>
    <d v="2025-08-06T00:00:00"/>
    <n v="16"/>
    <n v="1.7"/>
    <b v="0"/>
    <m/>
    <n v="27"/>
  </r>
  <r>
    <s v="FB000288"/>
    <x v="5"/>
    <x v="1"/>
    <x v="2"/>
    <x v="3"/>
    <x v="1"/>
    <n v="175.86"/>
    <n v="0"/>
    <n v="175.86"/>
    <d v="2025-08-06T00:00:00"/>
    <n v="0"/>
    <n v="4.5999999999999996"/>
    <b v="0"/>
    <m/>
    <n v="27"/>
  </r>
  <r>
    <s v="FB000289"/>
    <x v="3"/>
    <x v="3"/>
    <x v="3"/>
    <x v="2"/>
    <x v="10"/>
    <n v="169.75"/>
    <n v="0"/>
    <n v="169.75"/>
    <d v="2025-08-06T00:00:00"/>
    <n v="5"/>
    <n v="2.7"/>
    <b v="0"/>
    <m/>
    <n v="27"/>
  </r>
  <r>
    <s v="FB000290"/>
    <x v="2"/>
    <x v="4"/>
    <x v="3"/>
    <x v="2"/>
    <x v="0"/>
    <n v="51.77"/>
    <n v="24.3"/>
    <n v="39.19"/>
    <d v="2025-08-06T00:00:00"/>
    <n v="50"/>
    <n v="3.7"/>
    <b v="0"/>
    <m/>
    <n v="27"/>
  </r>
  <r>
    <s v="FB000291"/>
    <x v="1"/>
    <x v="3"/>
    <x v="2"/>
    <x v="6"/>
    <x v="2"/>
    <n v="83.09"/>
    <n v="0"/>
    <n v="83.09"/>
    <d v="2025-08-06T00:00:00"/>
    <n v="22"/>
    <n v="2.2999999999999998"/>
    <b v="0"/>
    <m/>
    <n v="27"/>
  </r>
  <r>
    <s v="FB000292"/>
    <x v="0"/>
    <x v="5"/>
    <x v="1"/>
    <x v="5"/>
    <x v="9"/>
    <n v="176.1"/>
    <n v="0"/>
    <n v="176.1"/>
    <d v="2025-08-06T00:00:00"/>
    <n v="12"/>
    <n v="4.5999999999999996"/>
    <b v="0"/>
    <m/>
    <n v="27"/>
  </r>
  <r>
    <s v="FB000293"/>
    <x v="4"/>
    <x v="3"/>
    <x v="2"/>
    <x v="6"/>
    <x v="5"/>
    <n v="69.11"/>
    <n v="0"/>
    <n v="69.11"/>
    <d v="2025-08-06T00:00:00"/>
    <n v="18"/>
    <n v="3.9"/>
    <b v="0"/>
    <m/>
    <n v="27"/>
  </r>
  <r>
    <s v="FB000294"/>
    <x v="3"/>
    <x v="0"/>
    <x v="0"/>
    <x v="3"/>
    <x v="9"/>
    <n v="117.85"/>
    <n v="0"/>
    <n v="117.85"/>
    <d v="2024-12-23T00:00:00"/>
    <n v="34"/>
    <n v="3.3"/>
    <b v="0"/>
    <m/>
    <n v="253"/>
  </r>
  <r>
    <s v="FB000295"/>
    <x v="3"/>
    <x v="2"/>
    <x v="2"/>
    <x v="6"/>
    <x v="9"/>
    <n v="96.17"/>
    <n v="36"/>
    <n v="61.55"/>
    <d v="2025-08-06T00:00:00"/>
    <n v="45"/>
    <n v="3.5"/>
    <b v="0"/>
    <m/>
    <n v="27"/>
  </r>
  <r>
    <s v="FB000296"/>
    <x v="3"/>
    <x v="0"/>
    <x v="0"/>
    <x v="4"/>
    <x v="0"/>
    <n v="80.14"/>
    <n v="0"/>
    <n v="80.14"/>
    <d v="2025-03-31T00:00:00"/>
    <n v="10"/>
    <n v="5"/>
    <b v="0"/>
    <m/>
    <n v="155"/>
  </r>
  <r>
    <s v="FB000297"/>
    <x v="2"/>
    <x v="6"/>
    <x v="3"/>
    <x v="2"/>
    <x v="1"/>
    <n v="55.08"/>
    <n v="13"/>
    <n v="47.92"/>
    <d v="2025-08-06T00:00:00"/>
    <n v="17"/>
    <n v="3.9"/>
    <b v="0"/>
    <m/>
    <n v="27"/>
  </r>
  <r>
    <s v="FB000298"/>
    <x v="5"/>
    <x v="3"/>
    <x v="2"/>
    <x v="3"/>
    <x v="1"/>
    <n v="165.84"/>
    <n v="50.4"/>
    <n v="82.26"/>
    <d v="2025-08-06T00:00:00"/>
    <n v="17"/>
    <n v="3.2"/>
    <b v="1"/>
    <s v="Damaged"/>
    <n v="27"/>
  </r>
  <r>
    <s v="FB000299"/>
    <x v="5"/>
    <x v="6"/>
    <x v="3"/>
    <x v="4"/>
    <x v="0"/>
    <n v="82.7"/>
    <n v="0"/>
    <n v="82.7"/>
    <d v="2025-08-06T00:00:00"/>
    <n v="20"/>
    <n v="4"/>
    <b v="0"/>
    <m/>
    <n v="27"/>
  </r>
  <r>
    <s v="FB000300"/>
    <x v="0"/>
    <x v="2"/>
    <x v="0"/>
    <x v="3"/>
    <x v="9"/>
    <n v="222.86"/>
    <n v="6.6"/>
    <n v="208.15"/>
    <d v="2024-12-19T00:00:00"/>
    <n v="29"/>
    <n v="2.1"/>
    <b v="0"/>
    <m/>
    <n v="257"/>
  </r>
  <r>
    <s v="FB000301"/>
    <x v="1"/>
    <x v="3"/>
    <x v="1"/>
    <x v="1"/>
    <x v="4"/>
    <n v="107.15"/>
    <n v="0"/>
    <n v="107.15"/>
    <d v="2025-08-06T00:00:00"/>
    <n v="33"/>
    <n v="2.9742857142857138"/>
    <b v="1"/>
    <s v="Wrong Item"/>
    <n v="27"/>
  </r>
  <r>
    <s v="FB000302"/>
    <x v="3"/>
    <x v="4"/>
    <x v="2"/>
    <x v="4"/>
    <x v="4"/>
    <n v="85.54"/>
    <n v="0"/>
    <n v="85.54"/>
    <d v="2025-08-06T00:00:00"/>
    <n v="30"/>
    <n v="3.3021276595744684"/>
    <b v="0"/>
    <m/>
    <n v="27"/>
  </r>
  <r>
    <s v="FB000303"/>
    <x v="4"/>
    <x v="3"/>
    <x v="3"/>
    <x v="0"/>
    <x v="6"/>
    <n v="34.36"/>
    <n v="5.4"/>
    <n v="32.5"/>
    <d v="2025-08-06T00:00:00"/>
    <n v="49"/>
    <n v="4.5"/>
    <b v="0"/>
    <m/>
    <n v="27"/>
  </r>
  <r>
    <s v="FB000304"/>
    <x v="4"/>
    <x v="3"/>
    <x v="1"/>
    <x v="0"/>
    <x v="2"/>
    <n v="111.25"/>
    <n v="42.2"/>
    <n v="64.3"/>
    <d v="2025-08-06T00:00:00"/>
    <n v="34"/>
    <n v="3"/>
    <b v="0"/>
    <m/>
    <n v="27"/>
  </r>
  <r>
    <s v="FB000305"/>
    <x v="1"/>
    <x v="0"/>
    <x v="0"/>
    <x v="4"/>
    <x v="1"/>
    <n v="39.97"/>
    <n v="35.200000000000003"/>
    <n v="25.9"/>
    <d v="2025-01-22T00:00:00"/>
    <n v="15"/>
    <n v="2.2999999999999998"/>
    <b v="0"/>
    <m/>
    <n v="223"/>
  </r>
  <r>
    <s v="FB000306"/>
    <x v="3"/>
    <x v="7"/>
    <x v="3"/>
    <x v="6"/>
    <x v="3"/>
    <n v="60.34"/>
    <n v="0"/>
    <n v="60.34"/>
    <d v="2025-08-06T00:00:00"/>
    <n v="4"/>
    <n v="3.2576923076923077"/>
    <b v="0"/>
    <m/>
    <n v="27"/>
  </r>
  <r>
    <s v="FB000307"/>
    <x v="2"/>
    <x v="6"/>
    <x v="3"/>
    <x v="2"/>
    <x v="5"/>
    <n v="17.7"/>
    <n v="0"/>
    <n v="17.7"/>
    <d v="2025-08-06T00:00:00"/>
    <n v="42"/>
    <n v="3.9"/>
    <b v="0"/>
    <m/>
    <n v="27"/>
  </r>
  <r>
    <s v="FB000308"/>
    <x v="4"/>
    <x v="3"/>
    <x v="3"/>
    <x v="6"/>
    <x v="3"/>
    <n v="57.88"/>
    <n v="0"/>
    <n v="57.88"/>
    <d v="2025-08-06T00:00:00"/>
    <n v="39"/>
    <n v="3"/>
    <b v="0"/>
    <m/>
    <n v="27"/>
  </r>
  <r>
    <s v="FB000309"/>
    <x v="1"/>
    <x v="3"/>
    <x v="3"/>
    <x v="3"/>
    <x v="5"/>
    <n v="25.15"/>
    <n v="0"/>
    <n v="25.15"/>
    <d v="2025-08-06T00:00:00"/>
    <n v="34"/>
    <n v="2.6"/>
    <b v="0"/>
    <m/>
    <n v="27"/>
  </r>
  <r>
    <s v="FB000310"/>
    <x v="0"/>
    <x v="3"/>
    <x v="0"/>
    <x v="1"/>
    <x v="9"/>
    <n v="157.44999999999999"/>
    <n v="0"/>
    <n v="157.44999999999999"/>
    <d v="2025-05-26T00:00:00"/>
    <n v="7"/>
    <n v="2.9"/>
    <b v="0"/>
    <m/>
    <n v="99"/>
  </r>
  <r>
    <s v="FB000311"/>
    <x v="4"/>
    <x v="4"/>
    <x v="1"/>
    <x v="1"/>
    <x v="9"/>
    <n v="65.72"/>
    <n v="9.1"/>
    <n v="59.74"/>
    <d v="2025-08-06T00:00:00"/>
    <n v="10"/>
    <n v="2.8"/>
    <b v="1"/>
    <s v="Quality Issue"/>
    <n v="27"/>
  </r>
  <r>
    <s v="FB000312"/>
    <x v="5"/>
    <x v="7"/>
    <x v="1"/>
    <x v="4"/>
    <x v="10"/>
    <n v="92.8"/>
    <n v="0"/>
    <n v="92.8"/>
    <d v="2025-08-06T00:00:00"/>
    <n v="25"/>
    <n v="2.5"/>
    <b v="0"/>
    <m/>
    <n v="27"/>
  </r>
  <r>
    <s v="FB000313"/>
    <x v="5"/>
    <x v="2"/>
    <x v="1"/>
    <x v="0"/>
    <x v="5"/>
    <n v="88.65"/>
    <n v="0"/>
    <n v="88.65"/>
    <d v="2025-08-06T00:00:00"/>
    <n v="11"/>
    <n v="3.3"/>
    <b v="0"/>
    <m/>
    <n v="27"/>
  </r>
  <r>
    <s v="FB000314"/>
    <x v="1"/>
    <x v="0"/>
    <x v="1"/>
    <x v="4"/>
    <x v="7"/>
    <n v="47.07"/>
    <n v="57.4"/>
    <n v="20.05"/>
    <d v="2025-08-06T00:00:00"/>
    <n v="24"/>
    <n v="1.3"/>
    <b v="1"/>
    <s v="Size Issue"/>
    <n v="27"/>
  </r>
  <r>
    <s v="FB000315"/>
    <x v="0"/>
    <x v="5"/>
    <x v="3"/>
    <x v="5"/>
    <x v="0"/>
    <n v="101.75"/>
    <n v="0"/>
    <n v="101.75"/>
    <d v="2025-08-06T00:00:00"/>
    <n v="7"/>
    <n v="3.1"/>
    <b v="0"/>
    <m/>
    <n v="27"/>
  </r>
  <r>
    <s v="FB000316"/>
    <x v="5"/>
    <x v="3"/>
    <x v="0"/>
    <x v="5"/>
    <x v="5"/>
    <n v="131.08000000000001"/>
    <n v="7.5"/>
    <n v="121.25"/>
    <d v="2024-12-04T00:00:00"/>
    <n v="20"/>
    <n v="4.5"/>
    <b v="1"/>
    <s v="Wrong Item"/>
    <n v="272"/>
  </r>
  <r>
    <s v="FB000317"/>
    <x v="1"/>
    <x v="0"/>
    <x v="2"/>
    <x v="5"/>
    <x v="2"/>
    <n v="82.06"/>
    <n v="26.1"/>
    <n v="60.64"/>
    <d v="2025-08-06T00:00:00"/>
    <n v="32"/>
    <n v="1.5"/>
    <b v="0"/>
    <m/>
    <n v="27"/>
  </r>
  <r>
    <s v="FB000318"/>
    <x v="5"/>
    <x v="4"/>
    <x v="3"/>
    <x v="1"/>
    <x v="9"/>
    <n v="66.31"/>
    <n v="0"/>
    <n v="66.31"/>
    <d v="2025-08-06T00:00:00"/>
    <n v="47"/>
    <n v="3.9"/>
    <b v="0"/>
    <m/>
    <n v="27"/>
  </r>
  <r>
    <s v="FB000319"/>
    <x v="2"/>
    <x v="1"/>
    <x v="2"/>
    <x v="2"/>
    <x v="6"/>
    <n v="26.03"/>
    <n v="0"/>
    <n v="26.03"/>
    <d v="2025-08-06T00:00:00"/>
    <n v="15"/>
    <n v="3.8"/>
    <b v="0"/>
    <m/>
    <n v="27"/>
  </r>
  <r>
    <s v="FB000320"/>
    <x v="3"/>
    <x v="1"/>
    <x v="0"/>
    <x v="3"/>
    <x v="7"/>
    <n v="152.53"/>
    <n v="0"/>
    <n v="152.53"/>
    <d v="2024-11-21T00:00:00"/>
    <n v="24"/>
    <n v="4.2"/>
    <b v="0"/>
    <m/>
    <n v="285"/>
  </r>
  <r>
    <s v="FB000321"/>
    <x v="4"/>
    <x v="3"/>
    <x v="2"/>
    <x v="3"/>
    <x v="7"/>
    <n v="26.16"/>
    <n v="16.2"/>
    <n v="21.92"/>
    <d v="2025-08-06T00:00:00"/>
    <n v="13"/>
    <n v="2.2999999999999998"/>
    <b v="0"/>
    <m/>
    <n v="27"/>
  </r>
  <r>
    <s v="FB000322"/>
    <x v="5"/>
    <x v="1"/>
    <x v="1"/>
    <x v="4"/>
    <x v="5"/>
    <n v="89.17"/>
    <n v="10.8"/>
    <n v="79.540000000000006"/>
    <d v="2025-08-06T00:00:00"/>
    <n v="27"/>
    <n v="3.3"/>
    <b v="0"/>
    <m/>
    <n v="27"/>
  </r>
  <r>
    <s v="FB000323"/>
    <x v="4"/>
    <x v="4"/>
    <x v="0"/>
    <x v="2"/>
    <x v="3"/>
    <n v="106.37"/>
    <n v="0"/>
    <n v="106.37"/>
    <d v="2025-04-06T00:00:00"/>
    <n v="37"/>
    <n v="4.9000000000000004"/>
    <b v="0"/>
    <m/>
    <n v="149"/>
  </r>
  <r>
    <s v="FB000324"/>
    <x v="5"/>
    <x v="3"/>
    <x v="2"/>
    <x v="0"/>
    <x v="3"/>
    <n v="80.95"/>
    <n v="36.799999999999997"/>
    <n v="51.16"/>
    <d v="2025-08-06T00:00:00"/>
    <n v="16"/>
    <n v="2.5"/>
    <b v="0"/>
    <m/>
    <n v="27"/>
  </r>
  <r>
    <s v="FB000325"/>
    <x v="0"/>
    <x v="2"/>
    <x v="3"/>
    <x v="6"/>
    <x v="8"/>
    <n v="169.84"/>
    <n v="50.2"/>
    <n v="84.58"/>
    <d v="2025-08-06T00:00:00"/>
    <n v="21"/>
    <n v="3"/>
    <b v="1"/>
    <s v="Quality Issue"/>
    <n v="27"/>
  </r>
  <r>
    <s v="FB000326"/>
    <x v="5"/>
    <x v="7"/>
    <x v="2"/>
    <x v="6"/>
    <x v="6"/>
    <n v="159.4"/>
    <n v="8.8000000000000007"/>
    <n v="145.37"/>
    <d v="2025-08-06T00:00:00"/>
    <n v="43"/>
    <n v="4.5"/>
    <b v="0"/>
    <m/>
    <n v="27"/>
  </r>
  <r>
    <s v="FB000327"/>
    <x v="4"/>
    <x v="7"/>
    <x v="1"/>
    <x v="3"/>
    <x v="2"/>
    <n v="106.53"/>
    <n v="46.5"/>
    <n v="56.99"/>
    <d v="2025-08-06T00:00:00"/>
    <n v="17"/>
    <n v="3.1021739130434773"/>
    <b v="0"/>
    <m/>
    <n v="27"/>
  </r>
  <r>
    <s v="FB000328"/>
    <x v="2"/>
    <x v="6"/>
    <x v="0"/>
    <x v="2"/>
    <x v="2"/>
    <n v="78.81"/>
    <n v="44.7"/>
    <n v="43.58"/>
    <d v="2024-09-13T00:00:00"/>
    <n v="34"/>
    <n v="1.4"/>
    <b v="0"/>
    <m/>
    <n v="354"/>
  </r>
  <r>
    <s v="FB000329"/>
    <x v="0"/>
    <x v="1"/>
    <x v="3"/>
    <x v="5"/>
    <x v="4"/>
    <n v="117.45"/>
    <n v="29.5"/>
    <n v="82.8"/>
    <d v="2025-08-06T00:00:00"/>
    <n v="43"/>
    <n v="1.2"/>
    <b v="0"/>
    <m/>
    <n v="27"/>
  </r>
  <r>
    <s v="FB000330"/>
    <x v="2"/>
    <x v="6"/>
    <x v="0"/>
    <x v="2"/>
    <x v="7"/>
    <n v="76.94"/>
    <n v="0"/>
    <n v="76.94"/>
    <d v="2025-06-13T00:00:00"/>
    <n v="21"/>
    <n v="4.3"/>
    <b v="0"/>
    <m/>
    <n v="81"/>
  </r>
  <r>
    <s v="FB000331"/>
    <x v="0"/>
    <x v="6"/>
    <x v="3"/>
    <x v="1"/>
    <x v="3"/>
    <n v="232.19"/>
    <n v="0"/>
    <n v="232.19"/>
    <d v="2025-08-06T00:00:00"/>
    <n v="31"/>
    <n v="1.3"/>
    <b v="1"/>
    <s v="Changed Mind"/>
    <n v="27"/>
  </r>
  <r>
    <s v="FB000332"/>
    <x v="5"/>
    <x v="7"/>
    <x v="2"/>
    <x v="5"/>
    <x v="8"/>
    <n v="80.400000000000006"/>
    <n v="52.1"/>
    <n v="38.51"/>
    <d v="2025-08-06T00:00:00"/>
    <n v="7"/>
    <n v="1.2"/>
    <b v="0"/>
    <m/>
    <n v="27"/>
  </r>
  <r>
    <s v="FB000333"/>
    <x v="4"/>
    <x v="3"/>
    <x v="3"/>
    <x v="0"/>
    <x v="2"/>
    <n v="102.82"/>
    <n v="0"/>
    <n v="102.82"/>
    <d v="2025-08-06T00:00:00"/>
    <n v="50"/>
    <n v="3.6"/>
    <b v="0"/>
    <m/>
    <n v="27"/>
  </r>
  <r>
    <s v="FB000334"/>
    <x v="2"/>
    <x v="0"/>
    <x v="0"/>
    <x v="2"/>
    <x v="8"/>
    <n v="48.5"/>
    <n v="0"/>
    <n v="48.5"/>
    <d v="2025-05-09T00:00:00"/>
    <n v="46"/>
    <n v="2.9116666666666675"/>
    <b v="0"/>
    <m/>
    <n v="116"/>
  </r>
  <r>
    <s v="FB000335"/>
    <x v="4"/>
    <x v="3"/>
    <x v="2"/>
    <x v="2"/>
    <x v="1"/>
    <n v="88.4"/>
    <n v="0"/>
    <n v="88.4"/>
    <d v="2025-08-06T00:00:00"/>
    <n v="1"/>
    <n v="1.4"/>
    <b v="0"/>
    <m/>
    <n v="27"/>
  </r>
  <r>
    <s v="FB000336"/>
    <x v="3"/>
    <x v="3"/>
    <x v="1"/>
    <x v="3"/>
    <x v="2"/>
    <n v="112.5"/>
    <n v="0"/>
    <n v="112.5"/>
    <d v="2025-08-06T00:00:00"/>
    <n v="11"/>
    <n v="4.3"/>
    <b v="0"/>
    <m/>
    <n v="27"/>
  </r>
  <r>
    <s v="FB000337"/>
    <x v="4"/>
    <x v="0"/>
    <x v="2"/>
    <x v="4"/>
    <x v="4"/>
    <n v="97.95"/>
    <n v="11.1"/>
    <n v="87.08"/>
    <d v="2025-08-06T00:00:00"/>
    <n v="25"/>
    <n v="2.4"/>
    <b v="0"/>
    <m/>
    <n v="27"/>
  </r>
  <r>
    <s v="FB000338"/>
    <x v="0"/>
    <x v="4"/>
    <x v="3"/>
    <x v="6"/>
    <x v="1"/>
    <n v="114.51"/>
    <n v="36.9"/>
    <n v="72.260000000000005"/>
    <d v="2025-08-06T00:00:00"/>
    <n v="33"/>
    <n v="1.5"/>
    <b v="0"/>
    <m/>
    <n v="27"/>
  </r>
  <r>
    <s v="FB000339"/>
    <x v="4"/>
    <x v="0"/>
    <x v="1"/>
    <x v="5"/>
    <x v="10"/>
    <n v="27.85"/>
    <n v="0"/>
    <n v="27.85"/>
    <d v="2025-08-06T00:00:00"/>
    <n v="0"/>
    <n v="1.5"/>
    <b v="0"/>
    <m/>
    <n v="27"/>
  </r>
  <r>
    <s v="FB000340"/>
    <x v="3"/>
    <x v="5"/>
    <x v="0"/>
    <x v="0"/>
    <x v="5"/>
    <n v="82.08"/>
    <n v="40.6"/>
    <n v="48.76"/>
    <d v="2025-05-23T00:00:00"/>
    <n v="43"/>
    <n v="2.5"/>
    <b v="1"/>
    <s v="Quality Issue"/>
    <n v="102"/>
  </r>
  <r>
    <s v="FB000341"/>
    <x v="4"/>
    <x v="3"/>
    <x v="3"/>
    <x v="3"/>
    <x v="2"/>
    <n v="116.41"/>
    <n v="40.700000000000003"/>
    <n v="69.03"/>
    <d v="2025-08-06T00:00:00"/>
    <n v="23"/>
    <n v="1.2"/>
    <b v="0"/>
    <m/>
    <n v="27"/>
  </r>
  <r>
    <s v="FB000342"/>
    <x v="4"/>
    <x v="5"/>
    <x v="0"/>
    <x v="6"/>
    <x v="3"/>
    <n v="95.61"/>
    <n v="0"/>
    <n v="95.61"/>
    <d v="2025-06-10T00:00:00"/>
    <n v="47"/>
    <n v="4.7"/>
    <b v="1"/>
    <s v="Quality Issue"/>
    <n v="84"/>
  </r>
  <r>
    <s v="FB000343"/>
    <x v="3"/>
    <x v="3"/>
    <x v="2"/>
    <x v="6"/>
    <x v="3"/>
    <n v="70.040000000000006"/>
    <n v="0"/>
    <n v="70.040000000000006"/>
    <d v="2025-08-06T00:00:00"/>
    <n v="12"/>
    <n v="2.4"/>
    <b v="0"/>
    <m/>
    <n v="27"/>
  </r>
  <r>
    <s v="FB000344"/>
    <x v="3"/>
    <x v="2"/>
    <x v="1"/>
    <x v="3"/>
    <x v="4"/>
    <n v="112.59"/>
    <n v="54"/>
    <n v="51.79"/>
    <d v="2025-08-06T00:00:00"/>
    <n v="17"/>
    <n v="4"/>
    <b v="0"/>
    <m/>
    <n v="27"/>
  </r>
  <r>
    <s v="FB000345"/>
    <x v="2"/>
    <x v="0"/>
    <x v="3"/>
    <x v="2"/>
    <x v="9"/>
    <n v="26.8"/>
    <n v="0.9"/>
    <n v="26.56"/>
    <d v="2025-08-06T00:00:00"/>
    <n v="25"/>
    <n v="1.2"/>
    <b v="1"/>
    <s v="Color Mismatch"/>
    <n v="27"/>
  </r>
  <r>
    <s v="FB000346"/>
    <x v="1"/>
    <x v="4"/>
    <x v="3"/>
    <x v="1"/>
    <x v="5"/>
    <n v="50.09"/>
    <n v="0"/>
    <n v="50.09"/>
    <d v="2025-08-06T00:00:00"/>
    <n v="47"/>
    <n v="4"/>
    <b v="0"/>
    <m/>
    <n v="27"/>
  </r>
  <r>
    <s v="FB000347"/>
    <x v="4"/>
    <x v="3"/>
    <x v="0"/>
    <x v="5"/>
    <x v="6"/>
    <n v="92.84"/>
    <n v="4.2"/>
    <n v="88.94"/>
    <d v="2025-01-13T00:00:00"/>
    <n v="0"/>
    <n v="2.8142857142857149"/>
    <b v="1"/>
    <s v="Size Issue"/>
    <n v="232"/>
  </r>
  <r>
    <s v="FB000348"/>
    <x v="1"/>
    <x v="1"/>
    <x v="3"/>
    <x v="4"/>
    <x v="4"/>
    <n v="114.63"/>
    <n v="0"/>
    <n v="114.63"/>
    <d v="2025-08-06T00:00:00"/>
    <n v="47"/>
    <n v="3.8"/>
    <b v="1"/>
    <s v="Changed Mind"/>
    <n v="27"/>
  </r>
  <r>
    <s v="FB000349"/>
    <x v="2"/>
    <x v="6"/>
    <x v="3"/>
    <x v="2"/>
    <x v="9"/>
    <n v="21.9"/>
    <n v="29.2"/>
    <n v="15.51"/>
    <d v="2025-08-06T00:00:00"/>
    <n v="35"/>
    <n v="2"/>
    <b v="0"/>
    <m/>
    <n v="27"/>
  </r>
  <r>
    <s v="FB000350"/>
    <x v="5"/>
    <x v="0"/>
    <x v="0"/>
    <x v="5"/>
    <x v="8"/>
    <n v="100.55"/>
    <n v="46.7"/>
    <n v="53.59"/>
    <d v="2025-02-01T00:00:00"/>
    <n v="30"/>
    <n v="3.0424242424242425"/>
    <b v="0"/>
    <m/>
    <n v="213"/>
  </r>
  <r>
    <s v="FB000351"/>
    <x v="2"/>
    <x v="7"/>
    <x v="3"/>
    <x v="2"/>
    <x v="10"/>
    <n v="47.45"/>
    <n v="16.399999999999999"/>
    <n v="39.67"/>
    <d v="2025-08-06T00:00:00"/>
    <n v="33"/>
    <n v="1.7"/>
    <b v="0"/>
    <m/>
    <n v="27"/>
  </r>
  <r>
    <s v="FB000352"/>
    <x v="4"/>
    <x v="4"/>
    <x v="3"/>
    <x v="0"/>
    <x v="10"/>
    <n v="113.21"/>
    <n v="0"/>
    <n v="113.21"/>
    <d v="2025-08-06T00:00:00"/>
    <n v="8"/>
    <n v="2.7"/>
    <b v="0"/>
    <m/>
    <n v="27"/>
  </r>
  <r>
    <s v="FB000353"/>
    <x v="5"/>
    <x v="2"/>
    <x v="0"/>
    <x v="5"/>
    <x v="2"/>
    <n v="163.27000000000001"/>
    <n v="0"/>
    <n v="163.27000000000001"/>
    <d v="2025-04-23T00:00:00"/>
    <n v="24"/>
    <n v="2.5"/>
    <b v="0"/>
    <m/>
    <n v="132"/>
  </r>
  <r>
    <s v="FB000354"/>
    <x v="2"/>
    <x v="1"/>
    <x v="2"/>
    <x v="2"/>
    <x v="2"/>
    <n v="44.58"/>
    <n v="0"/>
    <n v="44.58"/>
    <d v="2025-08-06T00:00:00"/>
    <n v="21"/>
    <n v="3.1288461538461547"/>
    <b v="0"/>
    <m/>
    <n v="27"/>
  </r>
  <r>
    <s v="FB000355"/>
    <x v="5"/>
    <x v="7"/>
    <x v="3"/>
    <x v="1"/>
    <x v="0"/>
    <n v="166.53"/>
    <n v="0"/>
    <n v="166.53"/>
    <d v="2025-08-06T00:00:00"/>
    <n v="28"/>
    <n v="1.7"/>
    <b v="0"/>
    <m/>
    <n v="27"/>
  </r>
  <r>
    <s v="FB000356"/>
    <x v="3"/>
    <x v="2"/>
    <x v="3"/>
    <x v="0"/>
    <x v="1"/>
    <n v="144.61000000000001"/>
    <n v="0"/>
    <n v="144.61000000000001"/>
    <d v="2025-08-06T00:00:00"/>
    <n v="21"/>
    <n v="2.5"/>
    <b v="0"/>
    <m/>
    <n v="27"/>
  </r>
  <r>
    <s v="FB000357"/>
    <x v="2"/>
    <x v="3"/>
    <x v="2"/>
    <x v="2"/>
    <x v="8"/>
    <n v="31"/>
    <n v="0"/>
    <n v="31"/>
    <d v="2025-08-06T00:00:00"/>
    <n v="29"/>
    <n v="1.9"/>
    <b v="0"/>
    <m/>
    <n v="27"/>
  </r>
  <r>
    <s v="FB000358"/>
    <x v="2"/>
    <x v="7"/>
    <x v="1"/>
    <x v="2"/>
    <x v="1"/>
    <n v="68.569999999999993"/>
    <n v="29.4"/>
    <n v="48.41"/>
    <d v="2025-08-06T00:00:00"/>
    <n v="4"/>
    <n v="3.5"/>
    <b v="0"/>
    <m/>
    <n v="27"/>
  </r>
  <r>
    <s v="FB000359"/>
    <x v="5"/>
    <x v="7"/>
    <x v="3"/>
    <x v="1"/>
    <x v="0"/>
    <n v="73.040000000000006"/>
    <n v="56.5"/>
    <n v="31.77"/>
    <d v="2025-08-06T00:00:00"/>
    <n v="15"/>
    <n v="3"/>
    <b v="1"/>
    <s v="Changed Mind"/>
    <n v="27"/>
  </r>
  <r>
    <s v="FB000360"/>
    <x v="1"/>
    <x v="4"/>
    <x v="0"/>
    <x v="1"/>
    <x v="9"/>
    <n v="95.19"/>
    <n v="0"/>
    <n v="95.19"/>
    <d v="2025-02-09T00:00:00"/>
    <n v="13"/>
    <n v="4.0999999999999996"/>
    <b v="0"/>
    <m/>
    <n v="205"/>
  </r>
  <r>
    <s v="FB000361"/>
    <x v="1"/>
    <x v="6"/>
    <x v="1"/>
    <x v="5"/>
    <x v="9"/>
    <n v="104.94"/>
    <n v="0"/>
    <n v="104.94"/>
    <d v="2025-08-06T00:00:00"/>
    <n v="42"/>
    <n v="2"/>
    <b v="0"/>
    <m/>
    <n v="27"/>
  </r>
  <r>
    <s v="FB000362"/>
    <x v="4"/>
    <x v="6"/>
    <x v="0"/>
    <x v="4"/>
    <x v="7"/>
    <n v="97.29"/>
    <n v="0"/>
    <n v="97.29"/>
    <d v="2025-07-29T00:00:00"/>
    <n v="42"/>
    <n v="4.5"/>
    <b v="0"/>
    <m/>
    <n v="35"/>
  </r>
  <r>
    <s v="FB000363"/>
    <x v="3"/>
    <x v="3"/>
    <x v="1"/>
    <x v="1"/>
    <x v="3"/>
    <n v="83.05"/>
    <n v="39.799999999999997"/>
    <n v="50"/>
    <d v="2025-08-06T00:00:00"/>
    <n v="5"/>
    <n v="3.4"/>
    <b v="0"/>
    <m/>
    <n v="27"/>
  </r>
  <r>
    <s v="FB000364"/>
    <x v="0"/>
    <x v="1"/>
    <x v="2"/>
    <x v="3"/>
    <x v="7"/>
    <n v="86.13"/>
    <n v="0"/>
    <n v="86.13"/>
    <d v="2025-08-06T00:00:00"/>
    <n v="28"/>
    <n v="2.7"/>
    <b v="0"/>
    <m/>
    <n v="27"/>
  </r>
  <r>
    <s v="FB000365"/>
    <x v="4"/>
    <x v="2"/>
    <x v="3"/>
    <x v="3"/>
    <x v="3"/>
    <n v="104.13"/>
    <n v="28.7"/>
    <n v="74.239999999999995"/>
    <d v="2025-08-06T00:00:00"/>
    <n v="23"/>
    <n v="3.1"/>
    <b v="0"/>
    <m/>
    <n v="27"/>
  </r>
  <r>
    <s v="FB000366"/>
    <x v="2"/>
    <x v="1"/>
    <x v="2"/>
    <x v="2"/>
    <x v="6"/>
    <n v="41.7"/>
    <n v="0"/>
    <n v="41.7"/>
    <d v="2025-08-06T00:00:00"/>
    <n v="18"/>
    <n v="3.2"/>
    <b v="0"/>
    <m/>
    <n v="27"/>
  </r>
  <r>
    <s v="FB000367"/>
    <x v="0"/>
    <x v="2"/>
    <x v="0"/>
    <x v="1"/>
    <x v="3"/>
    <n v="80.11"/>
    <n v="0"/>
    <n v="80.11"/>
    <d v="2025-04-16T00:00:00"/>
    <n v="34"/>
    <n v="1.8"/>
    <b v="0"/>
    <m/>
    <n v="139"/>
  </r>
  <r>
    <s v="FB000368"/>
    <x v="1"/>
    <x v="5"/>
    <x v="2"/>
    <x v="1"/>
    <x v="3"/>
    <n v="97.84"/>
    <n v="0"/>
    <n v="97.84"/>
    <d v="2025-08-06T00:00:00"/>
    <n v="16"/>
    <n v="2.9846153846153847"/>
    <b v="0"/>
    <m/>
    <n v="27"/>
  </r>
  <r>
    <s v="FB000369"/>
    <x v="4"/>
    <x v="6"/>
    <x v="2"/>
    <x v="0"/>
    <x v="7"/>
    <n v="77.37"/>
    <n v="35.200000000000003"/>
    <n v="50.14"/>
    <d v="2025-08-06T00:00:00"/>
    <n v="14"/>
    <n v="2.2999999999999998"/>
    <b v="0"/>
    <m/>
    <n v="27"/>
  </r>
  <r>
    <s v="FB000370"/>
    <x v="2"/>
    <x v="4"/>
    <x v="2"/>
    <x v="2"/>
    <x v="0"/>
    <n v="36.35"/>
    <n v="37.6"/>
    <n v="22.68"/>
    <d v="2025-08-06T00:00:00"/>
    <n v="49"/>
    <n v="4"/>
    <b v="1"/>
    <s v="Changed Mind"/>
    <n v="27"/>
  </r>
  <r>
    <s v="FB000371"/>
    <x v="0"/>
    <x v="2"/>
    <x v="1"/>
    <x v="4"/>
    <x v="6"/>
    <n v="181.04"/>
    <n v="20.2"/>
    <n v="144.47"/>
    <d v="2025-08-06T00:00:00"/>
    <n v="17"/>
    <n v="3.0177777777777774"/>
    <b v="1"/>
    <s v="Size Issue"/>
    <n v="27"/>
  </r>
  <r>
    <s v="FB000372"/>
    <x v="0"/>
    <x v="0"/>
    <x v="0"/>
    <x v="0"/>
    <x v="2"/>
    <n v="158.37"/>
    <n v="0"/>
    <n v="158.37"/>
    <d v="2025-02-15T00:00:00"/>
    <n v="33"/>
    <n v="2.7030303030303036"/>
    <b v="0"/>
    <m/>
    <n v="199"/>
  </r>
  <r>
    <s v="FB000373"/>
    <x v="3"/>
    <x v="7"/>
    <x v="3"/>
    <x v="4"/>
    <x v="9"/>
    <n v="91.98"/>
    <n v="0"/>
    <n v="91.98"/>
    <d v="2025-08-06T00:00:00"/>
    <n v="48"/>
    <n v="3.9"/>
    <b v="0"/>
    <m/>
    <n v="27"/>
  </r>
  <r>
    <s v="FB000374"/>
    <x v="3"/>
    <x v="0"/>
    <x v="1"/>
    <x v="3"/>
    <x v="10"/>
    <n v="140.29"/>
    <n v="55.3"/>
    <n v="62.71"/>
    <d v="2025-08-06T00:00:00"/>
    <n v="5"/>
    <n v="4.4000000000000004"/>
    <b v="0"/>
    <m/>
    <n v="27"/>
  </r>
  <r>
    <s v="FB000375"/>
    <x v="1"/>
    <x v="1"/>
    <x v="0"/>
    <x v="0"/>
    <x v="0"/>
    <n v="26.01"/>
    <n v="0"/>
    <n v="26.01"/>
    <d v="2025-02-23T00:00:00"/>
    <n v="9"/>
    <n v="4"/>
    <b v="0"/>
    <m/>
    <n v="191"/>
  </r>
  <r>
    <s v="FB000376"/>
    <x v="1"/>
    <x v="7"/>
    <x v="1"/>
    <x v="0"/>
    <x v="5"/>
    <n v="51.06"/>
    <n v="9.5"/>
    <n v="46.21"/>
    <d v="2025-08-06T00:00:00"/>
    <n v="34"/>
    <n v="1.1000000000000001"/>
    <b v="0"/>
    <m/>
    <n v="27"/>
  </r>
  <r>
    <s v="FB000377"/>
    <x v="0"/>
    <x v="6"/>
    <x v="2"/>
    <x v="5"/>
    <x v="0"/>
    <n v="132.91999999999999"/>
    <n v="0"/>
    <n v="132.91999999999999"/>
    <d v="2025-08-06T00:00:00"/>
    <n v="36"/>
    <n v="1.2"/>
    <b v="0"/>
    <m/>
    <n v="27"/>
  </r>
  <r>
    <s v="FB000378"/>
    <x v="2"/>
    <x v="6"/>
    <x v="2"/>
    <x v="2"/>
    <x v="9"/>
    <n v="16.57"/>
    <n v="0"/>
    <n v="16.57"/>
    <d v="2025-08-06T00:00:00"/>
    <n v="17"/>
    <n v="3.2720930232558145"/>
    <b v="0"/>
    <m/>
    <n v="27"/>
  </r>
  <r>
    <s v="FB000379"/>
    <x v="4"/>
    <x v="7"/>
    <x v="1"/>
    <x v="5"/>
    <x v="2"/>
    <n v="78.599999999999994"/>
    <n v="45.8"/>
    <n v="42.6"/>
    <d v="2025-08-06T00:00:00"/>
    <n v="6"/>
    <n v="2.7"/>
    <b v="0"/>
    <m/>
    <n v="27"/>
  </r>
  <r>
    <s v="FB000380"/>
    <x v="2"/>
    <x v="3"/>
    <x v="3"/>
    <x v="2"/>
    <x v="10"/>
    <n v="69.38"/>
    <n v="0"/>
    <n v="69.38"/>
    <d v="2025-08-06T00:00:00"/>
    <n v="43"/>
    <n v="2.4"/>
    <b v="0"/>
    <m/>
    <n v="27"/>
  </r>
  <r>
    <s v="FB000381"/>
    <x v="2"/>
    <x v="3"/>
    <x v="2"/>
    <x v="2"/>
    <x v="1"/>
    <n v="23.58"/>
    <n v="0"/>
    <n v="23.58"/>
    <d v="2025-08-06T00:00:00"/>
    <n v="16"/>
    <n v="1.3"/>
    <b v="0"/>
    <m/>
    <n v="27"/>
  </r>
  <r>
    <s v="FB000382"/>
    <x v="1"/>
    <x v="4"/>
    <x v="0"/>
    <x v="5"/>
    <x v="8"/>
    <n v="119.91"/>
    <n v="27.8"/>
    <n v="86.58"/>
    <d v="2024-09-28T00:00:00"/>
    <n v="12"/>
    <n v="1.7"/>
    <b v="0"/>
    <m/>
    <n v="339"/>
  </r>
  <r>
    <s v="FB000383"/>
    <x v="0"/>
    <x v="4"/>
    <x v="3"/>
    <x v="6"/>
    <x v="2"/>
    <n v="111.05"/>
    <n v="1.4"/>
    <n v="109.5"/>
    <d v="2025-08-06T00:00:00"/>
    <n v="7"/>
    <n v="2.8"/>
    <b v="0"/>
    <m/>
    <n v="27"/>
  </r>
  <r>
    <s v="FB000384"/>
    <x v="2"/>
    <x v="2"/>
    <x v="3"/>
    <x v="2"/>
    <x v="4"/>
    <n v="60.22"/>
    <n v="0"/>
    <n v="60.22"/>
    <d v="2025-08-06T00:00:00"/>
    <n v="6"/>
    <n v="2.1"/>
    <b v="0"/>
    <m/>
    <n v="27"/>
  </r>
  <r>
    <s v="FB000385"/>
    <x v="0"/>
    <x v="6"/>
    <x v="1"/>
    <x v="6"/>
    <x v="8"/>
    <n v="133.52000000000001"/>
    <n v="0"/>
    <n v="133.52000000000001"/>
    <d v="2025-08-06T00:00:00"/>
    <n v="27"/>
    <n v="3.6"/>
    <b v="0"/>
    <m/>
    <n v="27"/>
  </r>
  <r>
    <s v="FB000386"/>
    <x v="5"/>
    <x v="2"/>
    <x v="0"/>
    <x v="0"/>
    <x v="10"/>
    <n v="54.97"/>
    <n v="49.6"/>
    <n v="27.7"/>
    <d v="2024-10-08T00:00:00"/>
    <n v="48"/>
    <n v="4.5"/>
    <b v="0"/>
    <m/>
    <n v="329"/>
  </r>
  <r>
    <s v="FB000387"/>
    <x v="1"/>
    <x v="1"/>
    <x v="1"/>
    <x v="1"/>
    <x v="3"/>
    <n v="85.94"/>
    <n v="0"/>
    <n v="85.94"/>
    <d v="2025-08-06T00:00:00"/>
    <n v="42"/>
    <n v="4.3"/>
    <b v="0"/>
    <m/>
    <n v="27"/>
  </r>
  <r>
    <s v="FB000388"/>
    <x v="2"/>
    <x v="4"/>
    <x v="2"/>
    <x v="2"/>
    <x v="2"/>
    <n v="24.64"/>
    <n v="0"/>
    <n v="24.64"/>
    <d v="2025-08-06T00:00:00"/>
    <n v="6"/>
    <n v="4.4000000000000004"/>
    <b v="0"/>
    <m/>
    <n v="27"/>
  </r>
  <r>
    <s v="FB000389"/>
    <x v="2"/>
    <x v="2"/>
    <x v="0"/>
    <x v="2"/>
    <x v="5"/>
    <n v="28.82"/>
    <n v="0"/>
    <n v="28.82"/>
    <d v="2024-10-23T00:00:00"/>
    <n v="30"/>
    <n v="2.8"/>
    <b v="0"/>
    <m/>
    <n v="314"/>
  </r>
  <r>
    <s v="FB000390"/>
    <x v="3"/>
    <x v="7"/>
    <x v="3"/>
    <x v="1"/>
    <x v="1"/>
    <n v="79.59"/>
    <n v="24.3"/>
    <n v="60.25"/>
    <d v="2025-08-06T00:00:00"/>
    <n v="37"/>
    <n v="1.7"/>
    <b v="0"/>
    <m/>
    <n v="27"/>
  </r>
  <r>
    <s v="FB000391"/>
    <x v="5"/>
    <x v="6"/>
    <x v="2"/>
    <x v="0"/>
    <x v="5"/>
    <n v="49.44"/>
    <n v="0"/>
    <n v="49.44"/>
    <d v="2025-08-06T00:00:00"/>
    <n v="19"/>
    <n v="3.4"/>
    <b v="0"/>
    <m/>
    <n v="27"/>
  </r>
  <r>
    <s v="FB000392"/>
    <x v="1"/>
    <x v="3"/>
    <x v="1"/>
    <x v="5"/>
    <x v="5"/>
    <n v="41.46"/>
    <n v="0"/>
    <n v="41.46"/>
    <d v="2025-08-06T00:00:00"/>
    <n v="36"/>
    <n v="3.5"/>
    <b v="0"/>
    <m/>
    <n v="27"/>
  </r>
  <r>
    <s v="FB000393"/>
    <x v="5"/>
    <x v="1"/>
    <x v="2"/>
    <x v="5"/>
    <x v="7"/>
    <n v="131.76"/>
    <n v="35.4"/>
    <n v="85.12"/>
    <d v="2025-08-06T00:00:00"/>
    <n v="21"/>
    <n v="4.7"/>
    <b v="0"/>
    <m/>
    <n v="27"/>
  </r>
  <r>
    <s v="FB000394"/>
    <x v="4"/>
    <x v="3"/>
    <x v="2"/>
    <x v="6"/>
    <x v="5"/>
    <n v="56.53"/>
    <n v="27.9"/>
    <n v="40.76"/>
    <d v="2025-08-06T00:00:00"/>
    <n v="22"/>
    <n v="2.8142857142857149"/>
    <b v="0"/>
    <m/>
    <n v="27"/>
  </r>
  <r>
    <s v="FB000395"/>
    <x v="1"/>
    <x v="0"/>
    <x v="1"/>
    <x v="2"/>
    <x v="5"/>
    <n v="111.72"/>
    <n v="33.299999999999997"/>
    <n v="74.52"/>
    <d v="2025-08-06T00:00:00"/>
    <n v="47"/>
    <n v="2"/>
    <b v="1"/>
    <s v="Quality Issue"/>
    <n v="27"/>
  </r>
  <r>
    <s v="FB000396"/>
    <x v="1"/>
    <x v="0"/>
    <x v="1"/>
    <x v="1"/>
    <x v="7"/>
    <n v="99.96"/>
    <n v="47.6"/>
    <n v="52.38"/>
    <d v="2025-08-06T00:00:00"/>
    <n v="18"/>
    <n v="2"/>
    <b v="1"/>
    <s v="Quality Issue"/>
    <n v="27"/>
  </r>
  <r>
    <s v="FB000397"/>
    <x v="5"/>
    <x v="1"/>
    <x v="2"/>
    <x v="5"/>
    <x v="0"/>
    <n v="110.04"/>
    <n v="57.1"/>
    <n v="47.21"/>
    <d v="2025-08-06T00:00:00"/>
    <n v="0"/>
    <n v="4.7"/>
    <b v="0"/>
    <m/>
    <n v="27"/>
  </r>
  <r>
    <s v="FB000398"/>
    <x v="5"/>
    <x v="7"/>
    <x v="1"/>
    <x v="1"/>
    <x v="5"/>
    <n v="141.84"/>
    <n v="0"/>
    <n v="141.84"/>
    <d v="2025-08-06T00:00:00"/>
    <n v="39"/>
    <n v="1.7"/>
    <b v="0"/>
    <m/>
    <n v="27"/>
  </r>
  <r>
    <s v="FB000399"/>
    <x v="2"/>
    <x v="4"/>
    <x v="1"/>
    <x v="2"/>
    <x v="10"/>
    <n v="32.630000000000003"/>
    <n v="42.9"/>
    <n v="18.63"/>
    <d v="2025-08-06T00:00:00"/>
    <n v="5"/>
    <n v="1.1000000000000001"/>
    <b v="0"/>
    <m/>
    <n v="27"/>
  </r>
  <r>
    <s v="FB000400"/>
    <x v="0"/>
    <x v="0"/>
    <x v="0"/>
    <x v="1"/>
    <x v="2"/>
    <n v="189.68"/>
    <n v="40.799999999999997"/>
    <n v="112.29"/>
    <d v="2024-09-21T00:00:00"/>
    <n v="27"/>
    <n v="1.8"/>
    <b v="1"/>
    <s v="Damaged"/>
    <n v="346"/>
  </r>
  <r>
    <s v="FB000401"/>
    <x v="5"/>
    <x v="5"/>
    <x v="2"/>
    <x v="0"/>
    <x v="1"/>
    <n v="150.88999999999999"/>
    <n v="46.8"/>
    <n v="80.27"/>
    <d v="2025-08-06T00:00:00"/>
    <n v="18"/>
    <n v="4.9000000000000004"/>
    <b v="0"/>
    <m/>
    <n v="27"/>
  </r>
  <r>
    <s v="FB000402"/>
    <x v="2"/>
    <x v="6"/>
    <x v="2"/>
    <x v="2"/>
    <x v="8"/>
    <n v="42.66"/>
    <n v="21.5"/>
    <n v="33.49"/>
    <d v="2025-08-06T00:00:00"/>
    <n v="16"/>
    <n v="3.2720930232558145"/>
    <b v="0"/>
    <m/>
    <n v="27"/>
  </r>
  <r>
    <s v="FB000403"/>
    <x v="2"/>
    <x v="1"/>
    <x v="2"/>
    <x v="2"/>
    <x v="0"/>
    <n v="62.05"/>
    <n v="0"/>
    <n v="62.05"/>
    <d v="2025-08-06T00:00:00"/>
    <n v="50"/>
    <n v="1.4"/>
    <b v="1"/>
    <s v="Changed Mind"/>
    <n v="27"/>
  </r>
  <r>
    <s v="FB000404"/>
    <x v="2"/>
    <x v="2"/>
    <x v="1"/>
    <x v="2"/>
    <x v="6"/>
    <n v="74.319999999999993"/>
    <n v="0"/>
    <n v="74.319999999999993"/>
    <d v="2025-08-06T00:00:00"/>
    <n v="4"/>
    <n v="2.2000000000000002"/>
    <b v="0"/>
    <m/>
    <n v="27"/>
  </r>
  <r>
    <s v="FB000405"/>
    <x v="0"/>
    <x v="1"/>
    <x v="1"/>
    <x v="5"/>
    <x v="8"/>
    <n v="217.34"/>
    <n v="0"/>
    <n v="217.34"/>
    <d v="2025-08-06T00:00:00"/>
    <n v="4"/>
    <n v="4.2"/>
    <b v="0"/>
    <m/>
    <n v="27"/>
  </r>
  <r>
    <s v="FB000406"/>
    <x v="1"/>
    <x v="0"/>
    <x v="3"/>
    <x v="0"/>
    <x v="3"/>
    <n v="111.14"/>
    <n v="56.7"/>
    <n v="48.12"/>
    <d v="2025-08-06T00:00:00"/>
    <n v="29"/>
    <n v="1.5"/>
    <b v="0"/>
    <m/>
    <n v="27"/>
  </r>
  <r>
    <s v="FB000407"/>
    <x v="3"/>
    <x v="4"/>
    <x v="1"/>
    <x v="0"/>
    <x v="8"/>
    <n v="62.5"/>
    <n v="0"/>
    <n v="62.5"/>
    <d v="2025-08-06T00:00:00"/>
    <n v="0"/>
    <n v="1.9"/>
    <b v="1"/>
    <s v="Changed Mind"/>
    <n v="27"/>
  </r>
  <r>
    <s v="FB000408"/>
    <x v="0"/>
    <x v="2"/>
    <x v="1"/>
    <x v="5"/>
    <x v="5"/>
    <n v="165.88"/>
    <n v="3.4"/>
    <n v="160.24"/>
    <d v="2025-08-06T00:00:00"/>
    <n v="42"/>
    <n v="2.4"/>
    <b v="0"/>
    <m/>
    <n v="27"/>
  </r>
  <r>
    <s v="FB000409"/>
    <x v="0"/>
    <x v="6"/>
    <x v="2"/>
    <x v="5"/>
    <x v="10"/>
    <n v="179.8"/>
    <n v="0"/>
    <n v="179.8"/>
    <d v="2025-08-06T00:00:00"/>
    <n v="25"/>
    <n v="1.7"/>
    <b v="0"/>
    <m/>
    <n v="27"/>
  </r>
  <r>
    <s v="FB000410"/>
    <x v="2"/>
    <x v="0"/>
    <x v="3"/>
    <x v="2"/>
    <x v="7"/>
    <n v="34.15"/>
    <n v="0"/>
    <n v="34.15"/>
    <d v="2025-08-06T00:00:00"/>
    <n v="27"/>
    <n v="4.0999999999999996"/>
    <b v="0"/>
    <m/>
    <n v="27"/>
  </r>
  <r>
    <s v="FB000411"/>
    <x v="1"/>
    <x v="6"/>
    <x v="0"/>
    <x v="5"/>
    <x v="6"/>
    <n v="101.88"/>
    <n v="0"/>
    <n v="101.88"/>
    <d v="2025-03-14T00:00:00"/>
    <n v="46"/>
    <n v="2.9074999999999998"/>
    <b v="1"/>
    <s v="Size Issue"/>
    <n v="172"/>
  </r>
  <r>
    <s v="FB000412"/>
    <x v="3"/>
    <x v="2"/>
    <x v="3"/>
    <x v="0"/>
    <x v="5"/>
    <n v="187.58"/>
    <n v="0"/>
    <n v="187.58"/>
    <d v="2025-08-06T00:00:00"/>
    <n v="46"/>
    <n v="2.9"/>
    <b v="0"/>
    <m/>
    <n v="27"/>
  </r>
  <r>
    <s v="FB000413"/>
    <x v="0"/>
    <x v="5"/>
    <x v="2"/>
    <x v="1"/>
    <x v="1"/>
    <n v="145.02000000000001"/>
    <n v="0"/>
    <n v="145.02000000000001"/>
    <d v="2025-08-06T00:00:00"/>
    <n v="36"/>
    <n v="2.6"/>
    <b v="0"/>
    <m/>
    <n v="27"/>
  </r>
  <r>
    <s v="FB000414"/>
    <x v="4"/>
    <x v="6"/>
    <x v="3"/>
    <x v="5"/>
    <x v="5"/>
    <n v="101.61"/>
    <n v="26.9"/>
    <n v="74.28"/>
    <d v="2025-08-06T00:00:00"/>
    <n v="38"/>
    <n v="3.4"/>
    <b v="1"/>
    <s v="Damaged"/>
    <n v="27"/>
  </r>
  <r>
    <s v="FB000415"/>
    <x v="5"/>
    <x v="4"/>
    <x v="2"/>
    <x v="4"/>
    <x v="7"/>
    <n v="71.14"/>
    <n v="0"/>
    <n v="71.14"/>
    <d v="2025-08-06T00:00:00"/>
    <n v="33"/>
    <n v="3.1"/>
    <b v="0"/>
    <m/>
    <n v="27"/>
  </r>
  <r>
    <s v="FB000416"/>
    <x v="5"/>
    <x v="5"/>
    <x v="3"/>
    <x v="6"/>
    <x v="6"/>
    <n v="55.21"/>
    <n v="0"/>
    <n v="55.21"/>
    <d v="2025-08-06T00:00:00"/>
    <n v="2"/>
    <n v="3.8"/>
    <b v="1"/>
    <s v="Wrong Item"/>
    <n v="27"/>
  </r>
  <r>
    <s v="FB000417"/>
    <x v="1"/>
    <x v="0"/>
    <x v="3"/>
    <x v="4"/>
    <x v="2"/>
    <n v="94.96"/>
    <n v="35.4"/>
    <n v="61.34"/>
    <d v="2025-08-06T00:00:00"/>
    <n v="34"/>
    <n v="3.9"/>
    <b v="0"/>
    <m/>
    <n v="27"/>
  </r>
  <r>
    <s v="FB000418"/>
    <x v="3"/>
    <x v="3"/>
    <x v="0"/>
    <x v="6"/>
    <x v="9"/>
    <n v="138.69"/>
    <n v="0"/>
    <n v="138.69"/>
    <d v="2024-12-02T00:00:00"/>
    <n v="0"/>
    <n v="2.9"/>
    <b v="0"/>
    <m/>
    <n v="274"/>
  </r>
  <r>
    <s v="FB000419"/>
    <x v="0"/>
    <x v="6"/>
    <x v="0"/>
    <x v="4"/>
    <x v="8"/>
    <n v="175.7"/>
    <n v="0"/>
    <n v="175.7"/>
    <d v="2025-02-23T00:00:00"/>
    <n v="20"/>
    <n v="3"/>
    <b v="0"/>
    <m/>
    <n v="191"/>
  </r>
  <r>
    <s v="FB000420"/>
    <x v="3"/>
    <x v="1"/>
    <x v="3"/>
    <x v="5"/>
    <x v="2"/>
    <n v="145.18"/>
    <n v="35.700000000000003"/>
    <n v="93.35"/>
    <d v="2025-08-06T00:00:00"/>
    <n v="25"/>
    <n v="2.2000000000000002"/>
    <b v="0"/>
    <m/>
    <n v="27"/>
  </r>
  <r>
    <s v="FB000421"/>
    <x v="5"/>
    <x v="3"/>
    <x v="3"/>
    <x v="6"/>
    <x v="2"/>
    <n v="169.34"/>
    <n v="44.6"/>
    <n v="93.81"/>
    <d v="2025-08-06T00:00:00"/>
    <n v="37"/>
    <n v="2.7"/>
    <b v="0"/>
    <m/>
    <n v="27"/>
  </r>
  <r>
    <s v="FB000422"/>
    <x v="1"/>
    <x v="1"/>
    <x v="3"/>
    <x v="1"/>
    <x v="0"/>
    <n v="103.14"/>
    <n v="0"/>
    <n v="103.14"/>
    <d v="2025-08-06T00:00:00"/>
    <n v="13"/>
    <n v="4.5"/>
    <b v="0"/>
    <m/>
    <n v="27"/>
  </r>
  <r>
    <s v="FB000423"/>
    <x v="1"/>
    <x v="3"/>
    <x v="2"/>
    <x v="6"/>
    <x v="7"/>
    <n v="97.47"/>
    <n v="32"/>
    <n v="66.28"/>
    <d v="2025-08-06T00:00:00"/>
    <n v="27"/>
    <n v="3"/>
    <b v="0"/>
    <m/>
    <n v="27"/>
  </r>
  <r>
    <s v="FB000424"/>
    <x v="5"/>
    <x v="5"/>
    <x v="0"/>
    <x v="6"/>
    <x v="8"/>
    <n v="50.69"/>
    <n v="26.3"/>
    <n v="37.36"/>
    <d v="2024-10-29T00:00:00"/>
    <n v="37"/>
    <n v="4.0999999999999996"/>
    <b v="0"/>
    <m/>
    <n v="308"/>
  </r>
  <r>
    <s v="FB000425"/>
    <x v="0"/>
    <x v="2"/>
    <x v="2"/>
    <x v="0"/>
    <x v="2"/>
    <n v="127.75"/>
    <n v="0"/>
    <n v="127.75"/>
    <d v="2025-08-06T00:00:00"/>
    <n v="32"/>
    <n v="3.6"/>
    <b v="0"/>
    <m/>
    <n v="27"/>
  </r>
  <r>
    <s v="FB000426"/>
    <x v="1"/>
    <x v="7"/>
    <x v="1"/>
    <x v="0"/>
    <x v="2"/>
    <n v="111.64"/>
    <n v="0"/>
    <n v="111.64"/>
    <d v="2025-08-06T00:00:00"/>
    <n v="13"/>
    <n v="4.8"/>
    <b v="0"/>
    <m/>
    <n v="27"/>
  </r>
  <r>
    <s v="FB000427"/>
    <x v="3"/>
    <x v="1"/>
    <x v="2"/>
    <x v="2"/>
    <x v="9"/>
    <n v="134.6"/>
    <n v="11.6"/>
    <n v="118.99"/>
    <d v="2025-08-06T00:00:00"/>
    <n v="47"/>
    <n v="3.9"/>
    <b v="0"/>
    <m/>
    <n v="27"/>
  </r>
  <r>
    <s v="FB000428"/>
    <x v="4"/>
    <x v="0"/>
    <x v="0"/>
    <x v="4"/>
    <x v="9"/>
    <n v="56.05"/>
    <n v="0"/>
    <n v="56.05"/>
    <d v="2025-07-16T00:00:00"/>
    <n v="9"/>
    <n v="2.9210526315789478"/>
    <b v="0"/>
    <m/>
    <n v="48"/>
  </r>
  <r>
    <s v="FB000429"/>
    <x v="5"/>
    <x v="2"/>
    <x v="2"/>
    <x v="0"/>
    <x v="9"/>
    <n v="106.2"/>
    <n v="0"/>
    <n v="106.2"/>
    <d v="2025-08-06T00:00:00"/>
    <n v="35"/>
    <n v="4.5"/>
    <b v="0"/>
    <m/>
    <n v="27"/>
  </r>
  <r>
    <s v="FB000430"/>
    <x v="3"/>
    <x v="3"/>
    <x v="2"/>
    <x v="2"/>
    <x v="6"/>
    <n v="104.26"/>
    <n v="20.6"/>
    <n v="82.78"/>
    <d v="2025-08-06T00:00:00"/>
    <n v="31"/>
    <n v="3"/>
    <b v="0"/>
    <m/>
    <n v="27"/>
  </r>
  <r>
    <s v="FB000431"/>
    <x v="2"/>
    <x v="1"/>
    <x v="0"/>
    <x v="2"/>
    <x v="9"/>
    <n v="24.53"/>
    <n v="0"/>
    <n v="24.53"/>
    <d v="2024-08-20T00:00:00"/>
    <n v="44"/>
    <n v="4.2"/>
    <b v="0"/>
    <m/>
    <n v="378"/>
  </r>
  <r>
    <s v="FB000432"/>
    <x v="3"/>
    <x v="3"/>
    <x v="0"/>
    <x v="1"/>
    <x v="6"/>
    <n v="131.25"/>
    <n v="0"/>
    <n v="131.25"/>
    <d v="2025-06-18T00:00:00"/>
    <n v="12"/>
    <n v="1.6"/>
    <b v="0"/>
    <m/>
    <n v="76"/>
  </r>
  <r>
    <s v="FB000433"/>
    <x v="4"/>
    <x v="7"/>
    <x v="2"/>
    <x v="6"/>
    <x v="0"/>
    <n v="72.849999999999994"/>
    <n v="0"/>
    <n v="72.849999999999994"/>
    <d v="2025-08-06T00:00:00"/>
    <n v="25"/>
    <n v="3.8"/>
    <b v="0"/>
    <m/>
    <n v="27"/>
  </r>
  <r>
    <s v="FB000434"/>
    <x v="3"/>
    <x v="0"/>
    <x v="1"/>
    <x v="5"/>
    <x v="6"/>
    <n v="135.38999999999999"/>
    <n v="0"/>
    <n v="135.38999999999999"/>
    <d v="2025-08-06T00:00:00"/>
    <n v="26"/>
    <n v="3.9"/>
    <b v="0"/>
    <m/>
    <n v="27"/>
  </r>
  <r>
    <s v="FB000435"/>
    <x v="3"/>
    <x v="0"/>
    <x v="1"/>
    <x v="0"/>
    <x v="8"/>
    <n v="166.94"/>
    <n v="4.2"/>
    <n v="159.93"/>
    <d v="2025-08-06T00:00:00"/>
    <n v="17"/>
    <n v="2.6"/>
    <b v="1"/>
    <s v="Color Mismatch"/>
    <n v="27"/>
  </r>
  <r>
    <s v="FB000436"/>
    <x v="3"/>
    <x v="2"/>
    <x v="0"/>
    <x v="0"/>
    <x v="6"/>
    <n v="135.36000000000001"/>
    <n v="41.7"/>
    <n v="78.91"/>
    <d v="2024-12-20T00:00:00"/>
    <n v="17"/>
    <n v="4.3"/>
    <b v="0"/>
    <m/>
    <n v="256"/>
  </r>
  <r>
    <s v="FB000437"/>
    <x v="4"/>
    <x v="5"/>
    <x v="0"/>
    <x v="1"/>
    <x v="5"/>
    <n v="96.05"/>
    <n v="0"/>
    <n v="96.05"/>
    <d v="2024-09-09T00:00:00"/>
    <n v="15"/>
    <n v="4"/>
    <b v="0"/>
    <m/>
    <n v="358"/>
  </r>
  <r>
    <s v="FB000438"/>
    <x v="0"/>
    <x v="4"/>
    <x v="3"/>
    <x v="1"/>
    <x v="0"/>
    <n v="116.1"/>
    <n v="0"/>
    <n v="116.1"/>
    <d v="2025-08-06T00:00:00"/>
    <n v="27"/>
    <n v="3.6"/>
    <b v="1"/>
    <s v="Changed Mind"/>
    <n v="27"/>
  </r>
  <r>
    <s v="FB000439"/>
    <x v="3"/>
    <x v="3"/>
    <x v="2"/>
    <x v="1"/>
    <x v="2"/>
    <n v="91.53"/>
    <n v="0"/>
    <n v="91.53"/>
    <d v="2025-08-06T00:00:00"/>
    <n v="8"/>
    <n v="1.5"/>
    <b v="0"/>
    <m/>
    <n v="27"/>
  </r>
  <r>
    <s v="FB000440"/>
    <x v="4"/>
    <x v="0"/>
    <x v="1"/>
    <x v="5"/>
    <x v="4"/>
    <n v="102.16"/>
    <n v="0"/>
    <n v="102.16"/>
    <d v="2025-08-06T00:00:00"/>
    <n v="50"/>
    <n v="2.9210526315789478"/>
    <b v="0"/>
    <m/>
    <n v="27"/>
  </r>
  <r>
    <s v="FB000441"/>
    <x v="3"/>
    <x v="1"/>
    <x v="1"/>
    <x v="1"/>
    <x v="4"/>
    <n v="67.739999999999995"/>
    <n v="3.3"/>
    <n v="65.5"/>
    <d v="2025-08-06T00:00:00"/>
    <n v="23"/>
    <n v="1.5"/>
    <b v="0"/>
    <m/>
    <n v="27"/>
  </r>
  <r>
    <s v="FB000442"/>
    <x v="2"/>
    <x v="2"/>
    <x v="1"/>
    <x v="2"/>
    <x v="6"/>
    <n v="38.340000000000003"/>
    <n v="0"/>
    <n v="38.340000000000003"/>
    <d v="2025-08-06T00:00:00"/>
    <n v="14"/>
    <n v="1.4"/>
    <b v="0"/>
    <m/>
    <n v="27"/>
  </r>
  <r>
    <s v="FB000443"/>
    <x v="2"/>
    <x v="0"/>
    <x v="1"/>
    <x v="2"/>
    <x v="4"/>
    <n v="60.49"/>
    <n v="0"/>
    <n v="60.49"/>
    <d v="2025-08-06T00:00:00"/>
    <n v="30"/>
    <n v="2.5"/>
    <b v="0"/>
    <m/>
    <n v="27"/>
  </r>
  <r>
    <s v="FB000444"/>
    <x v="0"/>
    <x v="2"/>
    <x v="0"/>
    <x v="1"/>
    <x v="8"/>
    <n v="90.27"/>
    <n v="0"/>
    <n v="90.27"/>
    <d v="2025-04-16T00:00:00"/>
    <n v="35"/>
    <n v="4.2"/>
    <b v="0"/>
    <m/>
    <n v="139"/>
  </r>
  <r>
    <s v="FB000445"/>
    <x v="2"/>
    <x v="2"/>
    <x v="3"/>
    <x v="2"/>
    <x v="0"/>
    <n v="45.42"/>
    <n v="0"/>
    <n v="45.42"/>
    <d v="2025-08-06T00:00:00"/>
    <n v="36"/>
    <n v="1.3"/>
    <b v="0"/>
    <m/>
    <n v="27"/>
  </r>
  <r>
    <s v="FB000446"/>
    <x v="1"/>
    <x v="5"/>
    <x v="0"/>
    <x v="2"/>
    <x v="9"/>
    <n v="58.56"/>
    <n v="0"/>
    <n v="58.56"/>
    <d v="2025-01-23T00:00:00"/>
    <n v="21"/>
    <n v="2.2999999999999998"/>
    <b v="0"/>
    <m/>
    <n v="222"/>
  </r>
  <r>
    <s v="FB000447"/>
    <x v="5"/>
    <x v="4"/>
    <x v="3"/>
    <x v="1"/>
    <x v="1"/>
    <n v="167.64"/>
    <n v="0"/>
    <n v="167.64"/>
    <d v="2025-08-06T00:00:00"/>
    <n v="18"/>
    <n v="4.0999999999999996"/>
    <b v="0"/>
    <m/>
    <n v="27"/>
  </r>
  <r>
    <s v="FB000448"/>
    <x v="0"/>
    <x v="0"/>
    <x v="2"/>
    <x v="4"/>
    <x v="0"/>
    <n v="193.14"/>
    <n v="0"/>
    <n v="193.14"/>
    <d v="2025-08-06T00:00:00"/>
    <n v="7"/>
    <n v="3.5"/>
    <b v="0"/>
    <m/>
    <n v="27"/>
  </r>
  <r>
    <s v="FB000449"/>
    <x v="2"/>
    <x v="6"/>
    <x v="1"/>
    <x v="2"/>
    <x v="4"/>
    <n v="60.06"/>
    <n v="15.6"/>
    <n v="50.69"/>
    <d v="2025-08-06T00:00:00"/>
    <n v="49"/>
    <n v="2"/>
    <b v="1"/>
    <s v="Color Mismatch"/>
    <n v="27"/>
  </r>
  <r>
    <s v="FB000450"/>
    <x v="4"/>
    <x v="2"/>
    <x v="2"/>
    <x v="6"/>
    <x v="4"/>
    <n v="35.369999999999997"/>
    <n v="0"/>
    <n v="35.369999999999997"/>
    <d v="2025-08-06T00:00:00"/>
    <n v="29"/>
    <n v="4.7"/>
    <b v="0"/>
    <m/>
    <n v="27"/>
  </r>
  <r>
    <s v="FB000451"/>
    <x v="2"/>
    <x v="3"/>
    <x v="3"/>
    <x v="2"/>
    <x v="9"/>
    <n v="39.85"/>
    <n v="0"/>
    <n v="39.85"/>
    <d v="2025-08-06T00:00:00"/>
    <n v="28"/>
    <n v="2.4"/>
    <b v="0"/>
    <m/>
    <n v="27"/>
  </r>
  <r>
    <s v="FB000452"/>
    <x v="1"/>
    <x v="0"/>
    <x v="1"/>
    <x v="0"/>
    <x v="2"/>
    <n v="85.34"/>
    <n v="59.4"/>
    <n v="34.65"/>
    <d v="2025-08-06T00:00:00"/>
    <n v="5"/>
    <n v="4.9000000000000004"/>
    <b v="0"/>
    <m/>
    <n v="27"/>
  </r>
  <r>
    <s v="FB000453"/>
    <x v="4"/>
    <x v="7"/>
    <x v="2"/>
    <x v="4"/>
    <x v="3"/>
    <n v="81.17"/>
    <n v="0"/>
    <n v="81.17"/>
    <d v="2025-08-06T00:00:00"/>
    <n v="21"/>
    <n v="1.2"/>
    <b v="0"/>
    <m/>
    <n v="27"/>
  </r>
  <r>
    <s v="FB000454"/>
    <x v="2"/>
    <x v="5"/>
    <x v="0"/>
    <x v="2"/>
    <x v="3"/>
    <n v="16.809999999999999"/>
    <n v="0"/>
    <n v="16.809999999999999"/>
    <d v="2025-07-31T00:00:00"/>
    <n v="16"/>
    <n v="2.8"/>
    <b v="0"/>
    <m/>
    <n v="33"/>
  </r>
  <r>
    <s v="FB000455"/>
    <x v="1"/>
    <x v="5"/>
    <x v="1"/>
    <x v="0"/>
    <x v="2"/>
    <n v="115.71"/>
    <n v="55"/>
    <n v="52.07"/>
    <d v="2025-08-06T00:00:00"/>
    <n v="6"/>
    <n v="1.6"/>
    <b v="0"/>
    <m/>
    <n v="27"/>
  </r>
  <r>
    <s v="FB000456"/>
    <x v="4"/>
    <x v="3"/>
    <x v="3"/>
    <x v="4"/>
    <x v="1"/>
    <n v="49.87"/>
    <n v="0"/>
    <n v="49.87"/>
    <d v="2025-08-06T00:00:00"/>
    <n v="17"/>
    <n v="2.1"/>
    <b v="0"/>
    <m/>
    <n v="27"/>
  </r>
  <r>
    <s v="FB000457"/>
    <x v="3"/>
    <x v="3"/>
    <x v="2"/>
    <x v="5"/>
    <x v="7"/>
    <n v="107.96"/>
    <n v="52.9"/>
    <n v="50.85"/>
    <d v="2025-08-06T00:00:00"/>
    <n v="2"/>
    <n v="4.9000000000000004"/>
    <b v="0"/>
    <m/>
    <n v="27"/>
  </r>
  <r>
    <s v="FB000458"/>
    <x v="3"/>
    <x v="3"/>
    <x v="3"/>
    <x v="6"/>
    <x v="2"/>
    <n v="138.35"/>
    <n v="31.7"/>
    <n v="94.49"/>
    <d v="2025-08-06T00:00:00"/>
    <n v="3"/>
    <n v="2.5"/>
    <b v="0"/>
    <m/>
    <n v="27"/>
  </r>
  <r>
    <s v="FB000459"/>
    <x v="1"/>
    <x v="6"/>
    <x v="0"/>
    <x v="5"/>
    <x v="0"/>
    <n v="32.01"/>
    <n v="0"/>
    <n v="32.01"/>
    <d v="2025-05-09T00:00:00"/>
    <n v="43"/>
    <n v="3.4"/>
    <b v="1"/>
    <s v="Wrong Item"/>
    <n v="116"/>
  </r>
  <r>
    <s v="FB000460"/>
    <x v="5"/>
    <x v="4"/>
    <x v="2"/>
    <x v="5"/>
    <x v="2"/>
    <n v="129.08000000000001"/>
    <n v="50.6"/>
    <n v="63.77"/>
    <d v="2025-08-06T00:00:00"/>
    <n v="10"/>
    <n v="4.4000000000000004"/>
    <b v="0"/>
    <m/>
    <n v="27"/>
  </r>
  <r>
    <s v="FB000461"/>
    <x v="5"/>
    <x v="2"/>
    <x v="1"/>
    <x v="6"/>
    <x v="4"/>
    <n v="68.569999999999993"/>
    <n v="56.4"/>
    <n v="29.9"/>
    <d v="2025-08-06T00:00:00"/>
    <n v="30"/>
    <n v="1.8"/>
    <b v="0"/>
    <m/>
    <n v="27"/>
  </r>
  <r>
    <s v="FB000462"/>
    <x v="2"/>
    <x v="4"/>
    <x v="1"/>
    <x v="2"/>
    <x v="4"/>
    <n v="46.46"/>
    <n v="0"/>
    <n v="46.46"/>
    <d v="2025-08-06T00:00:00"/>
    <n v="30"/>
    <n v="2.7333333333333334"/>
    <b v="0"/>
    <m/>
    <n v="27"/>
  </r>
  <r>
    <s v="FB000463"/>
    <x v="0"/>
    <x v="2"/>
    <x v="2"/>
    <x v="4"/>
    <x v="3"/>
    <n v="124.68"/>
    <n v="58.2"/>
    <n v="52.12"/>
    <d v="2025-08-06T00:00:00"/>
    <n v="44"/>
    <n v="3.2"/>
    <b v="0"/>
    <m/>
    <n v="27"/>
  </r>
  <r>
    <s v="FB000464"/>
    <x v="4"/>
    <x v="4"/>
    <x v="0"/>
    <x v="0"/>
    <x v="0"/>
    <n v="36.85"/>
    <n v="0"/>
    <n v="36.85"/>
    <d v="2025-07-03T00:00:00"/>
    <n v="0"/>
    <n v="4.4000000000000004"/>
    <b v="0"/>
    <m/>
    <n v="61"/>
  </r>
  <r>
    <s v="FB000465"/>
    <x v="0"/>
    <x v="5"/>
    <x v="1"/>
    <x v="5"/>
    <x v="2"/>
    <n v="229.63"/>
    <n v="0.3"/>
    <n v="228.94"/>
    <d v="2025-08-06T00:00:00"/>
    <n v="30"/>
    <n v="3.4"/>
    <b v="0"/>
    <m/>
    <n v="27"/>
  </r>
  <r>
    <s v="FB000466"/>
    <x v="1"/>
    <x v="5"/>
    <x v="0"/>
    <x v="3"/>
    <x v="8"/>
    <n v="74.09"/>
    <n v="0"/>
    <n v="74.09"/>
    <d v="2024-09-07T00:00:00"/>
    <n v="35"/>
    <n v="3.4"/>
    <b v="0"/>
    <m/>
    <n v="360"/>
  </r>
  <r>
    <s v="FB000467"/>
    <x v="4"/>
    <x v="2"/>
    <x v="0"/>
    <x v="5"/>
    <x v="10"/>
    <n v="27.22"/>
    <n v="0"/>
    <n v="27.22"/>
    <d v="2024-09-09T00:00:00"/>
    <n v="14"/>
    <n v="2.4"/>
    <b v="0"/>
    <m/>
    <n v="358"/>
  </r>
  <r>
    <s v="FB000468"/>
    <x v="1"/>
    <x v="5"/>
    <x v="0"/>
    <x v="1"/>
    <x v="9"/>
    <n v="32.64"/>
    <n v="1.4"/>
    <n v="32.18"/>
    <d v="2025-05-06T00:00:00"/>
    <n v="29"/>
    <n v="1.5"/>
    <b v="1"/>
    <s v="Changed Mind"/>
    <n v="119"/>
  </r>
  <r>
    <s v="FB000469"/>
    <x v="2"/>
    <x v="0"/>
    <x v="3"/>
    <x v="2"/>
    <x v="9"/>
    <n v="30.25"/>
    <n v="11.8"/>
    <n v="26.68"/>
    <d v="2025-08-06T00:00:00"/>
    <n v="30"/>
    <n v="3.4"/>
    <b v="0"/>
    <m/>
    <n v="27"/>
  </r>
  <r>
    <s v="FB000470"/>
    <x v="0"/>
    <x v="1"/>
    <x v="3"/>
    <x v="3"/>
    <x v="10"/>
    <n v="180.57"/>
    <n v="0"/>
    <n v="180.57"/>
    <d v="2025-08-06T00:00:00"/>
    <n v="28"/>
    <n v="3.15"/>
    <b v="0"/>
    <m/>
    <n v="27"/>
  </r>
  <r>
    <s v="FB000471"/>
    <x v="4"/>
    <x v="1"/>
    <x v="3"/>
    <x v="5"/>
    <x v="3"/>
    <n v="96.55"/>
    <n v="0"/>
    <n v="96.55"/>
    <d v="2025-08-06T00:00:00"/>
    <n v="17"/>
    <n v="4.4000000000000004"/>
    <b v="0"/>
    <m/>
    <n v="27"/>
  </r>
  <r>
    <s v="FB000472"/>
    <x v="4"/>
    <x v="5"/>
    <x v="2"/>
    <x v="2"/>
    <x v="1"/>
    <n v="68.53"/>
    <n v="54.3"/>
    <n v="31.32"/>
    <d v="2025-08-06T00:00:00"/>
    <n v="38"/>
    <n v="2.9"/>
    <b v="0"/>
    <m/>
    <n v="27"/>
  </r>
  <r>
    <s v="FB000473"/>
    <x v="3"/>
    <x v="6"/>
    <x v="2"/>
    <x v="5"/>
    <x v="3"/>
    <n v="71.94"/>
    <n v="0"/>
    <n v="71.94"/>
    <d v="2025-08-06T00:00:00"/>
    <n v="45"/>
    <n v="3.3"/>
    <b v="0"/>
    <m/>
    <n v="27"/>
  </r>
  <r>
    <s v="FB000474"/>
    <x v="3"/>
    <x v="6"/>
    <x v="2"/>
    <x v="1"/>
    <x v="5"/>
    <n v="80.72"/>
    <n v="9.9"/>
    <n v="72.73"/>
    <d v="2025-08-06T00:00:00"/>
    <n v="37"/>
    <n v="2.5"/>
    <b v="0"/>
    <m/>
    <n v="27"/>
  </r>
  <r>
    <s v="FB000475"/>
    <x v="0"/>
    <x v="0"/>
    <x v="1"/>
    <x v="1"/>
    <x v="6"/>
    <n v="208.8"/>
    <n v="0"/>
    <n v="208.8"/>
    <d v="2025-08-06T00:00:00"/>
    <n v="13"/>
    <n v="1.6"/>
    <b v="0"/>
    <m/>
    <n v="27"/>
  </r>
  <r>
    <s v="FB000476"/>
    <x v="3"/>
    <x v="3"/>
    <x v="3"/>
    <x v="6"/>
    <x v="8"/>
    <n v="158.15"/>
    <n v="54.1"/>
    <n v="72.59"/>
    <d v="2025-08-06T00:00:00"/>
    <n v="36"/>
    <n v="4.5"/>
    <b v="0"/>
    <m/>
    <n v="27"/>
  </r>
  <r>
    <s v="FB000477"/>
    <x v="1"/>
    <x v="0"/>
    <x v="2"/>
    <x v="3"/>
    <x v="3"/>
    <n v="85.92"/>
    <n v="0"/>
    <n v="85.92"/>
    <d v="2025-08-06T00:00:00"/>
    <n v="12"/>
    <n v="2.9181818181818175"/>
    <b v="0"/>
    <m/>
    <n v="27"/>
  </r>
  <r>
    <s v="FB000478"/>
    <x v="2"/>
    <x v="6"/>
    <x v="0"/>
    <x v="2"/>
    <x v="1"/>
    <n v="69.59"/>
    <n v="0"/>
    <n v="69.59"/>
    <d v="2024-09-26T00:00:00"/>
    <n v="38"/>
    <n v="1.5"/>
    <b v="0"/>
    <m/>
    <n v="341"/>
  </r>
  <r>
    <s v="FB000479"/>
    <x v="5"/>
    <x v="0"/>
    <x v="1"/>
    <x v="0"/>
    <x v="0"/>
    <n v="136.16999999999999"/>
    <n v="19.100000000000001"/>
    <n v="110.16"/>
    <d v="2025-08-06T00:00:00"/>
    <n v="14"/>
    <n v="3.0424242424242425"/>
    <b v="0"/>
    <m/>
    <n v="27"/>
  </r>
  <r>
    <s v="FB000480"/>
    <x v="3"/>
    <x v="3"/>
    <x v="0"/>
    <x v="5"/>
    <x v="1"/>
    <n v="124.26"/>
    <n v="0"/>
    <n v="124.26"/>
    <d v="2024-08-08T00:00:00"/>
    <n v="44"/>
    <n v="4"/>
    <b v="0"/>
    <m/>
    <n v="390"/>
  </r>
  <r>
    <s v="FB000481"/>
    <x v="3"/>
    <x v="2"/>
    <x v="1"/>
    <x v="3"/>
    <x v="2"/>
    <n v="129.33000000000001"/>
    <n v="0"/>
    <n v="129.33000000000001"/>
    <d v="2025-08-06T00:00:00"/>
    <n v="15"/>
    <n v="3.1"/>
    <b v="0"/>
    <m/>
    <n v="27"/>
  </r>
  <r>
    <s v="FB000482"/>
    <x v="5"/>
    <x v="4"/>
    <x v="0"/>
    <x v="3"/>
    <x v="8"/>
    <n v="123.93"/>
    <n v="30"/>
    <n v="86.75"/>
    <d v="2025-07-31T00:00:00"/>
    <n v="39"/>
    <n v="1.9"/>
    <b v="0"/>
    <m/>
    <n v="33"/>
  </r>
  <r>
    <s v="FB000483"/>
    <x v="3"/>
    <x v="0"/>
    <x v="3"/>
    <x v="5"/>
    <x v="7"/>
    <n v="62.76"/>
    <n v="0"/>
    <n v="62.76"/>
    <d v="2025-08-06T00:00:00"/>
    <n v="12"/>
    <n v="4.7"/>
    <b v="0"/>
    <m/>
    <n v="27"/>
  </r>
  <r>
    <s v="FB000484"/>
    <x v="3"/>
    <x v="1"/>
    <x v="0"/>
    <x v="5"/>
    <x v="5"/>
    <n v="74.540000000000006"/>
    <n v="0"/>
    <n v="74.540000000000006"/>
    <d v="2024-11-07T00:00:00"/>
    <n v="4"/>
    <n v="3.5"/>
    <b v="0"/>
    <m/>
    <n v="299"/>
  </r>
  <r>
    <s v="FB000485"/>
    <x v="1"/>
    <x v="6"/>
    <x v="3"/>
    <x v="3"/>
    <x v="1"/>
    <n v="114.03"/>
    <n v="0"/>
    <n v="114.03"/>
    <d v="2025-08-06T00:00:00"/>
    <n v="2"/>
    <n v="2.9074999999999998"/>
    <b v="0"/>
    <m/>
    <n v="27"/>
  </r>
  <r>
    <s v="FB000486"/>
    <x v="2"/>
    <x v="6"/>
    <x v="2"/>
    <x v="2"/>
    <x v="3"/>
    <n v="20.59"/>
    <n v="27.6"/>
    <n v="14.91"/>
    <d v="2025-08-06T00:00:00"/>
    <n v="36"/>
    <n v="3.2720930232558145"/>
    <b v="0"/>
    <m/>
    <n v="27"/>
  </r>
  <r>
    <s v="FB000487"/>
    <x v="3"/>
    <x v="2"/>
    <x v="3"/>
    <x v="0"/>
    <x v="5"/>
    <n v="167.86"/>
    <n v="0"/>
    <n v="167.86"/>
    <d v="2025-08-06T00:00:00"/>
    <n v="17"/>
    <n v="3.2"/>
    <b v="0"/>
    <m/>
    <n v="27"/>
  </r>
  <r>
    <s v="FB000488"/>
    <x v="2"/>
    <x v="1"/>
    <x v="2"/>
    <x v="2"/>
    <x v="4"/>
    <n v="62.2"/>
    <n v="37.700000000000003"/>
    <n v="38.75"/>
    <d v="2025-08-06T00:00:00"/>
    <n v="16"/>
    <n v="3.1"/>
    <b v="0"/>
    <m/>
    <n v="27"/>
  </r>
  <r>
    <s v="FB000489"/>
    <x v="0"/>
    <x v="2"/>
    <x v="2"/>
    <x v="2"/>
    <x v="1"/>
    <n v="223.69"/>
    <n v="6.3"/>
    <n v="209.6"/>
    <d v="2025-08-06T00:00:00"/>
    <n v="18"/>
    <n v="1.9"/>
    <b v="0"/>
    <m/>
    <n v="27"/>
  </r>
  <r>
    <s v="FB000490"/>
    <x v="2"/>
    <x v="3"/>
    <x v="3"/>
    <x v="2"/>
    <x v="5"/>
    <n v="67.13"/>
    <n v="0"/>
    <n v="67.13"/>
    <d v="2025-08-06T00:00:00"/>
    <n v="3"/>
    <n v="1.4"/>
    <b v="0"/>
    <m/>
    <n v="27"/>
  </r>
  <r>
    <s v="FB000491"/>
    <x v="5"/>
    <x v="0"/>
    <x v="3"/>
    <x v="6"/>
    <x v="0"/>
    <n v="144.81"/>
    <n v="33.299999999999997"/>
    <n v="96.59"/>
    <d v="2025-08-06T00:00:00"/>
    <n v="33"/>
    <n v="2.8"/>
    <b v="0"/>
    <m/>
    <n v="27"/>
  </r>
  <r>
    <s v="FB000492"/>
    <x v="0"/>
    <x v="6"/>
    <x v="1"/>
    <x v="5"/>
    <x v="9"/>
    <n v="152.93"/>
    <n v="53"/>
    <n v="71.88"/>
    <d v="2025-08-06T00:00:00"/>
    <n v="2"/>
    <n v="4.5999999999999996"/>
    <b v="1"/>
    <s v="Changed Mind"/>
    <n v="27"/>
  </r>
  <r>
    <s v="FB000493"/>
    <x v="5"/>
    <x v="7"/>
    <x v="3"/>
    <x v="4"/>
    <x v="3"/>
    <n v="111.29"/>
    <n v="0"/>
    <n v="111.29"/>
    <d v="2025-08-06T00:00:00"/>
    <n v="48"/>
    <n v="4.9000000000000004"/>
    <b v="0"/>
    <m/>
    <n v="27"/>
  </r>
  <r>
    <s v="FB000494"/>
    <x v="0"/>
    <x v="2"/>
    <x v="1"/>
    <x v="5"/>
    <x v="1"/>
    <n v="159.18"/>
    <n v="0"/>
    <n v="159.18"/>
    <d v="2025-08-06T00:00:00"/>
    <n v="38"/>
    <n v="2.4"/>
    <b v="1"/>
    <s v="Quality Issue"/>
    <n v="27"/>
  </r>
  <r>
    <s v="FB000495"/>
    <x v="0"/>
    <x v="0"/>
    <x v="1"/>
    <x v="4"/>
    <x v="3"/>
    <n v="215.93"/>
    <n v="0"/>
    <n v="215.93"/>
    <d v="2025-08-06T00:00:00"/>
    <n v="43"/>
    <n v="3.5"/>
    <b v="0"/>
    <m/>
    <n v="27"/>
  </r>
  <r>
    <s v="FB000496"/>
    <x v="1"/>
    <x v="5"/>
    <x v="0"/>
    <x v="2"/>
    <x v="7"/>
    <n v="51.69"/>
    <n v="33.4"/>
    <n v="34.43"/>
    <d v="2024-08-07T00:00:00"/>
    <n v="36"/>
    <n v="3.4"/>
    <b v="0"/>
    <m/>
    <n v="391"/>
  </r>
  <r>
    <s v="FB000497"/>
    <x v="0"/>
    <x v="5"/>
    <x v="3"/>
    <x v="1"/>
    <x v="1"/>
    <n v="137.38"/>
    <n v="0"/>
    <n v="137.38"/>
    <d v="2025-08-06T00:00:00"/>
    <n v="43"/>
    <n v="3.5"/>
    <b v="0"/>
    <m/>
    <n v="27"/>
  </r>
  <r>
    <s v="FB000498"/>
    <x v="4"/>
    <x v="7"/>
    <x v="2"/>
    <x v="4"/>
    <x v="6"/>
    <n v="96.7"/>
    <n v="38.799999999999997"/>
    <n v="59.18"/>
    <d v="2025-08-06T00:00:00"/>
    <n v="46"/>
    <n v="1.7"/>
    <b v="0"/>
    <m/>
    <n v="27"/>
  </r>
  <r>
    <s v="FB000499"/>
    <x v="4"/>
    <x v="4"/>
    <x v="0"/>
    <x v="6"/>
    <x v="9"/>
    <n v="58.73"/>
    <n v="38.1"/>
    <n v="36.35"/>
    <d v="2024-12-27T00:00:00"/>
    <n v="50"/>
    <n v="1.2"/>
    <b v="0"/>
    <m/>
    <n v="249"/>
  </r>
  <r>
    <s v="FB000500"/>
    <x v="0"/>
    <x v="6"/>
    <x v="1"/>
    <x v="3"/>
    <x v="6"/>
    <n v="204.68"/>
    <n v="0"/>
    <n v="204.68"/>
    <d v="2025-08-06T00:00:00"/>
    <n v="33"/>
    <n v="3.1"/>
    <b v="0"/>
    <m/>
    <n v="27"/>
  </r>
  <r>
    <s v="FB000501"/>
    <x v="4"/>
    <x v="7"/>
    <x v="0"/>
    <x v="1"/>
    <x v="3"/>
    <n v="117.26"/>
    <n v="0"/>
    <n v="117.26"/>
    <d v="2024-09-25T00:00:00"/>
    <n v="29"/>
    <n v="3.1021739130434773"/>
    <b v="0"/>
    <m/>
    <n v="342"/>
  </r>
  <r>
    <s v="FB000502"/>
    <x v="0"/>
    <x v="6"/>
    <x v="3"/>
    <x v="4"/>
    <x v="3"/>
    <n v="91.95"/>
    <n v="0"/>
    <n v="91.95"/>
    <d v="2025-08-06T00:00:00"/>
    <n v="1"/>
    <n v="2.5"/>
    <b v="0"/>
    <m/>
    <n v="27"/>
  </r>
  <r>
    <s v="FB000503"/>
    <x v="4"/>
    <x v="6"/>
    <x v="2"/>
    <x v="0"/>
    <x v="8"/>
    <n v="94.53"/>
    <n v="0"/>
    <n v="94.53"/>
    <d v="2025-08-06T00:00:00"/>
    <n v="13"/>
    <n v="2.4"/>
    <b v="0"/>
    <m/>
    <n v="27"/>
  </r>
  <r>
    <s v="FB000504"/>
    <x v="5"/>
    <x v="3"/>
    <x v="2"/>
    <x v="4"/>
    <x v="3"/>
    <n v="71.94"/>
    <n v="3"/>
    <n v="69.78"/>
    <d v="2025-08-06T00:00:00"/>
    <n v="45"/>
    <n v="1.4"/>
    <b v="0"/>
    <m/>
    <n v="27"/>
  </r>
  <r>
    <s v="FB000505"/>
    <x v="5"/>
    <x v="5"/>
    <x v="1"/>
    <x v="0"/>
    <x v="6"/>
    <n v="177.72"/>
    <n v="5.9"/>
    <n v="167.23"/>
    <d v="2025-08-06T00:00:00"/>
    <n v="47"/>
    <n v="3.1874999999999991"/>
    <b v="0"/>
    <m/>
    <n v="27"/>
  </r>
  <r>
    <s v="FB000506"/>
    <x v="2"/>
    <x v="0"/>
    <x v="3"/>
    <x v="2"/>
    <x v="3"/>
    <n v="34.4"/>
    <n v="0"/>
    <n v="34.4"/>
    <d v="2025-08-06T00:00:00"/>
    <n v="43"/>
    <n v="3"/>
    <b v="1"/>
    <s v="Wrong Item"/>
    <n v="27"/>
  </r>
  <r>
    <s v="FB000507"/>
    <x v="4"/>
    <x v="2"/>
    <x v="0"/>
    <x v="6"/>
    <x v="4"/>
    <n v="119.72"/>
    <n v="0"/>
    <n v="119.72"/>
    <d v="2025-01-18T00:00:00"/>
    <n v="18"/>
    <n v="3.7"/>
    <b v="0"/>
    <m/>
    <n v="227"/>
  </r>
  <r>
    <s v="FB000508"/>
    <x v="2"/>
    <x v="4"/>
    <x v="3"/>
    <x v="2"/>
    <x v="10"/>
    <n v="44.09"/>
    <n v="0"/>
    <n v="44.09"/>
    <d v="2025-08-06T00:00:00"/>
    <n v="2"/>
    <n v="2"/>
    <b v="0"/>
    <m/>
    <n v="27"/>
  </r>
  <r>
    <s v="FB000509"/>
    <x v="4"/>
    <x v="3"/>
    <x v="0"/>
    <x v="0"/>
    <x v="9"/>
    <n v="42.47"/>
    <n v="0"/>
    <n v="42.47"/>
    <d v="2024-11-14T00:00:00"/>
    <n v="33"/>
    <n v="4.5"/>
    <b v="1"/>
    <s v="Changed Mind"/>
    <n v="292"/>
  </r>
  <r>
    <s v="FB000510"/>
    <x v="5"/>
    <x v="2"/>
    <x v="3"/>
    <x v="0"/>
    <x v="9"/>
    <n v="68.430000000000007"/>
    <n v="0"/>
    <n v="68.430000000000007"/>
    <d v="2025-08-06T00:00:00"/>
    <n v="16"/>
    <n v="2.9000000000000008"/>
    <b v="0"/>
    <m/>
    <n v="27"/>
  </r>
  <r>
    <s v="FB000511"/>
    <x v="3"/>
    <x v="0"/>
    <x v="2"/>
    <x v="5"/>
    <x v="6"/>
    <n v="165.39"/>
    <n v="31.8"/>
    <n v="112.8"/>
    <d v="2025-08-06T00:00:00"/>
    <n v="9"/>
    <n v="4.5999999999999996"/>
    <b v="0"/>
    <m/>
    <n v="27"/>
  </r>
  <r>
    <s v="FB000512"/>
    <x v="2"/>
    <x v="5"/>
    <x v="1"/>
    <x v="2"/>
    <x v="6"/>
    <n v="35.36"/>
    <n v="0"/>
    <n v="35.36"/>
    <d v="2025-08-06T00:00:00"/>
    <n v="42"/>
    <n v="4.5"/>
    <b v="0"/>
    <m/>
    <n v="27"/>
  </r>
  <r>
    <s v="FB000513"/>
    <x v="5"/>
    <x v="4"/>
    <x v="3"/>
    <x v="6"/>
    <x v="8"/>
    <n v="95.73"/>
    <n v="0"/>
    <n v="95.73"/>
    <d v="2025-08-06T00:00:00"/>
    <n v="6"/>
    <n v="4.5999999999999996"/>
    <b v="0"/>
    <m/>
    <n v="27"/>
  </r>
  <r>
    <s v="FB000514"/>
    <x v="2"/>
    <x v="2"/>
    <x v="0"/>
    <x v="2"/>
    <x v="10"/>
    <n v="72.28"/>
    <n v="51.3"/>
    <n v="35.200000000000003"/>
    <d v="2025-02-15T00:00:00"/>
    <n v="31"/>
    <n v="1.9"/>
    <b v="0"/>
    <m/>
    <n v="199"/>
  </r>
  <r>
    <s v="FB000515"/>
    <x v="0"/>
    <x v="5"/>
    <x v="3"/>
    <x v="2"/>
    <x v="3"/>
    <n v="80.349999999999994"/>
    <n v="0"/>
    <n v="80.349999999999994"/>
    <d v="2025-08-06T00:00:00"/>
    <n v="28"/>
    <n v="2.9"/>
    <b v="0"/>
    <m/>
    <n v="27"/>
  </r>
  <r>
    <s v="FB000516"/>
    <x v="4"/>
    <x v="2"/>
    <x v="1"/>
    <x v="0"/>
    <x v="4"/>
    <n v="119.04"/>
    <n v="0"/>
    <n v="119.04"/>
    <d v="2025-08-06T00:00:00"/>
    <n v="35"/>
    <n v="1.4"/>
    <b v="0"/>
    <m/>
    <n v="27"/>
  </r>
  <r>
    <s v="FB000517"/>
    <x v="1"/>
    <x v="6"/>
    <x v="1"/>
    <x v="5"/>
    <x v="10"/>
    <n v="60.53"/>
    <n v="42.5"/>
    <n v="34.799999999999997"/>
    <d v="2025-08-06T00:00:00"/>
    <n v="8"/>
    <n v="2.9074999999999998"/>
    <b v="1"/>
    <s v="Color Mismatch"/>
    <n v="27"/>
  </r>
  <r>
    <s v="FB000518"/>
    <x v="0"/>
    <x v="4"/>
    <x v="2"/>
    <x v="6"/>
    <x v="8"/>
    <n v="92.54"/>
    <n v="43.8"/>
    <n v="52.01"/>
    <d v="2025-08-06T00:00:00"/>
    <n v="33"/>
    <n v="1.5"/>
    <b v="1"/>
    <s v="Damaged"/>
    <n v="27"/>
  </r>
  <r>
    <s v="FB000519"/>
    <x v="2"/>
    <x v="1"/>
    <x v="2"/>
    <x v="2"/>
    <x v="1"/>
    <n v="28.4"/>
    <n v="0"/>
    <n v="28.4"/>
    <d v="2025-08-06T00:00:00"/>
    <n v="4"/>
    <n v="3.1"/>
    <b v="0"/>
    <m/>
    <n v="27"/>
  </r>
  <r>
    <s v="FB000520"/>
    <x v="4"/>
    <x v="0"/>
    <x v="3"/>
    <x v="6"/>
    <x v="4"/>
    <n v="91.65"/>
    <n v="0"/>
    <n v="91.65"/>
    <d v="2025-08-06T00:00:00"/>
    <n v="40"/>
    <n v="3.8"/>
    <b v="0"/>
    <m/>
    <n v="27"/>
  </r>
  <r>
    <s v="FB000521"/>
    <x v="2"/>
    <x v="3"/>
    <x v="2"/>
    <x v="2"/>
    <x v="8"/>
    <n v="72.569999999999993"/>
    <n v="0"/>
    <n v="72.569999999999993"/>
    <d v="2025-08-06T00:00:00"/>
    <n v="27"/>
    <n v="2.5"/>
    <b v="0"/>
    <m/>
    <n v="27"/>
  </r>
  <r>
    <s v="FB000522"/>
    <x v="4"/>
    <x v="4"/>
    <x v="2"/>
    <x v="1"/>
    <x v="5"/>
    <n v="39.049999999999997"/>
    <n v="0"/>
    <n v="39.049999999999997"/>
    <d v="2025-08-06T00:00:00"/>
    <n v="10"/>
    <n v="3.5"/>
    <b v="0"/>
    <m/>
    <n v="27"/>
  </r>
  <r>
    <s v="FB000523"/>
    <x v="5"/>
    <x v="0"/>
    <x v="1"/>
    <x v="3"/>
    <x v="4"/>
    <n v="113.21"/>
    <n v="0"/>
    <n v="113.21"/>
    <d v="2025-08-06T00:00:00"/>
    <n v="12"/>
    <n v="4.4000000000000004"/>
    <b v="0"/>
    <m/>
    <n v="27"/>
  </r>
  <r>
    <s v="FB000524"/>
    <x v="2"/>
    <x v="7"/>
    <x v="0"/>
    <x v="2"/>
    <x v="8"/>
    <n v="25.34"/>
    <n v="0"/>
    <n v="25.34"/>
    <d v="2025-07-31T00:00:00"/>
    <n v="17"/>
    <n v="3.3"/>
    <b v="0"/>
    <m/>
    <n v="33"/>
  </r>
  <r>
    <s v="FB000525"/>
    <x v="1"/>
    <x v="3"/>
    <x v="0"/>
    <x v="1"/>
    <x v="2"/>
    <n v="98.16"/>
    <n v="56.7"/>
    <n v="42.5"/>
    <d v="2025-02-05T00:00:00"/>
    <n v="44"/>
    <n v="2.6"/>
    <b v="0"/>
    <m/>
    <n v="209"/>
  </r>
  <r>
    <s v="FB000526"/>
    <x v="1"/>
    <x v="2"/>
    <x v="0"/>
    <x v="5"/>
    <x v="9"/>
    <n v="60.54"/>
    <n v="0"/>
    <n v="60.54"/>
    <d v="2025-04-10T00:00:00"/>
    <n v="35"/>
    <n v="1.7"/>
    <b v="0"/>
    <m/>
    <n v="145"/>
  </r>
  <r>
    <s v="FB000527"/>
    <x v="5"/>
    <x v="0"/>
    <x v="1"/>
    <x v="3"/>
    <x v="1"/>
    <n v="132.61000000000001"/>
    <n v="7.4"/>
    <n v="122.8"/>
    <d v="2025-08-06T00:00:00"/>
    <n v="0"/>
    <n v="4.2"/>
    <b v="0"/>
    <m/>
    <n v="27"/>
  </r>
  <r>
    <s v="FB000528"/>
    <x v="0"/>
    <x v="5"/>
    <x v="2"/>
    <x v="0"/>
    <x v="1"/>
    <n v="234.14"/>
    <n v="0"/>
    <n v="234.14"/>
    <d v="2025-08-06T00:00:00"/>
    <n v="40"/>
    <n v="1.7"/>
    <b v="0"/>
    <m/>
    <n v="27"/>
  </r>
  <r>
    <s v="FB000529"/>
    <x v="2"/>
    <x v="4"/>
    <x v="2"/>
    <x v="2"/>
    <x v="2"/>
    <n v="31.86"/>
    <n v="48.2"/>
    <n v="16.5"/>
    <d v="2025-08-06T00:00:00"/>
    <n v="32"/>
    <n v="4.5"/>
    <b v="0"/>
    <m/>
    <n v="27"/>
  </r>
  <r>
    <s v="FB000530"/>
    <x v="2"/>
    <x v="1"/>
    <x v="0"/>
    <x v="2"/>
    <x v="4"/>
    <n v="15.14"/>
    <n v="36.700000000000003"/>
    <n v="9.58"/>
    <d v="2025-07-23T00:00:00"/>
    <n v="41"/>
    <n v="3.8"/>
    <b v="0"/>
    <m/>
    <n v="41"/>
  </r>
  <r>
    <s v="FB000531"/>
    <x v="3"/>
    <x v="4"/>
    <x v="1"/>
    <x v="5"/>
    <x v="9"/>
    <n v="77.72"/>
    <n v="0"/>
    <n v="77.72"/>
    <d v="2025-08-06T00:00:00"/>
    <n v="48"/>
    <n v="1.1000000000000001"/>
    <b v="0"/>
    <m/>
    <n v="27"/>
  </r>
  <r>
    <s v="FB000532"/>
    <x v="2"/>
    <x v="0"/>
    <x v="0"/>
    <x v="2"/>
    <x v="4"/>
    <n v="78.040000000000006"/>
    <n v="0"/>
    <n v="78.040000000000006"/>
    <d v="2025-04-09T00:00:00"/>
    <n v="38"/>
    <n v="4.9000000000000004"/>
    <b v="0"/>
    <m/>
    <n v="146"/>
  </r>
  <r>
    <s v="FB000533"/>
    <x v="0"/>
    <x v="6"/>
    <x v="2"/>
    <x v="6"/>
    <x v="10"/>
    <n v="169.82"/>
    <n v="0"/>
    <n v="169.82"/>
    <d v="2025-08-06T00:00:00"/>
    <n v="28"/>
    <n v="4"/>
    <b v="0"/>
    <m/>
    <n v="27"/>
  </r>
  <r>
    <s v="FB000534"/>
    <x v="4"/>
    <x v="4"/>
    <x v="0"/>
    <x v="1"/>
    <x v="3"/>
    <n v="94.71"/>
    <n v="38.9"/>
    <n v="57.87"/>
    <d v="2024-08-16T00:00:00"/>
    <n v="39"/>
    <n v="4.7"/>
    <b v="0"/>
    <m/>
    <n v="382"/>
  </r>
  <r>
    <s v="FB000535"/>
    <x v="3"/>
    <x v="5"/>
    <x v="0"/>
    <x v="0"/>
    <x v="0"/>
    <n v="112.6"/>
    <n v="22"/>
    <n v="87.83"/>
    <d v="2025-07-22T00:00:00"/>
    <n v="29"/>
    <n v="2.1"/>
    <b v="1"/>
    <s v="Color Mismatch"/>
    <n v="42"/>
  </r>
  <r>
    <s v="FB000536"/>
    <x v="4"/>
    <x v="0"/>
    <x v="3"/>
    <x v="1"/>
    <x v="9"/>
    <n v="104.16"/>
    <n v="0"/>
    <n v="104.16"/>
    <d v="2025-08-06T00:00:00"/>
    <n v="21"/>
    <n v="1.6"/>
    <b v="0"/>
    <m/>
    <n v="27"/>
  </r>
  <r>
    <s v="FB000537"/>
    <x v="0"/>
    <x v="6"/>
    <x v="1"/>
    <x v="4"/>
    <x v="4"/>
    <n v="174.86"/>
    <n v="0"/>
    <n v="174.86"/>
    <d v="2025-08-06T00:00:00"/>
    <n v="15"/>
    <n v="1.7"/>
    <b v="0"/>
    <m/>
    <n v="27"/>
  </r>
  <r>
    <s v="FB000538"/>
    <x v="0"/>
    <x v="1"/>
    <x v="0"/>
    <x v="1"/>
    <x v="9"/>
    <n v="217.89"/>
    <n v="49.4"/>
    <n v="110.25"/>
    <d v="2024-11-27T00:00:00"/>
    <n v="42"/>
    <n v="2.9"/>
    <b v="0"/>
    <m/>
    <n v="279"/>
  </r>
  <r>
    <s v="FB000539"/>
    <x v="3"/>
    <x v="3"/>
    <x v="1"/>
    <x v="1"/>
    <x v="2"/>
    <n v="123.14"/>
    <n v="0"/>
    <n v="123.14"/>
    <d v="2025-08-06T00:00:00"/>
    <n v="15"/>
    <n v="1.8"/>
    <b v="1"/>
    <s v="Wrong Item"/>
    <n v="27"/>
  </r>
  <r>
    <s v="FB000540"/>
    <x v="1"/>
    <x v="5"/>
    <x v="1"/>
    <x v="0"/>
    <x v="8"/>
    <n v="103.96"/>
    <n v="0"/>
    <n v="103.96"/>
    <d v="2025-08-06T00:00:00"/>
    <n v="23"/>
    <n v="3.3"/>
    <b v="0"/>
    <m/>
    <n v="27"/>
  </r>
  <r>
    <s v="FB000541"/>
    <x v="5"/>
    <x v="4"/>
    <x v="0"/>
    <x v="0"/>
    <x v="5"/>
    <n v="138.44999999999999"/>
    <n v="0"/>
    <n v="138.44999999999999"/>
    <d v="2025-03-28T00:00:00"/>
    <n v="18"/>
    <n v="3.3"/>
    <b v="0"/>
    <m/>
    <n v="158"/>
  </r>
  <r>
    <s v="FB000542"/>
    <x v="3"/>
    <x v="6"/>
    <x v="3"/>
    <x v="3"/>
    <x v="2"/>
    <n v="165.1"/>
    <n v="0"/>
    <n v="165.1"/>
    <d v="2025-08-06T00:00:00"/>
    <n v="7"/>
    <n v="2.9083333333333328"/>
    <b v="0"/>
    <m/>
    <n v="27"/>
  </r>
  <r>
    <s v="FB000543"/>
    <x v="3"/>
    <x v="6"/>
    <x v="1"/>
    <x v="4"/>
    <x v="4"/>
    <n v="147.25"/>
    <n v="0"/>
    <n v="147.25"/>
    <d v="2025-08-06T00:00:00"/>
    <n v="15"/>
    <n v="2.7"/>
    <b v="0"/>
    <m/>
    <n v="27"/>
  </r>
  <r>
    <s v="FB000544"/>
    <x v="3"/>
    <x v="1"/>
    <x v="2"/>
    <x v="1"/>
    <x v="1"/>
    <n v="126.23"/>
    <n v="0"/>
    <n v="126.23"/>
    <d v="2025-08-06T00:00:00"/>
    <n v="48"/>
    <n v="2.1"/>
    <b v="0"/>
    <m/>
    <n v="27"/>
  </r>
  <r>
    <s v="FB000545"/>
    <x v="0"/>
    <x v="5"/>
    <x v="2"/>
    <x v="6"/>
    <x v="8"/>
    <n v="229.04"/>
    <n v="0"/>
    <n v="229.04"/>
    <d v="2025-08-06T00:00:00"/>
    <n v="5"/>
    <n v="4.5"/>
    <b v="0"/>
    <m/>
    <n v="27"/>
  </r>
  <r>
    <s v="FB000546"/>
    <x v="2"/>
    <x v="5"/>
    <x v="1"/>
    <x v="2"/>
    <x v="4"/>
    <n v="38.65"/>
    <n v="32.6"/>
    <n v="26.05"/>
    <d v="2025-08-06T00:00:00"/>
    <n v="46"/>
    <n v="1.1000000000000001"/>
    <b v="0"/>
    <m/>
    <n v="27"/>
  </r>
  <r>
    <s v="FB000547"/>
    <x v="4"/>
    <x v="2"/>
    <x v="0"/>
    <x v="5"/>
    <x v="1"/>
    <n v="80.819999999999993"/>
    <n v="0"/>
    <n v="80.819999999999993"/>
    <d v="2025-02-11T00:00:00"/>
    <n v="42"/>
    <n v="3.0384615384615379"/>
    <b v="0"/>
    <m/>
    <n v="203"/>
  </r>
  <r>
    <s v="FB000548"/>
    <x v="2"/>
    <x v="1"/>
    <x v="0"/>
    <x v="2"/>
    <x v="7"/>
    <n v="56.44"/>
    <n v="0"/>
    <n v="56.44"/>
    <d v="2025-03-18T00:00:00"/>
    <n v="35"/>
    <n v="4"/>
    <b v="0"/>
    <m/>
    <n v="168"/>
  </r>
  <r>
    <s v="FB000549"/>
    <x v="5"/>
    <x v="0"/>
    <x v="2"/>
    <x v="6"/>
    <x v="7"/>
    <n v="121.3"/>
    <n v="0"/>
    <n v="121.3"/>
    <d v="2025-08-06T00:00:00"/>
    <n v="33"/>
    <n v="2.2999999999999998"/>
    <b v="0"/>
    <m/>
    <n v="27"/>
  </r>
  <r>
    <s v="FB000550"/>
    <x v="4"/>
    <x v="6"/>
    <x v="2"/>
    <x v="2"/>
    <x v="2"/>
    <n v="101.98"/>
    <n v="28.4"/>
    <n v="73.02"/>
    <d v="2025-08-06T00:00:00"/>
    <n v="40"/>
    <n v="4.5"/>
    <b v="0"/>
    <m/>
    <n v="27"/>
  </r>
  <r>
    <s v="FB000551"/>
    <x v="4"/>
    <x v="2"/>
    <x v="0"/>
    <x v="1"/>
    <x v="0"/>
    <n v="89.99"/>
    <n v="0"/>
    <n v="89.99"/>
    <d v="2025-02-28T00:00:00"/>
    <n v="26"/>
    <n v="4.0999999999999996"/>
    <b v="0"/>
    <m/>
    <n v="186"/>
  </r>
  <r>
    <s v="FB000552"/>
    <x v="3"/>
    <x v="7"/>
    <x v="3"/>
    <x v="4"/>
    <x v="6"/>
    <n v="64.31"/>
    <n v="34.5"/>
    <n v="42.12"/>
    <d v="2025-08-06T00:00:00"/>
    <n v="48"/>
    <n v="4.5"/>
    <b v="0"/>
    <m/>
    <n v="27"/>
  </r>
  <r>
    <s v="FB000553"/>
    <x v="5"/>
    <x v="0"/>
    <x v="0"/>
    <x v="1"/>
    <x v="7"/>
    <n v="168.92"/>
    <n v="0"/>
    <n v="168.92"/>
    <d v="2025-07-14T00:00:00"/>
    <n v="11"/>
    <n v="4.4000000000000004"/>
    <b v="0"/>
    <m/>
    <n v="50"/>
  </r>
  <r>
    <s v="FB000554"/>
    <x v="4"/>
    <x v="6"/>
    <x v="3"/>
    <x v="0"/>
    <x v="8"/>
    <n v="86.46"/>
    <n v="49.5"/>
    <n v="43.66"/>
    <d v="2025-08-06T00:00:00"/>
    <n v="19"/>
    <n v="4.3"/>
    <b v="0"/>
    <m/>
    <n v="27"/>
  </r>
  <r>
    <s v="FB000555"/>
    <x v="1"/>
    <x v="7"/>
    <x v="1"/>
    <x v="5"/>
    <x v="0"/>
    <n v="36.840000000000003"/>
    <n v="18.899999999999999"/>
    <n v="29.88"/>
    <d v="2025-08-06T00:00:00"/>
    <n v="39"/>
    <n v="1.2"/>
    <b v="0"/>
    <m/>
    <n v="27"/>
  </r>
  <r>
    <s v="FB000556"/>
    <x v="1"/>
    <x v="5"/>
    <x v="0"/>
    <x v="5"/>
    <x v="1"/>
    <n v="38.5"/>
    <n v="0"/>
    <n v="38.5"/>
    <d v="2025-03-06T00:00:00"/>
    <n v="2"/>
    <n v="3.2"/>
    <b v="0"/>
    <m/>
    <n v="180"/>
  </r>
  <r>
    <s v="FB000557"/>
    <x v="4"/>
    <x v="3"/>
    <x v="1"/>
    <x v="2"/>
    <x v="7"/>
    <n v="68.02"/>
    <n v="37.700000000000003"/>
    <n v="42.38"/>
    <d v="2025-08-06T00:00:00"/>
    <n v="40"/>
    <n v="2.1"/>
    <b v="0"/>
    <m/>
    <n v="27"/>
  </r>
  <r>
    <s v="FB000558"/>
    <x v="5"/>
    <x v="1"/>
    <x v="2"/>
    <x v="6"/>
    <x v="10"/>
    <n v="117.23"/>
    <n v="0"/>
    <n v="117.23"/>
    <d v="2025-08-06T00:00:00"/>
    <n v="30"/>
    <n v="3.1666666666666665"/>
    <b v="1"/>
    <s v="Changed Mind"/>
    <n v="27"/>
  </r>
  <r>
    <s v="FB000559"/>
    <x v="1"/>
    <x v="5"/>
    <x v="0"/>
    <x v="3"/>
    <x v="8"/>
    <n v="79.33"/>
    <n v="0"/>
    <n v="79.33"/>
    <d v="2025-01-30T00:00:00"/>
    <n v="10"/>
    <n v="3.4"/>
    <b v="1"/>
    <s v="Changed Mind"/>
    <n v="215"/>
  </r>
  <r>
    <s v="FB000560"/>
    <x v="4"/>
    <x v="3"/>
    <x v="3"/>
    <x v="1"/>
    <x v="6"/>
    <n v="75.819999999999993"/>
    <n v="42.7"/>
    <n v="43.44"/>
    <d v="2025-08-06T00:00:00"/>
    <n v="11"/>
    <n v="2"/>
    <b v="0"/>
    <m/>
    <n v="27"/>
  </r>
  <r>
    <s v="FB000561"/>
    <x v="5"/>
    <x v="5"/>
    <x v="0"/>
    <x v="6"/>
    <x v="3"/>
    <n v="141.41999999999999"/>
    <n v="0"/>
    <n v="141.41999999999999"/>
    <d v="2025-03-25T00:00:00"/>
    <n v="10"/>
    <n v="2.5"/>
    <b v="0"/>
    <m/>
    <n v="161"/>
  </r>
  <r>
    <s v="FB000562"/>
    <x v="3"/>
    <x v="1"/>
    <x v="0"/>
    <x v="1"/>
    <x v="2"/>
    <n v="124.2"/>
    <n v="0"/>
    <n v="124.2"/>
    <d v="2024-08-28T00:00:00"/>
    <n v="24"/>
    <n v="1"/>
    <b v="0"/>
    <m/>
    <n v="370"/>
  </r>
  <r>
    <s v="FB000563"/>
    <x v="4"/>
    <x v="7"/>
    <x v="1"/>
    <x v="1"/>
    <x v="8"/>
    <n v="48.42"/>
    <n v="0"/>
    <n v="48.42"/>
    <d v="2025-08-06T00:00:00"/>
    <n v="6"/>
    <n v="4.3"/>
    <b v="0"/>
    <m/>
    <n v="27"/>
  </r>
  <r>
    <s v="FB000564"/>
    <x v="5"/>
    <x v="4"/>
    <x v="2"/>
    <x v="5"/>
    <x v="4"/>
    <n v="119.4"/>
    <n v="0"/>
    <n v="119.4"/>
    <d v="2025-08-06T00:00:00"/>
    <n v="45"/>
    <n v="4.2"/>
    <b v="0"/>
    <m/>
    <n v="27"/>
  </r>
  <r>
    <s v="FB000565"/>
    <x v="3"/>
    <x v="3"/>
    <x v="3"/>
    <x v="6"/>
    <x v="10"/>
    <n v="186.07"/>
    <n v="0"/>
    <n v="186.07"/>
    <d v="2025-08-06T00:00:00"/>
    <n v="41"/>
    <n v="2.6"/>
    <b v="0"/>
    <m/>
    <n v="27"/>
  </r>
  <r>
    <s v="FB000566"/>
    <x v="3"/>
    <x v="3"/>
    <x v="3"/>
    <x v="0"/>
    <x v="10"/>
    <n v="109.46"/>
    <n v="0"/>
    <n v="109.46"/>
    <d v="2025-08-06T00:00:00"/>
    <n v="38"/>
    <n v="4.0999999999999996"/>
    <b v="0"/>
    <m/>
    <n v="27"/>
  </r>
  <r>
    <s v="FB000567"/>
    <x v="5"/>
    <x v="6"/>
    <x v="1"/>
    <x v="3"/>
    <x v="4"/>
    <n v="116.18"/>
    <n v="42.7"/>
    <n v="66.569999999999993"/>
    <d v="2025-08-06T00:00:00"/>
    <n v="3"/>
    <n v="3.5"/>
    <b v="0"/>
    <m/>
    <n v="27"/>
  </r>
  <r>
    <s v="FB000568"/>
    <x v="2"/>
    <x v="0"/>
    <x v="1"/>
    <x v="2"/>
    <x v="6"/>
    <n v="41.29"/>
    <n v="26.3"/>
    <n v="30.43"/>
    <d v="2025-08-06T00:00:00"/>
    <n v="5"/>
    <n v="4.7"/>
    <b v="0"/>
    <m/>
    <n v="27"/>
  </r>
  <r>
    <s v="FB000569"/>
    <x v="1"/>
    <x v="1"/>
    <x v="1"/>
    <x v="3"/>
    <x v="6"/>
    <n v="94.68"/>
    <n v="45"/>
    <n v="52.07"/>
    <d v="2025-08-06T00:00:00"/>
    <n v="47"/>
    <n v="2.6"/>
    <b v="0"/>
    <m/>
    <n v="27"/>
  </r>
  <r>
    <s v="FB000570"/>
    <x v="2"/>
    <x v="0"/>
    <x v="0"/>
    <x v="2"/>
    <x v="3"/>
    <n v="48.55"/>
    <n v="32.700000000000003"/>
    <n v="32.67"/>
    <d v="2024-10-01T00:00:00"/>
    <n v="39"/>
    <n v="2.8"/>
    <b v="0"/>
    <m/>
    <n v="336"/>
  </r>
  <r>
    <s v="FB000571"/>
    <x v="1"/>
    <x v="6"/>
    <x v="3"/>
    <x v="6"/>
    <x v="9"/>
    <n v="75.22"/>
    <n v="0"/>
    <n v="75.22"/>
    <d v="2025-08-06T00:00:00"/>
    <n v="22"/>
    <n v="2.1"/>
    <b v="1"/>
    <s v="Size Issue"/>
    <n v="27"/>
  </r>
  <r>
    <s v="FB000572"/>
    <x v="3"/>
    <x v="4"/>
    <x v="3"/>
    <x v="5"/>
    <x v="3"/>
    <n v="98.95"/>
    <n v="30.3"/>
    <n v="68.97"/>
    <d v="2025-08-06T00:00:00"/>
    <n v="16"/>
    <n v="3.3021276595744684"/>
    <b v="0"/>
    <m/>
    <n v="27"/>
  </r>
  <r>
    <s v="FB000573"/>
    <x v="1"/>
    <x v="4"/>
    <x v="0"/>
    <x v="0"/>
    <x v="10"/>
    <n v="39.56"/>
    <n v="0"/>
    <n v="39.56"/>
    <d v="2025-01-21T00:00:00"/>
    <n v="15"/>
    <n v="2.9657142857142857"/>
    <b v="0"/>
    <m/>
    <n v="224"/>
  </r>
  <r>
    <s v="FB000574"/>
    <x v="0"/>
    <x v="1"/>
    <x v="1"/>
    <x v="3"/>
    <x v="3"/>
    <n v="153.88"/>
    <n v="0"/>
    <n v="153.88"/>
    <d v="2025-08-06T00:00:00"/>
    <n v="42"/>
    <n v="2.2000000000000002"/>
    <b v="0"/>
    <m/>
    <n v="27"/>
  </r>
  <r>
    <s v="FB000575"/>
    <x v="2"/>
    <x v="5"/>
    <x v="3"/>
    <x v="2"/>
    <x v="7"/>
    <n v="68.87"/>
    <n v="0"/>
    <n v="68.87"/>
    <d v="2025-08-06T00:00:00"/>
    <n v="9"/>
    <n v="1.1000000000000001"/>
    <b v="0"/>
    <m/>
    <n v="27"/>
  </r>
  <r>
    <s v="FB000576"/>
    <x v="4"/>
    <x v="5"/>
    <x v="2"/>
    <x v="6"/>
    <x v="1"/>
    <n v="25.56"/>
    <n v="38.9"/>
    <n v="15.62"/>
    <d v="2025-08-06T00:00:00"/>
    <n v="48"/>
    <n v="3.0575757575757576"/>
    <b v="0"/>
    <m/>
    <n v="27"/>
  </r>
  <r>
    <s v="FB000577"/>
    <x v="0"/>
    <x v="4"/>
    <x v="2"/>
    <x v="4"/>
    <x v="3"/>
    <n v="246.49"/>
    <n v="0"/>
    <n v="246.49"/>
    <d v="2025-08-06T00:00:00"/>
    <n v="20"/>
    <n v="4.8"/>
    <b v="0"/>
    <m/>
    <n v="27"/>
  </r>
  <r>
    <s v="FB000578"/>
    <x v="2"/>
    <x v="4"/>
    <x v="2"/>
    <x v="2"/>
    <x v="6"/>
    <n v="52.41"/>
    <n v="0"/>
    <n v="52.41"/>
    <d v="2025-08-06T00:00:00"/>
    <n v="14"/>
    <n v="2.7333333333333334"/>
    <b v="0"/>
    <m/>
    <n v="27"/>
  </r>
  <r>
    <s v="FB000579"/>
    <x v="1"/>
    <x v="0"/>
    <x v="3"/>
    <x v="6"/>
    <x v="8"/>
    <n v="33.770000000000003"/>
    <n v="0"/>
    <n v="33.770000000000003"/>
    <d v="2025-08-06T00:00:00"/>
    <n v="12"/>
    <n v="3.8"/>
    <b v="0"/>
    <m/>
    <n v="27"/>
  </r>
  <r>
    <s v="FB000580"/>
    <x v="3"/>
    <x v="4"/>
    <x v="3"/>
    <x v="6"/>
    <x v="1"/>
    <n v="96.7"/>
    <n v="0"/>
    <n v="96.7"/>
    <d v="2025-08-06T00:00:00"/>
    <n v="28"/>
    <n v="3"/>
    <b v="0"/>
    <m/>
    <n v="27"/>
  </r>
  <r>
    <s v="FB000581"/>
    <x v="5"/>
    <x v="4"/>
    <x v="0"/>
    <x v="6"/>
    <x v="0"/>
    <n v="95.81"/>
    <n v="0"/>
    <n v="95.81"/>
    <d v="2025-05-09T00:00:00"/>
    <n v="47"/>
    <n v="4.9000000000000004"/>
    <b v="0"/>
    <m/>
    <n v="116"/>
  </r>
  <r>
    <s v="FB000582"/>
    <x v="1"/>
    <x v="6"/>
    <x v="2"/>
    <x v="6"/>
    <x v="10"/>
    <n v="41.58"/>
    <n v="0"/>
    <n v="41.58"/>
    <d v="2025-08-06T00:00:00"/>
    <n v="3"/>
    <n v="1.6"/>
    <b v="0"/>
    <m/>
    <n v="27"/>
  </r>
  <r>
    <s v="FB000583"/>
    <x v="1"/>
    <x v="1"/>
    <x v="3"/>
    <x v="0"/>
    <x v="4"/>
    <n v="46.67"/>
    <n v="6.6"/>
    <n v="43.59"/>
    <d v="2025-08-06T00:00:00"/>
    <n v="35"/>
    <n v="1.3"/>
    <b v="1"/>
    <s v="Quality Issue"/>
    <n v="27"/>
  </r>
  <r>
    <s v="FB000584"/>
    <x v="4"/>
    <x v="0"/>
    <x v="1"/>
    <x v="1"/>
    <x v="7"/>
    <n v="25.98"/>
    <n v="59.4"/>
    <n v="10.55"/>
    <d v="2025-08-06T00:00:00"/>
    <n v="40"/>
    <n v="2.9210526315789478"/>
    <b v="0"/>
    <m/>
    <n v="27"/>
  </r>
  <r>
    <s v="FB000585"/>
    <x v="0"/>
    <x v="1"/>
    <x v="3"/>
    <x v="1"/>
    <x v="7"/>
    <n v="204.82"/>
    <n v="14"/>
    <n v="176.15"/>
    <d v="2025-08-06T00:00:00"/>
    <n v="27"/>
    <n v="3.8"/>
    <b v="0"/>
    <m/>
    <n v="27"/>
  </r>
  <r>
    <s v="FB000586"/>
    <x v="1"/>
    <x v="0"/>
    <x v="1"/>
    <x v="4"/>
    <x v="1"/>
    <n v="43.43"/>
    <n v="47.1"/>
    <n v="22.97"/>
    <d v="2025-08-06T00:00:00"/>
    <n v="44"/>
    <n v="4.7"/>
    <b v="0"/>
    <m/>
    <n v="27"/>
  </r>
  <r>
    <s v="FB000587"/>
    <x v="2"/>
    <x v="4"/>
    <x v="3"/>
    <x v="2"/>
    <x v="5"/>
    <n v="40.5"/>
    <n v="40.5"/>
    <n v="24.1"/>
    <d v="2025-08-06T00:00:00"/>
    <n v="25"/>
    <n v="2.9"/>
    <b v="0"/>
    <m/>
    <n v="27"/>
  </r>
  <r>
    <s v="FB000588"/>
    <x v="4"/>
    <x v="7"/>
    <x v="1"/>
    <x v="6"/>
    <x v="0"/>
    <n v="73.59"/>
    <n v="16.600000000000001"/>
    <n v="61.37"/>
    <d v="2025-08-06T00:00:00"/>
    <n v="34"/>
    <n v="4"/>
    <b v="0"/>
    <m/>
    <n v="27"/>
  </r>
  <r>
    <s v="FB000589"/>
    <x v="2"/>
    <x v="5"/>
    <x v="3"/>
    <x v="2"/>
    <x v="8"/>
    <n v="17.670000000000002"/>
    <n v="0"/>
    <n v="17.670000000000002"/>
    <d v="2025-08-06T00:00:00"/>
    <n v="29"/>
    <n v="4.3"/>
    <b v="0"/>
    <m/>
    <n v="27"/>
  </r>
  <r>
    <s v="FB000590"/>
    <x v="5"/>
    <x v="6"/>
    <x v="1"/>
    <x v="3"/>
    <x v="6"/>
    <n v="70.010000000000005"/>
    <n v="28"/>
    <n v="50.41"/>
    <d v="2025-08-06T00:00:00"/>
    <n v="23"/>
    <n v="2.980952380952381"/>
    <b v="0"/>
    <m/>
    <n v="27"/>
  </r>
  <r>
    <s v="FB000591"/>
    <x v="3"/>
    <x v="3"/>
    <x v="2"/>
    <x v="5"/>
    <x v="0"/>
    <n v="79.319999999999993"/>
    <n v="33.700000000000003"/>
    <n v="52.59"/>
    <d v="2025-08-06T00:00:00"/>
    <n v="38"/>
    <n v="3"/>
    <b v="1"/>
    <s v="Size Issue"/>
    <n v="27"/>
  </r>
  <r>
    <s v="FB000592"/>
    <x v="2"/>
    <x v="0"/>
    <x v="3"/>
    <x v="2"/>
    <x v="7"/>
    <n v="45.24"/>
    <n v="0"/>
    <n v="45.24"/>
    <d v="2025-08-06T00:00:00"/>
    <n v="20"/>
    <n v="3"/>
    <b v="1"/>
    <s v="Quality Issue"/>
    <n v="27"/>
  </r>
  <r>
    <s v="FB000593"/>
    <x v="1"/>
    <x v="4"/>
    <x v="3"/>
    <x v="4"/>
    <x v="0"/>
    <n v="63.51"/>
    <n v="13.6"/>
    <n v="54.87"/>
    <d v="2025-08-06T00:00:00"/>
    <n v="19"/>
    <n v="2.9657142857142857"/>
    <b v="0"/>
    <m/>
    <n v="27"/>
  </r>
  <r>
    <s v="FB000594"/>
    <x v="4"/>
    <x v="5"/>
    <x v="1"/>
    <x v="4"/>
    <x v="3"/>
    <n v="55.23"/>
    <n v="33.6"/>
    <n v="36.67"/>
    <d v="2025-08-06T00:00:00"/>
    <n v="9"/>
    <n v="3.0575757575757576"/>
    <b v="0"/>
    <m/>
    <n v="27"/>
  </r>
  <r>
    <s v="FB000595"/>
    <x v="5"/>
    <x v="2"/>
    <x v="2"/>
    <x v="6"/>
    <x v="8"/>
    <n v="137.59"/>
    <n v="0"/>
    <n v="137.59"/>
    <d v="2025-08-06T00:00:00"/>
    <n v="18"/>
    <n v="2.9000000000000008"/>
    <b v="0"/>
    <m/>
    <n v="27"/>
  </r>
  <r>
    <s v="FB000596"/>
    <x v="3"/>
    <x v="4"/>
    <x v="2"/>
    <x v="2"/>
    <x v="3"/>
    <n v="65.8"/>
    <n v="0"/>
    <n v="65.8"/>
    <d v="2025-08-06T00:00:00"/>
    <n v="46"/>
    <n v="3.2"/>
    <b v="0"/>
    <m/>
    <n v="27"/>
  </r>
  <r>
    <s v="FB000597"/>
    <x v="3"/>
    <x v="1"/>
    <x v="1"/>
    <x v="0"/>
    <x v="5"/>
    <n v="88.42"/>
    <n v="0"/>
    <n v="88.42"/>
    <d v="2025-08-06T00:00:00"/>
    <n v="44"/>
    <n v="3.4"/>
    <b v="1"/>
    <s v="Damaged"/>
    <n v="27"/>
  </r>
  <r>
    <s v="FB000598"/>
    <x v="5"/>
    <x v="3"/>
    <x v="2"/>
    <x v="6"/>
    <x v="0"/>
    <n v="75.540000000000006"/>
    <n v="0"/>
    <n v="75.540000000000006"/>
    <d v="2025-08-06T00:00:00"/>
    <n v="6"/>
    <n v="4.5999999999999996"/>
    <b v="0"/>
    <m/>
    <n v="27"/>
  </r>
  <r>
    <s v="FB000599"/>
    <x v="3"/>
    <x v="4"/>
    <x v="0"/>
    <x v="1"/>
    <x v="3"/>
    <n v="185.13"/>
    <n v="0"/>
    <n v="185.13"/>
    <d v="2025-05-09T00:00:00"/>
    <n v="49"/>
    <n v="4.9000000000000004"/>
    <b v="0"/>
    <m/>
    <n v="116"/>
  </r>
  <r>
    <s v="FB000600"/>
    <x v="0"/>
    <x v="3"/>
    <x v="2"/>
    <x v="1"/>
    <x v="2"/>
    <n v="132.58000000000001"/>
    <n v="0"/>
    <n v="132.58000000000001"/>
    <d v="2025-08-06T00:00:00"/>
    <n v="45"/>
    <n v="1.6"/>
    <b v="0"/>
    <m/>
    <n v="27"/>
  </r>
  <r>
    <s v="FB000601"/>
    <x v="4"/>
    <x v="0"/>
    <x v="2"/>
    <x v="6"/>
    <x v="3"/>
    <n v="93.38"/>
    <n v="0"/>
    <n v="93.38"/>
    <d v="2025-08-06T00:00:00"/>
    <n v="7"/>
    <n v="3.5"/>
    <b v="0"/>
    <m/>
    <n v="27"/>
  </r>
  <r>
    <s v="FB000602"/>
    <x v="2"/>
    <x v="5"/>
    <x v="2"/>
    <x v="2"/>
    <x v="2"/>
    <n v="47.28"/>
    <n v="0"/>
    <n v="47.28"/>
    <d v="2025-08-06T00:00:00"/>
    <n v="38"/>
    <n v="4.2"/>
    <b v="0"/>
    <m/>
    <n v="27"/>
  </r>
  <r>
    <s v="FB000603"/>
    <x v="4"/>
    <x v="2"/>
    <x v="0"/>
    <x v="1"/>
    <x v="6"/>
    <n v="59.88"/>
    <n v="0"/>
    <n v="59.88"/>
    <d v="2024-10-12T00:00:00"/>
    <n v="33"/>
    <n v="2.9"/>
    <b v="0"/>
    <m/>
    <n v="325"/>
  </r>
  <r>
    <s v="FB000604"/>
    <x v="5"/>
    <x v="4"/>
    <x v="1"/>
    <x v="4"/>
    <x v="2"/>
    <n v="140.07"/>
    <n v="0"/>
    <n v="140.07"/>
    <d v="2025-08-06T00:00:00"/>
    <n v="15"/>
    <n v="2.7"/>
    <b v="0"/>
    <m/>
    <n v="27"/>
  </r>
  <r>
    <s v="FB000605"/>
    <x v="2"/>
    <x v="1"/>
    <x v="1"/>
    <x v="2"/>
    <x v="2"/>
    <n v="66.599999999999994"/>
    <n v="0"/>
    <n v="66.599999999999994"/>
    <d v="2025-08-06T00:00:00"/>
    <n v="47"/>
    <n v="4"/>
    <b v="0"/>
    <m/>
    <n v="27"/>
  </r>
  <r>
    <s v="FB000606"/>
    <x v="2"/>
    <x v="6"/>
    <x v="3"/>
    <x v="2"/>
    <x v="9"/>
    <n v="39.82"/>
    <n v="35.4"/>
    <n v="25.72"/>
    <d v="2025-08-06T00:00:00"/>
    <n v="9"/>
    <n v="4.5999999999999996"/>
    <b v="0"/>
    <m/>
    <n v="27"/>
  </r>
  <r>
    <s v="FB000607"/>
    <x v="2"/>
    <x v="0"/>
    <x v="2"/>
    <x v="2"/>
    <x v="0"/>
    <n v="70.739999999999995"/>
    <n v="0"/>
    <n v="70.739999999999995"/>
    <d v="2025-08-06T00:00:00"/>
    <n v="49"/>
    <n v="1.8"/>
    <b v="0"/>
    <m/>
    <n v="27"/>
  </r>
  <r>
    <s v="FB000608"/>
    <x v="5"/>
    <x v="0"/>
    <x v="0"/>
    <x v="6"/>
    <x v="0"/>
    <n v="95.33"/>
    <n v="0"/>
    <n v="95.33"/>
    <d v="2025-06-07T00:00:00"/>
    <n v="36"/>
    <n v="3.0424242424242425"/>
    <b v="1"/>
    <s v="Quality Issue"/>
    <n v="87"/>
  </r>
  <r>
    <s v="FB000609"/>
    <x v="2"/>
    <x v="7"/>
    <x v="0"/>
    <x v="2"/>
    <x v="0"/>
    <n v="32.619999999999997"/>
    <n v="29.1"/>
    <n v="23.13"/>
    <d v="2025-07-27T00:00:00"/>
    <n v="9"/>
    <n v="1.4"/>
    <b v="0"/>
    <m/>
    <n v="37"/>
  </r>
  <r>
    <s v="FB000610"/>
    <x v="4"/>
    <x v="3"/>
    <x v="3"/>
    <x v="0"/>
    <x v="9"/>
    <n v="41.07"/>
    <n v="0"/>
    <n v="41.07"/>
    <d v="2025-08-06T00:00:00"/>
    <n v="10"/>
    <n v="4.8"/>
    <b v="0"/>
    <m/>
    <n v="27"/>
  </r>
  <r>
    <s v="FB000611"/>
    <x v="4"/>
    <x v="0"/>
    <x v="1"/>
    <x v="0"/>
    <x v="4"/>
    <n v="43.1"/>
    <n v="0"/>
    <n v="43.1"/>
    <d v="2025-08-06T00:00:00"/>
    <n v="34"/>
    <n v="4.9000000000000004"/>
    <b v="0"/>
    <m/>
    <n v="27"/>
  </r>
  <r>
    <s v="FB000612"/>
    <x v="0"/>
    <x v="5"/>
    <x v="1"/>
    <x v="4"/>
    <x v="8"/>
    <n v="102.03"/>
    <n v="27.9"/>
    <n v="73.56"/>
    <d v="2025-08-06T00:00:00"/>
    <n v="21"/>
    <n v="2.2000000000000002"/>
    <b v="1"/>
    <s v="Size Issue"/>
    <n v="27"/>
  </r>
  <r>
    <s v="FB000613"/>
    <x v="2"/>
    <x v="3"/>
    <x v="1"/>
    <x v="2"/>
    <x v="0"/>
    <n v="54.11"/>
    <n v="0"/>
    <n v="54.11"/>
    <d v="2025-08-06T00:00:00"/>
    <n v="15"/>
    <n v="2.6"/>
    <b v="0"/>
    <m/>
    <n v="27"/>
  </r>
  <r>
    <s v="FB000614"/>
    <x v="2"/>
    <x v="3"/>
    <x v="1"/>
    <x v="2"/>
    <x v="9"/>
    <n v="43.5"/>
    <n v="0"/>
    <n v="43.5"/>
    <d v="2025-08-06T00:00:00"/>
    <n v="35"/>
    <n v="2.8"/>
    <b v="0"/>
    <m/>
    <n v="27"/>
  </r>
  <r>
    <s v="FB000615"/>
    <x v="2"/>
    <x v="2"/>
    <x v="1"/>
    <x v="2"/>
    <x v="1"/>
    <n v="66"/>
    <n v="0"/>
    <n v="66"/>
    <d v="2025-08-06T00:00:00"/>
    <n v="19"/>
    <n v="2.6"/>
    <b v="0"/>
    <m/>
    <n v="27"/>
  </r>
  <r>
    <s v="FB000616"/>
    <x v="4"/>
    <x v="2"/>
    <x v="3"/>
    <x v="6"/>
    <x v="3"/>
    <n v="38.85"/>
    <n v="0"/>
    <n v="38.85"/>
    <d v="2025-08-06T00:00:00"/>
    <n v="10"/>
    <n v="3.8"/>
    <b v="0"/>
    <m/>
    <n v="27"/>
  </r>
  <r>
    <s v="FB000617"/>
    <x v="2"/>
    <x v="0"/>
    <x v="3"/>
    <x v="2"/>
    <x v="7"/>
    <n v="61.29"/>
    <n v="0"/>
    <n v="61.29"/>
    <d v="2025-08-06T00:00:00"/>
    <n v="15"/>
    <n v="4"/>
    <b v="0"/>
    <m/>
    <n v="27"/>
  </r>
  <r>
    <s v="FB000618"/>
    <x v="4"/>
    <x v="4"/>
    <x v="0"/>
    <x v="5"/>
    <x v="7"/>
    <n v="90.66"/>
    <n v="0"/>
    <n v="90.66"/>
    <d v="2025-03-20T00:00:00"/>
    <n v="49"/>
    <n v="2.4"/>
    <b v="1"/>
    <s v="Color Mismatch"/>
    <n v="166"/>
  </r>
  <r>
    <s v="FB000619"/>
    <x v="5"/>
    <x v="3"/>
    <x v="2"/>
    <x v="0"/>
    <x v="6"/>
    <n v="119.96"/>
    <n v="0"/>
    <n v="119.96"/>
    <d v="2025-08-06T00:00:00"/>
    <n v="5"/>
    <n v="5"/>
    <b v="0"/>
    <m/>
    <n v="27"/>
  </r>
  <r>
    <s v="FB000620"/>
    <x v="3"/>
    <x v="7"/>
    <x v="2"/>
    <x v="4"/>
    <x v="0"/>
    <n v="130.21"/>
    <n v="0"/>
    <n v="130.21"/>
    <d v="2025-08-06T00:00:00"/>
    <n v="50"/>
    <n v="4.7"/>
    <b v="0"/>
    <m/>
    <n v="27"/>
  </r>
  <r>
    <s v="FB000621"/>
    <x v="1"/>
    <x v="2"/>
    <x v="1"/>
    <x v="5"/>
    <x v="0"/>
    <n v="49.68"/>
    <n v="0"/>
    <n v="49.68"/>
    <d v="2025-08-06T00:00:00"/>
    <n v="15"/>
    <n v="2.8"/>
    <b v="0"/>
    <m/>
    <n v="27"/>
  </r>
  <r>
    <s v="FB000622"/>
    <x v="2"/>
    <x v="0"/>
    <x v="0"/>
    <x v="2"/>
    <x v="9"/>
    <n v="46.58"/>
    <n v="0"/>
    <n v="46.58"/>
    <d v="2024-09-25T00:00:00"/>
    <n v="42"/>
    <n v="1.7"/>
    <b v="0"/>
    <m/>
    <n v="342"/>
  </r>
  <r>
    <s v="FB000623"/>
    <x v="2"/>
    <x v="3"/>
    <x v="3"/>
    <x v="2"/>
    <x v="10"/>
    <n v="69.88"/>
    <n v="0"/>
    <n v="69.88"/>
    <d v="2025-08-06T00:00:00"/>
    <n v="8"/>
    <n v="2.8"/>
    <b v="0"/>
    <m/>
    <n v="27"/>
  </r>
  <r>
    <s v="FB000624"/>
    <x v="2"/>
    <x v="7"/>
    <x v="2"/>
    <x v="2"/>
    <x v="6"/>
    <n v="32.15"/>
    <n v="0"/>
    <n v="32.15"/>
    <d v="2025-08-06T00:00:00"/>
    <n v="17"/>
    <n v="1.9"/>
    <b v="1"/>
    <s v="Quality Issue"/>
    <n v="27"/>
  </r>
  <r>
    <s v="FB000625"/>
    <x v="4"/>
    <x v="7"/>
    <x v="3"/>
    <x v="3"/>
    <x v="2"/>
    <n v="36.340000000000003"/>
    <n v="0"/>
    <n v="36.340000000000003"/>
    <d v="2025-08-06T00:00:00"/>
    <n v="6"/>
    <n v="4.5"/>
    <b v="1"/>
    <s v="Damaged"/>
    <n v="27"/>
  </r>
  <r>
    <s v="FB000626"/>
    <x v="4"/>
    <x v="3"/>
    <x v="2"/>
    <x v="6"/>
    <x v="7"/>
    <n v="93.01"/>
    <n v="0"/>
    <n v="93.01"/>
    <d v="2025-08-06T00:00:00"/>
    <n v="34"/>
    <n v="1.4"/>
    <b v="0"/>
    <m/>
    <n v="27"/>
  </r>
  <r>
    <s v="FB000627"/>
    <x v="1"/>
    <x v="6"/>
    <x v="1"/>
    <x v="3"/>
    <x v="10"/>
    <n v="75"/>
    <n v="0"/>
    <n v="75"/>
    <d v="2025-08-06T00:00:00"/>
    <n v="19"/>
    <n v="1.6"/>
    <b v="0"/>
    <m/>
    <n v="27"/>
  </r>
  <r>
    <s v="FB000628"/>
    <x v="0"/>
    <x v="0"/>
    <x v="2"/>
    <x v="6"/>
    <x v="5"/>
    <n v="81.63"/>
    <n v="12.4"/>
    <n v="71.510000000000005"/>
    <d v="2025-08-06T00:00:00"/>
    <n v="3"/>
    <n v="2.7030303030303036"/>
    <b v="0"/>
    <m/>
    <n v="27"/>
  </r>
  <r>
    <s v="FB000629"/>
    <x v="4"/>
    <x v="1"/>
    <x v="0"/>
    <x v="0"/>
    <x v="4"/>
    <n v="109.81"/>
    <n v="0"/>
    <n v="109.81"/>
    <d v="2025-07-24T00:00:00"/>
    <n v="17"/>
    <n v="1.9"/>
    <b v="0"/>
    <m/>
    <n v="40"/>
  </r>
  <r>
    <s v="FB000630"/>
    <x v="4"/>
    <x v="5"/>
    <x v="2"/>
    <x v="2"/>
    <x v="2"/>
    <n v="47.7"/>
    <n v="0"/>
    <n v="47.7"/>
    <d v="2025-08-06T00:00:00"/>
    <n v="14"/>
    <n v="2.2999999999999998"/>
    <b v="0"/>
    <m/>
    <n v="27"/>
  </r>
  <r>
    <s v="FB000631"/>
    <x v="1"/>
    <x v="2"/>
    <x v="1"/>
    <x v="3"/>
    <x v="0"/>
    <n v="96.08"/>
    <n v="0"/>
    <n v="96.08"/>
    <d v="2025-08-06T00:00:00"/>
    <n v="7"/>
    <n v="2.5"/>
    <b v="0"/>
    <m/>
    <n v="27"/>
  </r>
  <r>
    <s v="FB000632"/>
    <x v="1"/>
    <x v="4"/>
    <x v="1"/>
    <x v="5"/>
    <x v="10"/>
    <n v="28"/>
    <n v="2.6"/>
    <n v="27.27"/>
    <d v="2025-08-06T00:00:00"/>
    <n v="2"/>
    <n v="2.9657142857142857"/>
    <b v="0"/>
    <m/>
    <n v="27"/>
  </r>
  <r>
    <s v="FB000633"/>
    <x v="4"/>
    <x v="0"/>
    <x v="1"/>
    <x v="3"/>
    <x v="10"/>
    <n v="52.43"/>
    <n v="6.4"/>
    <n v="49.07"/>
    <d v="2025-08-06T00:00:00"/>
    <n v="42"/>
    <n v="2.6"/>
    <b v="0"/>
    <m/>
    <n v="27"/>
  </r>
  <r>
    <s v="FB000634"/>
    <x v="2"/>
    <x v="6"/>
    <x v="3"/>
    <x v="2"/>
    <x v="1"/>
    <n v="67.95"/>
    <n v="18.3"/>
    <n v="55.52"/>
    <d v="2025-08-06T00:00:00"/>
    <n v="37"/>
    <n v="3.2720930232558145"/>
    <b v="0"/>
    <m/>
    <n v="27"/>
  </r>
  <r>
    <s v="FB000635"/>
    <x v="5"/>
    <x v="5"/>
    <x v="2"/>
    <x v="2"/>
    <x v="0"/>
    <n v="131.91999999999999"/>
    <n v="0"/>
    <n v="131.91999999999999"/>
    <d v="2025-08-06T00:00:00"/>
    <n v="10"/>
    <n v="2.5"/>
    <b v="0"/>
    <m/>
    <n v="27"/>
  </r>
  <r>
    <s v="FB000636"/>
    <x v="0"/>
    <x v="5"/>
    <x v="0"/>
    <x v="5"/>
    <x v="3"/>
    <n v="205.77"/>
    <n v="0"/>
    <n v="205.77"/>
    <d v="2025-01-31T00:00:00"/>
    <n v="38"/>
    <n v="1"/>
    <b v="0"/>
    <m/>
    <n v="214"/>
  </r>
  <r>
    <s v="FB000637"/>
    <x v="1"/>
    <x v="1"/>
    <x v="1"/>
    <x v="0"/>
    <x v="3"/>
    <n v="97.88"/>
    <n v="11.3"/>
    <n v="86.82"/>
    <d v="2025-08-06T00:00:00"/>
    <n v="27"/>
    <n v="1.3"/>
    <b v="0"/>
    <m/>
    <n v="27"/>
  </r>
  <r>
    <s v="FB000638"/>
    <x v="3"/>
    <x v="0"/>
    <x v="3"/>
    <x v="1"/>
    <x v="4"/>
    <n v="109.55"/>
    <n v="0"/>
    <n v="109.55"/>
    <d v="2025-08-06T00:00:00"/>
    <n v="32"/>
    <n v="1.4"/>
    <b v="0"/>
    <m/>
    <n v="27"/>
  </r>
  <r>
    <s v="FB000639"/>
    <x v="4"/>
    <x v="0"/>
    <x v="2"/>
    <x v="1"/>
    <x v="4"/>
    <n v="52.94"/>
    <n v="10.6"/>
    <n v="47.33"/>
    <d v="2025-08-06T00:00:00"/>
    <n v="50"/>
    <n v="2.7"/>
    <b v="0"/>
    <m/>
    <n v="27"/>
  </r>
  <r>
    <s v="FB000640"/>
    <x v="4"/>
    <x v="2"/>
    <x v="1"/>
    <x v="5"/>
    <x v="1"/>
    <n v="70.83"/>
    <n v="18"/>
    <n v="58.08"/>
    <d v="2025-08-06T00:00:00"/>
    <n v="21"/>
    <n v="2.9"/>
    <b v="0"/>
    <m/>
    <n v="27"/>
  </r>
  <r>
    <s v="FB000641"/>
    <x v="5"/>
    <x v="3"/>
    <x v="2"/>
    <x v="1"/>
    <x v="8"/>
    <n v="53.17"/>
    <n v="0"/>
    <n v="53.17"/>
    <d v="2025-08-06T00:00:00"/>
    <n v="14"/>
    <n v="4.5"/>
    <b v="1"/>
    <s v="Changed Mind"/>
    <n v="27"/>
  </r>
  <r>
    <s v="FB000642"/>
    <x v="4"/>
    <x v="2"/>
    <x v="3"/>
    <x v="5"/>
    <x v="7"/>
    <n v="119.56"/>
    <n v="46.2"/>
    <n v="64.319999999999993"/>
    <d v="2025-08-06T00:00:00"/>
    <n v="14"/>
    <n v="3.0384615384615379"/>
    <b v="0"/>
    <m/>
    <n v="27"/>
  </r>
  <r>
    <s v="FB000643"/>
    <x v="5"/>
    <x v="3"/>
    <x v="1"/>
    <x v="3"/>
    <x v="5"/>
    <n v="144.43"/>
    <n v="0"/>
    <n v="144.43"/>
    <d v="2025-08-06T00:00:00"/>
    <n v="41"/>
    <n v="3.6"/>
    <b v="0"/>
    <m/>
    <n v="27"/>
  </r>
  <r>
    <s v="FB000644"/>
    <x v="0"/>
    <x v="3"/>
    <x v="0"/>
    <x v="3"/>
    <x v="9"/>
    <n v="172.93"/>
    <n v="0"/>
    <n v="172.93"/>
    <d v="2025-04-12T00:00:00"/>
    <n v="43"/>
    <n v="4.7"/>
    <b v="1"/>
    <s v="Quality Issue"/>
    <n v="143"/>
  </r>
  <r>
    <s v="FB000645"/>
    <x v="0"/>
    <x v="6"/>
    <x v="1"/>
    <x v="0"/>
    <x v="7"/>
    <n v="191.95"/>
    <n v="40.4"/>
    <n v="114.4"/>
    <d v="2025-08-06T00:00:00"/>
    <n v="21"/>
    <n v="2.9"/>
    <b v="0"/>
    <m/>
    <n v="27"/>
  </r>
  <r>
    <s v="FB000646"/>
    <x v="5"/>
    <x v="4"/>
    <x v="1"/>
    <x v="6"/>
    <x v="2"/>
    <n v="128.56"/>
    <n v="0"/>
    <n v="128.56"/>
    <d v="2025-08-06T00:00:00"/>
    <n v="45"/>
    <n v="2.4"/>
    <b v="0"/>
    <m/>
    <n v="27"/>
  </r>
  <r>
    <s v="FB000647"/>
    <x v="5"/>
    <x v="4"/>
    <x v="3"/>
    <x v="1"/>
    <x v="3"/>
    <n v="123.08"/>
    <n v="53"/>
    <n v="57.85"/>
    <d v="2025-08-06T00:00:00"/>
    <n v="38"/>
    <n v="2.5"/>
    <b v="0"/>
    <m/>
    <n v="27"/>
  </r>
  <r>
    <s v="FB000648"/>
    <x v="0"/>
    <x v="5"/>
    <x v="0"/>
    <x v="3"/>
    <x v="9"/>
    <n v="119.78"/>
    <n v="0"/>
    <n v="119.78"/>
    <d v="2025-04-04T00:00:00"/>
    <n v="22"/>
    <n v="1.5"/>
    <b v="1"/>
    <s v="Color Mismatch"/>
    <n v="151"/>
  </r>
  <r>
    <s v="FB000649"/>
    <x v="4"/>
    <x v="2"/>
    <x v="3"/>
    <x v="5"/>
    <x v="3"/>
    <n v="110.6"/>
    <n v="0"/>
    <n v="110.6"/>
    <d v="2025-08-06T00:00:00"/>
    <n v="19"/>
    <n v="3.0384615384615379"/>
    <b v="1"/>
    <s v="Color Mismatch"/>
    <n v="27"/>
  </r>
  <r>
    <s v="FB000650"/>
    <x v="1"/>
    <x v="0"/>
    <x v="0"/>
    <x v="3"/>
    <x v="9"/>
    <n v="58.16"/>
    <n v="0"/>
    <n v="58.16"/>
    <d v="2025-07-02T00:00:00"/>
    <n v="29"/>
    <n v="4.0999999999999996"/>
    <b v="0"/>
    <m/>
    <n v="62"/>
  </r>
  <r>
    <s v="FB000651"/>
    <x v="0"/>
    <x v="3"/>
    <x v="2"/>
    <x v="3"/>
    <x v="6"/>
    <n v="208.82"/>
    <n v="0"/>
    <n v="208.82"/>
    <d v="2025-08-06T00:00:00"/>
    <n v="45"/>
    <n v="1.8"/>
    <b v="0"/>
    <m/>
    <n v="27"/>
  </r>
  <r>
    <s v="FB000652"/>
    <x v="3"/>
    <x v="5"/>
    <x v="1"/>
    <x v="6"/>
    <x v="2"/>
    <n v="192.74"/>
    <n v="0"/>
    <n v="192.74"/>
    <d v="2025-08-06T00:00:00"/>
    <n v="43"/>
    <n v="4.3"/>
    <b v="0"/>
    <m/>
    <n v="27"/>
  </r>
  <r>
    <s v="FB000653"/>
    <x v="2"/>
    <x v="6"/>
    <x v="2"/>
    <x v="2"/>
    <x v="0"/>
    <n v="71.819999999999993"/>
    <n v="18.399999999999999"/>
    <n v="58.61"/>
    <d v="2025-08-06T00:00:00"/>
    <n v="50"/>
    <n v="1.9"/>
    <b v="0"/>
    <m/>
    <n v="27"/>
  </r>
  <r>
    <s v="FB000654"/>
    <x v="3"/>
    <x v="0"/>
    <x v="3"/>
    <x v="5"/>
    <x v="0"/>
    <n v="145.4"/>
    <n v="0"/>
    <n v="145.4"/>
    <d v="2025-08-06T00:00:00"/>
    <n v="14"/>
    <n v="2"/>
    <b v="0"/>
    <m/>
    <n v="27"/>
  </r>
  <r>
    <s v="FB000655"/>
    <x v="4"/>
    <x v="3"/>
    <x v="3"/>
    <x v="4"/>
    <x v="10"/>
    <n v="51.94"/>
    <n v="0"/>
    <n v="51.94"/>
    <d v="2025-08-06T00:00:00"/>
    <n v="9"/>
    <n v="3.2"/>
    <b v="0"/>
    <m/>
    <n v="27"/>
  </r>
  <r>
    <s v="FB000656"/>
    <x v="2"/>
    <x v="5"/>
    <x v="0"/>
    <x v="2"/>
    <x v="2"/>
    <n v="77.48"/>
    <n v="0"/>
    <n v="77.48"/>
    <d v="2024-10-07T00:00:00"/>
    <n v="49"/>
    <n v="3.3"/>
    <b v="1"/>
    <s v="Quality Issue"/>
    <n v="330"/>
  </r>
  <r>
    <s v="FB000657"/>
    <x v="5"/>
    <x v="3"/>
    <x v="3"/>
    <x v="1"/>
    <x v="2"/>
    <n v="59.66"/>
    <n v="45.2"/>
    <n v="32.69"/>
    <d v="2025-08-06T00:00:00"/>
    <n v="14"/>
    <n v="2.6"/>
    <b v="0"/>
    <m/>
    <n v="27"/>
  </r>
  <r>
    <s v="FB000658"/>
    <x v="4"/>
    <x v="1"/>
    <x v="3"/>
    <x v="3"/>
    <x v="0"/>
    <n v="102.07"/>
    <n v="0"/>
    <n v="102.07"/>
    <d v="2025-08-06T00:00:00"/>
    <n v="26"/>
    <n v="3.0846153846153843"/>
    <b v="1"/>
    <s v="Color Mismatch"/>
    <n v="27"/>
  </r>
  <r>
    <s v="FB000659"/>
    <x v="2"/>
    <x v="2"/>
    <x v="0"/>
    <x v="2"/>
    <x v="4"/>
    <n v="48.57"/>
    <n v="0"/>
    <n v="48.57"/>
    <d v="2024-12-06T00:00:00"/>
    <n v="12"/>
    <n v="4.7"/>
    <b v="0"/>
    <m/>
    <n v="270"/>
  </r>
  <r>
    <s v="FB000660"/>
    <x v="3"/>
    <x v="6"/>
    <x v="3"/>
    <x v="6"/>
    <x v="8"/>
    <n v="121.55"/>
    <n v="0"/>
    <n v="121.55"/>
    <d v="2025-08-06T00:00:00"/>
    <n v="16"/>
    <n v="2.9083333333333328"/>
    <b v="1"/>
    <s v="Damaged"/>
    <n v="27"/>
  </r>
  <r>
    <s v="FB000661"/>
    <x v="2"/>
    <x v="5"/>
    <x v="1"/>
    <x v="2"/>
    <x v="8"/>
    <n v="59.22"/>
    <n v="44.8"/>
    <n v="32.69"/>
    <d v="2025-08-06T00:00:00"/>
    <n v="21"/>
    <n v="2"/>
    <b v="0"/>
    <m/>
    <n v="27"/>
  </r>
  <r>
    <s v="FB000662"/>
    <x v="1"/>
    <x v="5"/>
    <x v="0"/>
    <x v="5"/>
    <x v="7"/>
    <n v="58.5"/>
    <n v="2.1"/>
    <n v="57.27"/>
    <d v="2025-05-23T00:00:00"/>
    <n v="24"/>
    <n v="3.9"/>
    <b v="0"/>
    <m/>
    <n v="102"/>
  </r>
  <r>
    <s v="FB000663"/>
    <x v="2"/>
    <x v="7"/>
    <x v="2"/>
    <x v="2"/>
    <x v="6"/>
    <n v="73.849999999999994"/>
    <n v="0"/>
    <n v="73.849999999999994"/>
    <d v="2025-08-06T00:00:00"/>
    <n v="46"/>
    <n v="2"/>
    <b v="0"/>
    <m/>
    <n v="27"/>
  </r>
  <r>
    <s v="FB000664"/>
    <x v="4"/>
    <x v="4"/>
    <x v="3"/>
    <x v="4"/>
    <x v="0"/>
    <n v="114.32"/>
    <n v="36.5"/>
    <n v="72.59"/>
    <d v="2025-08-06T00:00:00"/>
    <n v="41"/>
    <n v="4.0999999999999996"/>
    <b v="0"/>
    <m/>
    <n v="27"/>
  </r>
  <r>
    <s v="FB000665"/>
    <x v="4"/>
    <x v="7"/>
    <x v="3"/>
    <x v="5"/>
    <x v="4"/>
    <n v="91.4"/>
    <n v="11"/>
    <n v="81.349999999999994"/>
    <d v="2025-08-06T00:00:00"/>
    <n v="18"/>
    <n v="1.6"/>
    <b v="0"/>
    <m/>
    <n v="27"/>
  </r>
  <r>
    <s v="FB000666"/>
    <x v="2"/>
    <x v="7"/>
    <x v="1"/>
    <x v="2"/>
    <x v="8"/>
    <n v="69.77"/>
    <n v="0"/>
    <n v="69.77"/>
    <d v="2025-08-06T00:00:00"/>
    <n v="30"/>
    <n v="2.8636363636363633"/>
    <b v="1"/>
    <s v="Color Mismatch"/>
    <n v="27"/>
  </r>
  <r>
    <s v="FB000667"/>
    <x v="1"/>
    <x v="4"/>
    <x v="3"/>
    <x v="1"/>
    <x v="2"/>
    <n v="72.95"/>
    <n v="0"/>
    <n v="72.95"/>
    <d v="2025-08-06T00:00:00"/>
    <n v="27"/>
    <n v="4.8"/>
    <b v="0"/>
    <m/>
    <n v="27"/>
  </r>
  <r>
    <s v="FB000668"/>
    <x v="4"/>
    <x v="5"/>
    <x v="3"/>
    <x v="0"/>
    <x v="7"/>
    <n v="63.99"/>
    <n v="42.2"/>
    <n v="36.99"/>
    <d v="2025-08-06T00:00:00"/>
    <n v="35"/>
    <n v="3.2"/>
    <b v="0"/>
    <m/>
    <n v="27"/>
  </r>
  <r>
    <s v="FB000669"/>
    <x v="5"/>
    <x v="2"/>
    <x v="3"/>
    <x v="0"/>
    <x v="5"/>
    <n v="74.84"/>
    <n v="51.9"/>
    <n v="36"/>
    <d v="2025-08-06T00:00:00"/>
    <n v="35"/>
    <n v="2.5"/>
    <b v="0"/>
    <m/>
    <n v="27"/>
  </r>
  <r>
    <s v="FB000670"/>
    <x v="0"/>
    <x v="4"/>
    <x v="0"/>
    <x v="5"/>
    <x v="2"/>
    <n v="158.84"/>
    <n v="0"/>
    <n v="158.84"/>
    <d v="2025-04-16T00:00:00"/>
    <n v="30"/>
    <n v="4.5999999999999996"/>
    <b v="0"/>
    <m/>
    <n v="139"/>
  </r>
  <r>
    <s v="FB000671"/>
    <x v="3"/>
    <x v="3"/>
    <x v="0"/>
    <x v="6"/>
    <x v="10"/>
    <n v="96.36"/>
    <n v="58.6"/>
    <n v="39.89"/>
    <d v="2025-02-10T00:00:00"/>
    <n v="16"/>
    <n v="3.9"/>
    <b v="0"/>
    <m/>
    <n v="204"/>
  </r>
  <r>
    <s v="FB000672"/>
    <x v="4"/>
    <x v="4"/>
    <x v="0"/>
    <x v="5"/>
    <x v="9"/>
    <n v="51.06"/>
    <n v="13.9"/>
    <n v="43.96"/>
    <d v="2024-08-16T00:00:00"/>
    <n v="16"/>
    <n v="1.3"/>
    <b v="0"/>
    <m/>
    <n v="382"/>
  </r>
  <r>
    <s v="FB000673"/>
    <x v="4"/>
    <x v="2"/>
    <x v="3"/>
    <x v="1"/>
    <x v="8"/>
    <n v="49.75"/>
    <n v="26.4"/>
    <n v="36.619999999999997"/>
    <d v="2025-08-06T00:00:00"/>
    <n v="24"/>
    <n v="3.8"/>
    <b v="0"/>
    <m/>
    <n v="27"/>
  </r>
  <r>
    <s v="FB000674"/>
    <x v="5"/>
    <x v="3"/>
    <x v="0"/>
    <x v="5"/>
    <x v="1"/>
    <n v="148.97999999999999"/>
    <n v="0"/>
    <n v="148.97999999999999"/>
    <d v="2024-10-26T00:00:00"/>
    <n v="11"/>
    <n v="2.2000000000000002"/>
    <b v="1"/>
    <s v="Wrong Item"/>
    <n v="311"/>
  </r>
  <r>
    <s v="FB000675"/>
    <x v="2"/>
    <x v="6"/>
    <x v="1"/>
    <x v="2"/>
    <x v="4"/>
    <n v="72.239999999999995"/>
    <n v="0"/>
    <n v="72.239999999999995"/>
    <d v="2025-08-06T00:00:00"/>
    <n v="35"/>
    <n v="4.0999999999999996"/>
    <b v="0"/>
    <m/>
    <n v="27"/>
  </r>
  <r>
    <s v="FB000676"/>
    <x v="1"/>
    <x v="3"/>
    <x v="1"/>
    <x v="5"/>
    <x v="5"/>
    <n v="94.92"/>
    <n v="0"/>
    <n v="94.92"/>
    <d v="2025-08-06T00:00:00"/>
    <n v="5"/>
    <n v="3.3"/>
    <b v="0"/>
    <m/>
    <n v="27"/>
  </r>
  <r>
    <s v="FB000677"/>
    <x v="0"/>
    <x v="2"/>
    <x v="2"/>
    <x v="4"/>
    <x v="10"/>
    <n v="91.08"/>
    <n v="0"/>
    <n v="91.08"/>
    <d v="2025-08-06T00:00:00"/>
    <n v="47"/>
    <n v="4.9000000000000004"/>
    <b v="0"/>
    <m/>
    <n v="27"/>
  </r>
  <r>
    <s v="FB000678"/>
    <x v="2"/>
    <x v="2"/>
    <x v="2"/>
    <x v="2"/>
    <x v="10"/>
    <n v="49.72"/>
    <n v="58.3"/>
    <n v="20.73"/>
    <d v="2025-08-06T00:00:00"/>
    <n v="4"/>
    <n v="1.6"/>
    <b v="0"/>
    <m/>
    <n v="27"/>
  </r>
  <r>
    <s v="FB000679"/>
    <x v="2"/>
    <x v="6"/>
    <x v="1"/>
    <x v="2"/>
    <x v="9"/>
    <n v="23.09"/>
    <n v="7.1"/>
    <n v="21.45"/>
    <d v="2025-08-06T00:00:00"/>
    <n v="11"/>
    <n v="1.2"/>
    <b v="0"/>
    <m/>
    <n v="27"/>
  </r>
  <r>
    <s v="FB000680"/>
    <x v="2"/>
    <x v="0"/>
    <x v="0"/>
    <x v="2"/>
    <x v="0"/>
    <n v="49.95"/>
    <n v="0"/>
    <n v="49.95"/>
    <d v="2024-09-17T00:00:00"/>
    <n v="29"/>
    <n v="4.3"/>
    <b v="0"/>
    <m/>
    <n v="350"/>
  </r>
  <r>
    <s v="FB000681"/>
    <x v="2"/>
    <x v="7"/>
    <x v="1"/>
    <x v="2"/>
    <x v="6"/>
    <n v="25.7"/>
    <n v="0"/>
    <n v="25.7"/>
    <d v="2025-08-06T00:00:00"/>
    <n v="38"/>
    <n v="3.2"/>
    <b v="1"/>
    <s v="Quality Issue"/>
    <n v="27"/>
  </r>
  <r>
    <s v="FB000682"/>
    <x v="3"/>
    <x v="3"/>
    <x v="3"/>
    <x v="5"/>
    <x v="6"/>
    <n v="175.22"/>
    <n v="0"/>
    <n v="175.22"/>
    <d v="2025-08-06T00:00:00"/>
    <n v="8"/>
    <n v="4.9000000000000004"/>
    <b v="0"/>
    <m/>
    <n v="27"/>
  </r>
  <r>
    <s v="FB000683"/>
    <x v="4"/>
    <x v="5"/>
    <x v="3"/>
    <x v="5"/>
    <x v="4"/>
    <n v="37.57"/>
    <n v="0"/>
    <n v="37.57"/>
    <d v="2025-08-06T00:00:00"/>
    <n v="18"/>
    <n v="1.9"/>
    <b v="0"/>
    <m/>
    <n v="27"/>
  </r>
  <r>
    <s v="FB000684"/>
    <x v="0"/>
    <x v="0"/>
    <x v="0"/>
    <x v="6"/>
    <x v="6"/>
    <n v="245.87"/>
    <n v="0"/>
    <n v="245.87"/>
    <d v="2025-06-24T00:00:00"/>
    <n v="27"/>
    <n v="2.6"/>
    <b v="0"/>
    <m/>
    <n v="70"/>
  </r>
  <r>
    <s v="FB000685"/>
    <x v="4"/>
    <x v="2"/>
    <x v="1"/>
    <x v="5"/>
    <x v="0"/>
    <n v="116.92"/>
    <n v="0"/>
    <n v="116.92"/>
    <d v="2025-08-06T00:00:00"/>
    <n v="13"/>
    <n v="3.2"/>
    <b v="0"/>
    <m/>
    <n v="27"/>
  </r>
  <r>
    <s v="FB000686"/>
    <x v="5"/>
    <x v="5"/>
    <x v="1"/>
    <x v="1"/>
    <x v="1"/>
    <n v="103.11"/>
    <n v="0"/>
    <n v="103.11"/>
    <d v="2025-08-06T00:00:00"/>
    <n v="17"/>
    <n v="3.1874999999999991"/>
    <b v="0"/>
    <m/>
    <n v="27"/>
  </r>
  <r>
    <s v="FB000687"/>
    <x v="0"/>
    <x v="1"/>
    <x v="2"/>
    <x v="6"/>
    <x v="9"/>
    <n v="238.89"/>
    <n v="0.5"/>
    <n v="237.7"/>
    <d v="2025-08-06T00:00:00"/>
    <n v="28"/>
    <n v="2.7"/>
    <b v="0"/>
    <m/>
    <n v="27"/>
  </r>
  <r>
    <s v="FB000688"/>
    <x v="3"/>
    <x v="1"/>
    <x v="3"/>
    <x v="5"/>
    <x v="1"/>
    <n v="86.81"/>
    <n v="12.6"/>
    <n v="75.87"/>
    <d v="2025-08-06T00:00:00"/>
    <n v="6"/>
    <n v="1.7"/>
    <b v="0"/>
    <m/>
    <n v="27"/>
  </r>
  <r>
    <s v="FB000689"/>
    <x v="4"/>
    <x v="3"/>
    <x v="3"/>
    <x v="5"/>
    <x v="5"/>
    <n v="58.8"/>
    <n v="11.8"/>
    <n v="51.86"/>
    <d v="2025-08-06T00:00:00"/>
    <n v="8"/>
    <n v="2.8142857142857149"/>
    <b v="0"/>
    <m/>
    <n v="27"/>
  </r>
  <r>
    <s v="FB000690"/>
    <x v="4"/>
    <x v="5"/>
    <x v="0"/>
    <x v="0"/>
    <x v="7"/>
    <n v="41.65"/>
    <n v="52"/>
    <n v="19.989999999999998"/>
    <d v="2025-05-16T00:00:00"/>
    <n v="20"/>
    <n v="1.2"/>
    <b v="0"/>
    <m/>
    <n v="109"/>
  </r>
  <r>
    <s v="FB000691"/>
    <x v="1"/>
    <x v="4"/>
    <x v="0"/>
    <x v="0"/>
    <x v="2"/>
    <n v="61.67"/>
    <n v="46.4"/>
    <n v="33.06"/>
    <d v="2025-07-15T00:00:00"/>
    <n v="50"/>
    <n v="2.7"/>
    <b v="0"/>
    <m/>
    <n v="49"/>
  </r>
  <r>
    <s v="FB000692"/>
    <x v="4"/>
    <x v="4"/>
    <x v="2"/>
    <x v="5"/>
    <x v="2"/>
    <n v="40.39"/>
    <n v="0"/>
    <n v="40.39"/>
    <d v="2025-08-06T00:00:00"/>
    <n v="16"/>
    <n v="3.0659090909090896"/>
    <b v="0"/>
    <m/>
    <n v="27"/>
  </r>
  <r>
    <s v="FB000693"/>
    <x v="1"/>
    <x v="5"/>
    <x v="2"/>
    <x v="4"/>
    <x v="9"/>
    <n v="95.13"/>
    <n v="45.4"/>
    <n v="51.94"/>
    <d v="2025-08-06T00:00:00"/>
    <n v="46"/>
    <n v="2.5"/>
    <b v="0"/>
    <m/>
    <n v="27"/>
  </r>
  <r>
    <s v="FB000694"/>
    <x v="4"/>
    <x v="0"/>
    <x v="2"/>
    <x v="3"/>
    <x v="6"/>
    <n v="115.14"/>
    <n v="0"/>
    <n v="115.14"/>
    <d v="2025-08-06T00:00:00"/>
    <n v="43"/>
    <n v="2.5"/>
    <b v="0"/>
    <m/>
    <n v="27"/>
  </r>
  <r>
    <s v="FB000695"/>
    <x v="1"/>
    <x v="4"/>
    <x v="3"/>
    <x v="2"/>
    <x v="7"/>
    <n v="59.58"/>
    <n v="0"/>
    <n v="59.58"/>
    <d v="2025-08-06T00:00:00"/>
    <n v="27"/>
    <n v="3.3"/>
    <b v="0"/>
    <m/>
    <n v="27"/>
  </r>
  <r>
    <s v="FB000696"/>
    <x v="3"/>
    <x v="1"/>
    <x v="0"/>
    <x v="6"/>
    <x v="9"/>
    <n v="169.89"/>
    <n v="0"/>
    <n v="169.89"/>
    <d v="2025-07-14T00:00:00"/>
    <n v="12"/>
    <n v="1.2"/>
    <b v="0"/>
    <m/>
    <n v="50"/>
  </r>
  <r>
    <s v="FB000697"/>
    <x v="3"/>
    <x v="3"/>
    <x v="1"/>
    <x v="3"/>
    <x v="2"/>
    <n v="117.38"/>
    <n v="22.5"/>
    <n v="90.97"/>
    <d v="2025-08-06T00:00:00"/>
    <n v="42"/>
    <n v="2.8"/>
    <b v="1"/>
    <s v="Color Mismatch"/>
    <n v="27"/>
  </r>
  <r>
    <s v="FB000698"/>
    <x v="1"/>
    <x v="3"/>
    <x v="1"/>
    <x v="3"/>
    <x v="1"/>
    <n v="118.95"/>
    <n v="0"/>
    <n v="118.95"/>
    <d v="2025-08-06T00:00:00"/>
    <n v="18"/>
    <n v="1.9"/>
    <b v="1"/>
    <s v="Quality Issue"/>
    <n v="27"/>
  </r>
  <r>
    <s v="FB000699"/>
    <x v="2"/>
    <x v="1"/>
    <x v="2"/>
    <x v="2"/>
    <x v="0"/>
    <n v="39.299999999999997"/>
    <n v="0"/>
    <n v="39.299999999999997"/>
    <d v="2025-08-06T00:00:00"/>
    <n v="39"/>
    <n v="3.1288461538461547"/>
    <b v="0"/>
    <m/>
    <n v="27"/>
  </r>
  <r>
    <s v="FB000700"/>
    <x v="1"/>
    <x v="4"/>
    <x v="1"/>
    <x v="1"/>
    <x v="7"/>
    <n v="74.3"/>
    <n v="0"/>
    <n v="74.3"/>
    <d v="2025-08-06T00:00:00"/>
    <n v="31"/>
    <n v="3.8"/>
    <b v="1"/>
    <s v="Wrong Item"/>
    <n v="27"/>
  </r>
  <r>
    <s v="FB000701"/>
    <x v="4"/>
    <x v="4"/>
    <x v="0"/>
    <x v="5"/>
    <x v="10"/>
    <n v="62.97"/>
    <n v="0"/>
    <n v="62.97"/>
    <d v="2025-05-26T00:00:00"/>
    <n v="5"/>
    <n v="3.5"/>
    <b v="0"/>
    <m/>
    <n v="99"/>
  </r>
  <r>
    <s v="FB000702"/>
    <x v="2"/>
    <x v="4"/>
    <x v="3"/>
    <x v="2"/>
    <x v="4"/>
    <n v="73.599999999999994"/>
    <n v="0"/>
    <n v="73.599999999999994"/>
    <d v="2025-08-06T00:00:00"/>
    <n v="1"/>
    <n v="1.8"/>
    <b v="0"/>
    <m/>
    <n v="27"/>
  </r>
  <r>
    <s v="FB000703"/>
    <x v="2"/>
    <x v="3"/>
    <x v="0"/>
    <x v="2"/>
    <x v="2"/>
    <n v="77.849999999999994"/>
    <n v="34.9"/>
    <n v="50.68"/>
    <d v="2025-08-05T00:00:00"/>
    <n v="11"/>
    <n v="2.5131578947368416"/>
    <b v="0"/>
    <m/>
    <n v="28"/>
  </r>
  <r>
    <s v="FB000704"/>
    <x v="1"/>
    <x v="7"/>
    <x v="3"/>
    <x v="2"/>
    <x v="0"/>
    <n v="94.31"/>
    <n v="0"/>
    <n v="94.31"/>
    <d v="2025-08-06T00:00:00"/>
    <n v="20"/>
    <n v="3"/>
    <b v="0"/>
    <m/>
    <n v="27"/>
  </r>
  <r>
    <s v="FB000705"/>
    <x v="4"/>
    <x v="5"/>
    <x v="0"/>
    <x v="2"/>
    <x v="8"/>
    <n v="60.36"/>
    <n v="0"/>
    <n v="60.36"/>
    <d v="2024-09-01T00:00:00"/>
    <n v="35"/>
    <n v="3.3"/>
    <b v="0"/>
    <m/>
    <n v="366"/>
  </r>
  <r>
    <s v="FB000706"/>
    <x v="4"/>
    <x v="3"/>
    <x v="3"/>
    <x v="4"/>
    <x v="10"/>
    <n v="94.85"/>
    <n v="0"/>
    <n v="94.85"/>
    <d v="2025-08-06T00:00:00"/>
    <n v="28"/>
    <n v="1.5"/>
    <b v="0"/>
    <m/>
    <n v="27"/>
  </r>
  <r>
    <s v="FB000707"/>
    <x v="2"/>
    <x v="1"/>
    <x v="1"/>
    <x v="2"/>
    <x v="5"/>
    <n v="30.52"/>
    <n v="7.9"/>
    <n v="28.11"/>
    <d v="2025-08-06T00:00:00"/>
    <n v="43"/>
    <n v="4.7"/>
    <b v="0"/>
    <m/>
    <n v="27"/>
  </r>
  <r>
    <s v="FB000708"/>
    <x v="5"/>
    <x v="3"/>
    <x v="3"/>
    <x v="5"/>
    <x v="8"/>
    <n v="97.06"/>
    <n v="0"/>
    <n v="97.06"/>
    <d v="2025-08-06T00:00:00"/>
    <n v="24"/>
    <n v="3.9"/>
    <b v="0"/>
    <m/>
    <n v="27"/>
  </r>
  <r>
    <s v="FB000709"/>
    <x v="4"/>
    <x v="7"/>
    <x v="3"/>
    <x v="6"/>
    <x v="9"/>
    <n v="57.85"/>
    <n v="35.4"/>
    <n v="37.369999999999997"/>
    <d v="2025-08-06T00:00:00"/>
    <n v="17"/>
    <n v="3.1021739130434773"/>
    <b v="0"/>
    <m/>
    <n v="27"/>
  </r>
  <r>
    <s v="FB000710"/>
    <x v="1"/>
    <x v="0"/>
    <x v="2"/>
    <x v="6"/>
    <x v="3"/>
    <n v="51.35"/>
    <n v="19.7"/>
    <n v="41.23"/>
    <d v="2025-08-06T00:00:00"/>
    <n v="39"/>
    <n v="1.3"/>
    <b v="0"/>
    <m/>
    <n v="27"/>
  </r>
  <r>
    <s v="FB000711"/>
    <x v="2"/>
    <x v="5"/>
    <x v="0"/>
    <x v="2"/>
    <x v="2"/>
    <n v="61.34"/>
    <n v="45.4"/>
    <n v="33.49"/>
    <d v="2025-02-03T00:00:00"/>
    <n v="46"/>
    <n v="3.2731707317073173"/>
    <b v="0"/>
    <m/>
    <n v="211"/>
  </r>
  <r>
    <s v="FB000712"/>
    <x v="0"/>
    <x v="2"/>
    <x v="3"/>
    <x v="1"/>
    <x v="9"/>
    <n v="189.28"/>
    <n v="0"/>
    <n v="189.28"/>
    <d v="2025-08-06T00:00:00"/>
    <n v="41"/>
    <n v="2.7"/>
    <b v="1"/>
    <s v="Wrong Item"/>
    <n v="27"/>
  </r>
  <r>
    <s v="FB000713"/>
    <x v="1"/>
    <x v="2"/>
    <x v="3"/>
    <x v="4"/>
    <x v="9"/>
    <n v="86.67"/>
    <n v="35.799999999999997"/>
    <n v="55.64"/>
    <d v="2025-08-06T00:00:00"/>
    <n v="2"/>
    <n v="4.9000000000000004"/>
    <b v="0"/>
    <m/>
    <n v="27"/>
  </r>
  <r>
    <s v="FB000714"/>
    <x v="4"/>
    <x v="5"/>
    <x v="0"/>
    <x v="3"/>
    <x v="8"/>
    <n v="102.84"/>
    <n v="0"/>
    <n v="102.84"/>
    <d v="2024-09-10T00:00:00"/>
    <n v="27"/>
    <n v="1.8"/>
    <b v="0"/>
    <m/>
    <n v="357"/>
  </r>
  <r>
    <s v="FB000715"/>
    <x v="0"/>
    <x v="0"/>
    <x v="2"/>
    <x v="4"/>
    <x v="6"/>
    <n v="225.21"/>
    <n v="0"/>
    <n v="225.21"/>
    <d v="2025-08-06T00:00:00"/>
    <n v="27"/>
    <n v="3.1"/>
    <b v="1"/>
    <s v="Changed Mind"/>
    <n v="27"/>
  </r>
  <r>
    <s v="FB000716"/>
    <x v="5"/>
    <x v="1"/>
    <x v="1"/>
    <x v="0"/>
    <x v="4"/>
    <n v="48.91"/>
    <n v="27.8"/>
    <n v="35.31"/>
    <d v="2025-08-06T00:00:00"/>
    <n v="0"/>
    <n v="4.0999999999999996"/>
    <b v="0"/>
    <m/>
    <n v="27"/>
  </r>
  <r>
    <s v="FB000717"/>
    <x v="0"/>
    <x v="7"/>
    <x v="2"/>
    <x v="1"/>
    <x v="1"/>
    <n v="145.93"/>
    <n v="0"/>
    <n v="145.93"/>
    <d v="2025-08-06T00:00:00"/>
    <n v="19"/>
    <n v="1.5"/>
    <b v="0"/>
    <m/>
    <n v="27"/>
  </r>
  <r>
    <s v="FB000718"/>
    <x v="0"/>
    <x v="2"/>
    <x v="1"/>
    <x v="2"/>
    <x v="6"/>
    <n v="225.92"/>
    <n v="43.7"/>
    <n v="127.19"/>
    <d v="2025-08-06T00:00:00"/>
    <n v="30"/>
    <n v="3.2"/>
    <b v="0"/>
    <m/>
    <n v="27"/>
  </r>
  <r>
    <s v="FB000719"/>
    <x v="0"/>
    <x v="1"/>
    <x v="3"/>
    <x v="0"/>
    <x v="6"/>
    <n v="202.18"/>
    <n v="39.700000000000003"/>
    <n v="121.91"/>
    <d v="2025-08-06T00:00:00"/>
    <n v="20"/>
    <n v="4.0999999999999996"/>
    <b v="0"/>
    <m/>
    <n v="27"/>
  </r>
  <r>
    <s v="FB000720"/>
    <x v="1"/>
    <x v="1"/>
    <x v="2"/>
    <x v="0"/>
    <x v="5"/>
    <n v="51.85"/>
    <n v="0"/>
    <n v="51.85"/>
    <d v="2025-08-06T00:00:00"/>
    <n v="28"/>
    <n v="3.34"/>
    <b v="0"/>
    <m/>
    <n v="27"/>
  </r>
  <r>
    <s v="FB000721"/>
    <x v="1"/>
    <x v="1"/>
    <x v="3"/>
    <x v="1"/>
    <x v="4"/>
    <n v="75.34"/>
    <n v="0"/>
    <n v="75.34"/>
    <d v="2025-08-06T00:00:00"/>
    <n v="21"/>
    <n v="3.34"/>
    <b v="0"/>
    <m/>
    <n v="27"/>
  </r>
  <r>
    <s v="FB000722"/>
    <x v="3"/>
    <x v="6"/>
    <x v="0"/>
    <x v="3"/>
    <x v="1"/>
    <n v="92.09"/>
    <n v="54.9"/>
    <n v="41.53"/>
    <d v="2025-01-19T00:00:00"/>
    <n v="44"/>
    <n v="2.2000000000000002"/>
    <b v="0"/>
    <m/>
    <n v="226"/>
  </r>
  <r>
    <s v="FB000723"/>
    <x v="2"/>
    <x v="0"/>
    <x v="2"/>
    <x v="2"/>
    <x v="5"/>
    <n v="56.39"/>
    <n v="0"/>
    <n v="56.39"/>
    <d v="2025-08-06T00:00:00"/>
    <n v="49"/>
    <n v="4.2"/>
    <b v="0"/>
    <m/>
    <n v="27"/>
  </r>
  <r>
    <s v="FB000724"/>
    <x v="1"/>
    <x v="3"/>
    <x v="2"/>
    <x v="1"/>
    <x v="1"/>
    <n v="108.75"/>
    <n v="0"/>
    <n v="108.75"/>
    <d v="2025-08-06T00:00:00"/>
    <n v="38"/>
    <n v="3.8"/>
    <b v="0"/>
    <m/>
    <n v="27"/>
  </r>
  <r>
    <s v="FB000725"/>
    <x v="5"/>
    <x v="1"/>
    <x v="0"/>
    <x v="3"/>
    <x v="0"/>
    <n v="156.85"/>
    <n v="0"/>
    <n v="156.85"/>
    <d v="2025-04-01T00:00:00"/>
    <n v="48"/>
    <n v="3.4"/>
    <b v="0"/>
    <m/>
    <n v="154"/>
  </r>
  <r>
    <s v="FB000726"/>
    <x v="0"/>
    <x v="1"/>
    <x v="0"/>
    <x v="5"/>
    <x v="10"/>
    <n v="168.13"/>
    <n v="0"/>
    <n v="168.13"/>
    <d v="2025-04-18T00:00:00"/>
    <n v="42"/>
    <n v="2.5"/>
    <b v="0"/>
    <m/>
    <n v="137"/>
  </r>
  <r>
    <s v="FB000727"/>
    <x v="3"/>
    <x v="7"/>
    <x v="3"/>
    <x v="3"/>
    <x v="6"/>
    <n v="145.79"/>
    <n v="57"/>
    <n v="62.69"/>
    <d v="2025-08-06T00:00:00"/>
    <n v="46"/>
    <n v="3.2576923076923077"/>
    <b v="0"/>
    <m/>
    <n v="27"/>
  </r>
  <r>
    <s v="FB000728"/>
    <x v="4"/>
    <x v="6"/>
    <x v="1"/>
    <x v="3"/>
    <x v="3"/>
    <n v="54.14"/>
    <n v="0"/>
    <n v="54.14"/>
    <d v="2025-08-06T00:00:00"/>
    <n v="32"/>
    <n v="3.1799999999999997"/>
    <b v="0"/>
    <m/>
    <n v="27"/>
  </r>
  <r>
    <s v="FB000729"/>
    <x v="2"/>
    <x v="0"/>
    <x v="2"/>
    <x v="2"/>
    <x v="8"/>
    <n v="45.64"/>
    <n v="0"/>
    <n v="45.64"/>
    <d v="2025-08-06T00:00:00"/>
    <n v="36"/>
    <n v="3.6"/>
    <b v="1"/>
    <s v="Size Issue"/>
    <n v="27"/>
  </r>
  <r>
    <s v="FB000730"/>
    <x v="4"/>
    <x v="3"/>
    <x v="2"/>
    <x v="3"/>
    <x v="0"/>
    <n v="46.76"/>
    <n v="0"/>
    <n v="46.76"/>
    <d v="2025-08-06T00:00:00"/>
    <n v="38"/>
    <n v="2.7"/>
    <b v="0"/>
    <m/>
    <n v="27"/>
  </r>
  <r>
    <s v="FB000731"/>
    <x v="5"/>
    <x v="2"/>
    <x v="1"/>
    <x v="2"/>
    <x v="4"/>
    <n v="75.23"/>
    <n v="0"/>
    <n v="75.23"/>
    <d v="2025-08-06T00:00:00"/>
    <n v="42"/>
    <n v="1.7"/>
    <b v="1"/>
    <s v="Quality Issue"/>
    <n v="27"/>
  </r>
  <r>
    <s v="FB000732"/>
    <x v="5"/>
    <x v="3"/>
    <x v="3"/>
    <x v="0"/>
    <x v="3"/>
    <n v="70.38"/>
    <n v="0"/>
    <n v="70.38"/>
    <d v="2025-08-06T00:00:00"/>
    <n v="37"/>
    <n v="2"/>
    <b v="0"/>
    <m/>
    <n v="27"/>
  </r>
  <r>
    <s v="FB000733"/>
    <x v="4"/>
    <x v="4"/>
    <x v="3"/>
    <x v="6"/>
    <x v="1"/>
    <n v="76.040000000000006"/>
    <n v="0"/>
    <n v="76.040000000000006"/>
    <d v="2025-08-06T00:00:00"/>
    <n v="13"/>
    <n v="4.4000000000000004"/>
    <b v="0"/>
    <m/>
    <n v="27"/>
  </r>
  <r>
    <s v="FB000734"/>
    <x v="3"/>
    <x v="1"/>
    <x v="3"/>
    <x v="5"/>
    <x v="2"/>
    <n v="110.82"/>
    <n v="15.7"/>
    <n v="93.42"/>
    <d v="2025-08-06T00:00:00"/>
    <n v="43"/>
    <n v="2.8205128205128198"/>
    <b v="1"/>
    <s v="Size Issue"/>
    <n v="27"/>
  </r>
  <r>
    <s v="FB000735"/>
    <x v="2"/>
    <x v="7"/>
    <x v="2"/>
    <x v="2"/>
    <x v="8"/>
    <n v="47.47"/>
    <n v="0"/>
    <n v="47.47"/>
    <d v="2025-08-06T00:00:00"/>
    <n v="42"/>
    <n v="4.7"/>
    <b v="0"/>
    <m/>
    <n v="27"/>
  </r>
  <r>
    <s v="FB000736"/>
    <x v="2"/>
    <x v="6"/>
    <x v="0"/>
    <x v="2"/>
    <x v="0"/>
    <n v="79.94"/>
    <n v="0"/>
    <n v="79.94"/>
    <d v="2025-07-31T00:00:00"/>
    <n v="26"/>
    <n v="3.8"/>
    <b v="0"/>
    <m/>
    <n v="33"/>
  </r>
  <r>
    <s v="FB000737"/>
    <x v="4"/>
    <x v="2"/>
    <x v="2"/>
    <x v="4"/>
    <x v="8"/>
    <n v="74.67"/>
    <n v="0"/>
    <n v="74.67"/>
    <d v="2025-08-06T00:00:00"/>
    <n v="15"/>
    <n v="4.5999999999999996"/>
    <b v="0"/>
    <m/>
    <n v="27"/>
  </r>
  <r>
    <s v="FB000738"/>
    <x v="5"/>
    <x v="7"/>
    <x v="2"/>
    <x v="4"/>
    <x v="10"/>
    <n v="63.79"/>
    <n v="35.5"/>
    <n v="41.14"/>
    <d v="2025-08-06T00:00:00"/>
    <n v="15"/>
    <n v="3.1"/>
    <b v="1"/>
    <s v="Quality Issue"/>
    <n v="27"/>
  </r>
  <r>
    <s v="FB000739"/>
    <x v="4"/>
    <x v="5"/>
    <x v="2"/>
    <x v="4"/>
    <x v="10"/>
    <n v="49.6"/>
    <n v="0"/>
    <n v="49.6"/>
    <d v="2025-08-06T00:00:00"/>
    <n v="32"/>
    <n v="4.7"/>
    <b v="0"/>
    <m/>
    <n v="27"/>
  </r>
  <r>
    <s v="FB000740"/>
    <x v="1"/>
    <x v="0"/>
    <x v="0"/>
    <x v="0"/>
    <x v="0"/>
    <n v="57.91"/>
    <n v="0"/>
    <n v="57.91"/>
    <d v="2025-03-13T00:00:00"/>
    <n v="33"/>
    <n v="3.9"/>
    <b v="0"/>
    <m/>
    <n v="173"/>
  </r>
  <r>
    <s v="FB000741"/>
    <x v="5"/>
    <x v="1"/>
    <x v="3"/>
    <x v="0"/>
    <x v="1"/>
    <n v="135.99"/>
    <n v="0"/>
    <n v="135.99"/>
    <d v="2025-08-06T00:00:00"/>
    <n v="34"/>
    <n v="3"/>
    <b v="0"/>
    <m/>
    <n v="27"/>
  </r>
  <r>
    <s v="FB000742"/>
    <x v="5"/>
    <x v="3"/>
    <x v="1"/>
    <x v="3"/>
    <x v="9"/>
    <n v="53.49"/>
    <n v="21.8"/>
    <n v="41.83"/>
    <d v="2025-08-06T00:00:00"/>
    <n v="41"/>
    <n v="2.1"/>
    <b v="0"/>
    <m/>
    <n v="27"/>
  </r>
  <r>
    <s v="FB000743"/>
    <x v="1"/>
    <x v="7"/>
    <x v="3"/>
    <x v="3"/>
    <x v="1"/>
    <n v="113.29"/>
    <n v="34"/>
    <n v="74.77"/>
    <d v="2025-08-06T00:00:00"/>
    <n v="10"/>
    <n v="2.6870967741935483"/>
    <b v="0"/>
    <m/>
    <n v="27"/>
  </r>
  <r>
    <s v="FB000744"/>
    <x v="1"/>
    <x v="4"/>
    <x v="1"/>
    <x v="1"/>
    <x v="3"/>
    <n v="110.87"/>
    <n v="6"/>
    <n v="104.22"/>
    <d v="2025-08-06T00:00:00"/>
    <n v="15"/>
    <n v="2.9657142857142857"/>
    <b v="0"/>
    <m/>
    <n v="27"/>
  </r>
  <r>
    <s v="FB000745"/>
    <x v="1"/>
    <x v="5"/>
    <x v="2"/>
    <x v="2"/>
    <x v="8"/>
    <n v="94.3"/>
    <n v="0"/>
    <n v="94.3"/>
    <d v="2025-08-06T00:00:00"/>
    <n v="16"/>
    <n v="2.9846153846153847"/>
    <b v="0"/>
    <m/>
    <n v="27"/>
  </r>
  <r>
    <s v="FB000746"/>
    <x v="2"/>
    <x v="7"/>
    <x v="0"/>
    <x v="2"/>
    <x v="0"/>
    <n v="37.94"/>
    <n v="0"/>
    <n v="37.94"/>
    <d v="2024-10-08T00:00:00"/>
    <n v="9"/>
    <n v="4.5999999999999996"/>
    <b v="0"/>
    <m/>
    <n v="329"/>
  </r>
  <r>
    <s v="FB000747"/>
    <x v="0"/>
    <x v="5"/>
    <x v="1"/>
    <x v="4"/>
    <x v="4"/>
    <n v="200.24"/>
    <n v="23"/>
    <n v="154.18"/>
    <d v="2025-08-06T00:00:00"/>
    <n v="38"/>
    <n v="3.0305555555555546"/>
    <b v="0"/>
    <m/>
    <n v="27"/>
  </r>
  <r>
    <s v="FB000748"/>
    <x v="2"/>
    <x v="7"/>
    <x v="1"/>
    <x v="2"/>
    <x v="9"/>
    <n v="43.45"/>
    <n v="0"/>
    <n v="43.45"/>
    <d v="2025-08-06T00:00:00"/>
    <n v="50"/>
    <n v="4"/>
    <b v="0"/>
    <m/>
    <n v="27"/>
  </r>
  <r>
    <s v="FB000749"/>
    <x v="4"/>
    <x v="7"/>
    <x v="3"/>
    <x v="1"/>
    <x v="0"/>
    <n v="76.92"/>
    <n v="9.6"/>
    <n v="69.540000000000006"/>
    <d v="2025-08-06T00:00:00"/>
    <n v="20"/>
    <n v="2"/>
    <b v="0"/>
    <m/>
    <n v="27"/>
  </r>
  <r>
    <s v="FB000750"/>
    <x v="2"/>
    <x v="7"/>
    <x v="2"/>
    <x v="2"/>
    <x v="3"/>
    <n v="21.09"/>
    <n v="0"/>
    <n v="21.09"/>
    <d v="2025-08-06T00:00:00"/>
    <n v="33"/>
    <n v="4.0999999999999996"/>
    <b v="1"/>
    <s v="Size Issue"/>
    <n v="27"/>
  </r>
  <r>
    <s v="FB000751"/>
    <x v="5"/>
    <x v="2"/>
    <x v="1"/>
    <x v="0"/>
    <x v="6"/>
    <n v="55.47"/>
    <n v="0"/>
    <n v="55.47"/>
    <d v="2025-08-06T00:00:00"/>
    <n v="18"/>
    <n v="2.9000000000000008"/>
    <b v="0"/>
    <m/>
    <n v="27"/>
  </r>
  <r>
    <s v="FB000752"/>
    <x v="0"/>
    <x v="4"/>
    <x v="0"/>
    <x v="4"/>
    <x v="3"/>
    <n v="122.53"/>
    <n v="0"/>
    <n v="122.53"/>
    <d v="2024-09-21T00:00:00"/>
    <n v="25"/>
    <n v="2.9228571428571426"/>
    <b v="0"/>
    <m/>
    <n v="346"/>
  </r>
  <r>
    <s v="FB000753"/>
    <x v="2"/>
    <x v="1"/>
    <x v="3"/>
    <x v="2"/>
    <x v="7"/>
    <n v="61.13"/>
    <n v="0"/>
    <n v="61.13"/>
    <d v="2025-08-06T00:00:00"/>
    <n v="34"/>
    <n v="2.6"/>
    <b v="0"/>
    <m/>
    <n v="27"/>
  </r>
  <r>
    <s v="FB000754"/>
    <x v="0"/>
    <x v="1"/>
    <x v="0"/>
    <x v="5"/>
    <x v="10"/>
    <n v="127.59"/>
    <n v="0"/>
    <n v="127.59"/>
    <d v="2025-05-08T00:00:00"/>
    <n v="1"/>
    <n v="4.9000000000000004"/>
    <b v="0"/>
    <m/>
    <n v="117"/>
  </r>
  <r>
    <s v="FB000755"/>
    <x v="2"/>
    <x v="5"/>
    <x v="3"/>
    <x v="2"/>
    <x v="8"/>
    <n v="73.040000000000006"/>
    <n v="0"/>
    <n v="73.040000000000006"/>
    <d v="2025-08-06T00:00:00"/>
    <n v="44"/>
    <n v="4.2"/>
    <b v="0"/>
    <m/>
    <n v="27"/>
  </r>
  <r>
    <s v="FB000756"/>
    <x v="0"/>
    <x v="1"/>
    <x v="1"/>
    <x v="0"/>
    <x v="7"/>
    <n v="129.46"/>
    <n v="0"/>
    <n v="129.46"/>
    <d v="2025-08-06T00:00:00"/>
    <n v="32"/>
    <n v="4"/>
    <b v="0"/>
    <m/>
    <n v="27"/>
  </r>
  <r>
    <s v="FB000757"/>
    <x v="2"/>
    <x v="2"/>
    <x v="1"/>
    <x v="2"/>
    <x v="3"/>
    <n v="51.3"/>
    <n v="0"/>
    <n v="51.3"/>
    <d v="2025-08-06T00:00:00"/>
    <n v="33"/>
    <n v="2.8694444444444449"/>
    <b v="0"/>
    <m/>
    <n v="27"/>
  </r>
  <r>
    <s v="FB000758"/>
    <x v="5"/>
    <x v="4"/>
    <x v="0"/>
    <x v="1"/>
    <x v="4"/>
    <n v="173"/>
    <n v="0"/>
    <n v="173"/>
    <d v="2025-04-12T00:00:00"/>
    <n v="13"/>
    <n v="3.9"/>
    <b v="0"/>
    <m/>
    <n v="143"/>
  </r>
  <r>
    <s v="FB000759"/>
    <x v="2"/>
    <x v="1"/>
    <x v="3"/>
    <x v="2"/>
    <x v="6"/>
    <n v="70.72"/>
    <n v="0"/>
    <n v="70.72"/>
    <d v="2025-08-06T00:00:00"/>
    <n v="18"/>
    <n v="2.8"/>
    <b v="0"/>
    <m/>
    <n v="27"/>
  </r>
  <r>
    <s v="FB000760"/>
    <x v="5"/>
    <x v="7"/>
    <x v="3"/>
    <x v="3"/>
    <x v="2"/>
    <n v="126.37"/>
    <n v="0"/>
    <n v="126.37"/>
    <d v="2025-08-06T00:00:00"/>
    <n v="42"/>
    <n v="2"/>
    <b v="0"/>
    <m/>
    <n v="27"/>
  </r>
  <r>
    <s v="FB000761"/>
    <x v="4"/>
    <x v="0"/>
    <x v="1"/>
    <x v="4"/>
    <x v="5"/>
    <n v="84.19"/>
    <n v="9.6"/>
    <n v="76.11"/>
    <d v="2025-08-06T00:00:00"/>
    <n v="45"/>
    <n v="2.1"/>
    <b v="0"/>
    <m/>
    <n v="27"/>
  </r>
  <r>
    <s v="FB000762"/>
    <x v="2"/>
    <x v="7"/>
    <x v="3"/>
    <x v="2"/>
    <x v="1"/>
    <n v="59.39"/>
    <n v="44.6"/>
    <n v="32.9"/>
    <d v="2025-08-06T00:00:00"/>
    <n v="41"/>
    <n v="2.2999999999999998"/>
    <b v="1"/>
    <s v="Color Mismatch"/>
    <n v="27"/>
  </r>
  <r>
    <s v="FB000763"/>
    <x v="0"/>
    <x v="3"/>
    <x v="2"/>
    <x v="6"/>
    <x v="6"/>
    <n v="195.38"/>
    <n v="0.3"/>
    <n v="194.79"/>
    <d v="2025-08-06T00:00:00"/>
    <n v="30"/>
    <n v="2.9"/>
    <b v="0"/>
    <m/>
    <n v="27"/>
  </r>
  <r>
    <s v="FB000764"/>
    <x v="5"/>
    <x v="6"/>
    <x v="0"/>
    <x v="3"/>
    <x v="3"/>
    <n v="107.64"/>
    <n v="7.5"/>
    <n v="99.57"/>
    <d v="2024-09-10T00:00:00"/>
    <n v="21"/>
    <n v="4.5999999999999996"/>
    <b v="0"/>
    <m/>
    <n v="357"/>
  </r>
  <r>
    <s v="FB000765"/>
    <x v="3"/>
    <x v="4"/>
    <x v="0"/>
    <x v="1"/>
    <x v="5"/>
    <n v="63.12"/>
    <n v="0"/>
    <n v="63.12"/>
    <d v="2024-11-08T00:00:00"/>
    <n v="35"/>
    <n v="2.9"/>
    <b v="0"/>
    <m/>
    <n v="298"/>
  </r>
  <r>
    <s v="FB000766"/>
    <x v="4"/>
    <x v="6"/>
    <x v="2"/>
    <x v="1"/>
    <x v="5"/>
    <n v="58.91"/>
    <n v="0"/>
    <n v="58.91"/>
    <d v="2025-08-06T00:00:00"/>
    <n v="17"/>
    <n v="2"/>
    <b v="0"/>
    <m/>
    <n v="27"/>
  </r>
  <r>
    <s v="FB000767"/>
    <x v="4"/>
    <x v="4"/>
    <x v="3"/>
    <x v="1"/>
    <x v="6"/>
    <n v="93.27"/>
    <n v="0"/>
    <n v="93.27"/>
    <d v="2025-08-06T00:00:00"/>
    <n v="18"/>
    <n v="3.7"/>
    <b v="0"/>
    <m/>
    <n v="27"/>
  </r>
  <r>
    <s v="FB000768"/>
    <x v="5"/>
    <x v="7"/>
    <x v="0"/>
    <x v="0"/>
    <x v="6"/>
    <n v="147.88"/>
    <n v="36.799999999999997"/>
    <n v="93.46"/>
    <d v="2024-09-08T00:00:00"/>
    <n v="37"/>
    <n v="3.3"/>
    <b v="0"/>
    <m/>
    <n v="359"/>
  </r>
  <r>
    <s v="FB000769"/>
    <x v="1"/>
    <x v="1"/>
    <x v="2"/>
    <x v="1"/>
    <x v="4"/>
    <n v="30.53"/>
    <n v="0"/>
    <n v="30.53"/>
    <d v="2025-08-06T00:00:00"/>
    <n v="25"/>
    <n v="2.5"/>
    <b v="0"/>
    <m/>
    <n v="27"/>
  </r>
  <r>
    <s v="FB000770"/>
    <x v="1"/>
    <x v="0"/>
    <x v="2"/>
    <x v="3"/>
    <x v="3"/>
    <n v="104.96"/>
    <n v="1.6"/>
    <n v="103.28"/>
    <d v="2025-08-06T00:00:00"/>
    <n v="33"/>
    <n v="2"/>
    <b v="0"/>
    <m/>
    <n v="27"/>
  </r>
  <r>
    <s v="FB000771"/>
    <x v="5"/>
    <x v="4"/>
    <x v="1"/>
    <x v="5"/>
    <x v="5"/>
    <n v="75.52"/>
    <n v="0"/>
    <n v="75.52"/>
    <d v="2025-08-06T00:00:00"/>
    <n v="2"/>
    <n v="2.8"/>
    <b v="0"/>
    <m/>
    <n v="27"/>
  </r>
  <r>
    <s v="FB000772"/>
    <x v="4"/>
    <x v="6"/>
    <x v="1"/>
    <x v="6"/>
    <x v="0"/>
    <n v="54.7"/>
    <n v="0"/>
    <n v="54.7"/>
    <d v="2025-08-06T00:00:00"/>
    <n v="18"/>
    <n v="4.2"/>
    <b v="0"/>
    <m/>
    <n v="27"/>
  </r>
  <r>
    <s v="FB000773"/>
    <x v="3"/>
    <x v="5"/>
    <x v="3"/>
    <x v="5"/>
    <x v="2"/>
    <n v="126.25"/>
    <n v="25.9"/>
    <n v="93.55"/>
    <d v="2025-08-06T00:00:00"/>
    <n v="40"/>
    <n v="1.5"/>
    <b v="1"/>
    <s v="Size Issue"/>
    <n v="27"/>
  </r>
  <r>
    <s v="FB000774"/>
    <x v="3"/>
    <x v="2"/>
    <x v="3"/>
    <x v="5"/>
    <x v="5"/>
    <n v="63.86"/>
    <n v="52.8"/>
    <n v="30.14"/>
    <d v="2025-08-06T00:00:00"/>
    <n v="23"/>
    <n v="3.1936170212765949"/>
    <b v="0"/>
    <m/>
    <n v="27"/>
  </r>
  <r>
    <s v="FB000775"/>
    <x v="2"/>
    <x v="1"/>
    <x v="1"/>
    <x v="2"/>
    <x v="0"/>
    <n v="75.930000000000007"/>
    <n v="0"/>
    <n v="75.930000000000007"/>
    <d v="2025-08-06T00:00:00"/>
    <n v="32"/>
    <n v="3.1"/>
    <b v="0"/>
    <m/>
    <n v="27"/>
  </r>
  <r>
    <s v="FB000776"/>
    <x v="1"/>
    <x v="0"/>
    <x v="2"/>
    <x v="6"/>
    <x v="10"/>
    <n v="82.51"/>
    <n v="27.3"/>
    <n v="59.98"/>
    <d v="2025-08-06T00:00:00"/>
    <n v="9"/>
    <n v="3.8"/>
    <b v="0"/>
    <m/>
    <n v="27"/>
  </r>
  <r>
    <s v="FB000777"/>
    <x v="4"/>
    <x v="2"/>
    <x v="2"/>
    <x v="4"/>
    <x v="6"/>
    <n v="46.02"/>
    <n v="0"/>
    <n v="46.02"/>
    <d v="2025-08-06T00:00:00"/>
    <n v="21"/>
    <n v="1.1000000000000001"/>
    <b v="0"/>
    <m/>
    <n v="27"/>
  </r>
  <r>
    <s v="FB000778"/>
    <x v="5"/>
    <x v="3"/>
    <x v="1"/>
    <x v="4"/>
    <x v="10"/>
    <n v="125.67"/>
    <n v="45.5"/>
    <n v="68.489999999999995"/>
    <d v="2025-08-06T00:00:00"/>
    <n v="27"/>
    <n v="1.6"/>
    <b v="0"/>
    <m/>
    <n v="27"/>
  </r>
  <r>
    <s v="FB000779"/>
    <x v="3"/>
    <x v="3"/>
    <x v="1"/>
    <x v="3"/>
    <x v="0"/>
    <n v="65.61"/>
    <n v="50.7"/>
    <n v="32.35"/>
    <d v="2025-08-06T00:00:00"/>
    <n v="23"/>
    <n v="1.1000000000000001"/>
    <b v="0"/>
    <m/>
    <n v="27"/>
  </r>
  <r>
    <s v="FB000780"/>
    <x v="5"/>
    <x v="2"/>
    <x v="3"/>
    <x v="5"/>
    <x v="7"/>
    <n v="91.61"/>
    <n v="0"/>
    <n v="91.61"/>
    <d v="2025-08-06T00:00:00"/>
    <n v="31"/>
    <n v="1.4"/>
    <b v="0"/>
    <m/>
    <n v="27"/>
  </r>
  <r>
    <s v="FB000781"/>
    <x v="0"/>
    <x v="4"/>
    <x v="3"/>
    <x v="5"/>
    <x v="1"/>
    <n v="162.78"/>
    <n v="0"/>
    <n v="162.78"/>
    <d v="2025-08-06T00:00:00"/>
    <n v="0"/>
    <n v="2.9228571428571426"/>
    <b v="0"/>
    <m/>
    <n v="27"/>
  </r>
  <r>
    <s v="FB000782"/>
    <x v="0"/>
    <x v="3"/>
    <x v="1"/>
    <x v="6"/>
    <x v="4"/>
    <n v="134.35"/>
    <n v="35.299999999999997"/>
    <n v="86.92"/>
    <d v="2025-08-06T00:00:00"/>
    <n v="36"/>
    <n v="2.4137931034482762"/>
    <b v="0"/>
    <m/>
    <n v="27"/>
  </r>
  <r>
    <s v="FB000783"/>
    <x v="4"/>
    <x v="3"/>
    <x v="0"/>
    <x v="2"/>
    <x v="4"/>
    <n v="77.739999999999995"/>
    <n v="38.799999999999997"/>
    <n v="47.58"/>
    <d v="2025-07-11T00:00:00"/>
    <n v="23"/>
    <n v="4.3"/>
    <b v="0"/>
    <m/>
    <n v="53"/>
  </r>
  <r>
    <s v="FB000784"/>
    <x v="2"/>
    <x v="6"/>
    <x v="3"/>
    <x v="2"/>
    <x v="10"/>
    <n v="49.33"/>
    <n v="59.9"/>
    <n v="19.78"/>
    <d v="2025-08-06T00:00:00"/>
    <n v="47"/>
    <n v="3.2720930232558145"/>
    <b v="0"/>
    <m/>
    <n v="27"/>
  </r>
  <r>
    <s v="FB000785"/>
    <x v="0"/>
    <x v="7"/>
    <x v="3"/>
    <x v="3"/>
    <x v="4"/>
    <n v="231.52"/>
    <n v="17.3"/>
    <n v="191.47"/>
    <d v="2025-08-06T00:00:00"/>
    <n v="49"/>
    <n v="2.1"/>
    <b v="0"/>
    <m/>
    <n v="27"/>
  </r>
  <r>
    <s v="FB000786"/>
    <x v="0"/>
    <x v="6"/>
    <x v="1"/>
    <x v="0"/>
    <x v="3"/>
    <n v="140.1"/>
    <n v="0"/>
    <n v="140.1"/>
    <d v="2025-08-06T00:00:00"/>
    <n v="14"/>
    <n v="3.9"/>
    <b v="0"/>
    <m/>
    <n v="27"/>
  </r>
  <r>
    <s v="FB000787"/>
    <x v="5"/>
    <x v="5"/>
    <x v="3"/>
    <x v="3"/>
    <x v="1"/>
    <n v="117.38"/>
    <n v="27.8"/>
    <n v="84.75"/>
    <d v="2025-08-06T00:00:00"/>
    <n v="34"/>
    <n v="2.8"/>
    <b v="1"/>
    <s v="Quality Issue"/>
    <n v="27"/>
  </r>
  <r>
    <s v="FB000788"/>
    <x v="1"/>
    <x v="5"/>
    <x v="0"/>
    <x v="3"/>
    <x v="9"/>
    <n v="83.98"/>
    <n v="0"/>
    <n v="83.98"/>
    <d v="2024-08-29T00:00:00"/>
    <n v="23"/>
    <n v="1.9"/>
    <b v="0"/>
    <m/>
    <n v="369"/>
  </r>
  <r>
    <s v="FB000789"/>
    <x v="5"/>
    <x v="4"/>
    <x v="0"/>
    <x v="0"/>
    <x v="8"/>
    <n v="111.67"/>
    <n v="53.5"/>
    <n v="51.93"/>
    <d v="2025-02-05T00:00:00"/>
    <n v="19"/>
    <n v="3.1051282051282048"/>
    <b v="0"/>
    <m/>
    <n v="209"/>
  </r>
  <r>
    <s v="FB000790"/>
    <x v="4"/>
    <x v="4"/>
    <x v="3"/>
    <x v="3"/>
    <x v="3"/>
    <n v="25.16"/>
    <n v="0"/>
    <n v="25.16"/>
    <d v="2025-08-06T00:00:00"/>
    <n v="37"/>
    <n v="2.8"/>
    <b v="0"/>
    <m/>
    <n v="27"/>
  </r>
  <r>
    <s v="FB000791"/>
    <x v="0"/>
    <x v="2"/>
    <x v="2"/>
    <x v="0"/>
    <x v="5"/>
    <n v="175.82"/>
    <n v="23"/>
    <n v="135.38"/>
    <d v="2025-08-06T00:00:00"/>
    <n v="1"/>
    <n v="3.7"/>
    <b v="0"/>
    <m/>
    <n v="27"/>
  </r>
  <r>
    <s v="FB000792"/>
    <x v="1"/>
    <x v="3"/>
    <x v="3"/>
    <x v="5"/>
    <x v="6"/>
    <n v="53.25"/>
    <n v="37.5"/>
    <n v="33.28"/>
    <d v="2025-08-06T00:00:00"/>
    <n v="33"/>
    <n v="4.3"/>
    <b v="0"/>
    <m/>
    <n v="27"/>
  </r>
  <r>
    <s v="FB000793"/>
    <x v="0"/>
    <x v="2"/>
    <x v="2"/>
    <x v="6"/>
    <x v="9"/>
    <n v="215.19"/>
    <n v="43"/>
    <n v="122.66"/>
    <d v="2025-08-06T00:00:00"/>
    <n v="48"/>
    <n v="2.5"/>
    <b v="0"/>
    <m/>
    <n v="27"/>
  </r>
  <r>
    <s v="FB000794"/>
    <x v="4"/>
    <x v="0"/>
    <x v="3"/>
    <x v="3"/>
    <x v="1"/>
    <n v="78.41"/>
    <n v="20.7"/>
    <n v="62.18"/>
    <d v="2025-08-06T00:00:00"/>
    <n v="9"/>
    <n v="4.4000000000000004"/>
    <b v="0"/>
    <m/>
    <n v="27"/>
  </r>
  <r>
    <s v="FB000795"/>
    <x v="3"/>
    <x v="0"/>
    <x v="3"/>
    <x v="4"/>
    <x v="1"/>
    <n v="173.15"/>
    <n v="0"/>
    <n v="173.15"/>
    <d v="2025-08-06T00:00:00"/>
    <n v="45"/>
    <n v="2.2000000000000002"/>
    <b v="0"/>
    <m/>
    <n v="27"/>
  </r>
  <r>
    <s v="FB000796"/>
    <x v="2"/>
    <x v="0"/>
    <x v="2"/>
    <x v="2"/>
    <x v="5"/>
    <n v="16.84"/>
    <n v="36.6"/>
    <n v="10.68"/>
    <d v="2025-08-06T00:00:00"/>
    <n v="34"/>
    <n v="1.7"/>
    <b v="0"/>
    <m/>
    <n v="27"/>
  </r>
  <r>
    <s v="FB000797"/>
    <x v="0"/>
    <x v="7"/>
    <x v="3"/>
    <x v="3"/>
    <x v="9"/>
    <n v="128.6"/>
    <n v="0"/>
    <n v="128.6"/>
    <d v="2025-08-06T00:00:00"/>
    <n v="11"/>
    <n v="2.2999999999999998"/>
    <b v="0"/>
    <m/>
    <n v="27"/>
  </r>
  <r>
    <s v="FB000798"/>
    <x v="0"/>
    <x v="5"/>
    <x v="0"/>
    <x v="4"/>
    <x v="6"/>
    <n v="131.74"/>
    <n v="0"/>
    <n v="131.74"/>
    <d v="2024-09-13T00:00:00"/>
    <n v="46"/>
    <n v="4.5999999999999996"/>
    <b v="0"/>
    <m/>
    <n v="354"/>
  </r>
  <r>
    <s v="FB000799"/>
    <x v="4"/>
    <x v="7"/>
    <x v="3"/>
    <x v="4"/>
    <x v="3"/>
    <n v="28.15"/>
    <n v="12.7"/>
    <n v="24.57"/>
    <d v="2025-08-06T00:00:00"/>
    <n v="13"/>
    <n v="3.9"/>
    <b v="0"/>
    <m/>
    <n v="27"/>
  </r>
  <r>
    <s v="FB000800"/>
    <x v="0"/>
    <x v="7"/>
    <x v="1"/>
    <x v="0"/>
    <x v="0"/>
    <n v="165.1"/>
    <n v="58.4"/>
    <n v="68.680000000000007"/>
    <d v="2025-08-06T00:00:00"/>
    <n v="29"/>
    <n v="1.2"/>
    <b v="0"/>
    <m/>
    <n v="27"/>
  </r>
  <r>
    <s v="FB000801"/>
    <x v="1"/>
    <x v="3"/>
    <x v="0"/>
    <x v="0"/>
    <x v="4"/>
    <n v="49.62"/>
    <n v="0.8"/>
    <n v="49.22"/>
    <d v="2024-11-17T00:00:00"/>
    <n v="22"/>
    <n v="2.2999999999999998"/>
    <b v="0"/>
    <m/>
    <n v="289"/>
  </r>
  <r>
    <s v="FB000802"/>
    <x v="1"/>
    <x v="2"/>
    <x v="2"/>
    <x v="0"/>
    <x v="2"/>
    <n v="98.52"/>
    <n v="18.899999999999999"/>
    <n v="79.900000000000006"/>
    <d v="2025-08-06T00:00:00"/>
    <n v="37"/>
    <n v="4.0999999999999996"/>
    <b v="1"/>
    <s v="Wrong Item"/>
    <n v="27"/>
  </r>
  <r>
    <s v="FB000803"/>
    <x v="3"/>
    <x v="3"/>
    <x v="2"/>
    <x v="3"/>
    <x v="6"/>
    <n v="94.19"/>
    <n v="30.8"/>
    <n v="65.180000000000007"/>
    <d v="2025-08-06T00:00:00"/>
    <n v="31"/>
    <n v="1.4"/>
    <b v="0"/>
    <m/>
    <n v="27"/>
  </r>
  <r>
    <s v="FB000804"/>
    <x v="2"/>
    <x v="7"/>
    <x v="1"/>
    <x v="2"/>
    <x v="4"/>
    <n v="23.5"/>
    <n v="0"/>
    <n v="23.5"/>
    <d v="2025-08-06T00:00:00"/>
    <n v="14"/>
    <n v="3.9"/>
    <b v="1"/>
    <s v="Quality Issue"/>
    <n v="27"/>
  </r>
  <r>
    <s v="FB000805"/>
    <x v="4"/>
    <x v="0"/>
    <x v="2"/>
    <x v="3"/>
    <x v="7"/>
    <n v="109.36"/>
    <n v="0"/>
    <n v="109.36"/>
    <d v="2025-08-06T00:00:00"/>
    <n v="0"/>
    <n v="1.1000000000000001"/>
    <b v="0"/>
    <m/>
    <n v="27"/>
  </r>
  <r>
    <s v="FB000806"/>
    <x v="2"/>
    <x v="4"/>
    <x v="2"/>
    <x v="2"/>
    <x v="5"/>
    <n v="69.73"/>
    <n v="0"/>
    <n v="69.73"/>
    <d v="2025-08-06T00:00:00"/>
    <n v="7"/>
    <n v="1.1000000000000001"/>
    <b v="1"/>
    <s v="Color Mismatch"/>
    <n v="27"/>
  </r>
  <r>
    <s v="FB000807"/>
    <x v="3"/>
    <x v="4"/>
    <x v="3"/>
    <x v="5"/>
    <x v="6"/>
    <n v="199.03"/>
    <n v="57.3"/>
    <n v="84.99"/>
    <d v="2025-08-06T00:00:00"/>
    <n v="37"/>
    <n v="3.4"/>
    <b v="0"/>
    <m/>
    <n v="27"/>
  </r>
  <r>
    <s v="FB000808"/>
    <x v="4"/>
    <x v="6"/>
    <x v="0"/>
    <x v="6"/>
    <x v="3"/>
    <n v="82.32"/>
    <n v="56.7"/>
    <n v="35.64"/>
    <d v="2024-12-23T00:00:00"/>
    <n v="41"/>
    <n v="3.1799999999999997"/>
    <b v="0"/>
    <m/>
    <n v="253"/>
  </r>
  <r>
    <s v="FB000809"/>
    <x v="4"/>
    <x v="1"/>
    <x v="0"/>
    <x v="6"/>
    <x v="8"/>
    <n v="52.42"/>
    <n v="9.9"/>
    <n v="47.23"/>
    <d v="2024-10-16T00:00:00"/>
    <n v="42"/>
    <n v="3.5"/>
    <b v="0"/>
    <m/>
    <n v="321"/>
  </r>
  <r>
    <s v="FB000810"/>
    <x v="0"/>
    <x v="5"/>
    <x v="2"/>
    <x v="3"/>
    <x v="3"/>
    <n v="180.49"/>
    <n v="0"/>
    <n v="180.49"/>
    <d v="2025-08-06T00:00:00"/>
    <n v="18"/>
    <n v="2.5"/>
    <b v="1"/>
    <s v="Wrong Item"/>
    <n v="27"/>
  </r>
  <r>
    <s v="FB000811"/>
    <x v="5"/>
    <x v="5"/>
    <x v="2"/>
    <x v="0"/>
    <x v="3"/>
    <n v="63.02"/>
    <n v="0"/>
    <n v="63.02"/>
    <d v="2025-08-06T00:00:00"/>
    <n v="37"/>
    <n v="2.5"/>
    <b v="0"/>
    <m/>
    <n v="27"/>
  </r>
  <r>
    <s v="FB000812"/>
    <x v="1"/>
    <x v="3"/>
    <x v="0"/>
    <x v="0"/>
    <x v="0"/>
    <n v="97.05"/>
    <n v="0"/>
    <n v="97.05"/>
    <d v="2024-12-25T00:00:00"/>
    <n v="9"/>
    <n v="2.9742857142857138"/>
    <b v="0"/>
    <m/>
    <n v="251"/>
  </r>
  <r>
    <s v="FB000813"/>
    <x v="4"/>
    <x v="0"/>
    <x v="1"/>
    <x v="4"/>
    <x v="1"/>
    <n v="79.62"/>
    <n v="0"/>
    <n v="79.62"/>
    <d v="2025-08-06T00:00:00"/>
    <n v="37"/>
    <n v="4.0999999999999996"/>
    <b v="0"/>
    <m/>
    <n v="27"/>
  </r>
  <r>
    <s v="FB000814"/>
    <x v="5"/>
    <x v="0"/>
    <x v="1"/>
    <x v="6"/>
    <x v="0"/>
    <n v="82.5"/>
    <n v="0"/>
    <n v="82.5"/>
    <d v="2025-08-06T00:00:00"/>
    <n v="0"/>
    <n v="3.0424242424242425"/>
    <b v="0"/>
    <m/>
    <n v="27"/>
  </r>
  <r>
    <s v="FB000815"/>
    <x v="4"/>
    <x v="5"/>
    <x v="0"/>
    <x v="1"/>
    <x v="9"/>
    <n v="117.18"/>
    <n v="13.7"/>
    <n v="101.13"/>
    <d v="2025-08-02T00:00:00"/>
    <n v="5"/>
    <n v="4.8"/>
    <b v="0"/>
    <m/>
    <n v="31"/>
  </r>
  <r>
    <s v="FB000816"/>
    <x v="0"/>
    <x v="5"/>
    <x v="0"/>
    <x v="5"/>
    <x v="10"/>
    <n v="174.05"/>
    <n v="0"/>
    <n v="174.05"/>
    <d v="2025-04-13T00:00:00"/>
    <n v="9"/>
    <n v="3.0305555555555546"/>
    <b v="0"/>
    <m/>
    <n v="142"/>
  </r>
  <r>
    <s v="FB000817"/>
    <x v="4"/>
    <x v="7"/>
    <x v="0"/>
    <x v="5"/>
    <x v="10"/>
    <n v="58.29"/>
    <n v="0"/>
    <n v="58.29"/>
    <d v="2025-01-07T00:00:00"/>
    <n v="22"/>
    <n v="2.2999999999999998"/>
    <b v="0"/>
    <m/>
    <n v="238"/>
  </r>
  <r>
    <s v="FB000818"/>
    <x v="4"/>
    <x v="4"/>
    <x v="3"/>
    <x v="6"/>
    <x v="3"/>
    <n v="61.42"/>
    <n v="57.5"/>
    <n v="26.1"/>
    <d v="2025-08-06T00:00:00"/>
    <n v="3"/>
    <n v="4.8"/>
    <b v="0"/>
    <m/>
    <n v="27"/>
  </r>
  <r>
    <s v="FB000819"/>
    <x v="2"/>
    <x v="0"/>
    <x v="1"/>
    <x v="2"/>
    <x v="1"/>
    <n v="20.239999999999998"/>
    <n v="0"/>
    <n v="20.239999999999998"/>
    <d v="2025-08-06T00:00:00"/>
    <n v="20"/>
    <n v="4.0999999999999996"/>
    <b v="0"/>
    <m/>
    <n v="27"/>
  </r>
  <r>
    <s v="FB000820"/>
    <x v="4"/>
    <x v="0"/>
    <x v="2"/>
    <x v="1"/>
    <x v="0"/>
    <n v="88.58"/>
    <n v="0"/>
    <n v="88.58"/>
    <d v="2025-08-06T00:00:00"/>
    <n v="50"/>
    <n v="2.9210526315789478"/>
    <b v="0"/>
    <m/>
    <n v="27"/>
  </r>
  <r>
    <s v="FB000821"/>
    <x v="4"/>
    <x v="5"/>
    <x v="1"/>
    <x v="4"/>
    <x v="9"/>
    <n v="67.92"/>
    <n v="0"/>
    <n v="67.92"/>
    <d v="2025-08-06T00:00:00"/>
    <n v="23"/>
    <n v="1.8"/>
    <b v="1"/>
    <s v="Size Issue"/>
    <n v="27"/>
  </r>
  <r>
    <s v="FB000822"/>
    <x v="2"/>
    <x v="5"/>
    <x v="2"/>
    <x v="2"/>
    <x v="3"/>
    <n v="25.39"/>
    <n v="0"/>
    <n v="25.39"/>
    <d v="2025-08-06T00:00:00"/>
    <n v="42"/>
    <n v="1.8"/>
    <b v="0"/>
    <m/>
    <n v="27"/>
  </r>
  <r>
    <s v="FB000823"/>
    <x v="5"/>
    <x v="7"/>
    <x v="1"/>
    <x v="3"/>
    <x v="2"/>
    <n v="115.89"/>
    <n v="39.4"/>
    <n v="70.23"/>
    <d v="2025-08-06T00:00:00"/>
    <n v="14"/>
    <n v="3.8"/>
    <b v="1"/>
    <s v="Damaged"/>
    <n v="27"/>
  </r>
  <r>
    <s v="FB000824"/>
    <x v="4"/>
    <x v="7"/>
    <x v="3"/>
    <x v="0"/>
    <x v="5"/>
    <n v="103.94"/>
    <n v="16.100000000000001"/>
    <n v="87.21"/>
    <d v="2025-08-06T00:00:00"/>
    <n v="6"/>
    <n v="4.9000000000000004"/>
    <b v="1"/>
    <s v="Changed Mind"/>
    <n v="27"/>
  </r>
  <r>
    <s v="FB000825"/>
    <x v="3"/>
    <x v="6"/>
    <x v="1"/>
    <x v="1"/>
    <x v="0"/>
    <n v="94.72"/>
    <n v="20.5"/>
    <n v="75.3"/>
    <d v="2025-08-06T00:00:00"/>
    <n v="24"/>
    <n v="3.6"/>
    <b v="0"/>
    <m/>
    <n v="27"/>
  </r>
  <r>
    <s v="FB000826"/>
    <x v="2"/>
    <x v="5"/>
    <x v="2"/>
    <x v="2"/>
    <x v="1"/>
    <n v="23.28"/>
    <n v="0"/>
    <n v="23.28"/>
    <d v="2025-08-06T00:00:00"/>
    <n v="44"/>
    <n v="3.1"/>
    <b v="1"/>
    <s v="Quality Issue"/>
    <n v="27"/>
  </r>
  <r>
    <s v="FB000827"/>
    <x v="1"/>
    <x v="6"/>
    <x v="3"/>
    <x v="3"/>
    <x v="1"/>
    <n v="90.73"/>
    <n v="0"/>
    <n v="90.73"/>
    <d v="2025-08-06T00:00:00"/>
    <n v="14"/>
    <n v="1.1000000000000001"/>
    <b v="0"/>
    <m/>
    <n v="27"/>
  </r>
  <r>
    <s v="FB000828"/>
    <x v="4"/>
    <x v="4"/>
    <x v="2"/>
    <x v="4"/>
    <x v="6"/>
    <n v="25.74"/>
    <n v="0"/>
    <n v="25.74"/>
    <d v="2025-08-06T00:00:00"/>
    <n v="33"/>
    <n v="1.1000000000000001"/>
    <b v="1"/>
    <s v="Color Mismatch"/>
    <n v="27"/>
  </r>
  <r>
    <s v="FB000829"/>
    <x v="3"/>
    <x v="5"/>
    <x v="0"/>
    <x v="0"/>
    <x v="4"/>
    <n v="162.97"/>
    <n v="0"/>
    <n v="162.97"/>
    <d v="2024-11-22T00:00:00"/>
    <n v="47"/>
    <n v="2.2000000000000002"/>
    <b v="1"/>
    <s v="Wrong Item"/>
    <n v="284"/>
  </r>
  <r>
    <s v="FB000830"/>
    <x v="2"/>
    <x v="4"/>
    <x v="1"/>
    <x v="2"/>
    <x v="2"/>
    <n v="50.33"/>
    <n v="8.6999999999999993"/>
    <n v="45.95"/>
    <d v="2025-08-06T00:00:00"/>
    <n v="14"/>
    <n v="1.3"/>
    <b v="0"/>
    <m/>
    <n v="27"/>
  </r>
  <r>
    <s v="FB000831"/>
    <x v="3"/>
    <x v="1"/>
    <x v="0"/>
    <x v="2"/>
    <x v="1"/>
    <n v="60.38"/>
    <n v="0"/>
    <n v="60.38"/>
    <d v="2025-04-29T00:00:00"/>
    <n v="0"/>
    <n v="2.8205128205128198"/>
    <b v="0"/>
    <m/>
    <n v="126"/>
  </r>
  <r>
    <s v="FB000832"/>
    <x v="1"/>
    <x v="1"/>
    <x v="3"/>
    <x v="4"/>
    <x v="2"/>
    <n v="103.65"/>
    <n v="0"/>
    <n v="103.65"/>
    <d v="2025-08-06T00:00:00"/>
    <n v="29"/>
    <n v="3.7"/>
    <b v="0"/>
    <m/>
    <n v="27"/>
  </r>
  <r>
    <s v="FB000833"/>
    <x v="4"/>
    <x v="6"/>
    <x v="0"/>
    <x v="1"/>
    <x v="7"/>
    <n v="75.14"/>
    <n v="0"/>
    <n v="75.14"/>
    <d v="2025-01-27T00:00:00"/>
    <n v="41"/>
    <n v="3.1799999999999997"/>
    <b v="1"/>
    <s v="Changed Mind"/>
    <n v="218"/>
  </r>
  <r>
    <s v="FB000834"/>
    <x v="3"/>
    <x v="4"/>
    <x v="1"/>
    <x v="3"/>
    <x v="1"/>
    <n v="88"/>
    <n v="0"/>
    <n v="88"/>
    <d v="2025-08-06T00:00:00"/>
    <n v="2"/>
    <n v="1.9"/>
    <b v="0"/>
    <m/>
    <n v="27"/>
  </r>
  <r>
    <s v="FB000835"/>
    <x v="5"/>
    <x v="5"/>
    <x v="1"/>
    <x v="5"/>
    <x v="0"/>
    <n v="69.540000000000006"/>
    <n v="0"/>
    <n v="69.540000000000006"/>
    <d v="2025-08-06T00:00:00"/>
    <n v="21"/>
    <n v="3.1874999999999991"/>
    <b v="0"/>
    <m/>
    <n v="27"/>
  </r>
  <r>
    <s v="FB000836"/>
    <x v="0"/>
    <x v="3"/>
    <x v="1"/>
    <x v="5"/>
    <x v="1"/>
    <n v="209.52"/>
    <n v="0"/>
    <n v="209.52"/>
    <d v="2025-08-06T00:00:00"/>
    <n v="48"/>
    <n v="2.6"/>
    <b v="0"/>
    <m/>
    <n v="27"/>
  </r>
  <r>
    <s v="FB000837"/>
    <x v="3"/>
    <x v="4"/>
    <x v="2"/>
    <x v="4"/>
    <x v="7"/>
    <n v="97.42"/>
    <n v="0"/>
    <n v="97.42"/>
    <d v="2025-08-06T00:00:00"/>
    <n v="35"/>
    <n v="2"/>
    <b v="0"/>
    <m/>
    <n v="27"/>
  </r>
  <r>
    <s v="FB000838"/>
    <x v="5"/>
    <x v="1"/>
    <x v="1"/>
    <x v="5"/>
    <x v="3"/>
    <n v="154.6"/>
    <n v="0"/>
    <n v="154.6"/>
    <d v="2025-08-06T00:00:00"/>
    <n v="38"/>
    <n v="4.5"/>
    <b v="1"/>
    <s v="Changed Mind"/>
    <n v="27"/>
  </r>
  <r>
    <s v="FB000839"/>
    <x v="4"/>
    <x v="0"/>
    <x v="3"/>
    <x v="0"/>
    <x v="3"/>
    <n v="81.59"/>
    <n v="38"/>
    <n v="50.59"/>
    <d v="2025-08-06T00:00:00"/>
    <n v="31"/>
    <n v="1.2"/>
    <b v="0"/>
    <m/>
    <n v="27"/>
  </r>
  <r>
    <s v="FB000840"/>
    <x v="2"/>
    <x v="3"/>
    <x v="1"/>
    <x v="2"/>
    <x v="10"/>
    <n v="48.04"/>
    <n v="0"/>
    <n v="48.04"/>
    <d v="2025-08-06T00:00:00"/>
    <n v="46"/>
    <n v="4.8"/>
    <b v="0"/>
    <m/>
    <n v="27"/>
  </r>
  <r>
    <s v="FB000841"/>
    <x v="1"/>
    <x v="2"/>
    <x v="2"/>
    <x v="3"/>
    <x v="6"/>
    <n v="70.77"/>
    <n v="0"/>
    <n v="70.77"/>
    <d v="2025-08-06T00:00:00"/>
    <n v="5"/>
    <n v="3.7"/>
    <b v="0"/>
    <m/>
    <n v="27"/>
  </r>
  <r>
    <s v="FB000842"/>
    <x v="0"/>
    <x v="7"/>
    <x v="2"/>
    <x v="3"/>
    <x v="4"/>
    <n v="103.49"/>
    <n v="0"/>
    <n v="103.49"/>
    <d v="2025-08-06T00:00:00"/>
    <n v="12"/>
    <n v="1.8"/>
    <b v="0"/>
    <m/>
    <n v="27"/>
  </r>
  <r>
    <s v="FB000843"/>
    <x v="0"/>
    <x v="1"/>
    <x v="0"/>
    <x v="1"/>
    <x v="9"/>
    <n v="138.88999999999999"/>
    <n v="0"/>
    <n v="138.88999999999999"/>
    <d v="2025-01-30T00:00:00"/>
    <n v="10"/>
    <n v="3.15"/>
    <b v="0"/>
    <m/>
    <n v="215"/>
  </r>
  <r>
    <s v="FB000844"/>
    <x v="2"/>
    <x v="4"/>
    <x v="1"/>
    <x v="2"/>
    <x v="6"/>
    <n v="73.510000000000005"/>
    <n v="32.200000000000003"/>
    <n v="49.84"/>
    <d v="2025-08-06T00:00:00"/>
    <n v="17"/>
    <n v="2.7333333333333334"/>
    <b v="1"/>
    <s v="Wrong Item"/>
    <n v="27"/>
  </r>
  <r>
    <s v="FB000845"/>
    <x v="4"/>
    <x v="0"/>
    <x v="0"/>
    <x v="6"/>
    <x v="9"/>
    <n v="82.37"/>
    <n v="0"/>
    <n v="82.37"/>
    <d v="2025-06-04T00:00:00"/>
    <n v="49"/>
    <n v="3.3"/>
    <b v="0"/>
    <m/>
    <n v="90"/>
  </r>
  <r>
    <s v="FB000846"/>
    <x v="5"/>
    <x v="5"/>
    <x v="3"/>
    <x v="5"/>
    <x v="8"/>
    <n v="81.709999999999994"/>
    <n v="18"/>
    <n v="67"/>
    <d v="2025-08-06T00:00:00"/>
    <n v="28"/>
    <n v="4.7"/>
    <b v="0"/>
    <m/>
    <n v="27"/>
  </r>
  <r>
    <s v="FB000847"/>
    <x v="5"/>
    <x v="2"/>
    <x v="1"/>
    <x v="4"/>
    <x v="8"/>
    <n v="107.02"/>
    <n v="10.6"/>
    <n v="95.68"/>
    <d v="2025-08-06T00:00:00"/>
    <n v="6"/>
    <n v="2.9000000000000008"/>
    <b v="0"/>
    <m/>
    <n v="27"/>
  </r>
  <r>
    <s v="FB000848"/>
    <x v="4"/>
    <x v="4"/>
    <x v="3"/>
    <x v="0"/>
    <x v="1"/>
    <n v="103.23"/>
    <n v="18.7"/>
    <n v="83.93"/>
    <d v="2025-08-06T00:00:00"/>
    <n v="6"/>
    <n v="4"/>
    <b v="0"/>
    <m/>
    <n v="27"/>
  </r>
  <r>
    <s v="FB000849"/>
    <x v="1"/>
    <x v="6"/>
    <x v="2"/>
    <x v="1"/>
    <x v="5"/>
    <n v="100.48"/>
    <n v="17.600000000000001"/>
    <n v="82.8"/>
    <d v="2025-08-06T00:00:00"/>
    <n v="19"/>
    <n v="2.9074999999999998"/>
    <b v="0"/>
    <m/>
    <n v="27"/>
  </r>
  <r>
    <s v="FB000850"/>
    <x v="3"/>
    <x v="5"/>
    <x v="1"/>
    <x v="0"/>
    <x v="3"/>
    <n v="160.87"/>
    <n v="53.7"/>
    <n v="74.48"/>
    <d v="2025-08-06T00:00:00"/>
    <n v="18"/>
    <n v="3.0068965517241386"/>
    <b v="0"/>
    <m/>
    <n v="27"/>
  </r>
  <r>
    <s v="FB000851"/>
    <x v="2"/>
    <x v="3"/>
    <x v="2"/>
    <x v="2"/>
    <x v="3"/>
    <n v="78.39"/>
    <n v="0"/>
    <n v="78.39"/>
    <d v="2025-08-06T00:00:00"/>
    <n v="7"/>
    <n v="4.2"/>
    <b v="0"/>
    <m/>
    <n v="27"/>
  </r>
  <r>
    <s v="FB000852"/>
    <x v="0"/>
    <x v="0"/>
    <x v="0"/>
    <x v="3"/>
    <x v="7"/>
    <n v="168.38"/>
    <n v="23.1"/>
    <n v="129.47999999999999"/>
    <d v="2025-06-04T00:00:00"/>
    <n v="3"/>
    <n v="2"/>
    <b v="0"/>
    <m/>
    <n v="90"/>
  </r>
  <r>
    <s v="FB000853"/>
    <x v="3"/>
    <x v="2"/>
    <x v="1"/>
    <x v="3"/>
    <x v="8"/>
    <n v="128.35"/>
    <n v="0"/>
    <n v="128.35"/>
    <d v="2025-08-06T00:00:00"/>
    <n v="20"/>
    <n v="2.5"/>
    <b v="0"/>
    <m/>
    <n v="27"/>
  </r>
  <r>
    <s v="FB000854"/>
    <x v="5"/>
    <x v="1"/>
    <x v="0"/>
    <x v="0"/>
    <x v="4"/>
    <n v="138.16999999999999"/>
    <n v="3"/>
    <n v="134.02000000000001"/>
    <d v="2025-04-04T00:00:00"/>
    <n v="34"/>
    <n v="4.0999999999999996"/>
    <b v="0"/>
    <m/>
    <n v="151"/>
  </r>
  <r>
    <s v="FB000855"/>
    <x v="5"/>
    <x v="1"/>
    <x v="2"/>
    <x v="6"/>
    <x v="8"/>
    <n v="52.45"/>
    <n v="0"/>
    <n v="52.45"/>
    <d v="2025-08-06T00:00:00"/>
    <n v="16"/>
    <n v="1.7"/>
    <b v="0"/>
    <m/>
    <n v="27"/>
  </r>
  <r>
    <s v="FB000856"/>
    <x v="3"/>
    <x v="4"/>
    <x v="1"/>
    <x v="5"/>
    <x v="3"/>
    <n v="171.53"/>
    <n v="0"/>
    <n v="171.53"/>
    <d v="2025-08-06T00:00:00"/>
    <n v="12"/>
    <n v="4.8"/>
    <b v="0"/>
    <m/>
    <n v="27"/>
  </r>
  <r>
    <s v="FB000857"/>
    <x v="1"/>
    <x v="3"/>
    <x v="2"/>
    <x v="4"/>
    <x v="10"/>
    <n v="81.23"/>
    <n v="1.2"/>
    <n v="80.260000000000005"/>
    <d v="2025-08-06T00:00:00"/>
    <n v="10"/>
    <n v="4.9000000000000004"/>
    <b v="0"/>
    <m/>
    <n v="27"/>
  </r>
  <r>
    <s v="FB000858"/>
    <x v="2"/>
    <x v="2"/>
    <x v="0"/>
    <x v="2"/>
    <x v="5"/>
    <n v="31.37"/>
    <n v="44.1"/>
    <n v="17.54"/>
    <d v="2024-09-13T00:00:00"/>
    <n v="11"/>
    <n v="3.4"/>
    <b v="0"/>
    <m/>
    <n v="354"/>
  </r>
  <r>
    <s v="FB000859"/>
    <x v="4"/>
    <x v="6"/>
    <x v="0"/>
    <x v="3"/>
    <x v="0"/>
    <n v="93.89"/>
    <n v="0"/>
    <n v="93.89"/>
    <d v="2025-02-03T00:00:00"/>
    <n v="3"/>
    <n v="1.8"/>
    <b v="0"/>
    <m/>
    <n v="211"/>
  </r>
  <r>
    <s v="FB000860"/>
    <x v="4"/>
    <x v="1"/>
    <x v="0"/>
    <x v="0"/>
    <x v="4"/>
    <n v="54.84"/>
    <n v="0"/>
    <n v="54.84"/>
    <d v="2024-09-22T00:00:00"/>
    <n v="12"/>
    <n v="3.2"/>
    <b v="0"/>
    <m/>
    <n v="345"/>
  </r>
  <r>
    <s v="FB000861"/>
    <x v="5"/>
    <x v="0"/>
    <x v="1"/>
    <x v="1"/>
    <x v="0"/>
    <n v="140.34"/>
    <n v="0"/>
    <n v="140.34"/>
    <d v="2025-08-06T00:00:00"/>
    <n v="23"/>
    <n v="2.8"/>
    <b v="1"/>
    <s v="Changed Mind"/>
    <n v="27"/>
  </r>
  <r>
    <s v="FB000862"/>
    <x v="1"/>
    <x v="2"/>
    <x v="2"/>
    <x v="6"/>
    <x v="0"/>
    <n v="51.88"/>
    <n v="16.8"/>
    <n v="43.16"/>
    <d v="2025-08-06T00:00:00"/>
    <n v="30"/>
    <n v="1.5"/>
    <b v="0"/>
    <m/>
    <n v="27"/>
  </r>
  <r>
    <s v="FB000863"/>
    <x v="5"/>
    <x v="3"/>
    <x v="0"/>
    <x v="3"/>
    <x v="9"/>
    <n v="136.19999999999999"/>
    <n v="44.3"/>
    <n v="75.86"/>
    <d v="2024-11-21T00:00:00"/>
    <n v="49"/>
    <n v="2.8372093023255811"/>
    <b v="0"/>
    <m/>
    <n v="285"/>
  </r>
  <r>
    <s v="FB000864"/>
    <x v="2"/>
    <x v="4"/>
    <x v="3"/>
    <x v="2"/>
    <x v="10"/>
    <n v="71.19"/>
    <n v="0"/>
    <n v="71.19"/>
    <d v="2025-08-06T00:00:00"/>
    <n v="14"/>
    <n v="2.8"/>
    <b v="0"/>
    <m/>
    <n v="27"/>
  </r>
  <r>
    <s v="FB000865"/>
    <x v="0"/>
    <x v="7"/>
    <x v="0"/>
    <x v="3"/>
    <x v="8"/>
    <n v="241.37"/>
    <n v="44.9"/>
    <n v="132.99"/>
    <d v="2025-05-15T00:00:00"/>
    <n v="23"/>
    <n v="2.1"/>
    <b v="0"/>
    <m/>
    <n v="110"/>
  </r>
  <r>
    <s v="FB000866"/>
    <x v="0"/>
    <x v="6"/>
    <x v="2"/>
    <x v="4"/>
    <x v="5"/>
    <n v="198.26"/>
    <n v="51.3"/>
    <n v="96.55"/>
    <d v="2025-08-06T00:00:00"/>
    <n v="38"/>
    <n v="2.9034482758620692"/>
    <b v="0"/>
    <m/>
    <n v="27"/>
  </r>
  <r>
    <s v="FB000867"/>
    <x v="4"/>
    <x v="5"/>
    <x v="1"/>
    <x v="4"/>
    <x v="7"/>
    <n v="64.069999999999993"/>
    <n v="0"/>
    <n v="64.069999999999993"/>
    <d v="2025-08-06T00:00:00"/>
    <n v="34"/>
    <n v="3.0575757575757576"/>
    <b v="0"/>
    <m/>
    <n v="27"/>
  </r>
  <r>
    <s v="FB000868"/>
    <x v="4"/>
    <x v="0"/>
    <x v="2"/>
    <x v="0"/>
    <x v="4"/>
    <n v="110.15"/>
    <n v="10.4"/>
    <n v="98.69"/>
    <d v="2025-08-06T00:00:00"/>
    <n v="36"/>
    <n v="1.6"/>
    <b v="0"/>
    <m/>
    <n v="27"/>
  </r>
  <r>
    <s v="FB000869"/>
    <x v="0"/>
    <x v="7"/>
    <x v="0"/>
    <x v="5"/>
    <x v="5"/>
    <n v="120.68"/>
    <n v="0"/>
    <n v="120.68"/>
    <d v="2024-12-21T00:00:00"/>
    <n v="6"/>
    <n v="1.9"/>
    <b v="0"/>
    <m/>
    <n v="255"/>
  </r>
  <r>
    <s v="FB000870"/>
    <x v="2"/>
    <x v="0"/>
    <x v="2"/>
    <x v="2"/>
    <x v="2"/>
    <n v="69.180000000000007"/>
    <n v="31"/>
    <n v="47.73"/>
    <d v="2025-08-06T00:00:00"/>
    <n v="9"/>
    <n v="2.7"/>
    <b v="1"/>
    <s v="Size Issue"/>
    <n v="27"/>
  </r>
  <r>
    <s v="FB000871"/>
    <x v="5"/>
    <x v="5"/>
    <x v="2"/>
    <x v="1"/>
    <x v="0"/>
    <n v="134.77000000000001"/>
    <n v="0"/>
    <n v="134.77000000000001"/>
    <d v="2025-08-06T00:00:00"/>
    <n v="36"/>
    <n v="4.8"/>
    <b v="0"/>
    <m/>
    <n v="27"/>
  </r>
  <r>
    <s v="FB000872"/>
    <x v="1"/>
    <x v="1"/>
    <x v="0"/>
    <x v="3"/>
    <x v="2"/>
    <n v="29.93"/>
    <n v="0"/>
    <n v="29.93"/>
    <d v="2024-10-10T00:00:00"/>
    <n v="13"/>
    <n v="3.34"/>
    <b v="0"/>
    <m/>
    <n v="327"/>
  </r>
  <r>
    <s v="FB000873"/>
    <x v="2"/>
    <x v="6"/>
    <x v="1"/>
    <x v="2"/>
    <x v="3"/>
    <n v="56.09"/>
    <n v="0"/>
    <n v="56.09"/>
    <d v="2025-08-06T00:00:00"/>
    <n v="21"/>
    <n v="4.9000000000000004"/>
    <b v="0"/>
    <m/>
    <n v="27"/>
  </r>
  <r>
    <s v="FB000874"/>
    <x v="3"/>
    <x v="6"/>
    <x v="2"/>
    <x v="5"/>
    <x v="6"/>
    <n v="124.81"/>
    <n v="33.1"/>
    <n v="83.5"/>
    <d v="2025-08-06T00:00:00"/>
    <n v="45"/>
    <n v="2.4"/>
    <b v="0"/>
    <m/>
    <n v="27"/>
  </r>
  <r>
    <s v="FB000875"/>
    <x v="5"/>
    <x v="0"/>
    <x v="0"/>
    <x v="6"/>
    <x v="3"/>
    <n v="94.03"/>
    <n v="56.1"/>
    <n v="41.28"/>
    <d v="2024-12-16T00:00:00"/>
    <n v="16"/>
    <n v="1.2"/>
    <b v="0"/>
    <m/>
    <n v="260"/>
  </r>
  <r>
    <s v="FB000876"/>
    <x v="3"/>
    <x v="0"/>
    <x v="2"/>
    <x v="5"/>
    <x v="0"/>
    <n v="109.51"/>
    <n v="8.1999999999999993"/>
    <n v="100.53"/>
    <d v="2025-08-06T00:00:00"/>
    <n v="12"/>
    <n v="2.9153846153846157"/>
    <b v="0"/>
    <m/>
    <n v="27"/>
  </r>
  <r>
    <s v="FB000877"/>
    <x v="2"/>
    <x v="3"/>
    <x v="1"/>
    <x v="2"/>
    <x v="8"/>
    <n v="31.13"/>
    <n v="0"/>
    <n v="31.13"/>
    <d v="2025-08-06T00:00:00"/>
    <n v="29"/>
    <n v="4.7"/>
    <b v="0"/>
    <m/>
    <n v="27"/>
  </r>
  <r>
    <s v="FB000878"/>
    <x v="2"/>
    <x v="2"/>
    <x v="2"/>
    <x v="2"/>
    <x v="5"/>
    <n v="66.3"/>
    <n v="1.7"/>
    <n v="65.17"/>
    <d v="2025-08-06T00:00:00"/>
    <n v="28"/>
    <n v="1.6"/>
    <b v="0"/>
    <m/>
    <n v="27"/>
  </r>
  <r>
    <s v="FB000879"/>
    <x v="4"/>
    <x v="4"/>
    <x v="1"/>
    <x v="6"/>
    <x v="0"/>
    <n v="66.63"/>
    <n v="28.4"/>
    <n v="47.71"/>
    <d v="2025-08-06T00:00:00"/>
    <n v="32"/>
    <n v="2"/>
    <b v="0"/>
    <m/>
    <n v="27"/>
  </r>
  <r>
    <s v="FB000880"/>
    <x v="4"/>
    <x v="3"/>
    <x v="0"/>
    <x v="1"/>
    <x v="6"/>
    <n v="117.63"/>
    <n v="0"/>
    <n v="117.63"/>
    <d v="2024-09-28T00:00:00"/>
    <n v="18"/>
    <n v="1.2"/>
    <b v="0"/>
    <m/>
    <n v="339"/>
  </r>
  <r>
    <s v="FB000881"/>
    <x v="3"/>
    <x v="2"/>
    <x v="1"/>
    <x v="6"/>
    <x v="9"/>
    <n v="174.53"/>
    <n v="0"/>
    <n v="174.53"/>
    <d v="2025-08-06T00:00:00"/>
    <n v="45"/>
    <n v="3.1936170212765949"/>
    <b v="0"/>
    <m/>
    <n v="27"/>
  </r>
  <r>
    <s v="FB000882"/>
    <x v="5"/>
    <x v="0"/>
    <x v="1"/>
    <x v="3"/>
    <x v="6"/>
    <n v="152.65"/>
    <n v="0"/>
    <n v="152.65"/>
    <d v="2025-08-06T00:00:00"/>
    <n v="27"/>
    <n v="3.7"/>
    <b v="0"/>
    <m/>
    <n v="27"/>
  </r>
  <r>
    <s v="FB000883"/>
    <x v="0"/>
    <x v="5"/>
    <x v="3"/>
    <x v="0"/>
    <x v="5"/>
    <n v="83.24"/>
    <n v="0"/>
    <n v="83.24"/>
    <d v="2025-08-06T00:00:00"/>
    <n v="16"/>
    <n v="3.0305555555555546"/>
    <b v="0"/>
    <m/>
    <n v="27"/>
  </r>
  <r>
    <s v="FB000884"/>
    <x v="2"/>
    <x v="0"/>
    <x v="1"/>
    <x v="2"/>
    <x v="10"/>
    <n v="40.18"/>
    <n v="0"/>
    <n v="40.18"/>
    <d v="2025-08-06T00:00:00"/>
    <n v="27"/>
    <n v="4.7"/>
    <b v="0"/>
    <m/>
    <n v="27"/>
  </r>
  <r>
    <s v="FB000885"/>
    <x v="4"/>
    <x v="3"/>
    <x v="0"/>
    <x v="0"/>
    <x v="0"/>
    <n v="73.77"/>
    <n v="22.8"/>
    <n v="56.95"/>
    <d v="2024-08-18T00:00:00"/>
    <n v="0"/>
    <n v="2.8142857142857149"/>
    <b v="0"/>
    <m/>
    <n v="380"/>
  </r>
  <r>
    <s v="FB000886"/>
    <x v="2"/>
    <x v="7"/>
    <x v="1"/>
    <x v="2"/>
    <x v="0"/>
    <n v="71.3"/>
    <n v="0"/>
    <n v="71.3"/>
    <d v="2025-08-06T00:00:00"/>
    <n v="29"/>
    <n v="2.8636363636363633"/>
    <b v="0"/>
    <m/>
    <n v="27"/>
  </r>
  <r>
    <s v="FB000887"/>
    <x v="2"/>
    <x v="7"/>
    <x v="3"/>
    <x v="2"/>
    <x v="7"/>
    <n v="50.3"/>
    <n v="52.8"/>
    <n v="23.74"/>
    <d v="2025-08-06T00:00:00"/>
    <n v="11"/>
    <n v="2.8636363636363633"/>
    <b v="0"/>
    <m/>
    <n v="27"/>
  </r>
  <r>
    <s v="FB000888"/>
    <x v="2"/>
    <x v="4"/>
    <x v="0"/>
    <x v="2"/>
    <x v="6"/>
    <n v="46.97"/>
    <n v="0"/>
    <n v="46.97"/>
    <d v="2025-02-24T00:00:00"/>
    <n v="33"/>
    <n v="2.6"/>
    <b v="0"/>
    <m/>
    <n v="190"/>
  </r>
  <r>
    <s v="FB000889"/>
    <x v="3"/>
    <x v="0"/>
    <x v="2"/>
    <x v="2"/>
    <x v="10"/>
    <n v="162.9"/>
    <n v="0"/>
    <n v="162.9"/>
    <d v="2025-08-06T00:00:00"/>
    <n v="30"/>
    <n v="1.9"/>
    <b v="0"/>
    <m/>
    <n v="27"/>
  </r>
  <r>
    <s v="FB000890"/>
    <x v="4"/>
    <x v="7"/>
    <x v="1"/>
    <x v="0"/>
    <x v="3"/>
    <n v="57.14"/>
    <n v="0"/>
    <n v="57.14"/>
    <d v="2025-08-06T00:00:00"/>
    <n v="39"/>
    <n v="1.4"/>
    <b v="0"/>
    <m/>
    <n v="27"/>
  </r>
  <r>
    <s v="FB000891"/>
    <x v="3"/>
    <x v="5"/>
    <x v="0"/>
    <x v="1"/>
    <x v="9"/>
    <n v="93.6"/>
    <n v="0"/>
    <n v="93.6"/>
    <d v="2024-09-09T00:00:00"/>
    <n v="49"/>
    <n v="4.3"/>
    <b v="0"/>
    <m/>
    <n v="358"/>
  </r>
  <r>
    <s v="FB000892"/>
    <x v="2"/>
    <x v="7"/>
    <x v="0"/>
    <x v="2"/>
    <x v="10"/>
    <n v="64.56"/>
    <n v="43"/>
    <n v="36.799999999999997"/>
    <d v="2024-08-06T00:00:00"/>
    <n v="36"/>
    <n v="3.9"/>
    <b v="0"/>
    <m/>
    <n v="392"/>
  </r>
  <r>
    <s v="FB000893"/>
    <x v="0"/>
    <x v="5"/>
    <x v="1"/>
    <x v="3"/>
    <x v="8"/>
    <n v="142.34"/>
    <n v="0"/>
    <n v="142.34"/>
    <d v="2025-08-06T00:00:00"/>
    <n v="43"/>
    <n v="3.0305555555555546"/>
    <b v="0"/>
    <m/>
    <n v="27"/>
  </r>
  <r>
    <s v="FB000894"/>
    <x v="3"/>
    <x v="6"/>
    <x v="0"/>
    <x v="5"/>
    <x v="3"/>
    <n v="111.02"/>
    <n v="57.8"/>
    <n v="46.85"/>
    <d v="2025-05-19T00:00:00"/>
    <n v="11"/>
    <n v="2.2000000000000002"/>
    <b v="0"/>
    <m/>
    <n v="106"/>
  </r>
  <r>
    <s v="FB000895"/>
    <x v="1"/>
    <x v="2"/>
    <x v="1"/>
    <x v="2"/>
    <x v="2"/>
    <n v="29.16"/>
    <n v="49"/>
    <n v="14.87"/>
    <d v="2025-08-06T00:00:00"/>
    <n v="31"/>
    <n v="2.953125"/>
    <b v="0"/>
    <m/>
    <n v="27"/>
  </r>
  <r>
    <s v="FB000896"/>
    <x v="1"/>
    <x v="5"/>
    <x v="3"/>
    <x v="5"/>
    <x v="2"/>
    <n v="30.46"/>
    <n v="0"/>
    <n v="30.46"/>
    <d v="2025-08-06T00:00:00"/>
    <n v="19"/>
    <n v="1.2"/>
    <b v="0"/>
    <m/>
    <n v="27"/>
  </r>
  <r>
    <s v="FB000897"/>
    <x v="2"/>
    <x v="7"/>
    <x v="1"/>
    <x v="2"/>
    <x v="5"/>
    <n v="31.32"/>
    <n v="0"/>
    <n v="31.32"/>
    <d v="2025-08-06T00:00:00"/>
    <n v="28"/>
    <n v="2.7"/>
    <b v="0"/>
    <m/>
    <n v="27"/>
  </r>
  <r>
    <s v="FB000898"/>
    <x v="4"/>
    <x v="1"/>
    <x v="0"/>
    <x v="6"/>
    <x v="1"/>
    <n v="61.78"/>
    <n v="0"/>
    <n v="61.78"/>
    <d v="2025-07-30T00:00:00"/>
    <n v="24"/>
    <n v="3.5"/>
    <b v="0"/>
    <m/>
    <n v="34"/>
  </r>
  <r>
    <s v="FB000899"/>
    <x v="0"/>
    <x v="0"/>
    <x v="3"/>
    <x v="6"/>
    <x v="6"/>
    <n v="126.27"/>
    <n v="0"/>
    <n v="126.27"/>
    <d v="2025-08-06T00:00:00"/>
    <n v="1"/>
    <n v="4.7"/>
    <b v="0"/>
    <m/>
    <n v="27"/>
  </r>
  <r>
    <s v="FB000900"/>
    <x v="0"/>
    <x v="1"/>
    <x v="1"/>
    <x v="1"/>
    <x v="3"/>
    <n v="147.53"/>
    <n v="0"/>
    <n v="147.53"/>
    <d v="2025-08-06T00:00:00"/>
    <n v="33"/>
    <n v="4.7"/>
    <b v="1"/>
    <s v="Quality Issue"/>
    <n v="27"/>
  </r>
  <r>
    <s v="FB000901"/>
    <x v="2"/>
    <x v="2"/>
    <x v="3"/>
    <x v="2"/>
    <x v="0"/>
    <n v="36.979999999999997"/>
    <n v="12.2"/>
    <n v="32.47"/>
    <d v="2025-08-06T00:00:00"/>
    <n v="14"/>
    <n v="4.8"/>
    <b v="0"/>
    <m/>
    <n v="27"/>
  </r>
  <r>
    <s v="FB000902"/>
    <x v="3"/>
    <x v="4"/>
    <x v="2"/>
    <x v="6"/>
    <x v="1"/>
    <n v="172.41"/>
    <n v="0"/>
    <n v="172.41"/>
    <d v="2025-08-06T00:00:00"/>
    <n v="33"/>
    <n v="2.2999999999999998"/>
    <b v="0"/>
    <m/>
    <n v="27"/>
  </r>
  <r>
    <s v="FB000903"/>
    <x v="2"/>
    <x v="4"/>
    <x v="0"/>
    <x v="2"/>
    <x v="1"/>
    <n v="53.79"/>
    <n v="16"/>
    <n v="45.18"/>
    <d v="2024-10-01T00:00:00"/>
    <n v="32"/>
    <n v="2.7333333333333334"/>
    <b v="0"/>
    <m/>
    <n v="336"/>
  </r>
  <r>
    <s v="FB000904"/>
    <x v="3"/>
    <x v="3"/>
    <x v="3"/>
    <x v="5"/>
    <x v="7"/>
    <n v="80.56"/>
    <n v="0"/>
    <n v="80.56"/>
    <d v="2025-08-06T00:00:00"/>
    <n v="7"/>
    <n v="1.9"/>
    <b v="0"/>
    <m/>
    <n v="27"/>
  </r>
  <r>
    <s v="FB000905"/>
    <x v="2"/>
    <x v="3"/>
    <x v="2"/>
    <x v="2"/>
    <x v="1"/>
    <n v="51.72"/>
    <n v="0"/>
    <n v="51.72"/>
    <d v="2025-08-06T00:00:00"/>
    <n v="35"/>
    <n v="3.7"/>
    <b v="1"/>
    <s v="Damaged"/>
    <n v="27"/>
  </r>
  <r>
    <s v="FB000906"/>
    <x v="4"/>
    <x v="3"/>
    <x v="0"/>
    <x v="0"/>
    <x v="1"/>
    <n v="107.22"/>
    <n v="37.799999999999997"/>
    <n v="66.69"/>
    <d v="2025-07-11T00:00:00"/>
    <n v="21"/>
    <n v="2.9"/>
    <b v="0"/>
    <m/>
    <n v="53"/>
  </r>
  <r>
    <s v="FB000907"/>
    <x v="3"/>
    <x v="4"/>
    <x v="2"/>
    <x v="4"/>
    <x v="6"/>
    <n v="174.99"/>
    <n v="50.1"/>
    <n v="87.32"/>
    <d v="2025-08-06T00:00:00"/>
    <n v="7"/>
    <n v="4.9000000000000004"/>
    <b v="0"/>
    <m/>
    <n v="27"/>
  </r>
  <r>
    <s v="FB000908"/>
    <x v="5"/>
    <x v="7"/>
    <x v="0"/>
    <x v="3"/>
    <x v="5"/>
    <n v="90.52"/>
    <n v="53.2"/>
    <n v="42.36"/>
    <d v="2025-07-28T00:00:00"/>
    <n v="37"/>
    <n v="2.2000000000000002"/>
    <b v="0"/>
    <m/>
    <n v="36"/>
  </r>
  <r>
    <s v="FB000909"/>
    <x v="3"/>
    <x v="7"/>
    <x v="3"/>
    <x v="4"/>
    <x v="6"/>
    <n v="94.93"/>
    <n v="16.600000000000001"/>
    <n v="79.17"/>
    <d v="2025-08-06T00:00:00"/>
    <n v="39"/>
    <n v="4.8"/>
    <b v="0"/>
    <m/>
    <n v="27"/>
  </r>
  <r>
    <s v="FB000910"/>
    <x v="3"/>
    <x v="2"/>
    <x v="1"/>
    <x v="5"/>
    <x v="4"/>
    <n v="179.82"/>
    <n v="0"/>
    <n v="179.82"/>
    <d v="2025-08-06T00:00:00"/>
    <n v="28"/>
    <n v="2.4"/>
    <b v="1"/>
    <s v="Damaged"/>
    <n v="27"/>
  </r>
  <r>
    <s v="FB000911"/>
    <x v="1"/>
    <x v="1"/>
    <x v="0"/>
    <x v="2"/>
    <x v="10"/>
    <n v="101.96"/>
    <n v="23.7"/>
    <n v="77.8"/>
    <d v="2025-05-21T00:00:00"/>
    <n v="29"/>
    <n v="3.6"/>
    <b v="0"/>
    <m/>
    <n v="104"/>
  </r>
  <r>
    <s v="FB000912"/>
    <x v="4"/>
    <x v="2"/>
    <x v="0"/>
    <x v="3"/>
    <x v="6"/>
    <n v="27.11"/>
    <n v="16.2"/>
    <n v="22.72"/>
    <d v="2024-12-08T00:00:00"/>
    <n v="10"/>
    <n v="2.4"/>
    <b v="1"/>
    <s v="Changed Mind"/>
    <n v="268"/>
  </r>
  <r>
    <s v="FB000913"/>
    <x v="0"/>
    <x v="6"/>
    <x v="3"/>
    <x v="3"/>
    <x v="2"/>
    <n v="141.83000000000001"/>
    <n v="0"/>
    <n v="141.83000000000001"/>
    <d v="2025-08-06T00:00:00"/>
    <n v="2"/>
    <n v="2.4"/>
    <b v="1"/>
    <s v="Color Mismatch"/>
    <n v="27"/>
  </r>
  <r>
    <s v="FB000914"/>
    <x v="3"/>
    <x v="6"/>
    <x v="0"/>
    <x v="2"/>
    <x v="7"/>
    <n v="156.34"/>
    <n v="37"/>
    <n v="98.49"/>
    <d v="2025-04-13T00:00:00"/>
    <n v="45"/>
    <n v="2.9"/>
    <b v="1"/>
    <s v="Size Issue"/>
    <n v="142"/>
  </r>
  <r>
    <s v="FB000915"/>
    <x v="1"/>
    <x v="7"/>
    <x v="3"/>
    <x v="5"/>
    <x v="10"/>
    <n v="81.84"/>
    <n v="0"/>
    <n v="81.84"/>
    <d v="2025-08-06T00:00:00"/>
    <n v="41"/>
    <n v="2.4"/>
    <b v="0"/>
    <m/>
    <n v="27"/>
  </r>
  <r>
    <s v="FB000916"/>
    <x v="4"/>
    <x v="4"/>
    <x v="2"/>
    <x v="1"/>
    <x v="2"/>
    <n v="36.44"/>
    <n v="19.899999999999999"/>
    <n v="29.19"/>
    <d v="2025-08-06T00:00:00"/>
    <n v="39"/>
    <n v="1.8"/>
    <b v="0"/>
    <m/>
    <n v="27"/>
  </r>
  <r>
    <s v="FB000917"/>
    <x v="0"/>
    <x v="5"/>
    <x v="2"/>
    <x v="3"/>
    <x v="1"/>
    <n v="155.30000000000001"/>
    <n v="0"/>
    <n v="155.30000000000001"/>
    <d v="2025-08-06T00:00:00"/>
    <n v="9"/>
    <n v="3"/>
    <b v="0"/>
    <m/>
    <n v="27"/>
  </r>
  <r>
    <s v="FB000918"/>
    <x v="4"/>
    <x v="1"/>
    <x v="2"/>
    <x v="0"/>
    <x v="0"/>
    <n v="84.04"/>
    <n v="28.5"/>
    <n v="60.09"/>
    <d v="2025-08-06T00:00:00"/>
    <n v="3"/>
    <n v="1"/>
    <b v="0"/>
    <m/>
    <n v="27"/>
  </r>
  <r>
    <s v="FB000919"/>
    <x v="3"/>
    <x v="6"/>
    <x v="2"/>
    <x v="5"/>
    <x v="10"/>
    <n v="98.76"/>
    <n v="56.4"/>
    <n v="43.06"/>
    <d v="2025-08-06T00:00:00"/>
    <n v="22"/>
    <n v="4.5"/>
    <b v="0"/>
    <m/>
    <n v="27"/>
  </r>
  <r>
    <s v="FB000920"/>
    <x v="2"/>
    <x v="5"/>
    <x v="3"/>
    <x v="2"/>
    <x v="3"/>
    <n v="52.99"/>
    <n v="59.1"/>
    <n v="21.67"/>
    <d v="2025-08-06T00:00:00"/>
    <n v="50"/>
    <n v="3.4"/>
    <b v="1"/>
    <s v="Size Issue"/>
    <n v="27"/>
  </r>
  <r>
    <s v="FB000921"/>
    <x v="4"/>
    <x v="1"/>
    <x v="0"/>
    <x v="1"/>
    <x v="0"/>
    <n v="39.840000000000003"/>
    <n v="0"/>
    <n v="39.840000000000003"/>
    <d v="2025-04-18T00:00:00"/>
    <n v="24"/>
    <n v="2.4"/>
    <b v="0"/>
    <m/>
    <n v="137"/>
  </r>
  <r>
    <s v="FB000922"/>
    <x v="2"/>
    <x v="5"/>
    <x v="0"/>
    <x v="2"/>
    <x v="6"/>
    <n v="40.01"/>
    <n v="0"/>
    <n v="40.01"/>
    <d v="2025-06-05T00:00:00"/>
    <n v="22"/>
    <n v="4.5"/>
    <b v="0"/>
    <m/>
    <n v="89"/>
  </r>
  <r>
    <s v="FB000923"/>
    <x v="0"/>
    <x v="5"/>
    <x v="3"/>
    <x v="1"/>
    <x v="8"/>
    <n v="245.75"/>
    <n v="0"/>
    <n v="245.75"/>
    <d v="2025-08-06T00:00:00"/>
    <n v="12"/>
    <n v="3.0305555555555546"/>
    <b v="1"/>
    <s v="Changed Mind"/>
    <n v="27"/>
  </r>
  <r>
    <s v="FB000924"/>
    <x v="4"/>
    <x v="0"/>
    <x v="1"/>
    <x v="0"/>
    <x v="4"/>
    <n v="102.25"/>
    <n v="0"/>
    <n v="102.25"/>
    <d v="2025-08-06T00:00:00"/>
    <n v="6"/>
    <n v="3.8"/>
    <b v="0"/>
    <m/>
    <n v="27"/>
  </r>
  <r>
    <s v="FB000925"/>
    <x v="1"/>
    <x v="5"/>
    <x v="3"/>
    <x v="6"/>
    <x v="4"/>
    <n v="76.33"/>
    <n v="0"/>
    <n v="76.33"/>
    <d v="2025-08-06T00:00:00"/>
    <n v="15"/>
    <n v="2"/>
    <b v="1"/>
    <s v="Wrong Item"/>
    <n v="27"/>
  </r>
  <r>
    <s v="FB000926"/>
    <x v="2"/>
    <x v="0"/>
    <x v="0"/>
    <x v="2"/>
    <x v="4"/>
    <n v="51.79"/>
    <n v="39"/>
    <n v="31.59"/>
    <d v="2025-03-17T00:00:00"/>
    <n v="37"/>
    <n v="2.5"/>
    <b v="0"/>
    <m/>
    <n v="169"/>
  </r>
  <r>
    <s v="FB000927"/>
    <x v="0"/>
    <x v="0"/>
    <x v="0"/>
    <x v="4"/>
    <x v="1"/>
    <n v="141.24"/>
    <n v="12.9"/>
    <n v="123.02"/>
    <d v="2024-10-02T00:00:00"/>
    <n v="23"/>
    <n v="1.7"/>
    <b v="0"/>
    <m/>
    <n v="335"/>
  </r>
  <r>
    <s v="FB000928"/>
    <x v="2"/>
    <x v="1"/>
    <x v="0"/>
    <x v="2"/>
    <x v="2"/>
    <n v="66.180000000000007"/>
    <n v="0"/>
    <n v="66.180000000000007"/>
    <d v="2025-05-23T00:00:00"/>
    <n v="20"/>
    <n v="1.7"/>
    <b v="0"/>
    <m/>
    <n v="102"/>
  </r>
  <r>
    <s v="FB000929"/>
    <x v="1"/>
    <x v="2"/>
    <x v="3"/>
    <x v="6"/>
    <x v="8"/>
    <n v="35.15"/>
    <n v="0"/>
    <n v="35.15"/>
    <d v="2025-08-06T00:00:00"/>
    <n v="38"/>
    <n v="2.2000000000000002"/>
    <b v="0"/>
    <m/>
    <n v="27"/>
  </r>
  <r>
    <s v="FB000930"/>
    <x v="2"/>
    <x v="4"/>
    <x v="0"/>
    <x v="2"/>
    <x v="1"/>
    <n v="35.619999999999997"/>
    <n v="41.2"/>
    <n v="20.94"/>
    <d v="2025-03-20T00:00:00"/>
    <n v="4"/>
    <n v="3.7"/>
    <b v="0"/>
    <m/>
    <n v="166"/>
  </r>
  <r>
    <s v="FB000931"/>
    <x v="2"/>
    <x v="7"/>
    <x v="3"/>
    <x v="2"/>
    <x v="6"/>
    <n v="35.64"/>
    <n v="0"/>
    <n v="35.64"/>
    <d v="2025-08-06T00:00:00"/>
    <n v="48"/>
    <n v="5"/>
    <b v="1"/>
    <s v="Color Mismatch"/>
    <n v="27"/>
  </r>
  <r>
    <s v="FB000932"/>
    <x v="4"/>
    <x v="5"/>
    <x v="3"/>
    <x v="1"/>
    <x v="0"/>
    <n v="86.68"/>
    <n v="0"/>
    <n v="86.68"/>
    <d v="2025-08-06T00:00:00"/>
    <n v="2"/>
    <n v="3.0575757575757576"/>
    <b v="0"/>
    <m/>
    <n v="27"/>
  </r>
  <r>
    <s v="FB000933"/>
    <x v="2"/>
    <x v="4"/>
    <x v="2"/>
    <x v="2"/>
    <x v="1"/>
    <n v="17.72"/>
    <n v="0"/>
    <n v="17.72"/>
    <d v="2025-08-06T00:00:00"/>
    <n v="9"/>
    <n v="1.2"/>
    <b v="0"/>
    <m/>
    <n v="27"/>
  </r>
  <r>
    <s v="FB000934"/>
    <x v="0"/>
    <x v="1"/>
    <x v="2"/>
    <x v="4"/>
    <x v="1"/>
    <n v="87.95"/>
    <n v="13.3"/>
    <n v="76.25"/>
    <d v="2025-08-06T00:00:00"/>
    <n v="4"/>
    <n v="4.5"/>
    <b v="0"/>
    <m/>
    <n v="27"/>
  </r>
  <r>
    <s v="FB000935"/>
    <x v="0"/>
    <x v="3"/>
    <x v="0"/>
    <x v="5"/>
    <x v="4"/>
    <n v="216.26"/>
    <n v="0"/>
    <n v="216.26"/>
    <d v="2025-04-16T00:00:00"/>
    <n v="26"/>
    <n v="1.1000000000000001"/>
    <b v="0"/>
    <m/>
    <n v="139"/>
  </r>
  <r>
    <s v="FB000936"/>
    <x v="0"/>
    <x v="3"/>
    <x v="3"/>
    <x v="3"/>
    <x v="2"/>
    <n v="238.11"/>
    <n v="0"/>
    <n v="238.11"/>
    <d v="2025-08-06T00:00:00"/>
    <n v="49"/>
    <n v="2.4137931034482762"/>
    <b v="0"/>
    <m/>
    <n v="27"/>
  </r>
  <r>
    <s v="FB000937"/>
    <x v="3"/>
    <x v="1"/>
    <x v="1"/>
    <x v="4"/>
    <x v="1"/>
    <n v="112.77"/>
    <n v="0"/>
    <n v="112.77"/>
    <d v="2025-08-06T00:00:00"/>
    <n v="11"/>
    <n v="4.0999999999999996"/>
    <b v="0"/>
    <m/>
    <n v="27"/>
  </r>
  <r>
    <s v="FB000938"/>
    <x v="2"/>
    <x v="6"/>
    <x v="1"/>
    <x v="2"/>
    <x v="8"/>
    <n v="39.020000000000003"/>
    <n v="44.8"/>
    <n v="21.54"/>
    <d v="2025-08-06T00:00:00"/>
    <n v="29"/>
    <n v="3.4"/>
    <b v="0"/>
    <m/>
    <n v="27"/>
  </r>
  <r>
    <s v="FB000939"/>
    <x v="1"/>
    <x v="5"/>
    <x v="0"/>
    <x v="4"/>
    <x v="9"/>
    <n v="69.77"/>
    <n v="0"/>
    <n v="69.77"/>
    <d v="2024-11-09T00:00:00"/>
    <n v="29"/>
    <n v="5"/>
    <b v="0"/>
    <m/>
    <n v="297"/>
  </r>
  <r>
    <s v="FB000940"/>
    <x v="5"/>
    <x v="4"/>
    <x v="0"/>
    <x v="6"/>
    <x v="9"/>
    <n v="124.92"/>
    <n v="48.4"/>
    <n v="64.459999999999994"/>
    <d v="2025-05-03T00:00:00"/>
    <n v="22"/>
    <n v="3.2"/>
    <b v="0"/>
    <m/>
    <n v="122"/>
  </r>
  <r>
    <s v="FB000941"/>
    <x v="5"/>
    <x v="2"/>
    <x v="3"/>
    <x v="2"/>
    <x v="9"/>
    <n v="83.92"/>
    <n v="29.4"/>
    <n v="59.25"/>
    <d v="2025-08-06T00:00:00"/>
    <n v="20"/>
    <n v="2.1"/>
    <b v="1"/>
    <s v="Quality Issue"/>
    <n v="27"/>
  </r>
  <r>
    <s v="FB000942"/>
    <x v="0"/>
    <x v="7"/>
    <x v="2"/>
    <x v="5"/>
    <x v="7"/>
    <n v="180.91"/>
    <n v="0"/>
    <n v="180.91"/>
    <d v="2025-08-06T00:00:00"/>
    <n v="10"/>
    <n v="3.8"/>
    <b v="0"/>
    <m/>
    <n v="27"/>
  </r>
  <r>
    <s v="FB000943"/>
    <x v="3"/>
    <x v="7"/>
    <x v="0"/>
    <x v="4"/>
    <x v="10"/>
    <n v="120.11"/>
    <n v="0"/>
    <n v="120.11"/>
    <d v="2024-12-24T00:00:00"/>
    <n v="27"/>
    <n v="4.0999999999999996"/>
    <b v="0"/>
    <m/>
    <n v="252"/>
  </r>
  <r>
    <s v="FB000944"/>
    <x v="0"/>
    <x v="7"/>
    <x v="3"/>
    <x v="0"/>
    <x v="0"/>
    <n v="225.01"/>
    <n v="0"/>
    <n v="225.01"/>
    <d v="2025-08-06T00:00:00"/>
    <n v="50"/>
    <n v="1.9"/>
    <b v="1"/>
    <s v="Size Issue"/>
    <n v="27"/>
  </r>
  <r>
    <s v="FB000945"/>
    <x v="5"/>
    <x v="3"/>
    <x v="3"/>
    <x v="1"/>
    <x v="6"/>
    <n v="115.57"/>
    <n v="0"/>
    <n v="115.57"/>
    <d v="2025-08-06T00:00:00"/>
    <n v="32"/>
    <n v="3"/>
    <b v="0"/>
    <m/>
    <n v="27"/>
  </r>
  <r>
    <s v="FB000946"/>
    <x v="2"/>
    <x v="6"/>
    <x v="2"/>
    <x v="2"/>
    <x v="5"/>
    <n v="21.2"/>
    <n v="19"/>
    <n v="17.170000000000002"/>
    <d v="2025-08-06T00:00:00"/>
    <n v="22"/>
    <n v="1.3"/>
    <b v="0"/>
    <m/>
    <n v="27"/>
  </r>
  <r>
    <s v="FB000947"/>
    <x v="4"/>
    <x v="0"/>
    <x v="0"/>
    <x v="4"/>
    <x v="2"/>
    <n v="52.36"/>
    <n v="0"/>
    <n v="52.36"/>
    <d v="2025-04-22T00:00:00"/>
    <n v="35"/>
    <n v="2.9210526315789478"/>
    <b v="0"/>
    <m/>
    <n v="133"/>
  </r>
  <r>
    <s v="FB000948"/>
    <x v="2"/>
    <x v="5"/>
    <x v="2"/>
    <x v="2"/>
    <x v="4"/>
    <n v="73.430000000000007"/>
    <n v="0"/>
    <n v="73.430000000000007"/>
    <d v="2025-08-06T00:00:00"/>
    <n v="22"/>
    <n v="2.2999999999999998"/>
    <b v="0"/>
    <m/>
    <n v="27"/>
  </r>
  <r>
    <s v="FB000949"/>
    <x v="2"/>
    <x v="5"/>
    <x v="0"/>
    <x v="2"/>
    <x v="9"/>
    <n v="70.75"/>
    <n v="0"/>
    <n v="70.75"/>
    <d v="2025-05-12T00:00:00"/>
    <n v="0"/>
    <n v="1.4"/>
    <b v="0"/>
    <m/>
    <n v="113"/>
  </r>
  <r>
    <s v="FB000950"/>
    <x v="2"/>
    <x v="6"/>
    <x v="2"/>
    <x v="2"/>
    <x v="3"/>
    <n v="58.9"/>
    <n v="0"/>
    <n v="58.9"/>
    <d v="2025-08-06T00:00:00"/>
    <n v="39"/>
    <n v="4"/>
    <b v="0"/>
    <m/>
    <n v="27"/>
  </r>
  <r>
    <s v="FB000951"/>
    <x v="0"/>
    <x v="7"/>
    <x v="1"/>
    <x v="1"/>
    <x v="9"/>
    <n v="104.78"/>
    <n v="16.899999999999999"/>
    <n v="87.07"/>
    <d v="2025-08-06T00:00:00"/>
    <n v="43"/>
    <n v="4.3"/>
    <b v="0"/>
    <m/>
    <n v="27"/>
  </r>
  <r>
    <s v="FB000952"/>
    <x v="2"/>
    <x v="7"/>
    <x v="2"/>
    <x v="2"/>
    <x v="5"/>
    <n v="55.3"/>
    <n v="0"/>
    <n v="55.3"/>
    <d v="2025-08-06T00:00:00"/>
    <n v="17"/>
    <n v="2.5"/>
    <b v="0"/>
    <m/>
    <n v="27"/>
  </r>
  <r>
    <s v="FB000953"/>
    <x v="4"/>
    <x v="6"/>
    <x v="3"/>
    <x v="5"/>
    <x v="2"/>
    <n v="56.65"/>
    <n v="34"/>
    <n v="37.39"/>
    <d v="2025-08-06T00:00:00"/>
    <n v="23"/>
    <n v="4.3"/>
    <b v="0"/>
    <m/>
    <n v="27"/>
  </r>
  <r>
    <s v="FB000954"/>
    <x v="3"/>
    <x v="1"/>
    <x v="2"/>
    <x v="5"/>
    <x v="1"/>
    <n v="199.14"/>
    <n v="0"/>
    <n v="199.14"/>
    <d v="2025-08-06T00:00:00"/>
    <n v="18"/>
    <n v="2.8205128205128198"/>
    <b v="0"/>
    <m/>
    <n v="27"/>
  </r>
  <r>
    <s v="FB000955"/>
    <x v="3"/>
    <x v="0"/>
    <x v="2"/>
    <x v="6"/>
    <x v="1"/>
    <n v="128.68"/>
    <n v="0"/>
    <n v="128.68"/>
    <d v="2025-08-06T00:00:00"/>
    <n v="8"/>
    <n v="2.2000000000000002"/>
    <b v="0"/>
    <m/>
    <n v="27"/>
  </r>
  <r>
    <s v="FB000956"/>
    <x v="0"/>
    <x v="1"/>
    <x v="2"/>
    <x v="0"/>
    <x v="7"/>
    <n v="150.37"/>
    <n v="51.9"/>
    <n v="72.33"/>
    <d v="2025-08-06T00:00:00"/>
    <n v="15"/>
    <n v="5"/>
    <b v="0"/>
    <m/>
    <n v="27"/>
  </r>
  <r>
    <s v="FB000957"/>
    <x v="5"/>
    <x v="7"/>
    <x v="1"/>
    <x v="6"/>
    <x v="1"/>
    <n v="162.65"/>
    <n v="0"/>
    <n v="162.65"/>
    <d v="2025-08-06T00:00:00"/>
    <n v="36"/>
    <n v="1.4"/>
    <b v="0"/>
    <m/>
    <n v="27"/>
  </r>
  <r>
    <s v="FB000958"/>
    <x v="4"/>
    <x v="3"/>
    <x v="3"/>
    <x v="4"/>
    <x v="3"/>
    <n v="28.9"/>
    <n v="0"/>
    <n v="28.9"/>
    <d v="2025-08-06T00:00:00"/>
    <n v="5"/>
    <n v="4.5999999999999996"/>
    <b v="0"/>
    <m/>
    <n v="27"/>
  </r>
  <r>
    <s v="FB000959"/>
    <x v="2"/>
    <x v="7"/>
    <x v="0"/>
    <x v="2"/>
    <x v="1"/>
    <n v="75.59"/>
    <n v="38.799999999999997"/>
    <n v="46.26"/>
    <d v="2025-03-29T00:00:00"/>
    <n v="43"/>
    <n v="1.1000000000000001"/>
    <b v="0"/>
    <m/>
    <n v="157"/>
  </r>
  <r>
    <s v="FB000960"/>
    <x v="1"/>
    <x v="0"/>
    <x v="0"/>
    <x v="3"/>
    <x v="10"/>
    <n v="30.9"/>
    <n v="5.5"/>
    <n v="29.2"/>
    <d v="2024-11-06T00:00:00"/>
    <n v="25"/>
    <n v="1.4"/>
    <b v="0"/>
    <m/>
    <n v="300"/>
  </r>
  <r>
    <s v="FB000961"/>
    <x v="0"/>
    <x v="3"/>
    <x v="3"/>
    <x v="3"/>
    <x v="5"/>
    <n v="101.04"/>
    <n v="0"/>
    <n v="101.04"/>
    <d v="2025-08-06T00:00:00"/>
    <n v="35"/>
    <n v="3.5"/>
    <b v="0"/>
    <m/>
    <n v="27"/>
  </r>
  <r>
    <s v="FB000962"/>
    <x v="5"/>
    <x v="7"/>
    <x v="2"/>
    <x v="3"/>
    <x v="3"/>
    <n v="54.81"/>
    <n v="0"/>
    <n v="54.81"/>
    <d v="2025-08-06T00:00:00"/>
    <n v="41"/>
    <n v="1.2"/>
    <b v="1"/>
    <s v="Wrong Item"/>
    <n v="27"/>
  </r>
  <r>
    <s v="FB000963"/>
    <x v="3"/>
    <x v="4"/>
    <x v="3"/>
    <x v="6"/>
    <x v="8"/>
    <n v="191.61"/>
    <n v="42.1"/>
    <n v="110.94"/>
    <d v="2025-08-06T00:00:00"/>
    <n v="28"/>
    <n v="4"/>
    <b v="0"/>
    <m/>
    <n v="27"/>
  </r>
  <r>
    <s v="FB000964"/>
    <x v="1"/>
    <x v="3"/>
    <x v="3"/>
    <x v="4"/>
    <x v="1"/>
    <n v="100.5"/>
    <n v="0"/>
    <n v="100.5"/>
    <d v="2025-08-06T00:00:00"/>
    <n v="12"/>
    <n v="2.7"/>
    <b v="1"/>
    <s v="Damaged"/>
    <n v="27"/>
  </r>
  <r>
    <s v="FB000965"/>
    <x v="3"/>
    <x v="3"/>
    <x v="0"/>
    <x v="4"/>
    <x v="6"/>
    <n v="92.35"/>
    <n v="23.6"/>
    <n v="70.56"/>
    <d v="2024-11-28T00:00:00"/>
    <n v="32"/>
    <n v="2.2000000000000002"/>
    <b v="0"/>
    <m/>
    <n v="278"/>
  </r>
  <r>
    <s v="FB000966"/>
    <x v="3"/>
    <x v="5"/>
    <x v="3"/>
    <x v="6"/>
    <x v="4"/>
    <n v="161.24"/>
    <n v="56.6"/>
    <n v="69.98"/>
    <d v="2025-08-06T00:00:00"/>
    <n v="8"/>
    <n v="2.1"/>
    <b v="0"/>
    <m/>
    <n v="27"/>
  </r>
  <r>
    <s v="FB000967"/>
    <x v="5"/>
    <x v="3"/>
    <x v="1"/>
    <x v="5"/>
    <x v="4"/>
    <n v="68.03"/>
    <n v="6.3"/>
    <n v="63.74"/>
    <d v="2025-08-06T00:00:00"/>
    <n v="43"/>
    <n v="3.4"/>
    <b v="0"/>
    <m/>
    <n v="27"/>
  </r>
  <r>
    <s v="FB000968"/>
    <x v="3"/>
    <x v="5"/>
    <x v="2"/>
    <x v="5"/>
    <x v="9"/>
    <n v="121.21"/>
    <n v="47.4"/>
    <n v="63.76"/>
    <d v="2025-08-06T00:00:00"/>
    <n v="45"/>
    <n v="3"/>
    <b v="1"/>
    <s v="Changed Mind"/>
    <n v="27"/>
  </r>
  <r>
    <s v="FB000969"/>
    <x v="1"/>
    <x v="0"/>
    <x v="1"/>
    <x v="1"/>
    <x v="5"/>
    <n v="69.599999999999994"/>
    <n v="28.8"/>
    <n v="49.56"/>
    <d v="2025-08-06T00:00:00"/>
    <n v="42"/>
    <n v="3.7"/>
    <b v="0"/>
    <m/>
    <n v="27"/>
  </r>
  <r>
    <s v="FB000970"/>
    <x v="0"/>
    <x v="2"/>
    <x v="1"/>
    <x v="5"/>
    <x v="3"/>
    <n v="222.5"/>
    <n v="18.7"/>
    <n v="180.89"/>
    <d v="2025-08-06T00:00:00"/>
    <n v="47"/>
    <n v="3.0177777777777774"/>
    <b v="0"/>
    <m/>
    <n v="27"/>
  </r>
  <r>
    <s v="FB000971"/>
    <x v="4"/>
    <x v="7"/>
    <x v="2"/>
    <x v="4"/>
    <x v="1"/>
    <n v="25.58"/>
    <n v="54.5"/>
    <n v="11.64"/>
    <d v="2025-08-06T00:00:00"/>
    <n v="34"/>
    <n v="2.4"/>
    <b v="0"/>
    <m/>
    <n v="27"/>
  </r>
  <r>
    <s v="FB000972"/>
    <x v="5"/>
    <x v="3"/>
    <x v="3"/>
    <x v="0"/>
    <x v="5"/>
    <n v="54.46"/>
    <n v="6.6"/>
    <n v="50.87"/>
    <d v="2025-08-06T00:00:00"/>
    <n v="17"/>
    <n v="1.7"/>
    <b v="0"/>
    <m/>
    <n v="27"/>
  </r>
  <r>
    <s v="FB000973"/>
    <x v="4"/>
    <x v="7"/>
    <x v="1"/>
    <x v="3"/>
    <x v="1"/>
    <n v="43.32"/>
    <n v="0"/>
    <n v="43.32"/>
    <d v="2025-08-06T00:00:00"/>
    <n v="0"/>
    <n v="2.6"/>
    <b v="0"/>
    <m/>
    <n v="27"/>
  </r>
  <r>
    <s v="FB000974"/>
    <x v="2"/>
    <x v="7"/>
    <x v="1"/>
    <x v="2"/>
    <x v="0"/>
    <n v="75.09"/>
    <n v="0"/>
    <n v="75.09"/>
    <d v="2025-08-06T00:00:00"/>
    <n v="41"/>
    <n v="3.5"/>
    <b v="0"/>
    <m/>
    <n v="27"/>
  </r>
  <r>
    <s v="FB000975"/>
    <x v="5"/>
    <x v="1"/>
    <x v="0"/>
    <x v="5"/>
    <x v="0"/>
    <n v="167.46"/>
    <n v="0"/>
    <n v="167.46"/>
    <d v="2024-08-18T00:00:00"/>
    <n v="4"/>
    <n v="1.3"/>
    <b v="0"/>
    <m/>
    <n v="380"/>
  </r>
  <r>
    <s v="FB000976"/>
    <x v="3"/>
    <x v="2"/>
    <x v="2"/>
    <x v="1"/>
    <x v="5"/>
    <n v="111.24"/>
    <n v="34.299999999999997"/>
    <n v="73.08"/>
    <d v="2025-08-06T00:00:00"/>
    <n v="3"/>
    <n v="2.2000000000000002"/>
    <b v="0"/>
    <m/>
    <n v="27"/>
  </r>
  <r>
    <s v="FB000977"/>
    <x v="4"/>
    <x v="1"/>
    <x v="2"/>
    <x v="4"/>
    <x v="8"/>
    <n v="59.36"/>
    <n v="0"/>
    <n v="59.36"/>
    <d v="2025-08-06T00:00:00"/>
    <n v="16"/>
    <n v="3.0846153846153843"/>
    <b v="0"/>
    <m/>
    <n v="27"/>
  </r>
  <r>
    <s v="FB000978"/>
    <x v="3"/>
    <x v="2"/>
    <x v="2"/>
    <x v="3"/>
    <x v="8"/>
    <n v="199.46"/>
    <n v="0"/>
    <n v="199.46"/>
    <d v="2025-08-06T00:00:00"/>
    <n v="15"/>
    <n v="1.4"/>
    <b v="0"/>
    <m/>
    <n v="27"/>
  </r>
  <r>
    <s v="FB000979"/>
    <x v="3"/>
    <x v="7"/>
    <x v="2"/>
    <x v="6"/>
    <x v="3"/>
    <n v="72.75"/>
    <n v="50.2"/>
    <n v="36.229999999999997"/>
    <d v="2025-08-06T00:00:00"/>
    <n v="28"/>
    <n v="3.6"/>
    <b v="0"/>
    <m/>
    <n v="27"/>
  </r>
  <r>
    <s v="FB000980"/>
    <x v="4"/>
    <x v="3"/>
    <x v="2"/>
    <x v="5"/>
    <x v="1"/>
    <n v="86.52"/>
    <n v="27.6"/>
    <n v="62.64"/>
    <d v="2025-08-06T00:00:00"/>
    <n v="47"/>
    <n v="1.1000000000000001"/>
    <b v="0"/>
    <m/>
    <n v="27"/>
  </r>
  <r>
    <s v="FB000981"/>
    <x v="2"/>
    <x v="7"/>
    <x v="0"/>
    <x v="2"/>
    <x v="5"/>
    <n v="52.69"/>
    <n v="40.200000000000003"/>
    <n v="31.51"/>
    <d v="2024-11-15T00:00:00"/>
    <n v="7"/>
    <n v="2.7"/>
    <b v="0"/>
    <m/>
    <n v="291"/>
  </r>
  <r>
    <s v="FB000982"/>
    <x v="0"/>
    <x v="2"/>
    <x v="2"/>
    <x v="1"/>
    <x v="2"/>
    <n v="104.18"/>
    <n v="0"/>
    <n v="104.18"/>
    <d v="2025-08-06T00:00:00"/>
    <n v="12"/>
    <n v="5"/>
    <b v="0"/>
    <m/>
    <n v="27"/>
  </r>
  <r>
    <s v="FB000983"/>
    <x v="0"/>
    <x v="4"/>
    <x v="1"/>
    <x v="1"/>
    <x v="0"/>
    <n v="132.38"/>
    <n v="58.2"/>
    <n v="55.33"/>
    <d v="2025-08-06T00:00:00"/>
    <n v="24"/>
    <n v="2.9228571428571426"/>
    <b v="0"/>
    <m/>
    <n v="27"/>
  </r>
  <r>
    <s v="FB000984"/>
    <x v="3"/>
    <x v="4"/>
    <x v="2"/>
    <x v="0"/>
    <x v="1"/>
    <n v="64.400000000000006"/>
    <n v="0"/>
    <n v="64.400000000000006"/>
    <d v="2025-08-06T00:00:00"/>
    <n v="40"/>
    <n v="4.9000000000000004"/>
    <b v="0"/>
    <m/>
    <n v="27"/>
  </r>
  <r>
    <s v="FB000985"/>
    <x v="4"/>
    <x v="0"/>
    <x v="3"/>
    <x v="0"/>
    <x v="4"/>
    <n v="34.07"/>
    <n v="0"/>
    <n v="34.07"/>
    <d v="2025-08-06T00:00:00"/>
    <n v="25"/>
    <n v="4.2"/>
    <b v="1"/>
    <s v="Wrong Item"/>
    <n v="27"/>
  </r>
  <r>
    <s v="FB000986"/>
    <x v="4"/>
    <x v="0"/>
    <x v="1"/>
    <x v="4"/>
    <x v="0"/>
    <n v="43.33"/>
    <n v="45.3"/>
    <n v="23.7"/>
    <d v="2025-08-06T00:00:00"/>
    <n v="1"/>
    <n v="3.4"/>
    <b v="0"/>
    <m/>
    <n v="27"/>
  </r>
  <r>
    <s v="FB000987"/>
    <x v="0"/>
    <x v="1"/>
    <x v="0"/>
    <x v="0"/>
    <x v="3"/>
    <n v="122.92"/>
    <n v="0"/>
    <n v="122.92"/>
    <d v="2024-11-06T00:00:00"/>
    <n v="41"/>
    <n v="2.9"/>
    <b v="0"/>
    <m/>
    <n v="300"/>
  </r>
  <r>
    <s v="FB000988"/>
    <x v="3"/>
    <x v="0"/>
    <x v="0"/>
    <x v="3"/>
    <x v="4"/>
    <n v="142.84"/>
    <n v="0"/>
    <n v="142.84"/>
    <d v="2025-02-14T00:00:00"/>
    <n v="36"/>
    <n v="2.9153846153846157"/>
    <b v="0"/>
    <m/>
    <n v="200"/>
  </r>
  <r>
    <s v="FB000989"/>
    <x v="3"/>
    <x v="6"/>
    <x v="3"/>
    <x v="4"/>
    <x v="2"/>
    <n v="131.55000000000001"/>
    <n v="0"/>
    <n v="131.55000000000001"/>
    <d v="2025-08-06T00:00:00"/>
    <n v="45"/>
    <n v="1.8"/>
    <b v="0"/>
    <m/>
    <n v="27"/>
  </r>
  <r>
    <s v="FB000990"/>
    <x v="0"/>
    <x v="0"/>
    <x v="0"/>
    <x v="3"/>
    <x v="0"/>
    <n v="192.58"/>
    <n v="0"/>
    <n v="192.58"/>
    <d v="2025-04-17T00:00:00"/>
    <n v="16"/>
    <n v="1.2"/>
    <b v="0"/>
    <m/>
    <n v="138"/>
  </r>
  <r>
    <s v="FB000991"/>
    <x v="2"/>
    <x v="5"/>
    <x v="0"/>
    <x v="2"/>
    <x v="9"/>
    <n v="33.56"/>
    <n v="0"/>
    <n v="33.56"/>
    <d v="2025-03-27T00:00:00"/>
    <n v="24"/>
    <n v="3"/>
    <b v="0"/>
    <m/>
    <n v="159"/>
  </r>
  <r>
    <s v="FB000992"/>
    <x v="2"/>
    <x v="1"/>
    <x v="3"/>
    <x v="2"/>
    <x v="5"/>
    <n v="59.1"/>
    <n v="0"/>
    <n v="59.1"/>
    <d v="2025-08-06T00:00:00"/>
    <n v="29"/>
    <n v="1.3"/>
    <b v="0"/>
    <m/>
    <n v="27"/>
  </r>
  <r>
    <s v="FB000993"/>
    <x v="3"/>
    <x v="6"/>
    <x v="2"/>
    <x v="3"/>
    <x v="4"/>
    <n v="109.15"/>
    <n v="20.7"/>
    <n v="86.56"/>
    <d v="2025-08-06T00:00:00"/>
    <n v="28"/>
    <n v="2"/>
    <b v="1"/>
    <s v="Changed Mind"/>
    <n v="27"/>
  </r>
  <r>
    <s v="FB000994"/>
    <x v="4"/>
    <x v="5"/>
    <x v="2"/>
    <x v="2"/>
    <x v="7"/>
    <n v="59.1"/>
    <n v="0"/>
    <n v="59.1"/>
    <d v="2025-08-06T00:00:00"/>
    <n v="47"/>
    <n v="4.5999999999999996"/>
    <b v="0"/>
    <m/>
    <n v="27"/>
  </r>
  <r>
    <s v="FB000995"/>
    <x v="3"/>
    <x v="6"/>
    <x v="0"/>
    <x v="6"/>
    <x v="9"/>
    <n v="99.33"/>
    <n v="0"/>
    <n v="99.33"/>
    <d v="2025-05-21T00:00:00"/>
    <n v="16"/>
    <n v="3.9"/>
    <b v="0"/>
    <m/>
    <n v="104"/>
  </r>
  <r>
    <s v="FB000996"/>
    <x v="5"/>
    <x v="5"/>
    <x v="1"/>
    <x v="0"/>
    <x v="8"/>
    <n v="92.75"/>
    <n v="0"/>
    <n v="92.75"/>
    <d v="2025-08-06T00:00:00"/>
    <n v="29"/>
    <n v="3.1874999999999991"/>
    <b v="1"/>
    <s v="Changed Mind"/>
    <n v="27"/>
  </r>
  <r>
    <s v="FB000997"/>
    <x v="1"/>
    <x v="0"/>
    <x v="3"/>
    <x v="3"/>
    <x v="7"/>
    <n v="116.82"/>
    <n v="0"/>
    <n v="116.82"/>
    <d v="2025-08-06T00:00:00"/>
    <n v="34"/>
    <n v="2.9181818181818175"/>
    <b v="0"/>
    <m/>
    <n v="27"/>
  </r>
  <r>
    <s v="FB000998"/>
    <x v="0"/>
    <x v="5"/>
    <x v="3"/>
    <x v="0"/>
    <x v="6"/>
    <n v="129.78"/>
    <n v="9.5"/>
    <n v="117.45"/>
    <d v="2025-08-06T00:00:00"/>
    <n v="17"/>
    <n v="4"/>
    <b v="0"/>
    <m/>
    <n v="27"/>
  </r>
  <r>
    <s v="FB000999"/>
    <x v="5"/>
    <x v="2"/>
    <x v="0"/>
    <x v="5"/>
    <x v="10"/>
    <n v="135.69"/>
    <n v="3"/>
    <n v="131.62"/>
    <d v="2024-08-29T00:00:00"/>
    <n v="16"/>
    <n v="2.9000000000000008"/>
    <b v="0"/>
    <m/>
    <n v="369"/>
  </r>
  <r>
    <s v="FB001000"/>
    <x v="5"/>
    <x v="6"/>
    <x v="2"/>
    <x v="2"/>
    <x v="0"/>
    <n v="48.14"/>
    <n v="28.3"/>
    <n v="34.520000000000003"/>
    <d v="2025-08-06T00:00:00"/>
    <n v="41"/>
    <n v="2.980952380952381"/>
    <b v="0"/>
    <m/>
    <n v="27"/>
  </r>
  <r>
    <s v="FB001001"/>
    <x v="5"/>
    <x v="3"/>
    <x v="2"/>
    <x v="5"/>
    <x v="5"/>
    <n v="142.96"/>
    <n v="47.7"/>
    <n v="74.77"/>
    <d v="2025-08-06T00:00:00"/>
    <n v="7"/>
    <n v="2.8372093023255811"/>
    <b v="0"/>
    <m/>
    <n v="27"/>
  </r>
  <r>
    <s v="FB001002"/>
    <x v="1"/>
    <x v="7"/>
    <x v="0"/>
    <x v="1"/>
    <x v="7"/>
    <n v="51.72"/>
    <n v="0"/>
    <n v="51.72"/>
    <d v="2025-02-14T00:00:00"/>
    <n v="50"/>
    <n v="2.6870967741935483"/>
    <b v="0"/>
    <m/>
    <n v="200"/>
  </r>
  <r>
    <s v="FB001003"/>
    <x v="2"/>
    <x v="0"/>
    <x v="2"/>
    <x v="2"/>
    <x v="10"/>
    <n v="18.3"/>
    <n v="38.299999999999997"/>
    <n v="11.29"/>
    <d v="2025-08-06T00:00:00"/>
    <n v="14"/>
    <n v="1.1000000000000001"/>
    <b v="0"/>
    <m/>
    <n v="27"/>
  </r>
  <r>
    <s v="FB001004"/>
    <x v="0"/>
    <x v="3"/>
    <x v="0"/>
    <x v="1"/>
    <x v="8"/>
    <n v="214.99"/>
    <n v="29"/>
    <n v="152.63999999999999"/>
    <d v="2024-09-06T00:00:00"/>
    <n v="32"/>
    <n v="2.8"/>
    <b v="1"/>
    <s v="Wrong Item"/>
    <n v="361"/>
  </r>
  <r>
    <s v="FB001005"/>
    <x v="2"/>
    <x v="6"/>
    <x v="0"/>
    <x v="2"/>
    <x v="0"/>
    <n v="20.77"/>
    <n v="0"/>
    <n v="20.77"/>
    <d v="2024-08-17T00:00:00"/>
    <n v="31"/>
    <n v="2"/>
    <b v="0"/>
    <m/>
    <n v="381"/>
  </r>
  <r>
    <s v="FB001006"/>
    <x v="2"/>
    <x v="6"/>
    <x v="3"/>
    <x v="2"/>
    <x v="1"/>
    <n v="77.959999999999994"/>
    <n v="0"/>
    <n v="77.959999999999994"/>
    <d v="2025-08-06T00:00:00"/>
    <n v="39"/>
    <n v="4.8"/>
    <b v="0"/>
    <m/>
    <n v="27"/>
  </r>
  <r>
    <s v="FB001007"/>
    <x v="2"/>
    <x v="0"/>
    <x v="2"/>
    <x v="2"/>
    <x v="9"/>
    <n v="73.33"/>
    <n v="34.6"/>
    <n v="47.96"/>
    <d v="2025-08-06T00:00:00"/>
    <n v="45"/>
    <n v="2.1"/>
    <b v="0"/>
    <m/>
    <n v="27"/>
  </r>
  <r>
    <s v="FB001008"/>
    <x v="2"/>
    <x v="7"/>
    <x v="2"/>
    <x v="2"/>
    <x v="9"/>
    <n v="75.22"/>
    <n v="25.9"/>
    <n v="55.74"/>
    <d v="2025-08-06T00:00:00"/>
    <n v="31"/>
    <n v="1.9"/>
    <b v="1"/>
    <s v="Color Mismatch"/>
    <n v="27"/>
  </r>
  <r>
    <s v="FB001009"/>
    <x v="4"/>
    <x v="6"/>
    <x v="2"/>
    <x v="5"/>
    <x v="2"/>
    <n v="46.65"/>
    <n v="24.2"/>
    <n v="35.36"/>
    <d v="2025-08-06T00:00:00"/>
    <n v="8"/>
    <n v="3.2"/>
    <b v="0"/>
    <m/>
    <n v="27"/>
  </r>
  <r>
    <s v="FB001010"/>
    <x v="5"/>
    <x v="3"/>
    <x v="2"/>
    <x v="4"/>
    <x v="1"/>
    <n v="108.19"/>
    <n v="0"/>
    <n v="108.19"/>
    <d v="2025-08-06T00:00:00"/>
    <n v="21"/>
    <n v="2.8372093023255811"/>
    <b v="0"/>
    <m/>
    <n v="27"/>
  </r>
  <r>
    <s v="FB001011"/>
    <x v="5"/>
    <x v="0"/>
    <x v="0"/>
    <x v="1"/>
    <x v="0"/>
    <n v="62.82"/>
    <n v="0"/>
    <n v="62.82"/>
    <d v="2024-10-08T00:00:00"/>
    <n v="36"/>
    <n v="2.1"/>
    <b v="0"/>
    <m/>
    <n v="329"/>
  </r>
  <r>
    <s v="FB001012"/>
    <x v="1"/>
    <x v="0"/>
    <x v="3"/>
    <x v="3"/>
    <x v="1"/>
    <n v="57.32"/>
    <n v="57.4"/>
    <n v="24.42"/>
    <d v="2025-08-06T00:00:00"/>
    <n v="46"/>
    <n v="3.1"/>
    <b v="0"/>
    <m/>
    <n v="27"/>
  </r>
  <r>
    <s v="FB001013"/>
    <x v="0"/>
    <x v="4"/>
    <x v="1"/>
    <x v="4"/>
    <x v="6"/>
    <n v="153.59"/>
    <n v="0"/>
    <n v="153.59"/>
    <d v="2025-08-06T00:00:00"/>
    <n v="31"/>
    <n v="2.9"/>
    <b v="1"/>
    <s v="Damaged"/>
    <n v="27"/>
  </r>
  <r>
    <s v="FB001014"/>
    <x v="3"/>
    <x v="3"/>
    <x v="1"/>
    <x v="0"/>
    <x v="9"/>
    <n v="101.14"/>
    <n v="0"/>
    <n v="101.14"/>
    <d v="2025-08-06T00:00:00"/>
    <n v="43"/>
    <n v="2.8"/>
    <b v="0"/>
    <m/>
    <n v="27"/>
  </r>
  <r>
    <s v="FB001015"/>
    <x v="4"/>
    <x v="5"/>
    <x v="0"/>
    <x v="4"/>
    <x v="10"/>
    <n v="43.89"/>
    <n v="15.6"/>
    <n v="37.04"/>
    <d v="2025-04-30T00:00:00"/>
    <n v="31"/>
    <n v="1.7"/>
    <b v="1"/>
    <s v="Wrong Item"/>
    <n v="125"/>
  </r>
  <r>
    <s v="FB001016"/>
    <x v="0"/>
    <x v="0"/>
    <x v="1"/>
    <x v="3"/>
    <x v="4"/>
    <n v="130.16"/>
    <n v="47.5"/>
    <n v="68.33"/>
    <d v="2025-08-06T00:00:00"/>
    <n v="21"/>
    <n v="2.7030303030303036"/>
    <b v="0"/>
    <m/>
    <n v="27"/>
  </r>
  <r>
    <s v="FB001017"/>
    <x v="5"/>
    <x v="6"/>
    <x v="1"/>
    <x v="1"/>
    <x v="2"/>
    <n v="153.12"/>
    <n v="0"/>
    <n v="153.12"/>
    <d v="2025-08-06T00:00:00"/>
    <n v="27"/>
    <n v="3.3"/>
    <b v="0"/>
    <m/>
    <n v="27"/>
  </r>
  <r>
    <s v="FB001018"/>
    <x v="1"/>
    <x v="7"/>
    <x v="3"/>
    <x v="4"/>
    <x v="5"/>
    <n v="37.119999999999997"/>
    <n v="12.1"/>
    <n v="32.630000000000003"/>
    <d v="2025-08-06T00:00:00"/>
    <n v="43"/>
    <n v="3.2"/>
    <b v="0"/>
    <m/>
    <n v="27"/>
  </r>
  <r>
    <s v="FB001019"/>
    <x v="1"/>
    <x v="3"/>
    <x v="3"/>
    <x v="4"/>
    <x v="9"/>
    <n v="41.05"/>
    <n v="0"/>
    <n v="41.05"/>
    <d v="2025-08-06T00:00:00"/>
    <n v="24"/>
    <n v="2.9742857142857138"/>
    <b v="0"/>
    <m/>
    <n v="27"/>
  </r>
  <r>
    <s v="FB001020"/>
    <x v="3"/>
    <x v="7"/>
    <x v="2"/>
    <x v="6"/>
    <x v="8"/>
    <n v="61.04"/>
    <n v="0"/>
    <n v="61.04"/>
    <d v="2025-08-06T00:00:00"/>
    <n v="43"/>
    <n v="1.9"/>
    <b v="0"/>
    <m/>
    <n v="27"/>
  </r>
  <r>
    <s v="FB001021"/>
    <x v="1"/>
    <x v="5"/>
    <x v="3"/>
    <x v="3"/>
    <x v="2"/>
    <n v="97.17"/>
    <n v="0"/>
    <n v="97.17"/>
    <d v="2025-08-06T00:00:00"/>
    <n v="35"/>
    <n v="3"/>
    <b v="0"/>
    <m/>
    <n v="27"/>
  </r>
  <r>
    <s v="FB001022"/>
    <x v="2"/>
    <x v="1"/>
    <x v="3"/>
    <x v="2"/>
    <x v="0"/>
    <n v="63.45"/>
    <n v="0"/>
    <n v="63.45"/>
    <d v="2025-08-06T00:00:00"/>
    <n v="4"/>
    <n v="3.9"/>
    <b v="0"/>
    <m/>
    <n v="27"/>
  </r>
  <r>
    <s v="FB001023"/>
    <x v="1"/>
    <x v="3"/>
    <x v="2"/>
    <x v="2"/>
    <x v="4"/>
    <n v="117.39"/>
    <n v="0"/>
    <n v="117.39"/>
    <d v="2025-08-06T00:00:00"/>
    <n v="14"/>
    <n v="3.2"/>
    <b v="0"/>
    <m/>
    <n v="27"/>
  </r>
  <r>
    <s v="FB001024"/>
    <x v="1"/>
    <x v="2"/>
    <x v="0"/>
    <x v="3"/>
    <x v="10"/>
    <n v="32.89"/>
    <n v="0"/>
    <n v="32.89"/>
    <d v="2025-07-08T00:00:00"/>
    <n v="6"/>
    <n v="4.5999999999999996"/>
    <b v="0"/>
    <m/>
    <n v="56"/>
  </r>
  <r>
    <s v="FB001025"/>
    <x v="4"/>
    <x v="5"/>
    <x v="0"/>
    <x v="1"/>
    <x v="5"/>
    <n v="102.6"/>
    <n v="38.6"/>
    <n v="63"/>
    <d v="2025-05-10T00:00:00"/>
    <n v="14"/>
    <n v="4"/>
    <b v="0"/>
    <m/>
    <n v="115"/>
  </r>
  <r>
    <s v="FB001026"/>
    <x v="3"/>
    <x v="6"/>
    <x v="0"/>
    <x v="4"/>
    <x v="8"/>
    <n v="155.91999999999999"/>
    <n v="32.200000000000003"/>
    <n v="105.71"/>
    <d v="2024-10-02T00:00:00"/>
    <n v="5"/>
    <n v="2"/>
    <b v="0"/>
    <m/>
    <n v="335"/>
  </r>
  <r>
    <s v="FB001027"/>
    <x v="0"/>
    <x v="6"/>
    <x v="2"/>
    <x v="1"/>
    <x v="9"/>
    <n v="178.39"/>
    <n v="0"/>
    <n v="178.39"/>
    <d v="2025-08-06T00:00:00"/>
    <n v="29"/>
    <n v="4.2"/>
    <b v="0"/>
    <m/>
    <n v="27"/>
  </r>
  <r>
    <s v="FB001028"/>
    <x v="0"/>
    <x v="4"/>
    <x v="0"/>
    <x v="0"/>
    <x v="4"/>
    <n v="151.1"/>
    <n v="0"/>
    <n v="151.1"/>
    <d v="2025-03-22T00:00:00"/>
    <n v="24"/>
    <n v="2.4"/>
    <b v="0"/>
    <m/>
    <n v="164"/>
  </r>
  <r>
    <s v="FB001029"/>
    <x v="1"/>
    <x v="7"/>
    <x v="3"/>
    <x v="4"/>
    <x v="7"/>
    <n v="91.03"/>
    <n v="55.4"/>
    <n v="40.6"/>
    <d v="2025-08-06T00:00:00"/>
    <n v="2"/>
    <n v="2.5"/>
    <b v="0"/>
    <m/>
    <n v="27"/>
  </r>
  <r>
    <s v="FB001030"/>
    <x v="1"/>
    <x v="4"/>
    <x v="2"/>
    <x v="6"/>
    <x v="4"/>
    <n v="89.03"/>
    <n v="41.3"/>
    <n v="52.26"/>
    <d v="2025-08-06T00:00:00"/>
    <n v="50"/>
    <n v="2.9657142857142857"/>
    <b v="0"/>
    <m/>
    <n v="27"/>
  </r>
  <r>
    <s v="FB001031"/>
    <x v="5"/>
    <x v="5"/>
    <x v="3"/>
    <x v="3"/>
    <x v="6"/>
    <n v="147.58000000000001"/>
    <n v="0"/>
    <n v="147.58000000000001"/>
    <d v="2025-08-06T00:00:00"/>
    <n v="10"/>
    <n v="4.3"/>
    <b v="0"/>
    <m/>
    <n v="27"/>
  </r>
  <r>
    <s v="FB001032"/>
    <x v="5"/>
    <x v="2"/>
    <x v="3"/>
    <x v="0"/>
    <x v="5"/>
    <n v="79.98"/>
    <n v="0"/>
    <n v="79.98"/>
    <d v="2025-08-06T00:00:00"/>
    <n v="25"/>
    <n v="1.5"/>
    <b v="0"/>
    <m/>
    <n v="27"/>
  </r>
  <r>
    <s v="FB001033"/>
    <x v="5"/>
    <x v="4"/>
    <x v="2"/>
    <x v="5"/>
    <x v="7"/>
    <n v="86.38"/>
    <n v="0"/>
    <n v="86.38"/>
    <d v="2025-08-06T00:00:00"/>
    <n v="40"/>
    <n v="2.7"/>
    <b v="0"/>
    <m/>
    <n v="27"/>
  </r>
  <r>
    <s v="FB001034"/>
    <x v="1"/>
    <x v="2"/>
    <x v="3"/>
    <x v="4"/>
    <x v="10"/>
    <n v="47.29"/>
    <n v="40.4"/>
    <n v="28.18"/>
    <d v="2025-08-06T00:00:00"/>
    <n v="26"/>
    <n v="4.4000000000000004"/>
    <b v="0"/>
    <m/>
    <n v="27"/>
  </r>
  <r>
    <s v="FB001035"/>
    <x v="0"/>
    <x v="7"/>
    <x v="0"/>
    <x v="1"/>
    <x v="8"/>
    <n v="196.54"/>
    <n v="22.6"/>
    <n v="152.12"/>
    <d v="2025-05-12T00:00:00"/>
    <n v="33"/>
    <n v="1.4"/>
    <b v="0"/>
    <m/>
    <n v="113"/>
  </r>
  <r>
    <s v="FB001036"/>
    <x v="1"/>
    <x v="0"/>
    <x v="0"/>
    <x v="4"/>
    <x v="4"/>
    <n v="72.72"/>
    <n v="0"/>
    <n v="72.72"/>
    <d v="2025-01-31T00:00:00"/>
    <n v="23"/>
    <n v="1.6"/>
    <b v="0"/>
    <m/>
    <n v="214"/>
  </r>
  <r>
    <s v="FB001037"/>
    <x v="1"/>
    <x v="6"/>
    <x v="3"/>
    <x v="4"/>
    <x v="7"/>
    <n v="115.5"/>
    <n v="0"/>
    <n v="115.5"/>
    <d v="2025-08-06T00:00:00"/>
    <n v="36"/>
    <n v="2.9074999999999998"/>
    <b v="1"/>
    <s v="Quality Issue"/>
    <n v="27"/>
  </r>
  <r>
    <s v="FB001038"/>
    <x v="2"/>
    <x v="4"/>
    <x v="3"/>
    <x v="2"/>
    <x v="4"/>
    <n v="68.22"/>
    <n v="8.1"/>
    <n v="62.69"/>
    <d v="2025-08-06T00:00:00"/>
    <n v="28"/>
    <n v="4"/>
    <b v="0"/>
    <m/>
    <n v="27"/>
  </r>
  <r>
    <s v="FB001039"/>
    <x v="1"/>
    <x v="3"/>
    <x v="2"/>
    <x v="4"/>
    <x v="2"/>
    <n v="91.03"/>
    <n v="0"/>
    <n v="91.03"/>
    <d v="2025-08-06T00:00:00"/>
    <n v="20"/>
    <n v="2.1"/>
    <b v="0"/>
    <m/>
    <n v="27"/>
  </r>
  <r>
    <s v="FB001040"/>
    <x v="0"/>
    <x v="7"/>
    <x v="2"/>
    <x v="4"/>
    <x v="9"/>
    <n v="100.39"/>
    <n v="16.5"/>
    <n v="83.83"/>
    <d v="2025-08-06T00:00:00"/>
    <n v="17"/>
    <n v="4.5999999999999996"/>
    <b v="0"/>
    <m/>
    <n v="27"/>
  </r>
  <r>
    <s v="FB001041"/>
    <x v="1"/>
    <x v="6"/>
    <x v="2"/>
    <x v="5"/>
    <x v="8"/>
    <n v="100.03"/>
    <n v="0"/>
    <n v="100.03"/>
    <d v="2025-08-06T00:00:00"/>
    <n v="39"/>
    <n v="1.2"/>
    <b v="0"/>
    <m/>
    <n v="27"/>
  </r>
  <r>
    <s v="FB001042"/>
    <x v="2"/>
    <x v="6"/>
    <x v="0"/>
    <x v="2"/>
    <x v="3"/>
    <n v="50.14"/>
    <n v="29.2"/>
    <n v="35.5"/>
    <d v="2025-02-04T00:00:00"/>
    <n v="33"/>
    <n v="4.4000000000000004"/>
    <b v="0"/>
    <m/>
    <n v="210"/>
  </r>
  <r>
    <s v="FB001043"/>
    <x v="4"/>
    <x v="0"/>
    <x v="3"/>
    <x v="0"/>
    <x v="2"/>
    <n v="33.130000000000003"/>
    <n v="0"/>
    <n v="33.130000000000003"/>
    <d v="2025-08-06T00:00:00"/>
    <n v="41"/>
    <n v="3.3"/>
    <b v="0"/>
    <m/>
    <n v="27"/>
  </r>
  <r>
    <s v="FB001044"/>
    <x v="2"/>
    <x v="4"/>
    <x v="0"/>
    <x v="2"/>
    <x v="8"/>
    <n v="67.67"/>
    <n v="0"/>
    <n v="67.67"/>
    <d v="2024-09-25T00:00:00"/>
    <n v="7"/>
    <n v="3.3"/>
    <b v="0"/>
    <m/>
    <n v="342"/>
  </r>
  <r>
    <s v="FB001045"/>
    <x v="4"/>
    <x v="2"/>
    <x v="3"/>
    <x v="3"/>
    <x v="2"/>
    <n v="93.94"/>
    <n v="56.3"/>
    <n v="41.05"/>
    <d v="2025-08-06T00:00:00"/>
    <n v="36"/>
    <n v="1.1000000000000001"/>
    <b v="0"/>
    <m/>
    <n v="27"/>
  </r>
  <r>
    <s v="FB001046"/>
    <x v="1"/>
    <x v="2"/>
    <x v="2"/>
    <x v="5"/>
    <x v="2"/>
    <n v="34.56"/>
    <n v="11.2"/>
    <n v="30.69"/>
    <d v="2025-08-06T00:00:00"/>
    <n v="46"/>
    <n v="3.4"/>
    <b v="0"/>
    <m/>
    <n v="27"/>
  </r>
  <r>
    <s v="FB001047"/>
    <x v="0"/>
    <x v="5"/>
    <x v="3"/>
    <x v="6"/>
    <x v="2"/>
    <n v="235.33"/>
    <n v="0"/>
    <n v="235.33"/>
    <d v="2025-08-06T00:00:00"/>
    <n v="11"/>
    <n v="4.7"/>
    <b v="1"/>
    <s v="Size Issue"/>
    <n v="27"/>
  </r>
  <r>
    <s v="FB001048"/>
    <x v="1"/>
    <x v="1"/>
    <x v="0"/>
    <x v="5"/>
    <x v="0"/>
    <n v="25.45"/>
    <n v="0"/>
    <n v="25.45"/>
    <d v="2024-08-10T00:00:00"/>
    <n v="29"/>
    <n v="3.7"/>
    <b v="0"/>
    <m/>
    <n v="388"/>
  </r>
  <r>
    <s v="FB001049"/>
    <x v="1"/>
    <x v="6"/>
    <x v="1"/>
    <x v="0"/>
    <x v="4"/>
    <n v="71.44"/>
    <n v="0"/>
    <n v="71.44"/>
    <d v="2025-08-06T00:00:00"/>
    <n v="18"/>
    <n v="4.3"/>
    <b v="0"/>
    <m/>
    <n v="27"/>
  </r>
  <r>
    <s v="FB001050"/>
    <x v="5"/>
    <x v="2"/>
    <x v="3"/>
    <x v="0"/>
    <x v="3"/>
    <n v="98.33"/>
    <n v="0"/>
    <n v="98.33"/>
    <d v="2025-08-06T00:00:00"/>
    <n v="46"/>
    <n v="3.7"/>
    <b v="0"/>
    <m/>
    <n v="27"/>
  </r>
  <r>
    <s v="FB001051"/>
    <x v="5"/>
    <x v="7"/>
    <x v="0"/>
    <x v="3"/>
    <x v="5"/>
    <n v="171.1"/>
    <n v="0"/>
    <n v="171.1"/>
    <d v="2025-07-23T00:00:00"/>
    <n v="34"/>
    <n v="2.9636363636363638"/>
    <b v="0"/>
    <m/>
    <n v="41"/>
  </r>
  <r>
    <s v="FB001052"/>
    <x v="5"/>
    <x v="7"/>
    <x v="1"/>
    <x v="5"/>
    <x v="3"/>
    <n v="155.57"/>
    <n v="0"/>
    <n v="155.57"/>
    <d v="2025-08-06T00:00:00"/>
    <n v="48"/>
    <n v="3.8"/>
    <b v="0"/>
    <m/>
    <n v="27"/>
  </r>
  <r>
    <s v="FB001053"/>
    <x v="0"/>
    <x v="3"/>
    <x v="2"/>
    <x v="1"/>
    <x v="6"/>
    <n v="198.44"/>
    <n v="0"/>
    <n v="198.44"/>
    <d v="2025-08-06T00:00:00"/>
    <n v="40"/>
    <n v="2.2000000000000002"/>
    <b v="0"/>
    <m/>
    <n v="27"/>
  </r>
  <r>
    <s v="FB001054"/>
    <x v="3"/>
    <x v="5"/>
    <x v="0"/>
    <x v="6"/>
    <x v="2"/>
    <n v="175.85"/>
    <n v="18.100000000000001"/>
    <n v="144.02000000000001"/>
    <d v="2025-01-29T00:00:00"/>
    <n v="4"/>
    <n v="4"/>
    <b v="0"/>
    <m/>
    <n v="216"/>
  </r>
  <r>
    <s v="FB001055"/>
    <x v="0"/>
    <x v="7"/>
    <x v="3"/>
    <x v="6"/>
    <x v="1"/>
    <n v="100.23"/>
    <n v="0"/>
    <n v="100.23"/>
    <d v="2025-08-06T00:00:00"/>
    <n v="12"/>
    <n v="3.5"/>
    <b v="0"/>
    <m/>
    <n v="27"/>
  </r>
  <r>
    <s v="FB001056"/>
    <x v="0"/>
    <x v="0"/>
    <x v="1"/>
    <x v="4"/>
    <x v="7"/>
    <n v="88.94"/>
    <n v="0"/>
    <n v="88.94"/>
    <d v="2025-08-06T00:00:00"/>
    <n v="36"/>
    <n v="2.7030303030303036"/>
    <b v="0"/>
    <m/>
    <n v="27"/>
  </r>
  <r>
    <s v="FB001057"/>
    <x v="0"/>
    <x v="4"/>
    <x v="2"/>
    <x v="4"/>
    <x v="8"/>
    <n v="205.91"/>
    <n v="0"/>
    <n v="205.91"/>
    <d v="2025-08-06T00:00:00"/>
    <n v="3"/>
    <n v="4.8"/>
    <b v="0"/>
    <m/>
    <n v="27"/>
  </r>
  <r>
    <s v="FB001058"/>
    <x v="2"/>
    <x v="1"/>
    <x v="2"/>
    <x v="2"/>
    <x v="1"/>
    <n v="29.06"/>
    <n v="1.1000000000000001"/>
    <n v="28.74"/>
    <d v="2025-08-06T00:00:00"/>
    <n v="12"/>
    <n v="1.1000000000000001"/>
    <b v="1"/>
    <s v="Color Mismatch"/>
    <n v="27"/>
  </r>
  <r>
    <s v="FB001059"/>
    <x v="2"/>
    <x v="6"/>
    <x v="3"/>
    <x v="2"/>
    <x v="10"/>
    <n v="68.56"/>
    <n v="0"/>
    <n v="68.56"/>
    <d v="2025-08-06T00:00:00"/>
    <n v="2"/>
    <n v="2.4"/>
    <b v="0"/>
    <m/>
    <n v="27"/>
  </r>
  <r>
    <s v="FB001060"/>
    <x v="1"/>
    <x v="7"/>
    <x v="3"/>
    <x v="1"/>
    <x v="9"/>
    <n v="91.6"/>
    <n v="59.5"/>
    <n v="37.1"/>
    <d v="2025-08-06T00:00:00"/>
    <n v="2"/>
    <n v="4.3"/>
    <b v="0"/>
    <m/>
    <n v="27"/>
  </r>
  <r>
    <s v="FB001061"/>
    <x v="5"/>
    <x v="4"/>
    <x v="3"/>
    <x v="5"/>
    <x v="2"/>
    <n v="96.57"/>
    <n v="0"/>
    <n v="96.57"/>
    <d v="2025-08-06T00:00:00"/>
    <n v="6"/>
    <n v="1.9"/>
    <b v="0"/>
    <m/>
    <n v="27"/>
  </r>
  <r>
    <s v="FB001062"/>
    <x v="4"/>
    <x v="4"/>
    <x v="1"/>
    <x v="3"/>
    <x v="1"/>
    <n v="35.630000000000003"/>
    <n v="57.9"/>
    <n v="15"/>
    <d v="2025-08-06T00:00:00"/>
    <n v="11"/>
    <n v="1.8"/>
    <b v="0"/>
    <m/>
    <n v="27"/>
  </r>
  <r>
    <s v="FB001063"/>
    <x v="3"/>
    <x v="1"/>
    <x v="1"/>
    <x v="5"/>
    <x v="6"/>
    <n v="118.98"/>
    <n v="38.1"/>
    <n v="73.650000000000006"/>
    <d v="2025-08-06T00:00:00"/>
    <n v="36"/>
    <n v="1.1000000000000001"/>
    <b v="1"/>
    <s v="Color Mismatch"/>
    <n v="27"/>
  </r>
  <r>
    <s v="FB001064"/>
    <x v="3"/>
    <x v="4"/>
    <x v="0"/>
    <x v="0"/>
    <x v="0"/>
    <n v="62.62"/>
    <n v="10.1"/>
    <n v="56.3"/>
    <d v="2025-04-15T00:00:00"/>
    <n v="32"/>
    <n v="2.9"/>
    <b v="0"/>
    <m/>
    <n v="140"/>
  </r>
  <r>
    <s v="FB001065"/>
    <x v="3"/>
    <x v="7"/>
    <x v="3"/>
    <x v="6"/>
    <x v="10"/>
    <n v="153.34"/>
    <n v="55.5"/>
    <n v="68.239999999999995"/>
    <d v="2025-08-06T00:00:00"/>
    <n v="46"/>
    <n v="4.2"/>
    <b v="1"/>
    <s v="Wrong Item"/>
    <n v="27"/>
  </r>
  <r>
    <s v="FB001066"/>
    <x v="1"/>
    <x v="5"/>
    <x v="3"/>
    <x v="1"/>
    <x v="6"/>
    <n v="71.66"/>
    <n v="49.7"/>
    <n v="36.04"/>
    <d v="2025-08-06T00:00:00"/>
    <n v="33"/>
    <n v="2.9846153846153847"/>
    <b v="1"/>
    <s v="Color Mismatch"/>
    <n v="27"/>
  </r>
  <r>
    <s v="FB001067"/>
    <x v="5"/>
    <x v="5"/>
    <x v="0"/>
    <x v="3"/>
    <x v="2"/>
    <n v="107.58"/>
    <n v="55.9"/>
    <n v="47.44"/>
    <d v="2025-02-15T00:00:00"/>
    <n v="19"/>
    <n v="4.4000000000000004"/>
    <b v="0"/>
    <m/>
    <n v="199"/>
  </r>
  <r>
    <s v="FB001068"/>
    <x v="3"/>
    <x v="0"/>
    <x v="0"/>
    <x v="0"/>
    <x v="5"/>
    <n v="137.16"/>
    <n v="0"/>
    <n v="137.16"/>
    <d v="2025-04-02T00:00:00"/>
    <n v="34"/>
    <n v="4"/>
    <b v="0"/>
    <m/>
    <n v="153"/>
  </r>
  <r>
    <s v="FB001069"/>
    <x v="1"/>
    <x v="2"/>
    <x v="1"/>
    <x v="6"/>
    <x v="3"/>
    <n v="119.29"/>
    <n v="0"/>
    <n v="119.29"/>
    <d v="2025-08-06T00:00:00"/>
    <n v="3"/>
    <n v="2.953125"/>
    <b v="0"/>
    <m/>
    <n v="27"/>
  </r>
  <r>
    <s v="FB001070"/>
    <x v="1"/>
    <x v="3"/>
    <x v="0"/>
    <x v="6"/>
    <x v="8"/>
    <n v="104.09"/>
    <n v="0"/>
    <n v="104.09"/>
    <d v="2024-12-21T00:00:00"/>
    <n v="29"/>
    <n v="2.9742857142857138"/>
    <b v="0"/>
    <m/>
    <n v="255"/>
  </r>
  <r>
    <s v="FB001071"/>
    <x v="5"/>
    <x v="2"/>
    <x v="2"/>
    <x v="2"/>
    <x v="1"/>
    <n v="73.069999999999993"/>
    <n v="0"/>
    <n v="73.069999999999993"/>
    <d v="2025-08-06T00:00:00"/>
    <n v="5"/>
    <n v="4.2"/>
    <b v="0"/>
    <m/>
    <n v="27"/>
  </r>
  <r>
    <s v="FB001072"/>
    <x v="4"/>
    <x v="0"/>
    <x v="2"/>
    <x v="4"/>
    <x v="6"/>
    <n v="76.94"/>
    <n v="7.6"/>
    <n v="71.09"/>
    <d v="2025-08-06T00:00:00"/>
    <n v="20"/>
    <n v="3.7"/>
    <b v="0"/>
    <m/>
    <n v="27"/>
  </r>
  <r>
    <s v="FB001073"/>
    <x v="4"/>
    <x v="7"/>
    <x v="1"/>
    <x v="0"/>
    <x v="7"/>
    <n v="119.92"/>
    <n v="0"/>
    <n v="119.92"/>
    <d v="2025-08-06T00:00:00"/>
    <n v="37"/>
    <n v="5"/>
    <b v="0"/>
    <m/>
    <n v="27"/>
  </r>
  <r>
    <s v="FB001074"/>
    <x v="0"/>
    <x v="5"/>
    <x v="1"/>
    <x v="5"/>
    <x v="3"/>
    <n v="116.49"/>
    <n v="0"/>
    <n v="116.49"/>
    <d v="2025-08-06T00:00:00"/>
    <n v="17"/>
    <n v="3.3"/>
    <b v="1"/>
    <s v="Damaged"/>
    <n v="27"/>
  </r>
  <r>
    <s v="FB001075"/>
    <x v="3"/>
    <x v="6"/>
    <x v="2"/>
    <x v="0"/>
    <x v="1"/>
    <n v="179.59"/>
    <n v="14.7"/>
    <n v="153.19"/>
    <d v="2025-08-06T00:00:00"/>
    <n v="47"/>
    <n v="2.9"/>
    <b v="0"/>
    <m/>
    <n v="27"/>
  </r>
  <r>
    <s v="FB001076"/>
    <x v="2"/>
    <x v="1"/>
    <x v="1"/>
    <x v="2"/>
    <x v="2"/>
    <n v="33.799999999999997"/>
    <n v="0"/>
    <n v="33.799999999999997"/>
    <d v="2025-08-06T00:00:00"/>
    <n v="34"/>
    <n v="4.8"/>
    <b v="0"/>
    <m/>
    <n v="27"/>
  </r>
  <r>
    <s v="FB001077"/>
    <x v="1"/>
    <x v="1"/>
    <x v="2"/>
    <x v="1"/>
    <x v="7"/>
    <n v="41.57"/>
    <n v="3.3"/>
    <n v="40.200000000000003"/>
    <d v="2025-08-06T00:00:00"/>
    <n v="5"/>
    <n v="2.9"/>
    <b v="0"/>
    <m/>
    <n v="27"/>
  </r>
  <r>
    <s v="FB001078"/>
    <x v="3"/>
    <x v="7"/>
    <x v="0"/>
    <x v="0"/>
    <x v="9"/>
    <n v="139.1"/>
    <n v="47"/>
    <n v="73.72"/>
    <d v="2025-01-04T00:00:00"/>
    <n v="6"/>
    <n v="3.4"/>
    <b v="0"/>
    <m/>
    <n v="241"/>
  </r>
  <r>
    <s v="FB001079"/>
    <x v="5"/>
    <x v="3"/>
    <x v="2"/>
    <x v="1"/>
    <x v="1"/>
    <n v="102.04"/>
    <n v="0"/>
    <n v="102.04"/>
    <d v="2025-08-06T00:00:00"/>
    <n v="34"/>
    <n v="3.4"/>
    <b v="0"/>
    <m/>
    <n v="27"/>
  </r>
  <r>
    <s v="FB001080"/>
    <x v="4"/>
    <x v="6"/>
    <x v="2"/>
    <x v="4"/>
    <x v="8"/>
    <n v="47.25"/>
    <n v="54.2"/>
    <n v="21.64"/>
    <d v="2025-08-06T00:00:00"/>
    <n v="4"/>
    <n v="4.9000000000000004"/>
    <b v="0"/>
    <m/>
    <n v="27"/>
  </r>
  <r>
    <s v="FB001081"/>
    <x v="5"/>
    <x v="1"/>
    <x v="3"/>
    <x v="5"/>
    <x v="3"/>
    <n v="55.08"/>
    <n v="0"/>
    <n v="55.08"/>
    <d v="2025-08-06T00:00:00"/>
    <n v="48"/>
    <n v="4.0999999999999996"/>
    <b v="0"/>
    <m/>
    <n v="27"/>
  </r>
  <r>
    <s v="FB001082"/>
    <x v="0"/>
    <x v="7"/>
    <x v="1"/>
    <x v="1"/>
    <x v="6"/>
    <n v="88.32"/>
    <n v="54.8"/>
    <n v="39.92"/>
    <d v="2025-08-06T00:00:00"/>
    <n v="36"/>
    <n v="3.1"/>
    <b v="0"/>
    <m/>
    <n v="27"/>
  </r>
  <r>
    <s v="FB001083"/>
    <x v="4"/>
    <x v="3"/>
    <x v="2"/>
    <x v="6"/>
    <x v="0"/>
    <n v="74.900000000000006"/>
    <n v="16.8"/>
    <n v="62.32"/>
    <d v="2025-08-06T00:00:00"/>
    <n v="13"/>
    <n v="2.8142857142857149"/>
    <b v="1"/>
    <s v="Color Mismatch"/>
    <n v="27"/>
  </r>
  <r>
    <s v="FB001084"/>
    <x v="4"/>
    <x v="3"/>
    <x v="1"/>
    <x v="6"/>
    <x v="3"/>
    <n v="69.88"/>
    <n v="57.4"/>
    <n v="29.77"/>
    <d v="2025-08-06T00:00:00"/>
    <n v="30"/>
    <n v="4.2"/>
    <b v="0"/>
    <m/>
    <n v="27"/>
  </r>
  <r>
    <s v="FB001085"/>
    <x v="3"/>
    <x v="1"/>
    <x v="2"/>
    <x v="3"/>
    <x v="4"/>
    <n v="142.83000000000001"/>
    <n v="0"/>
    <n v="142.83000000000001"/>
    <d v="2025-08-06T00:00:00"/>
    <n v="25"/>
    <n v="3.5"/>
    <b v="0"/>
    <m/>
    <n v="27"/>
  </r>
  <r>
    <s v="FB001086"/>
    <x v="3"/>
    <x v="0"/>
    <x v="2"/>
    <x v="2"/>
    <x v="9"/>
    <n v="140.16999999999999"/>
    <n v="0"/>
    <n v="140.16999999999999"/>
    <d v="2025-08-06T00:00:00"/>
    <n v="43"/>
    <n v="3.1"/>
    <b v="0"/>
    <m/>
    <n v="27"/>
  </r>
  <r>
    <s v="FB001087"/>
    <x v="1"/>
    <x v="6"/>
    <x v="1"/>
    <x v="6"/>
    <x v="10"/>
    <n v="106.11"/>
    <n v="33.799999999999997"/>
    <n v="70.239999999999995"/>
    <d v="2025-08-06T00:00:00"/>
    <n v="15"/>
    <n v="4.5"/>
    <b v="0"/>
    <m/>
    <n v="27"/>
  </r>
  <r>
    <s v="FB001088"/>
    <x v="5"/>
    <x v="4"/>
    <x v="3"/>
    <x v="5"/>
    <x v="1"/>
    <n v="53.23"/>
    <n v="0"/>
    <n v="53.23"/>
    <d v="2025-08-06T00:00:00"/>
    <n v="41"/>
    <n v="2.8"/>
    <b v="1"/>
    <s v="Color Mismatch"/>
    <n v="27"/>
  </r>
  <r>
    <s v="FB001089"/>
    <x v="0"/>
    <x v="2"/>
    <x v="0"/>
    <x v="4"/>
    <x v="2"/>
    <n v="92.25"/>
    <n v="0"/>
    <n v="92.25"/>
    <d v="2025-05-28T00:00:00"/>
    <n v="22"/>
    <n v="3.3"/>
    <b v="1"/>
    <s v="Wrong Item"/>
    <n v="97"/>
  </r>
  <r>
    <s v="FB001090"/>
    <x v="2"/>
    <x v="5"/>
    <x v="3"/>
    <x v="2"/>
    <x v="10"/>
    <n v="39.17"/>
    <n v="0"/>
    <n v="39.17"/>
    <d v="2025-08-06T00:00:00"/>
    <n v="4"/>
    <n v="3.5"/>
    <b v="1"/>
    <s v="Color Mismatch"/>
    <n v="27"/>
  </r>
  <r>
    <s v="FB001091"/>
    <x v="2"/>
    <x v="6"/>
    <x v="0"/>
    <x v="2"/>
    <x v="3"/>
    <n v="72.83"/>
    <n v="0"/>
    <n v="72.83"/>
    <d v="2024-11-26T00:00:00"/>
    <n v="6"/>
    <n v="2"/>
    <b v="0"/>
    <m/>
    <n v="280"/>
  </r>
  <r>
    <s v="FB001092"/>
    <x v="4"/>
    <x v="7"/>
    <x v="1"/>
    <x v="3"/>
    <x v="10"/>
    <n v="29.73"/>
    <n v="28.7"/>
    <n v="21.2"/>
    <d v="2025-08-06T00:00:00"/>
    <n v="37"/>
    <n v="2.5"/>
    <b v="0"/>
    <m/>
    <n v="27"/>
  </r>
  <r>
    <s v="FB001093"/>
    <x v="5"/>
    <x v="3"/>
    <x v="1"/>
    <x v="0"/>
    <x v="2"/>
    <n v="144.1"/>
    <n v="0"/>
    <n v="144.1"/>
    <d v="2025-08-06T00:00:00"/>
    <n v="36"/>
    <n v="2.5"/>
    <b v="0"/>
    <m/>
    <n v="27"/>
  </r>
  <r>
    <s v="FB001094"/>
    <x v="5"/>
    <x v="4"/>
    <x v="3"/>
    <x v="0"/>
    <x v="10"/>
    <n v="109.23"/>
    <n v="10.8"/>
    <n v="97.43"/>
    <d v="2025-08-06T00:00:00"/>
    <n v="38"/>
    <n v="3.3"/>
    <b v="0"/>
    <m/>
    <n v="27"/>
  </r>
  <r>
    <s v="FB001095"/>
    <x v="0"/>
    <x v="3"/>
    <x v="1"/>
    <x v="0"/>
    <x v="1"/>
    <n v="180.65"/>
    <n v="17.5"/>
    <n v="149.04"/>
    <d v="2025-08-06T00:00:00"/>
    <n v="41"/>
    <n v="1.4"/>
    <b v="0"/>
    <m/>
    <n v="27"/>
  </r>
  <r>
    <s v="FB001096"/>
    <x v="0"/>
    <x v="2"/>
    <x v="0"/>
    <x v="6"/>
    <x v="6"/>
    <n v="129.24"/>
    <n v="46.2"/>
    <n v="69.53"/>
    <d v="2025-03-27T00:00:00"/>
    <n v="28"/>
    <n v="3.2"/>
    <b v="0"/>
    <m/>
    <n v="159"/>
  </r>
  <r>
    <s v="FB001097"/>
    <x v="3"/>
    <x v="6"/>
    <x v="3"/>
    <x v="5"/>
    <x v="5"/>
    <n v="195.67"/>
    <n v="47.1"/>
    <n v="103.51"/>
    <d v="2025-08-06T00:00:00"/>
    <n v="36"/>
    <n v="4"/>
    <b v="0"/>
    <m/>
    <n v="27"/>
  </r>
  <r>
    <s v="FB001098"/>
    <x v="2"/>
    <x v="2"/>
    <x v="1"/>
    <x v="2"/>
    <x v="8"/>
    <n v="65.64"/>
    <n v="20.7"/>
    <n v="52.05"/>
    <d v="2025-08-06T00:00:00"/>
    <n v="20"/>
    <n v="2.6"/>
    <b v="0"/>
    <m/>
    <n v="27"/>
  </r>
  <r>
    <s v="FB001099"/>
    <x v="4"/>
    <x v="4"/>
    <x v="0"/>
    <x v="5"/>
    <x v="9"/>
    <n v="113.18"/>
    <n v="0"/>
    <n v="113.18"/>
    <d v="2025-04-02T00:00:00"/>
    <n v="3"/>
    <n v="4.9000000000000004"/>
    <b v="0"/>
    <m/>
    <n v="153"/>
  </r>
  <r>
    <s v="FB001100"/>
    <x v="3"/>
    <x v="5"/>
    <x v="2"/>
    <x v="0"/>
    <x v="7"/>
    <n v="173.69"/>
    <n v="0"/>
    <n v="173.69"/>
    <d v="2025-08-06T00:00:00"/>
    <n v="25"/>
    <n v="3.6"/>
    <b v="0"/>
    <m/>
    <n v="27"/>
  </r>
  <r>
    <s v="FB001101"/>
    <x v="0"/>
    <x v="0"/>
    <x v="2"/>
    <x v="3"/>
    <x v="4"/>
    <n v="156.54"/>
    <n v="0"/>
    <n v="156.54"/>
    <d v="2025-08-06T00:00:00"/>
    <n v="23"/>
    <n v="1.8"/>
    <b v="0"/>
    <m/>
    <n v="27"/>
  </r>
  <r>
    <s v="FB001102"/>
    <x v="5"/>
    <x v="4"/>
    <x v="0"/>
    <x v="0"/>
    <x v="10"/>
    <n v="103.78"/>
    <n v="39"/>
    <n v="63.31"/>
    <d v="2024-10-12T00:00:00"/>
    <n v="5"/>
    <n v="3.1051282051282048"/>
    <b v="0"/>
    <m/>
    <n v="325"/>
  </r>
  <r>
    <s v="FB001103"/>
    <x v="2"/>
    <x v="6"/>
    <x v="2"/>
    <x v="2"/>
    <x v="2"/>
    <n v="79.599999999999994"/>
    <n v="0"/>
    <n v="79.599999999999994"/>
    <d v="2025-08-06T00:00:00"/>
    <n v="22"/>
    <n v="3.2720930232558145"/>
    <b v="0"/>
    <m/>
    <n v="27"/>
  </r>
  <r>
    <s v="FB001104"/>
    <x v="2"/>
    <x v="5"/>
    <x v="2"/>
    <x v="2"/>
    <x v="7"/>
    <n v="34.18"/>
    <n v="18.899999999999999"/>
    <n v="27.72"/>
    <d v="2025-08-06T00:00:00"/>
    <n v="50"/>
    <n v="3.6"/>
    <b v="0"/>
    <m/>
    <n v="27"/>
  </r>
  <r>
    <s v="FB001105"/>
    <x v="4"/>
    <x v="6"/>
    <x v="1"/>
    <x v="4"/>
    <x v="5"/>
    <n v="58.44"/>
    <n v="0"/>
    <n v="58.44"/>
    <d v="2025-08-06T00:00:00"/>
    <n v="3"/>
    <n v="2.6"/>
    <b v="1"/>
    <s v="Wrong Item"/>
    <n v="27"/>
  </r>
  <r>
    <s v="FB001106"/>
    <x v="2"/>
    <x v="0"/>
    <x v="3"/>
    <x v="2"/>
    <x v="8"/>
    <n v="30.62"/>
    <n v="0"/>
    <n v="30.62"/>
    <d v="2025-08-06T00:00:00"/>
    <n v="31"/>
    <n v="3"/>
    <b v="1"/>
    <s v="Damaged"/>
    <n v="27"/>
  </r>
  <r>
    <s v="FB001107"/>
    <x v="0"/>
    <x v="1"/>
    <x v="2"/>
    <x v="4"/>
    <x v="9"/>
    <n v="213.94"/>
    <n v="0"/>
    <n v="213.94"/>
    <d v="2025-08-06T00:00:00"/>
    <n v="16"/>
    <n v="4.7"/>
    <b v="0"/>
    <m/>
    <n v="27"/>
  </r>
  <r>
    <s v="FB001108"/>
    <x v="4"/>
    <x v="7"/>
    <x v="2"/>
    <x v="0"/>
    <x v="1"/>
    <n v="29.31"/>
    <n v="0"/>
    <n v="29.31"/>
    <d v="2025-08-06T00:00:00"/>
    <n v="25"/>
    <n v="4.5999999999999996"/>
    <b v="1"/>
    <s v="Changed Mind"/>
    <n v="27"/>
  </r>
  <r>
    <s v="FB001109"/>
    <x v="1"/>
    <x v="7"/>
    <x v="0"/>
    <x v="6"/>
    <x v="0"/>
    <n v="49.12"/>
    <n v="0"/>
    <n v="49.12"/>
    <d v="2025-06-28T00:00:00"/>
    <n v="47"/>
    <n v="2.6870967741935483"/>
    <b v="0"/>
    <m/>
    <n v="66"/>
  </r>
  <r>
    <s v="FB001110"/>
    <x v="4"/>
    <x v="2"/>
    <x v="2"/>
    <x v="2"/>
    <x v="9"/>
    <n v="113.23"/>
    <n v="0"/>
    <n v="113.23"/>
    <d v="2025-08-06T00:00:00"/>
    <n v="13"/>
    <n v="3.7"/>
    <b v="0"/>
    <m/>
    <n v="27"/>
  </r>
  <r>
    <s v="FB001111"/>
    <x v="0"/>
    <x v="2"/>
    <x v="0"/>
    <x v="4"/>
    <x v="10"/>
    <n v="103.65"/>
    <n v="0"/>
    <n v="103.65"/>
    <d v="2024-11-16T00:00:00"/>
    <n v="4"/>
    <n v="1"/>
    <b v="0"/>
    <m/>
    <n v="290"/>
  </r>
  <r>
    <s v="FB001112"/>
    <x v="5"/>
    <x v="5"/>
    <x v="2"/>
    <x v="2"/>
    <x v="4"/>
    <n v="71.84"/>
    <n v="49.4"/>
    <n v="36.35"/>
    <d v="2025-08-06T00:00:00"/>
    <n v="25"/>
    <n v="3.1874999999999991"/>
    <b v="0"/>
    <m/>
    <n v="27"/>
  </r>
  <r>
    <s v="FB001113"/>
    <x v="3"/>
    <x v="0"/>
    <x v="1"/>
    <x v="1"/>
    <x v="4"/>
    <n v="128.31"/>
    <n v="0"/>
    <n v="128.31"/>
    <d v="2025-08-06T00:00:00"/>
    <n v="36"/>
    <n v="4"/>
    <b v="1"/>
    <s v="Changed Mind"/>
    <n v="27"/>
  </r>
  <r>
    <s v="FB001114"/>
    <x v="3"/>
    <x v="7"/>
    <x v="1"/>
    <x v="1"/>
    <x v="5"/>
    <n v="118.97"/>
    <n v="0"/>
    <n v="118.97"/>
    <d v="2025-08-06T00:00:00"/>
    <n v="45"/>
    <n v="3.8"/>
    <b v="0"/>
    <m/>
    <n v="27"/>
  </r>
  <r>
    <s v="FB001115"/>
    <x v="4"/>
    <x v="0"/>
    <x v="1"/>
    <x v="3"/>
    <x v="0"/>
    <n v="31.98"/>
    <n v="16.5"/>
    <n v="26.7"/>
    <d v="2025-08-06T00:00:00"/>
    <n v="48"/>
    <n v="1.8"/>
    <b v="0"/>
    <m/>
    <n v="27"/>
  </r>
  <r>
    <s v="FB001116"/>
    <x v="1"/>
    <x v="2"/>
    <x v="1"/>
    <x v="4"/>
    <x v="9"/>
    <n v="115.89"/>
    <n v="26.8"/>
    <n v="84.83"/>
    <d v="2025-08-06T00:00:00"/>
    <n v="26"/>
    <n v="4.5999999999999996"/>
    <b v="0"/>
    <m/>
    <n v="27"/>
  </r>
  <r>
    <s v="FB001117"/>
    <x v="5"/>
    <x v="5"/>
    <x v="2"/>
    <x v="0"/>
    <x v="1"/>
    <n v="140.06"/>
    <n v="0"/>
    <n v="140.06"/>
    <d v="2025-08-06T00:00:00"/>
    <n v="37"/>
    <n v="2.2999999999999998"/>
    <b v="0"/>
    <m/>
    <n v="27"/>
  </r>
  <r>
    <s v="FB001118"/>
    <x v="3"/>
    <x v="3"/>
    <x v="2"/>
    <x v="5"/>
    <x v="1"/>
    <n v="154.82"/>
    <n v="0"/>
    <n v="154.82"/>
    <d v="2025-08-06T00:00:00"/>
    <n v="10"/>
    <n v="4.0999999999999996"/>
    <b v="0"/>
    <m/>
    <n v="27"/>
  </r>
  <r>
    <s v="FB001119"/>
    <x v="5"/>
    <x v="1"/>
    <x v="1"/>
    <x v="0"/>
    <x v="5"/>
    <n v="114.21"/>
    <n v="20.2"/>
    <n v="91.14"/>
    <d v="2025-08-06T00:00:00"/>
    <n v="5"/>
    <n v="2"/>
    <b v="1"/>
    <s v="Wrong Item"/>
    <n v="27"/>
  </r>
  <r>
    <s v="FB001120"/>
    <x v="3"/>
    <x v="0"/>
    <x v="1"/>
    <x v="0"/>
    <x v="5"/>
    <n v="114.84"/>
    <n v="0"/>
    <n v="114.84"/>
    <d v="2025-08-06T00:00:00"/>
    <n v="38"/>
    <n v="2.6"/>
    <b v="1"/>
    <s v="Color Mismatch"/>
    <n v="27"/>
  </r>
  <r>
    <s v="FB001121"/>
    <x v="5"/>
    <x v="3"/>
    <x v="1"/>
    <x v="0"/>
    <x v="8"/>
    <n v="131.32"/>
    <n v="6.8"/>
    <n v="122.39"/>
    <d v="2025-08-06T00:00:00"/>
    <n v="18"/>
    <n v="2"/>
    <b v="0"/>
    <m/>
    <n v="27"/>
  </r>
  <r>
    <s v="FB001122"/>
    <x v="1"/>
    <x v="3"/>
    <x v="2"/>
    <x v="3"/>
    <x v="1"/>
    <n v="91.41"/>
    <n v="32.1"/>
    <n v="62.07"/>
    <d v="2025-08-06T00:00:00"/>
    <n v="49"/>
    <n v="2.2999999999999998"/>
    <b v="0"/>
    <m/>
    <n v="27"/>
  </r>
  <r>
    <s v="FB001123"/>
    <x v="0"/>
    <x v="6"/>
    <x v="2"/>
    <x v="5"/>
    <x v="2"/>
    <n v="202.28"/>
    <n v="0"/>
    <n v="202.28"/>
    <d v="2025-08-06T00:00:00"/>
    <n v="4"/>
    <n v="2.9034482758620692"/>
    <b v="0"/>
    <m/>
    <n v="27"/>
  </r>
  <r>
    <s v="FB001124"/>
    <x v="4"/>
    <x v="7"/>
    <x v="2"/>
    <x v="6"/>
    <x v="0"/>
    <n v="119.63"/>
    <n v="0"/>
    <n v="119.63"/>
    <d v="2025-08-06T00:00:00"/>
    <n v="14"/>
    <n v="2.1"/>
    <b v="0"/>
    <m/>
    <n v="27"/>
  </r>
  <r>
    <s v="FB001125"/>
    <x v="3"/>
    <x v="2"/>
    <x v="3"/>
    <x v="1"/>
    <x v="5"/>
    <n v="167.89"/>
    <n v="0"/>
    <n v="167.89"/>
    <d v="2025-08-06T00:00:00"/>
    <n v="12"/>
    <n v="1"/>
    <b v="0"/>
    <m/>
    <n v="27"/>
  </r>
  <r>
    <s v="FB001126"/>
    <x v="3"/>
    <x v="1"/>
    <x v="0"/>
    <x v="0"/>
    <x v="5"/>
    <n v="100.39"/>
    <n v="0"/>
    <n v="100.39"/>
    <d v="2025-03-07T00:00:00"/>
    <n v="24"/>
    <n v="3.2"/>
    <b v="1"/>
    <s v="Quality Issue"/>
    <n v="179"/>
  </r>
  <r>
    <s v="FB001127"/>
    <x v="5"/>
    <x v="6"/>
    <x v="3"/>
    <x v="1"/>
    <x v="4"/>
    <n v="162.41999999999999"/>
    <n v="40.9"/>
    <n v="95.99"/>
    <d v="2025-08-06T00:00:00"/>
    <n v="32"/>
    <n v="1"/>
    <b v="0"/>
    <m/>
    <n v="27"/>
  </r>
  <r>
    <s v="FB001128"/>
    <x v="3"/>
    <x v="6"/>
    <x v="0"/>
    <x v="5"/>
    <x v="4"/>
    <n v="65.069999999999993"/>
    <n v="5.0999999999999996"/>
    <n v="61.75"/>
    <d v="2025-01-17T00:00:00"/>
    <n v="16"/>
    <n v="4.3"/>
    <b v="0"/>
    <m/>
    <n v="228"/>
  </r>
  <r>
    <s v="FB001129"/>
    <x v="4"/>
    <x v="7"/>
    <x v="0"/>
    <x v="4"/>
    <x v="0"/>
    <n v="78.099999999999994"/>
    <n v="48.7"/>
    <n v="40.07"/>
    <d v="2025-05-06T00:00:00"/>
    <n v="0"/>
    <n v="3.1021739130434773"/>
    <b v="0"/>
    <m/>
    <n v="119"/>
  </r>
  <r>
    <s v="FB001130"/>
    <x v="0"/>
    <x v="0"/>
    <x v="0"/>
    <x v="6"/>
    <x v="5"/>
    <n v="115.73"/>
    <n v="59.8"/>
    <n v="46.52"/>
    <d v="2024-09-28T00:00:00"/>
    <n v="10"/>
    <n v="4.2"/>
    <b v="0"/>
    <m/>
    <n v="339"/>
  </r>
  <r>
    <s v="FB001131"/>
    <x v="2"/>
    <x v="5"/>
    <x v="2"/>
    <x v="2"/>
    <x v="8"/>
    <n v="21.57"/>
    <n v="11.9"/>
    <n v="19"/>
    <d v="2025-08-06T00:00:00"/>
    <n v="37"/>
    <n v="3"/>
    <b v="1"/>
    <s v="Changed Mind"/>
    <n v="27"/>
  </r>
  <r>
    <s v="FB001132"/>
    <x v="5"/>
    <x v="2"/>
    <x v="2"/>
    <x v="3"/>
    <x v="10"/>
    <n v="75.849999999999994"/>
    <n v="50.3"/>
    <n v="37.700000000000003"/>
    <d v="2025-08-06T00:00:00"/>
    <n v="50"/>
    <n v="4.7"/>
    <b v="1"/>
    <s v="Quality Issue"/>
    <n v="27"/>
  </r>
  <r>
    <s v="FB001133"/>
    <x v="0"/>
    <x v="1"/>
    <x v="3"/>
    <x v="1"/>
    <x v="6"/>
    <n v="170.91"/>
    <n v="0"/>
    <n v="170.91"/>
    <d v="2025-08-06T00:00:00"/>
    <n v="36"/>
    <n v="1.6"/>
    <b v="1"/>
    <s v="Quality Issue"/>
    <n v="27"/>
  </r>
  <r>
    <s v="FB001134"/>
    <x v="3"/>
    <x v="4"/>
    <x v="2"/>
    <x v="0"/>
    <x v="3"/>
    <n v="94.06"/>
    <n v="22.4"/>
    <n v="72.989999999999995"/>
    <d v="2025-08-06T00:00:00"/>
    <n v="0"/>
    <n v="3.3021276595744684"/>
    <b v="0"/>
    <m/>
    <n v="27"/>
  </r>
  <r>
    <s v="FB001135"/>
    <x v="4"/>
    <x v="4"/>
    <x v="3"/>
    <x v="3"/>
    <x v="5"/>
    <n v="84.44"/>
    <n v="0"/>
    <n v="84.44"/>
    <d v="2025-08-06T00:00:00"/>
    <n v="2"/>
    <n v="1.1000000000000001"/>
    <b v="0"/>
    <m/>
    <n v="27"/>
  </r>
  <r>
    <s v="FB001136"/>
    <x v="0"/>
    <x v="0"/>
    <x v="3"/>
    <x v="5"/>
    <x v="1"/>
    <n v="93.11"/>
    <n v="0"/>
    <n v="93.11"/>
    <d v="2025-08-06T00:00:00"/>
    <n v="43"/>
    <n v="2.8"/>
    <b v="0"/>
    <m/>
    <n v="27"/>
  </r>
  <r>
    <s v="FB001137"/>
    <x v="1"/>
    <x v="0"/>
    <x v="1"/>
    <x v="3"/>
    <x v="5"/>
    <n v="84.85"/>
    <n v="8.8000000000000007"/>
    <n v="77.38"/>
    <d v="2025-08-06T00:00:00"/>
    <n v="19"/>
    <n v="4.0999999999999996"/>
    <b v="1"/>
    <s v="Changed Mind"/>
    <n v="27"/>
  </r>
  <r>
    <s v="FB001138"/>
    <x v="3"/>
    <x v="1"/>
    <x v="0"/>
    <x v="6"/>
    <x v="6"/>
    <n v="138.41"/>
    <n v="0"/>
    <n v="138.41"/>
    <d v="2024-11-17T00:00:00"/>
    <n v="40"/>
    <n v="3.1"/>
    <b v="0"/>
    <m/>
    <n v="289"/>
  </r>
  <r>
    <s v="FB001139"/>
    <x v="2"/>
    <x v="0"/>
    <x v="2"/>
    <x v="2"/>
    <x v="1"/>
    <n v="20.190000000000001"/>
    <n v="21.6"/>
    <n v="15.83"/>
    <d v="2025-08-06T00:00:00"/>
    <n v="45"/>
    <n v="4.4000000000000004"/>
    <b v="1"/>
    <s v="Changed Mind"/>
    <n v="27"/>
  </r>
  <r>
    <s v="FB001140"/>
    <x v="5"/>
    <x v="2"/>
    <x v="2"/>
    <x v="6"/>
    <x v="4"/>
    <n v="124.17"/>
    <n v="37.6"/>
    <n v="77.48"/>
    <d v="2025-08-06T00:00:00"/>
    <n v="24"/>
    <n v="2.2999999999999998"/>
    <b v="0"/>
    <m/>
    <n v="27"/>
  </r>
  <r>
    <s v="FB001141"/>
    <x v="0"/>
    <x v="2"/>
    <x v="0"/>
    <x v="1"/>
    <x v="0"/>
    <n v="133.91999999999999"/>
    <n v="0"/>
    <n v="133.91999999999999"/>
    <d v="2025-04-13T00:00:00"/>
    <n v="41"/>
    <n v="2.8"/>
    <b v="0"/>
    <m/>
    <n v="142"/>
  </r>
  <r>
    <s v="FB001142"/>
    <x v="2"/>
    <x v="2"/>
    <x v="0"/>
    <x v="2"/>
    <x v="4"/>
    <n v="77.78"/>
    <n v="0"/>
    <n v="77.78"/>
    <d v="2025-07-07T00:00:00"/>
    <n v="23"/>
    <n v="2.5"/>
    <b v="1"/>
    <s v="Size Issue"/>
    <n v="57"/>
  </r>
  <r>
    <s v="FB001143"/>
    <x v="5"/>
    <x v="3"/>
    <x v="1"/>
    <x v="4"/>
    <x v="10"/>
    <n v="157.69"/>
    <n v="35.9"/>
    <n v="101.08"/>
    <d v="2025-08-06T00:00:00"/>
    <n v="6"/>
    <n v="1"/>
    <b v="0"/>
    <m/>
    <n v="27"/>
  </r>
  <r>
    <s v="FB001144"/>
    <x v="1"/>
    <x v="0"/>
    <x v="1"/>
    <x v="1"/>
    <x v="2"/>
    <n v="99.57"/>
    <n v="0"/>
    <n v="99.57"/>
    <d v="2025-08-06T00:00:00"/>
    <n v="17"/>
    <n v="1"/>
    <b v="0"/>
    <m/>
    <n v="27"/>
  </r>
  <r>
    <s v="FB001145"/>
    <x v="2"/>
    <x v="0"/>
    <x v="3"/>
    <x v="2"/>
    <x v="10"/>
    <n v="43.61"/>
    <n v="33.299999999999997"/>
    <n v="29.09"/>
    <d v="2025-08-06T00:00:00"/>
    <n v="47"/>
    <n v="2.5"/>
    <b v="0"/>
    <m/>
    <n v="27"/>
  </r>
  <r>
    <s v="FB001146"/>
    <x v="0"/>
    <x v="6"/>
    <x v="1"/>
    <x v="6"/>
    <x v="10"/>
    <n v="88.87"/>
    <n v="0"/>
    <n v="88.87"/>
    <d v="2025-08-06T00:00:00"/>
    <n v="27"/>
    <n v="2.4"/>
    <b v="0"/>
    <m/>
    <n v="27"/>
  </r>
  <r>
    <s v="FB001147"/>
    <x v="4"/>
    <x v="7"/>
    <x v="2"/>
    <x v="6"/>
    <x v="3"/>
    <n v="112.6"/>
    <n v="19.8"/>
    <n v="90.31"/>
    <d v="2025-08-06T00:00:00"/>
    <n v="2"/>
    <n v="1"/>
    <b v="0"/>
    <m/>
    <n v="27"/>
  </r>
  <r>
    <s v="FB001148"/>
    <x v="1"/>
    <x v="1"/>
    <x v="2"/>
    <x v="0"/>
    <x v="6"/>
    <n v="33.35"/>
    <n v="0"/>
    <n v="33.35"/>
    <d v="2025-08-06T00:00:00"/>
    <n v="29"/>
    <n v="1.2"/>
    <b v="0"/>
    <m/>
    <n v="27"/>
  </r>
  <r>
    <s v="FB001149"/>
    <x v="4"/>
    <x v="7"/>
    <x v="2"/>
    <x v="1"/>
    <x v="8"/>
    <n v="115.82"/>
    <n v="2.9"/>
    <n v="112.46"/>
    <d v="2025-08-06T00:00:00"/>
    <n v="46"/>
    <n v="3.1021739130434773"/>
    <b v="0"/>
    <m/>
    <n v="27"/>
  </r>
  <r>
    <s v="FB001150"/>
    <x v="1"/>
    <x v="2"/>
    <x v="2"/>
    <x v="0"/>
    <x v="3"/>
    <n v="107.79"/>
    <n v="3.1"/>
    <n v="104.45"/>
    <d v="2025-08-06T00:00:00"/>
    <n v="6"/>
    <n v="2.8"/>
    <b v="0"/>
    <m/>
    <n v="27"/>
  </r>
  <r>
    <s v="FB001151"/>
    <x v="1"/>
    <x v="4"/>
    <x v="3"/>
    <x v="3"/>
    <x v="3"/>
    <n v="53.87"/>
    <n v="0"/>
    <n v="53.87"/>
    <d v="2025-08-06T00:00:00"/>
    <n v="50"/>
    <n v="4.2"/>
    <b v="1"/>
    <s v="Damaged"/>
    <n v="27"/>
  </r>
  <r>
    <s v="FB001152"/>
    <x v="1"/>
    <x v="6"/>
    <x v="0"/>
    <x v="5"/>
    <x v="6"/>
    <n v="72.5"/>
    <n v="40.799999999999997"/>
    <n v="42.92"/>
    <d v="2024-12-30T00:00:00"/>
    <n v="23"/>
    <n v="4.4000000000000004"/>
    <b v="0"/>
    <m/>
    <n v="246"/>
  </r>
  <r>
    <s v="FB001153"/>
    <x v="3"/>
    <x v="6"/>
    <x v="0"/>
    <x v="3"/>
    <x v="4"/>
    <n v="152.32"/>
    <n v="0"/>
    <n v="152.32"/>
    <d v="2025-06-09T00:00:00"/>
    <n v="15"/>
    <n v="2.9083333333333328"/>
    <b v="0"/>
    <m/>
    <n v="85"/>
  </r>
  <r>
    <s v="FB001154"/>
    <x v="5"/>
    <x v="4"/>
    <x v="1"/>
    <x v="6"/>
    <x v="0"/>
    <n v="67.63"/>
    <n v="0"/>
    <n v="67.63"/>
    <d v="2025-08-06T00:00:00"/>
    <n v="9"/>
    <n v="4.7"/>
    <b v="0"/>
    <m/>
    <n v="27"/>
  </r>
  <r>
    <s v="FB001155"/>
    <x v="0"/>
    <x v="1"/>
    <x v="3"/>
    <x v="5"/>
    <x v="9"/>
    <n v="221.94"/>
    <n v="0"/>
    <n v="221.94"/>
    <d v="2025-08-06T00:00:00"/>
    <n v="35"/>
    <n v="1.5"/>
    <b v="0"/>
    <m/>
    <n v="27"/>
  </r>
  <r>
    <s v="FB001156"/>
    <x v="4"/>
    <x v="0"/>
    <x v="2"/>
    <x v="5"/>
    <x v="1"/>
    <n v="118.77"/>
    <n v="8.4"/>
    <n v="108.79"/>
    <d v="2025-08-06T00:00:00"/>
    <n v="30"/>
    <n v="4.5999999999999996"/>
    <b v="1"/>
    <s v="Wrong Item"/>
    <n v="27"/>
  </r>
  <r>
    <s v="FB001157"/>
    <x v="1"/>
    <x v="7"/>
    <x v="2"/>
    <x v="5"/>
    <x v="6"/>
    <n v="100.17"/>
    <n v="0"/>
    <n v="100.17"/>
    <d v="2025-08-06T00:00:00"/>
    <n v="18"/>
    <n v="1.2"/>
    <b v="0"/>
    <m/>
    <n v="27"/>
  </r>
  <r>
    <s v="FB001158"/>
    <x v="2"/>
    <x v="2"/>
    <x v="3"/>
    <x v="2"/>
    <x v="3"/>
    <n v="18.45"/>
    <n v="0"/>
    <n v="18.45"/>
    <d v="2025-08-06T00:00:00"/>
    <n v="39"/>
    <n v="2.2000000000000002"/>
    <b v="0"/>
    <m/>
    <n v="27"/>
  </r>
  <r>
    <s v="FB001159"/>
    <x v="2"/>
    <x v="6"/>
    <x v="3"/>
    <x v="2"/>
    <x v="9"/>
    <n v="45.56"/>
    <n v="13.5"/>
    <n v="39.409999999999997"/>
    <d v="2025-08-06T00:00:00"/>
    <n v="40"/>
    <n v="3.2"/>
    <b v="0"/>
    <m/>
    <n v="27"/>
  </r>
  <r>
    <s v="FB001160"/>
    <x v="1"/>
    <x v="1"/>
    <x v="0"/>
    <x v="3"/>
    <x v="9"/>
    <n v="62.21"/>
    <n v="0"/>
    <n v="62.21"/>
    <d v="2025-07-23T00:00:00"/>
    <n v="38"/>
    <n v="2.6"/>
    <b v="0"/>
    <m/>
    <n v="41"/>
  </r>
  <r>
    <s v="FB001161"/>
    <x v="2"/>
    <x v="7"/>
    <x v="1"/>
    <x v="2"/>
    <x v="5"/>
    <n v="37.020000000000003"/>
    <n v="0"/>
    <n v="37.020000000000003"/>
    <d v="2025-08-06T00:00:00"/>
    <n v="12"/>
    <n v="4.3"/>
    <b v="0"/>
    <m/>
    <n v="27"/>
  </r>
  <r>
    <s v="FB001162"/>
    <x v="5"/>
    <x v="0"/>
    <x v="3"/>
    <x v="0"/>
    <x v="7"/>
    <n v="51.86"/>
    <n v="39"/>
    <n v="31.63"/>
    <d v="2025-08-06T00:00:00"/>
    <n v="40"/>
    <n v="2.4"/>
    <b v="0"/>
    <m/>
    <n v="27"/>
  </r>
  <r>
    <s v="FB001163"/>
    <x v="5"/>
    <x v="0"/>
    <x v="0"/>
    <x v="5"/>
    <x v="9"/>
    <n v="76.239999999999995"/>
    <n v="0"/>
    <n v="76.239999999999995"/>
    <d v="2025-01-07T00:00:00"/>
    <n v="14"/>
    <n v="2.8"/>
    <b v="0"/>
    <m/>
    <n v="238"/>
  </r>
  <r>
    <s v="FB001164"/>
    <x v="2"/>
    <x v="0"/>
    <x v="2"/>
    <x v="2"/>
    <x v="4"/>
    <n v="74.17"/>
    <n v="0"/>
    <n v="74.17"/>
    <d v="2025-08-06T00:00:00"/>
    <n v="24"/>
    <n v="1.7"/>
    <b v="0"/>
    <m/>
    <n v="27"/>
  </r>
  <r>
    <s v="FB001165"/>
    <x v="4"/>
    <x v="7"/>
    <x v="0"/>
    <x v="1"/>
    <x v="7"/>
    <n v="75.989999999999995"/>
    <n v="0"/>
    <n v="75.989999999999995"/>
    <d v="2025-02-18T00:00:00"/>
    <n v="19"/>
    <n v="1.7"/>
    <b v="1"/>
    <s v="Size Issue"/>
    <n v="196"/>
  </r>
  <r>
    <s v="FB001166"/>
    <x v="4"/>
    <x v="4"/>
    <x v="1"/>
    <x v="5"/>
    <x v="8"/>
    <n v="62.33"/>
    <n v="49.4"/>
    <n v="31.54"/>
    <d v="2025-08-06T00:00:00"/>
    <n v="46"/>
    <n v="3.5"/>
    <b v="0"/>
    <m/>
    <n v="27"/>
  </r>
  <r>
    <s v="FB001167"/>
    <x v="4"/>
    <x v="3"/>
    <x v="1"/>
    <x v="4"/>
    <x v="0"/>
    <n v="93.59"/>
    <n v="0"/>
    <n v="93.59"/>
    <d v="2025-08-06T00:00:00"/>
    <n v="38"/>
    <n v="1.9"/>
    <b v="0"/>
    <m/>
    <n v="27"/>
  </r>
  <r>
    <s v="FB001168"/>
    <x v="1"/>
    <x v="7"/>
    <x v="2"/>
    <x v="2"/>
    <x v="5"/>
    <n v="72.83"/>
    <n v="35.700000000000003"/>
    <n v="46.83"/>
    <d v="2025-08-06T00:00:00"/>
    <n v="11"/>
    <n v="3.1"/>
    <b v="0"/>
    <m/>
    <n v="27"/>
  </r>
  <r>
    <s v="FB001169"/>
    <x v="0"/>
    <x v="1"/>
    <x v="1"/>
    <x v="4"/>
    <x v="4"/>
    <n v="134.59"/>
    <n v="33.6"/>
    <n v="89.37"/>
    <d v="2025-08-06T00:00:00"/>
    <n v="42"/>
    <n v="2.9"/>
    <b v="0"/>
    <m/>
    <n v="27"/>
  </r>
  <r>
    <s v="FB001170"/>
    <x v="4"/>
    <x v="0"/>
    <x v="0"/>
    <x v="2"/>
    <x v="7"/>
    <n v="71.599999999999994"/>
    <n v="41.9"/>
    <n v="41.6"/>
    <d v="2025-04-12T00:00:00"/>
    <n v="16"/>
    <n v="2.8"/>
    <b v="0"/>
    <m/>
    <n v="143"/>
  </r>
  <r>
    <s v="FB001171"/>
    <x v="3"/>
    <x v="5"/>
    <x v="3"/>
    <x v="0"/>
    <x v="0"/>
    <n v="62.35"/>
    <n v="53.5"/>
    <n v="28.99"/>
    <d v="2025-08-06T00:00:00"/>
    <n v="1"/>
    <n v="4.0999999999999996"/>
    <b v="0"/>
    <m/>
    <n v="27"/>
  </r>
  <r>
    <s v="FB001172"/>
    <x v="0"/>
    <x v="5"/>
    <x v="0"/>
    <x v="5"/>
    <x v="8"/>
    <n v="80.55"/>
    <n v="43.7"/>
    <n v="45.35"/>
    <d v="2024-10-21T00:00:00"/>
    <n v="41"/>
    <n v="4.8"/>
    <b v="1"/>
    <s v="Changed Mind"/>
    <n v="316"/>
  </r>
  <r>
    <s v="FB001173"/>
    <x v="3"/>
    <x v="2"/>
    <x v="1"/>
    <x v="6"/>
    <x v="7"/>
    <n v="171.48"/>
    <n v="0"/>
    <n v="171.48"/>
    <d v="2025-08-06T00:00:00"/>
    <n v="15"/>
    <n v="2.4"/>
    <b v="0"/>
    <m/>
    <n v="27"/>
  </r>
  <r>
    <s v="FB001174"/>
    <x v="1"/>
    <x v="5"/>
    <x v="0"/>
    <x v="0"/>
    <x v="8"/>
    <n v="30.81"/>
    <n v="15.7"/>
    <n v="25.97"/>
    <d v="2024-09-19T00:00:00"/>
    <n v="4"/>
    <n v="2.9846153846153847"/>
    <b v="0"/>
    <m/>
    <n v="348"/>
  </r>
  <r>
    <s v="FB001175"/>
    <x v="5"/>
    <x v="4"/>
    <x v="3"/>
    <x v="1"/>
    <x v="5"/>
    <n v="97.14"/>
    <n v="0"/>
    <n v="97.14"/>
    <d v="2025-08-06T00:00:00"/>
    <n v="20"/>
    <n v="4.0999999999999996"/>
    <b v="0"/>
    <m/>
    <n v="27"/>
  </r>
  <r>
    <s v="FB001176"/>
    <x v="3"/>
    <x v="7"/>
    <x v="2"/>
    <x v="3"/>
    <x v="3"/>
    <n v="128.27000000000001"/>
    <n v="0"/>
    <n v="128.27000000000001"/>
    <d v="2025-08-06T00:00:00"/>
    <n v="28"/>
    <n v="3.2576923076923077"/>
    <b v="0"/>
    <m/>
    <n v="27"/>
  </r>
  <r>
    <s v="FB001177"/>
    <x v="5"/>
    <x v="0"/>
    <x v="1"/>
    <x v="0"/>
    <x v="6"/>
    <n v="174.86"/>
    <n v="0"/>
    <n v="174.86"/>
    <d v="2025-08-06T00:00:00"/>
    <n v="43"/>
    <n v="4.5999999999999996"/>
    <b v="0"/>
    <m/>
    <n v="27"/>
  </r>
  <r>
    <s v="FB001178"/>
    <x v="5"/>
    <x v="2"/>
    <x v="1"/>
    <x v="0"/>
    <x v="3"/>
    <n v="100.03"/>
    <n v="0"/>
    <n v="100.03"/>
    <d v="2025-08-06T00:00:00"/>
    <n v="36"/>
    <n v="1.9"/>
    <b v="1"/>
    <s v="Quality Issue"/>
    <n v="27"/>
  </r>
  <r>
    <s v="FB001179"/>
    <x v="5"/>
    <x v="0"/>
    <x v="1"/>
    <x v="3"/>
    <x v="9"/>
    <n v="49.89"/>
    <n v="0"/>
    <n v="49.89"/>
    <d v="2025-08-06T00:00:00"/>
    <n v="0"/>
    <n v="3.5"/>
    <b v="1"/>
    <s v="Wrong Item"/>
    <n v="27"/>
  </r>
  <r>
    <s v="FB001180"/>
    <x v="3"/>
    <x v="4"/>
    <x v="2"/>
    <x v="0"/>
    <x v="10"/>
    <n v="170.43"/>
    <n v="0"/>
    <n v="170.43"/>
    <d v="2025-08-06T00:00:00"/>
    <n v="22"/>
    <n v="3.3021276595744684"/>
    <b v="0"/>
    <m/>
    <n v="27"/>
  </r>
  <r>
    <s v="FB001181"/>
    <x v="0"/>
    <x v="6"/>
    <x v="3"/>
    <x v="5"/>
    <x v="8"/>
    <n v="186.78"/>
    <n v="0"/>
    <n v="186.78"/>
    <d v="2025-08-06T00:00:00"/>
    <n v="22"/>
    <n v="2.9"/>
    <b v="0"/>
    <m/>
    <n v="27"/>
  </r>
  <r>
    <s v="FB001182"/>
    <x v="2"/>
    <x v="7"/>
    <x v="2"/>
    <x v="2"/>
    <x v="8"/>
    <n v="63.98"/>
    <n v="0"/>
    <n v="63.98"/>
    <d v="2025-08-06T00:00:00"/>
    <n v="36"/>
    <n v="1.7"/>
    <b v="0"/>
    <m/>
    <n v="27"/>
  </r>
  <r>
    <s v="FB001183"/>
    <x v="0"/>
    <x v="7"/>
    <x v="2"/>
    <x v="5"/>
    <x v="8"/>
    <n v="225.64"/>
    <n v="0"/>
    <n v="225.64"/>
    <d v="2025-08-06T00:00:00"/>
    <n v="31"/>
    <n v="1.3"/>
    <b v="0"/>
    <m/>
    <n v="27"/>
  </r>
  <r>
    <s v="FB001184"/>
    <x v="1"/>
    <x v="3"/>
    <x v="2"/>
    <x v="5"/>
    <x v="3"/>
    <n v="115.29"/>
    <n v="13.9"/>
    <n v="99.26"/>
    <d v="2025-08-06T00:00:00"/>
    <n v="37"/>
    <n v="2.9742857142857138"/>
    <b v="0"/>
    <m/>
    <n v="27"/>
  </r>
  <r>
    <s v="FB001185"/>
    <x v="4"/>
    <x v="3"/>
    <x v="2"/>
    <x v="5"/>
    <x v="3"/>
    <n v="92.59"/>
    <n v="0"/>
    <n v="92.59"/>
    <d v="2025-08-06T00:00:00"/>
    <n v="39"/>
    <n v="2.2999999999999998"/>
    <b v="0"/>
    <m/>
    <n v="27"/>
  </r>
  <r>
    <s v="FB001186"/>
    <x v="2"/>
    <x v="1"/>
    <x v="0"/>
    <x v="2"/>
    <x v="7"/>
    <n v="67.650000000000006"/>
    <n v="26.2"/>
    <n v="49.93"/>
    <d v="2025-05-28T00:00:00"/>
    <n v="23"/>
    <n v="1.7"/>
    <b v="0"/>
    <m/>
    <n v="97"/>
  </r>
  <r>
    <s v="FB001187"/>
    <x v="0"/>
    <x v="5"/>
    <x v="0"/>
    <x v="1"/>
    <x v="3"/>
    <n v="128.91999999999999"/>
    <n v="0"/>
    <n v="128.91999999999999"/>
    <d v="2025-07-10T00:00:00"/>
    <n v="40"/>
    <n v="1.5"/>
    <b v="0"/>
    <m/>
    <n v="54"/>
  </r>
  <r>
    <s v="FB001188"/>
    <x v="2"/>
    <x v="2"/>
    <x v="2"/>
    <x v="2"/>
    <x v="0"/>
    <n v="16.510000000000002"/>
    <n v="16.8"/>
    <n v="13.74"/>
    <d v="2025-08-06T00:00:00"/>
    <n v="47"/>
    <n v="1.2"/>
    <b v="0"/>
    <m/>
    <n v="27"/>
  </r>
  <r>
    <s v="FB001189"/>
    <x v="3"/>
    <x v="2"/>
    <x v="1"/>
    <x v="2"/>
    <x v="4"/>
    <n v="173.66"/>
    <n v="42.7"/>
    <n v="99.51"/>
    <d v="2025-08-06T00:00:00"/>
    <n v="1"/>
    <n v="3.1"/>
    <b v="0"/>
    <m/>
    <n v="27"/>
  </r>
  <r>
    <s v="FB001190"/>
    <x v="1"/>
    <x v="4"/>
    <x v="0"/>
    <x v="3"/>
    <x v="2"/>
    <n v="71.489999999999995"/>
    <n v="20.9"/>
    <n v="56.55"/>
    <d v="2025-01-12T00:00:00"/>
    <n v="33"/>
    <n v="1.3"/>
    <b v="0"/>
    <m/>
    <n v="233"/>
  </r>
  <r>
    <s v="FB001191"/>
    <x v="0"/>
    <x v="1"/>
    <x v="2"/>
    <x v="4"/>
    <x v="4"/>
    <n v="230.81"/>
    <n v="24.3"/>
    <n v="174.72"/>
    <d v="2025-08-06T00:00:00"/>
    <n v="26"/>
    <n v="3.15"/>
    <b v="1"/>
    <s v="Size Issue"/>
    <n v="27"/>
  </r>
  <r>
    <s v="FB001192"/>
    <x v="3"/>
    <x v="4"/>
    <x v="0"/>
    <x v="5"/>
    <x v="6"/>
    <n v="101"/>
    <n v="58.6"/>
    <n v="41.81"/>
    <d v="2025-07-04T00:00:00"/>
    <n v="44"/>
    <n v="1.2"/>
    <b v="0"/>
    <m/>
    <n v="60"/>
  </r>
  <r>
    <s v="FB001193"/>
    <x v="0"/>
    <x v="3"/>
    <x v="1"/>
    <x v="4"/>
    <x v="10"/>
    <n v="116.37"/>
    <n v="52.6"/>
    <n v="55.16"/>
    <d v="2025-08-06T00:00:00"/>
    <n v="43"/>
    <n v="2.4"/>
    <b v="0"/>
    <m/>
    <n v="27"/>
  </r>
  <r>
    <s v="FB001194"/>
    <x v="3"/>
    <x v="4"/>
    <x v="0"/>
    <x v="1"/>
    <x v="7"/>
    <n v="150.28"/>
    <n v="8.3000000000000007"/>
    <n v="137.81"/>
    <d v="2025-01-22T00:00:00"/>
    <n v="48"/>
    <n v="2.9"/>
    <b v="0"/>
    <m/>
    <n v="223"/>
  </r>
  <r>
    <s v="FB001195"/>
    <x v="0"/>
    <x v="0"/>
    <x v="1"/>
    <x v="0"/>
    <x v="4"/>
    <n v="107.81"/>
    <n v="0"/>
    <n v="107.81"/>
    <d v="2025-08-06T00:00:00"/>
    <n v="15"/>
    <n v="2.7"/>
    <b v="0"/>
    <m/>
    <n v="27"/>
  </r>
  <r>
    <s v="FB001196"/>
    <x v="5"/>
    <x v="0"/>
    <x v="0"/>
    <x v="1"/>
    <x v="8"/>
    <n v="61.24"/>
    <n v="0"/>
    <n v="61.24"/>
    <d v="2025-04-05T00:00:00"/>
    <n v="3"/>
    <n v="3.0424242424242425"/>
    <b v="0"/>
    <m/>
    <n v="150"/>
  </r>
  <r>
    <s v="FB001197"/>
    <x v="2"/>
    <x v="0"/>
    <x v="1"/>
    <x v="2"/>
    <x v="6"/>
    <n v="34.04"/>
    <n v="0"/>
    <n v="34.04"/>
    <d v="2025-08-06T00:00:00"/>
    <n v="3"/>
    <n v="1.9"/>
    <b v="0"/>
    <m/>
    <n v="27"/>
  </r>
  <r>
    <s v="FB001198"/>
    <x v="5"/>
    <x v="6"/>
    <x v="3"/>
    <x v="3"/>
    <x v="10"/>
    <n v="168.16"/>
    <n v="45.9"/>
    <n v="90.97"/>
    <d v="2025-08-06T00:00:00"/>
    <n v="44"/>
    <n v="1.5"/>
    <b v="0"/>
    <m/>
    <n v="27"/>
  </r>
  <r>
    <s v="FB001199"/>
    <x v="1"/>
    <x v="5"/>
    <x v="2"/>
    <x v="6"/>
    <x v="0"/>
    <n v="74.069999999999993"/>
    <n v="0"/>
    <n v="74.069999999999993"/>
    <d v="2025-08-06T00:00:00"/>
    <n v="47"/>
    <n v="1.4"/>
    <b v="0"/>
    <m/>
    <n v="27"/>
  </r>
  <r>
    <s v="FB001200"/>
    <x v="1"/>
    <x v="7"/>
    <x v="1"/>
    <x v="4"/>
    <x v="10"/>
    <n v="84.75"/>
    <n v="0"/>
    <n v="84.75"/>
    <d v="2025-08-06T00:00:00"/>
    <n v="7"/>
    <n v="2.5"/>
    <b v="0"/>
    <m/>
    <n v="27"/>
  </r>
  <r>
    <s v="FB001201"/>
    <x v="3"/>
    <x v="3"/>
    <x v="3"/>
    <x v="6"/>
    <x v="0"/>
    <n v="187.47"/>
    <n v="9.6"/>
    <n v="169.47"/>
    <d v="2025-08-06T00:00:00"/>
    <n v="28"/>
    <n v="4"/>
    <b v="0"/>
    <m/>
    <n v="27"/>
  </r>
  <r>
    <s v="FB001202"/>
    <x v="2"/>
    <x v="1"/>
    <x v="0"/>
    <x v="2"/>
    <x v="6"/>
    <n v="45.81"/>
    <n v="14.1"/>
    <n v="39.35"/>
    <d v="2025-04-14T00:00:00"/>
    <n v="29"/>
    <n v="3.1288461538461547"/>
    <b v="0"/>
    <m/>
    <n v="141"/>
  </r>
  <r>
    <s v="FB001203"/>
    <x v="0"/>
    <x v="2"/>
    <x v="2"/>
    <x v="0"/>
    <x v="10"/>
    <n v="87.09"/>
    <n v="0"/>
    <n v="87.09"/>
    <d v="2025-08-06T00:00:00"/>
    <n v="8"/>
    <n v="2.8"/>
    <b v="0"/>
    <m/>
    <n v="27"/>
  </r>
  <r>
    <s v="FB001204"/>
    <x v="0"/>
    <x v="4"/>
    <x v="3"/>
    <x v="5"/>
    <x v="10"/>
    <n v="232.5"/>
    <n v="56.8"/>
    <n v="100.44"/>
    <d v="2025-08-06T00:00:00"/>
    <n v="23"/>
    <n v="2.9"/>
    <b v="1"/>
    <s v="Size Issue"/>
    <n v="27"/>
  </r>
  <r>
    <s v="FB001205"/>
    <x v="3"/>
    <x v="5"/>
    <x v="0"/>
    <x v="5"/>
    <x v="9"/>
    <n v="184.87"/>
    <n v="0"/>
    <n v="184.87"/>
    <d v="2024-09-28T00:00:00"/>
    <n v="32"/>
    <n v="1.8"/>
    <b v="0"/>
    <m/>
    <n v="339"/>
  </r>
  <r>
    <s v="FB001206"/>
    <x v="1"/>
    <x v="6"/>
    <x v="2"/>
    <x v="5"/>
    <x v="4"/>
    <n v="31.36"/>
    <n v="0"/>
    <n v="31.36"/>
    <d v="2025-08-06T00:00:00"/>
    <n v="50"/>
    <n v="3.4"/>
    <b v="0"/>
    <m/>
    <n v="27"/>
  </r>
  <r>
    <s v="FB001207"/>
    <x v="2"/>
    <x v="4"/>
    <x v="1"/>
    <x v="2"/>
    <x v="8"/>
    <n v="62.26"/>
    <n v="24.6"/>
    <n v="46.94"/>
    <d v="2025-08-06T00:00:00"/>
    <n v="33"/>
    <n v="3.5"/>
    <b v="0"/>
    <m/>
    <n v="27"/>
  </r>
  <r>
    <s v="FB001208"/>
    <x v="2"/>
    <x v="3"/>
    <x v="3"/>
    <x v="2"/>
    <x v="8"/>
    <n v="64.819999999999993"/>
    <n v="42.2"/>
    <n v="37.47"/>
    <d v="2025-08-06T00:00:00"/>
    <n v="26"/>
    <n v="1.3"/>
    <b v="0"/>
    <m/>
    <n v="27"/>
  </r>
  <r>
    <s v="FB001209"/>
    <x v="2"/>
    <x v="0"/>
    <x v="0"/>
    <x v="2"/>
    <x v="5"/>
    <n v="15.92"/>
    <n v="0"/>
    <n v="15.92"/>
    <d v="2024-09-06T00:00:00"/>
    <n v="7"/>
    <n v="4.0999999999999996"/>
    <b v="0"/>
    <m/>
    <n v="361"/>
  </r>
  <r>
    <s v="FB001210"/>
    <x v="0"/>
    <x v="4"/>
    <x v="0"/>
    <x v="6"/>
    <x v="9"/>
    <n v="180.83"/>
    <n v="0"/>
    <n v="180.83"/>
    <d v="2024-09-02T00:00:00"/>
    <n v="20"/>
    <n v="2"/>
    <b v="0"/>
    <m/>
    <n v="365"/>
  </r>
  <r>
    <s v="FB001211"/>
    <x v="3"/>
    <x v="7"/>
    <x v="3"/>
    <x v="1"/>
    <x v="10"/>
    <n v="73.81"/>
    <n v="0"/>
    <n v="73.81"/>
    <d v="2025-08-06T00:00:00"/>
    <n v="44"/>
    <n v="1.3"/>
    <b v="0"/>
    <m/>
    <n v="27"/>
  </r>
  <r>
    <s v="FB001212"/>
    <x v="3"/>
    <x v="5"/>
    <x v="3"/>
    <x v="4"/>
    <x v="7"/>
    <n v="127.52"/>
    <n v="0"/>
    <n v="127.52"/>
    <d v="2025-08-06T00:00:00"/>
    <n v="0"/>
    <n v="3.4"/>
    <b v="0"/>
    <m/>
    <n v="27"/>
  </r>
  <r>
    <s v="FB001213"/>
    <x v="4"/>
    <x v="4"/>
    <x v="2"/>
    <x v="2"/>
    <x v="10"/>
    <n v="52.08"/>
    <n v="0"/>
    <n v="52.08"/>
    <d v="2025-08-06T00:00:00"/>
    <n v="12"/>
    <n v="3.0659090909090896"/>
    <b v="0"/>
    <m/>
    <n v="27"/>
  </r>
  <r>
    <s v="FB001214"/>
    <x v="4"/>
    <x v="7"/>
    <x v="1"/>
    <x v="5"/>
    <x v="0"/>
    <n v="32.83"/>
    <n v="23"/>
    <n v="25.28"/>
    <d v="2025-08-06T00:00:00"/>
    <n v="24"/>
    <n v="1.1000000000000001"/>
    <b v="0"/>
    <m/>
    <n v="27"/>
  </r>
  <r>
    <s v="FB001215"/>
    <x v="1"/>
    <x v="2"/>
    <x v="1"/>
    <x v="3"/>
    <x v="9"/>
    <n v="108.92"/>
    <n v="0"/>
    <n v="108.92"/>
    <d v="2025-08-06T00:00:00"/>
    <n v="6"/>
    <n v="1.8"/>
    <b v="0"/>
    <m/>
    <n v="27"/>
  </r>
  <r>
    <s v="FB001216"/>
    <x v="3"/>
    <x v="7"/>
    <x v="1"/>
    <x v="2"/>
    <x v="8"/>
    <n v="85.83"/>
    <n v="47.5"/>
    <n v="45.06"/>
    <d v="2025-08-06T00:00:00"/>
    <n v="8"/>
    <n v="1.1000000000000001"/>
    <b v="0"/>
    <m/>
    <n v="27"/>
  </r>
  <r>
    <s v="FB001217"/>
    <x v="2"/>
    <x v="0"/>
    <x v="0"/>
    <x v="2"/>
    <x v="5"/>
    <n v="62.02"/>
    <n v="0"/>
    <n v="62.02"/>
    <d v="2025-04-25T00:00:00"/>
    <n v="3"/>
    <n v="3.7"/>
    <b v="0"/>
    <m/>
    <n v="130"/>
  </r>
  <r>
    <s v="FB001218"/>
    <x v="3"/>
    <x v="4"/>
    <x v="3"/>
    <x v="0"/>
    <x v="2"/>
    <n v="127.31"/>
    <n v="5.4"/>
    <n v="120.44"/>
    <d v="2025-08-06T00:00:00"/>
    <n v="34"/>
    <n v="2.5"/>
    <b v="0"/>
    <m/>
    <n v="27"/>
  </r>
  <r>
    <s v="FB001219"/>
    <x v="1"/>
    <x v="5"/>
    <x v="2"/>
    <x v="2"/>
    <x v="0"/>
    <n v="35.74"/>
    <n v="0"/>
    <n v="35.74"/>
    <d v="2025-08-06T00:00:00"/>
    <n v="33"/>
    <n v="2.9846153846153847"/>
    <b v="1"/>
    <s v="Color Mismatch"/>
    <n v="27"/>
  </r>
  <r>
    <s v="FB001220"/>
    <x v="2"/>
    <x v="4"/>
    <x v="3"/>
    <x v="2"/>
    <x v="4"/>
    <n v="69.62"/>
    <n v="27.9"/>
    <n v="50.2"/>
    <d v="2025-08-06T00:00:00"/>
    <n v="5"/>
    <n v="1.1000000000000001"/>
    <b v="0"/>
    <m/>
    <n v="27"/>
  </r>
  <r>
    <s v="FB001221"/>
    <x v="1"/>
    <x v="0"/>
    <x v="1"/>
    <x v="4"/>
    <x v="2"/>
    <n v="92.01"/>
    <n v="28.8"/>
    <n v="65.510000000000005"/>
    <d v="2025-08-06T00:00:00"/>
    <n v="37"/>
    <n v="1.9"/>
    <b v="0"/>
    <m/>
    <n v="27"/>
  </r>
  <r>
    <s v="FB001222"/>
    <x v="3"/>
    <x v="3"/>
    <x v="2"/>
    <x v="6"/>
    <x v="2"/>
    <n v="110.1"/>
    <n v="0"/>
    <n v="110.1"/>
    <d v="2025-08-06T00:00:00"/>
    <n v="13"/>
    <n v="3.6"/>
    <b v="1"/>
    <s v="Changed Mind"/>
    <n v="27"/>
  </r>
  <r>
    <s v="FB001223"/>
    <x v="4"/>
    <x v="0"/>
    <x v="2"/>
    <x v="4"/>
    <x v="0"/>
    <n v="109.05"/>
    <n v="0"/>
    <n v="109.05"/>
    <d v="2025-08-06T00:00:00"/>
    <n v="13"/>
    <n v="3.7"/>
    <b v="0"/>
    <m/>
    <n v="27"/>
  </r>
  <r>
    <s v="FB001224"/>
    <x v="2"/>
    <x v="7"/>
    <x v="1"/>
    <x v="2"/>
    <x v="7"/>
    <n v="67.459999999999994"/>
    <n v="0"/>
    <n v="67.459999999999994"/>
    <d v="2025-08-06T00:00:00"/>
    <n v="28"/>
    <n v="1.4"/>
    <b v="0"/>
    <m/>
    <n v="27"/>
  </r>
  <r>
    <s v="FB001225"/>
    <x v="3"/>
    <x v="5"/>
    <x v="1"/>
    <x v="6"/>
    <x v="3"/>
    <n v="110.11"/>
    <n v="10.199999999999999"/>
    <n v="98.88"/>
    <d v="2025-08-06T00:00:00"/>
    <n v="47"/>
    <n v="3.0068965517241386"/>
    <b v="0"/>
    <m/>
    <n v="27"/>
  </r>
  <r>
    <s v="FB001226"/>
    <x v="3"/>
    <x v="2"/>
    <x v="3"/>
    <x v="0"/>
    <x v="3"/>
    <n v="162.5"/>
    <n v="0"/>
    <n v="162.5"/>
    <d v="2025-08-06T00:00:00"/>
    <n v="45"/>
    <n v="3.1936170212765949"/>
    <b v="0"/>
    <m/>
    <n v="27"/>
  </r>
  <r>
    <s v="FB001227"/>
    <x v="2"/>
    <x v="1"/>
    <x v="3"/>
    <x v="2"/>
    <x v="2"/>
    <n v="23.8"/>
    <n v="8.3000000000000007"/>
    <n v="21.82"/>
    <d v="2025-08-06T00:00:00"/>
    <n v="0"/>
    <n v="3.5"/>
    <b v="0"/>
    <m/>
    <n v="27"/>
  </r>
  <r>
    <s v="FB001228"/>
    <x v="4"/>
    <x v="2"/>
    <x v="2"/>
    <x v="5"/>
    <x v="10"/>
    <n v="115.89"/>
    <n v="0"/>
    <n v="115.89"/>
    <d v="2025-08-06T00:00:00"/>
    <n v="34"/>
    <n v="2.9"/>
    <b v="0"/>
    <m/>
    <n v="27"/>
  </r>
  <r>
    <s v="FB001229"/>
    <x v="0"/>
    <x v="4"/>
    <x v="0"/>
    <x v="6"/>
    <x v="0"/>
    <n v="139.19999999999999"/>
    <n v="42.5"/>
    <n v="80.040000000000006"/>
    <d v="2024-10-02T00:00:00"/>
    <n v="27"/>
    <n v="2.9"/>
    <b v="0"/>
    <m/>
    <n v="335"/>
  </r>
  <r>
    <s v="FB001230"/>
    <x v="5"/>
    <x v="7"/>
    <x v="2"/>
    <x v="3"/>
    <x v="8"/>
    <n v="120.42"/>
    <n v="36.700000000000003"/>
    <n v="76.23"/>
    <d v="2025-08-06T00:00:00"/>
    <n v="46"/>
    <n v="2.4"/>
    <b v="0"/>
    <m/>
    <n v="27"/>
  </r>
  <r>
    <s v="FB001231"/>
    <x v="2"/>
    <x v="2"/>
    <x v="2"/>
    <x v="2"/>
    <x v="7"/>
    <n v="72.81"/>
    <n v="0"/>
    <n v="72.81"/>
    <d v="2025-08-06T00:00:00"/>
    <n v="4"/>
    <n v="4.3"/>
    <b v="0"/>
    <m/>
    <n v="27"/>
  </r>
  <r>
    <s v="FB001232"/>
    <x v="2"/>
    <x v="0"/>
    <x v="0"/>
    <x v="2"/>
    <x v="10"/>
    <n v="29.75"/>
    <n v="0"/>
    <n v="29.75"/>
    <d v="2025-02-07T00:00:00"/>
    <n v="37"/>
    <n v="3.9"/>
    <b v="0"/>
    <m/>
    <n v="207"/>
  </r>
  <r>
    <s v="FB001233"/>
    <x v="1"/>
    <x v="6"/>
    <x v="3"/>
    <x v="0"/>
    <x v="2"/>
    <n v="33.630000000000003"/>
    <n v="0"/>
    <n v="33.630000000000003"/>
    <d v="2025-08-06T00:00:00"/>
    <n v="13"/>
    <n v="4.7"/>
    <b v="0"/>
    <m/>
    <n v="27"/>
  </r>
  <r>
    <s v="FB001234"/>
    <x v="0"/>
    <x v="2"/>
    <x v="2"/>
    <x v="3"/>
    <x v="10"/>
    <n v="101.93"/>
    <n v="0"/>
    <n v="101.93"/>
    <d v="2025-08-06T00:00:00"/>
    <n v="31"/>
    <n v="3.0177777777777774"/>
    <b v="0"/>
    <m/>
    <n v="27"/>
  </r>
  <r>
    <s v="FB001235"/>
    <x v="2"/>
    <x v="3"/>
    <x v="1"/>
    <x v="2"/>
    <x v="3"/>
    <n v="41.43"/>
    <n v="0"/>
    <n v="41.43"/>
    <d v="2025-08-06T00:00:00"/>
    <n v="10"/>
    <n v="2.5131578947368416"/>
    <b v="0"/>
    <m/>
    <n v="27"/>
  </r>
  <r>
    <s v="FB001236"/>
    <x v="0"/>
    <x v="5"/>
    <x v="0"/>
    <x v="1"/>
    <x v="6"/>
    <n v="126.14"/>
    <n v="0"/>
    <n v="126.14"/>
    <d v="2025-05-18T00:00:00"/>
    <n v="24"/>
    <n v="3.6"/>
    <b v="0"/>
    <m/>
    <n v="107"/>
  </r>
  <r>
    <s v="FB001237"/>
    <x v="4"/>
    <x v="0"/>
    <x v="0"/>
    <x v="6"/>
    <x v="9"/>
    <n v="96.76"/>
    <n v="0"/>
    <n v="96.76"/>
    <d v="2025-02-26T00:00:00"/>
    <n v="6"/>
    <n v="2.9210526315789478"/>
    <b v="0"/>
    <m/>
    <n v="188"/>
  </r>
  <r>
    <s v="FB001238"/>
    <x v="1"/>
    <x v="3"/>
    <x v="1"/>
    <x v="5"/>
    <x v="8"/>
    <n v="114.32"/>
    <n v="0"/>
    <n v="114.32"/>
    <d v="2025-08-06T00:00:00"/>
    <n v="27"/>
    <n v="5"/>
    <b v="0"/>
    <m/>
    <n v="27"/>
  </r>
  <r>
    <s v="FB001239"/>
    <x v="3"/>
    <x v="4"/>
    <x v="0"/>
    <x v="3"/>
    <x v="9"/>
    <n v="102.46"/>
    <n v="0"/>
    <n v="102.46"/>
    <d v="2024-12-17T00:00:00"/>
    <n v="20"/>
    <n v="3.7"/>
    <b v="1"/>
    <s v="Quality Issue"/>
    <n v="259"/>
  </r>
  <r>
    <s v="FB001240"/>
    <x v="4"/>
    <x v="1"/>
    <x v="3"/>
    <x v="1"/>
    <x v="1"/>
    <n v="95.7"/>
    <n v="15"/>
    <n v="81.34"/>
    <d v="2025-08-06T00:00:00"/>
    <n v="9"/>
    <n v="4.9000000000000004"/>
    <b v="0"/>
    <m/>
    <n v="27"/>
  </r>
  <r>
    <s v="FB001241"/>
    <x v="4"/>
    <x v="4"/>
    <x v="1"/>
    <x v="6"/>
    <x v="5"/>
    <n v="55.49"/>
    <n v="0"/>
    <n v="55.49"/>
    <d v="2025-08-06T00:00:00"/>
    <n v="25"/>
    <n v="4.5999999999999996"/>
    <b v="0"/>
    <m/>
    <n v="27"/>
  </r>
  <r>
    <s v="FB001242"/>
    <x v="2"/>
    <x v="5"/>
    <x v="1"/>
    <x v="2"/>
    <x v="3"/>
    <n v="30.58"/>
    <n v="9.8000000000000007"/>
    <n v="27.58"/>
    <d v="2025-08-06T00:00:00"/>
    <n v="34"/>
    <n v="3.4"/>
    <b v="0"/>
    <m/>
    <n v="27"/>
  </r>
  <r>
    <s v="FB001243"/>
    <x v="4"/>
    <x v="3"/>
    <x v="2"/>
    <x v="3"/>
    <x v="0"/>
    <n v="116.58"/>
    <n v="0"/>
    <n v="116.58"/>
    <d v="2025-08-06T00:00:00"/>
    <n v="47"/>
    <n v="1.2"/>
    <b v="0"/>
    <m/>
    <n v="27"/>
  </r>
  <r>
    <s v="FB001244"/>
    <x v="5"/>
    <x v="0"/>
    <x v="1"/>
    <x v="0"/>
    <x v="8"/>
    <n v="79.180000000000007"/>
    <n v="21.1"/>
    <n v="62.47"/>
    <d v="2025-08-06T00:00:00"/>
    <n v="36"/>
    <n v="1.5"/>
    <b v="1"/>
    <s v="Changed Mind"/>
    <n v="27"/>
  </r>
  <r>
    <s v="FB001245"/>
    <x v="5"/>
    <x v="7"/>
    <x v="3"/>
    <x v="2"/>
    <x v="8"/>
    <n v="88.71"/>
    <n v="0"/>
    <n v="88.71"/>
    <d v="2025-08-06T00:00:00"/>
    <n v="3"/>
    <n v="3.5"/>
    <b v="0"/>
    <m/>
    <n v="27"/>
  </r>
  <r>
    <s v="FB001246"/>
    <x v="5"/>
    <x v="2"/>
    <x v="0"/>
    <x v="4"/>
    <x v="9"/>
    <n v="150.58000000000001"/>
    <n v="0"/>
    <n v="150.58000000000001"/>
    <d v="2024-12-19T00:00:00"/>
    <n v="38"/>
    <n v="2.1"/>
    <b v="0"/>
    <m/>
    <n v="257"/>
  </r>
  <r>
    <s v="FB001247"/>
    <x v="5"/>
    <x v="1"/>
    <x v="3"/>
    <x v="4"/>
    <x v="3"/>
    <n v="179.9"/>
    <n v="9.3000000000000007"/>
    <n v="163.16999999999999"/>
    <d v="2025-08-06T00:00:00"/>
    <n v="34"/>
    <n v="2.1"/>
    <b v="0"/>
    <m/>
    <n v="27"/>
  </r>
  <r>
    <s v="FB001248"/>
    <x v="0"/>
    <x v="7"/>
    <x v="0"/>
    <x v="0"/>
    <x v="0"/>
    <n v="135.30000000000001"/>
    <n v="0"/>
    <n v="135.30000000000001"/>
    <d v="2025-02-16T00:00:00"/>
    <n v="19"/>
    <n v="4.5999999999999996"/>
    <b v="0"/>
    <m/>
    <n v="198"/>
  </r>
  <r>
    <s v="FB001249"/>
    <x v="3"/>
    <x v="1"/>
    <x v="2"/>
    <x v="4"/>
    <x v="2"/>
    <n v="146.43"/>
    <n v="0"/>
    <n v="146.43"/>
    <d v="2025-08-06T00:00:00"/>
    <n v="7"/>
    <n v="2.5"/>
    <b v="0"/>
    <m/>
    <n v="27"/>
  </r>
  <r>
    <s v="FB001250"/>
    <x v="0"/>
    <x v="7"/>
    <x v="1"/>
    <x v="6"/>
    <x v="6"/>
    <n v="160.27000000000001"/>
    <n v="0"/>
    <n v="160.27000000000001"/>
    <d v="2025-08-06T00:00:00"/>
    <n v="11"/>
    <n v="2"/>
    <b v="0"/>
    <m/>
    <n v="27"/>
  </r>
  <r>
    <s v="FB001251"/>
    <x v="3"/>
    <x v="3"/>
    <x v="1"/>
    <x v="6"/>
    <x v="4"/>
    <n v="169.87"/>
    <n v="8.8000000000000007"/>
    <n v="154.91999999999999"/>
    <d v="2025-08-06T00:00:00"/>
    <n v="36"/>
    <n v="2.1"/>
    <b v="0"/>
    <m/>
    <n v="27"/>
  </r>
  <r>
    <s v="FB001252"/>
    <x v="3"/>
    <x v="5"/>
    <x v="3"/>
    <x v="2"/>
    <x v="4"/>
    <n v="137.33000000000001"/>
    <n v="0"/>
    <n v="137.33000000000001"/>
    <d v="2025-08-06T00:00:00"/>
    <n v="35"/>
    <n v="4.5999999999999996"/>
    <b v="0"/>
    <m/>
    <n v="27"/>
  </r>
  <r>
    <s v="FB001253"/>
    <x v="4"/>
    <x v="7"/>
    <x v="3"/>
    <x v="4"/>
    <x v="0"/>
    <n v="38.18"/>
    <n v="0"/>
    <n v="38.18"/>
    <d v="2025-08-06T00:00:00"/>
    <n v="38"/>
    <n v="3.1021739130434773"/>
    <b v="0"/>
    <m/>
    <n v="27"/>
  </r>
  <r>
    <s v="FB001254"/>
    <x v="1"/>
    <x v="0"/>
    <x v="3"/>
    <x v="4"/>
    <x v="5"/>
    <n v="40.619999999999997"/>
    <n v="20.100000000000001"/>
    <n v="32.46"/>
    <d v="2025-08-06T00:00:00"/>
    <n v="7"/>
    <n v="2.9181818181818175"/>
    <b v="0"/>
    <m/>
    <n v="27"/>
  </r>
  <r>
    <s v="FB001255"/>
    <x v="4"/>
    <x v="4"/>
    <x v="1"/>
    <x v="5"/>
    <x v="2"/>
    <n v="56.4"/>
    <n v="23.3"/>
    <n v="43.26"/>
    <d v="2025-08-06T00:00:00"/>
    <n v="35"/>
    <n v="3.0659090909090896"/>
    <b v="0"/>
    <m/>
    <n v="27"/>
  </r>
  <r>
    <s v="FB001256"/>
    <x v="2"/>
    <x v="7"/>
    <x v="3"/>
    <x v="2"/>
    <x v="6"/>
    <n v="19.559999999999999"/>
    <n v="0"/>
    <n v="19.559999999999999"/>
    <d v="2025-08-06T00:00:00"/>
    <n v="13"/>
    <n v="3.1"/>
    <b v="0"/>
    <m/>
    <n v="27"/>
  </r>
  <r>
    <s v="FB001257"/>
    <x v="3"/>
    <x v="4"/>
    <x v="1"/>
    <x v="1"/>
    <x v="3"/>
    <n v="155.66"/>
    <n v="0"/>
    <n v="155.66"/>
    <d v="2025-08-06T00:00:00"/>
    <n v="3"/>
    <n v="4"/>
    <b v="0"/>
    <m/>
    <n v="27"/>
  </r>
  <r>
    <s v="FB001258"/>
    <x v="1"/>
    <x v="0"/>
    <x v="3"/>
    <x v="3"/>
    <x v="9"/>
    <n v="106.2"/>
    <n v="0"/>
    <n v="106.2"/>
    <d v="2025-08-06T00:00:00"/>
    <n v="10"/>
    <n v="1.1000000000000001"/>
    <b v="0"/>
    <m/>
    <n v="27"/>
  </r>
  <r>
    <s v="FB001259"/>
    <x v="0"/>
    <x v="5"/>
    <x v="2"/>
    <x v="4"/>
    <x v="8"/>
    <n v="158.31"/>
    <n v="0"/>
    <n v="158.31"/>
    <d v="2025-08-06T00:00:00"/>
    <n v="7"/>
    <n v="5"/>
    <b v="0"/>
    <m/>
    <n v="27"/>
  </r>
  <r>
    <s v="FB001260"/>
    <x v="5"/>
    <x v="3"/>
    <x v="0"/>
    <x v="0"/>
    <x v="1"/>
    <n v="102.3"/>
    <n v="42.2"/>
    <n v="59.13"/>
    <d v="2025-05-30T00:00:00"/>
    <n v="43"/>
    <n v="1.3"/>
    <b v="0"/>
    <m/>
    <n v="95"/>
  </r>
  <r>
    <s v="FB001261"/>
    <x v="2"/>
    <x v="6"/>
    <x v="2"/>
    <x v="2"/>
    <x v="8"/>
    <n v="53.46"/>
    <n v="58"/>
    <n v="22.45"/>
    <d v="2025-08-06T00:00:00"/>
    <n v="6"/>
    <n v="4.2"/>
    <b v="0"/>
    <m/>
    <n v="27"/>
  </r>
  <r>
    <s v="FB001262"/>
    <x v="5"/>
    <x v="1"/>
    <x v="3"/>
    <x v="5"/>
    <x v="5"/>
    <n v="101.78"/>
    <n v="22.9"/>
    <n v="78.47"/>
    <d v="2025-08-06T00:00:00"/>
    <n v="5"/>
    <n v="1.2"/>
    <b v="1"/>
    <s v="Damaged"/>
    <n v="27"/>
  </r>
  <r>
    <s v="FB001263"/>
    <x v="0"/>
    <x v="2"/>
    <x v="3"/>
    <x v="6"/>
    <x v="4"/>
    <n v="112.28"/>
    <n v="0"/>
    <n v="112.28"/>
    <d v="2025-08-06T00:00:00"/>
    <n v="41"/>
    <n v="4.0999999999999996"/>
    <b v="0"/>
    <m/>
    <n v="27"/>
  </r>
  <r>
    <s v="FB001264"/>
    <x v="2"/>
    <x v="2"/>
    <x v="1"/>
    <x v="2"/>
    <x v="1"/>
    <n v="47.51"/>
    <n v="0"/>
    <n v="47.51"/>
    <d v="2025-08-06T00:00:00"/>
    <n v="39"/>
    <n v="4.4000000000000004"/>
    <b v="0"/>
    <m/>
    <n v="27"/>
  </r>
  <r>
    <s v="FB001265"/>
    <x v="1"/>
    <x v="1"/>
    <x v="1"/>
    <x v="4"/>
    <x v="7"/>
    <n v="80.39"/>
    <n v="0"/>
    <n v="80.39"/>
    <d v="2025-08-06T00:00:00"/>
    <n v="24"/>
    <n v="3.34"/>
    <b v="0"/>
    <m/>
    <n v="27"/>
  </r>
  <r>
    <s v="FB001266"/>
    <x v="4"/>
    <x v="3"/>
    <x v="1"/>
    <x v="1"/>
    <x v="0"/>
    <n v="64.75"/>
    <n v="26.4"/>
    <n v="47.66"/>
    <d v="2025-08-06T00:00:00"/>
    <n v="7"/>
    <n v="2.9"/>
    <b v="1"/>
    <s v="Wrong Item"/>
    <n v="27"/>
  </r>
  <r>
    <s v="FB001267"/>
    <x v="0"/>
    <x v="0"/>
    <x v="1"/>
    <x v="1"/>
    <x v="0"/>
    <n v="129.86000000000001"/>
    <n v="0"/>
    <n v="129.86000000000001"/>
    <d v="2025-08-06T00:00:00"/>
    <n v="41"/>
    <n v="1.7"/>
    <b v="0"/>
    <m/>
    <n v="27"/>
  </r>
  <r>
    <s v="FB001268"/>
    <x v="4"/>
    <x v="2"/>
    <x v="0"/>
    <x v="1"/>
    <x v="6"/>
    <n v="32.74"/>
    <n v="0"/>
    <n v="32.74"/>
    <d v="2024-08-12T00:00:00"/>
    <n v="23"/>
    <n v="4"/>
    <b v="1"/>
    <s v="Damaged"/>
    <n v="386"/>
  </r>
  <r>
    <s v="FB001269"/>
    <x v="4"/>
    <x v="1"/>
    <x v="0"/>
    <x v="1"/>
    <x v="5"/>
    <n v="79.27"/>
    <n v="0"/>
    <n v="79.27"/>
    <d v="2025-05-11T00:00:00"/>
    <n v="13"/>
    <n v="3.5"/>
    <b v="0"/>
    <m/>
    <n v="114"/>
  </r>
  <r>
    <s v="FB001270"/>
    <x v="1"/>
    <x v="7"/>
    <x v="0"/>
    <x v="3"/>
    <x v="7"/>
    <n v="119.38"/>
    <n v="0"/>
    <n v="119.38"/>
    <d v="2025-02-20T00:00:00"/>
    <n v="18"/>
    <n v="4.4000000000000004"/>
    <b v="0"/>
    <m/>
    <n v="194"/>
  </r>
  <r>
    <s v="FB001271"/>
    <x v="5"/>
    <x v="4"/>
    <x v="1"/>
    <x v="3"/>
    <x v="3"/>
    <n v="66.17"/>
    <n v="0"/>
    <n v="66.17"/>
    <d v="2025-08-06T00:00:00"/>
    <n v="1"/>
    <n v="3.1051282051282048"/>
    <b v="0"/>
    <m/>
    <n v="27"/>
  </r>
  <r>
    <s v="FB001272"/>
    <x v="2"/>
    <x v="4"/>
    <x v="2"/>
    <x v="2"/>
    <x v="9"/>
    <n v="68.3"/>
    <n v="8"/>
    <n v="62.84"/>
    <d v="2025-08-06T00:00:00"/>
    <n v="18"/>
    <n v="3.1"/>
    <b v="0"/>
    <m/>
    <n v="27"/>
  </r>
  <r>
    <s v="FB001273"/>
    <x v="0"/>
    <x v="3"/>
    <x v="2"/>
    <x v="1"/>
    <x v="9"/>
    <n v="209.66"/>
    <n v="0"/>
    <n v="209.66"/>
    <d v="2025-08-06T00:00:00"/>
    <n v="30"/>
    <n v="2.1"/>
    <b v="0"/>
    <m/>
    <n v="27"/>
  </r>
  <r>
    <s v="FB001274"/>
    <x v="3"/>
    <x v="1"/>
    <x v="3"/>
    <x v="5"/>
    <x v="5"/>
    <n v="154.82"/>
    <n v="0"/>
    <n v="154.82"/>
    <d v="2025-08-06T00:00:00"/>
    <n v="31"/>
    <n v="2.8205128205128198"/>
    <b v="0"/>
    <m/>
    <n v="27"/>
  </r>
  <r>
    <s v="FB001275"/>
    <x v="4"/>
    <x v="4"/>
    <x v="1"/>
    <x v="3"/>
    <x v="4"/>
    <n v="37.53"/>
    <n v="0"/>
    <n v="37.53"/>
    <d v="2025-08-06T00:00:00"/>
    <n v="8"/>
    <n v="3"/>
    <b v="1"/>
    <s v="Changed Mind"/>
    <n v="27"/>
  </r>
  <r>
    <s v="FB001276"/>
    <x v="3"/>
    <x v="0"/>
    <x v="3"/>
    <x v="5"/>
    <x v="2"/>
    <n v="140.28"/>
    <n v="0"/>
    <n v="140.28"/>
    <d v="2025-08-06T00:00:00"/>
    <n v="10"/>
    <n v="1.9"/>
    <b v="0"/>
    <m/>
    <n v="27"/>
  </r>
  <r>
    <s v="FB001277"/>
    <x v="3"/>
    <x v="1"/>
    <x v="3"/>
    <x v="5"/>
    <x v="3"/>
    <n v="171.07"/>
    <n v="0"/>
    <n v="171.07"/>
    <d v="2025-08-06T00:00:00"/>
    <n v="25"/>
    <n v="3"/>
    <b v="0"/>
    <m/>
    <n v="27"/>
  </r>
  <r>
    <s v="FB001278"/>
    <x v="1"/>
    <x v="0"/>
    <x v="3"/>
    <x v="6"/>
    <x v="9"/>
    <n v="77.87"/>
    <n v="0"/>
    <n v="77.87"/>
    <d v="2025-08-06T00:00:00"/>
    <n v="4"/>
    <n v="2.7"/>
    <b v="0"/>
    <m/>
    <n v="27"/>
  </r>
  <r>
    <s v="FB001279"/>
    <x v="1"/>
    <x v="4"/>
    <x v="0"/>
    <x v="0"/>
    <x v="8"/>
    <n v="80.540000000000006"/>
    <n v="0"/>
    <n v="80.540000000000006"/>
    <d v="2024-12-10T00:00:00"/>
    <n v="50"/>
    <n v="2.1"/>
    <b v="0"/>
    <m/>
    <n v="266"/>
  </r>
  <r>
    <s v="FB001280"/>
    <x v="4"/>
    <x v="1"/>
    <x v="3"/>
    <x v="3"/>
    <x v="3"/>
    <n v="48.68"/>
    <n v="41.7"/>
    <n v="28.38"/>
    <d v="2025-08-06T00:00:00"/>
    <n v="20"/>
    <n v="1.3"/>
    <b v="1"/>
    <s v="Damaged"/>
    <n v="27"/>
  </r>
  <r>
    <s v="FB001281"/>
    <x v="3"/>
    <x v="5"/>
    <x v="1"/>
    <x v="5"/>
    <x v="9"/>
    <n v="137.83000000000001"/>
    <n v="0"/>
    <n v="137.83000000000001"/>
    <d v="2025-08-06T00:00:00"/>
    <n v="32"/>
    <n v="3.4"/>
    <b v="1"/>
    <s v="Changed Mind"/>
    <n v="27"/>
  </r>
  <r>
    <s v="FB001282"/>
    <x v="4"/>
    <x v="0"/>
    <x v="2"/>
    <x v="4"/>
    <x v="10"/>
    <n v="96.88"/>
    <n v="44.8"/>
    <n v="53.48"/>
    <d v="2025-08-06T00:00:00"/>
    <n v="15"/>
    <n v="1.3"/>
    <b v="0"/>
    <m/>
    <n v="27"/>
  </r>
  <r>
    <s v="FB001283"/>
    <x v="1"/>
    <x v="4"/>
    <x v="0"/>
    <x v="0"/>
    <x v="5"/>
    <n v="46.44"/>
    <n v="36.799999999999997"/>
    <n v="29.35"/>
    <d v="2025-03-11T00:00:00"/>
    <n v="19"/>
    <n v="1.9"/>
    <b v="0"/>
    <m/>
    <n v="175"/>
  </r>
  <r>
    <s v="FB001284"/>
    <x v="4"/>
    <x v="6"/>
    <x v="1"/>
    <x v="1"/>
    <x v="10"/>
    <n v="86.4"/>
    <n v="0"/>
    <n v="86.4"/>
    <d v="2025-08-06T00:00:00"/>
    <n v="26"/>
    <n v="3.7"/>
    <b v="0"/>
    <m/>
    <n v="27"/>
  </r>
  <r>
    <s v="FB001285"/>
    <x v="4"/>
    <x v="3"/>
    <x v="2"/>
    <x v="4"/>
    <x v="6"/>
    <n v="113.83"/>
    <n v="51.6"/>
    <n v="55.09"/>
    <d v="2025-08-06T00:00:00"/>
    <n v="12"/>
    <n v="2.9"/>
    <b v="0"/>
    <m/>
    <n v="27"/>
  </r>
  <r>
    <s v="FB001286"/>
    <x v="4"/>
    <x v="0"/>
    <x v="3"/>
    <x v="5"/>
    <x v="9"/>
    <n v="64.680000000000007"/>
    <n v="42.9"/>
    <n v="36.93"/>
    <d v="2025-08-06T00:00:00"/>
    <n v="36"/>
    <n v="2.9210526315789478"/>
    <b v="0"/>
    <m/>
    <n v="27"/>
  </r>
  <r>
    <s v="FB001287"/>
    <x v="3"/>
    <x v="7"/>
    <x v="2"/>
    <x v="2"/>
    <x v="7"/>
    <n v="123.23"/>
    <n v="0"/>
    <n v="123.23"/>
    <d v="2025-08-06T00:00:00"/>
    <n v="40"/>
    <n v="4.3"/>
    <b v="0"/>
    <m/>
    <n v="27"/>
  </r>
  <r>
    <s v="FB001288"/>
    <x v="2"/>
    <x v="5"/>
    <x v="1"/>
    <x v="2"/>
    <x v="0"/>
    <n v="69.69"/>
    <n v="0"/>
    <n v="69.69"/>
    <d v="2025-08-06T00:00:00"/>
    <n v="35"/>
    <n v="3"/>
    <b v="0"/>
    <m/>
    <n v="27"/>
  </r>
  <r>
    <s v="FB001289"/>
    <x v="2"/>
    <x v="2"/>
    <x v="1"/>
    <x v="2"/>
    <x v="6"/>
    <n v="46.15"/>
    <n v="24.4"/>
    <n v="34.89"/>
    <d v="2025-08-06T00:00:00"/>
    <n v="31"/>
    <n v="4.4000000000000004"/>
    <b v="1"/>
    <s v="Size Issue"/>
    <n v="27"/>
  </r>
  <r>
    <s v="FB001290"/>
    <x v="0"/>
    <x v="4"/>
    <x v="3"/>
    <x v="5"/>
    <x v="8"/>
    <n v="229.8"/>
    <n v="0"/>
    <n v="229.8"/>
    <d v="2025-08-06T00:00:00"/>
    <n v="46"/>
    <n v="3.6"/>
    <b v="0"/>
    <m/>
    <n v="27"/>
  </r>
  <r>
    <s v="FB001291"/>
    <x v="0"/>
    <x v="1"/>
    <x v="2"/>
    <x v="5"/>
    <x v="9"/>
    <n v="179.44"/>
    <n v="19.600000000000001"/>
    <n v="144.27000000000001"/>
    <d v="2025-08-06T00:00:00"/>
    <n v="42"/>
    <n v="3"/>
    <b v="0"/>
    <m/>
    <n v="27"/>
  </r>
  <r>
    <s v="FB001292"/>
    <x v="3"/>
    <x v="2"/>
    <x v="2"/>
    <x v="1"/>
    <x v="6"/>
    <n v="80.959999999999994"/>
    <n v="56.3"/>
    <n v="35.380000000000003"/>
    <d v="2025-08-06T00:00:00"/>
    <n v="41"/>
    <n v="2.2000000000000002"/>
    <b v="1"/>
    <s v="Changed Mind"/>
    <n v="27"/>
  </r>
  <r>
    <s v="FB001293"/>
    <x v="4"/>
    <x v="1"/>
    <x v="2"/>
    <x v="1"/>
    <x v="6"/>
    <n v="62.3"/>
    <n v="19.2"/>
    <n v="50.34"/>
    <d v="2025-08-06T00:00:00"/>
    <n v="9"/>
    <n v="2.5"/>
    <b v="0"/>
    <m/>
    <n v="27"/>
  </r>
  <r>
    <s v="FB001294"/>
    <x v="2"/>
    <x v="1"/>
    <x v="2"/>
    <x v="2"/>
    <x v="7"/>
    <n v="58.83"/>
    <n v="12.5"/>
    <n v="51.48"/>
    <d v="2025-08-06T00:00:00"/>
    <n v="3"/>
    <n v="1.5"/>
    <b v="0"/>
    <m/>
    <n v="27"/>
  </r>
  <r>
    <s v="FB001295"/>
    <x v="1"/>
    <x v="4"/>
    <x v="3"/>
    <x v="4"/>
    <x v="8"/>
    <n v="119.04"/>
    <n v="1.7"/>
    <n v="117.02"/>
    <d v="2025-08-06T00:00:00"/>
    <n v="34"/>
    <n v="4.0999999999999996"/>
    <b v="0"/>
    <m/>
    <n v="27"/>
  </r>
  <r>
    <s v="FB001296"/>
    <x v="0"/>
    <x v="0"/>
    <x v="3"/>
    <x v="3"/>
    <x v="8"/>
    <n v="80.540000000000006"/>
    <n v="0"/>
    <n v="80.540000000000006"/>
    <d v="2025-08-06T00:00:00"/>
    <n v="3"/>
    <n v="1.8"/>
    <b v="1"/>
    <s v="Size Issue"/>
    <n v="27"/>
  </r>
  <r>
    <s v="FB001297"/>
    <x v="4"/>
    <x v="2"/>
    <x v="1"/>
    <x v="5"/>
    <x v="2"/>
    <n v="47.32"/>
    <n v="25.7"/>
    <n v="35.159999999999997"/>
    <d v="2025-08-06T00:00:00"/>
    <n v="2"/>
    <n v="3.2"/>
    <b v="0"/>
    <m/>
    <n v="27"/>
  </r>
  <r>
    <s v="FB001298"/>
    <x v="3"/>
    <x v="6"/>
    <x v="1"/>
    <x v="0"/>
    <x v="1"/>
    <n v="104.57"/>
    <n v="27.4"/>
    <n v="75.92"/>
    <d v="2025-08-06T00:00:00"/>
    <n v="7"/>
    <n v="1"/>
    <b v="1"/>
    <s v="Quality Issue"/>
    <n v="27"/>
  </r>
  <r>
    <s v="FB001299"/>
    <x v="2"/>
    <x v="0"/>
    <x v="1"/>
    <x v="2"/>
    <x v="5"/>
    <n v="38.369999999999997"/>
    <n v="23.3"/>
    <n v="29.43"/>
    <d v="2025-08-06T00:00:00"/>
    <n v="22"/>
    <n v="1.4"/>
    <b v="0"/>
    <m/>
    <n v="27"/>
  </r>
  <r>
    <s v="FB001300"/>
    <x v="0"/>
    <x v="4"/>
    <x v="1"/>
    <x v="2"/>
    <x v="0"/>
    <n v="86.3"/>
    <n v="0"/>
    <n v="86.3"/>
    <d v="2025-08-06T00:00:00"/>
    <n v="33"/>
    <n v="3.9"/>
    <b v="0"/>
    <m/>
    <n v="27"/>
  </r>
  <r>
    <s v="FB001301"/>
    <x v="2"/>
    <x v="3"/>
    <x v="1"/>
    <x v="2"/>
    <x v="9"/>
    <n v="64.89"/>
    <n v="4.2"/>
    <n v="62.16"/>
    <d v="2025-08-06T00:00:00"/>
    <n v="40"/>
    <n v="1.4"/>
    <b v="0"/>
    <m/>
    <n v="27"/>
  </r>
  <r>
    <s v="FB001302"/>
    <x v="2"/>
    <x v="3"/>
    <x v="2"/>
    <x v="2"/>
    <x v="8"/>
    <n v="53.64"/>
    <n v="0"/>
    <n v="53.64"/>
    <d v="2025-08-06T00:00:00"/>
    <n v="18"/>
    <n v="2.2999999999999998"/>
    <b v="0"/>
    <m/>
    <n v="27"/>
  </r>
  <r>
    <s v="FB001303"/>
    <x v="5"/>
    <x v="3"/>
    <x v="3"/>
    <x v="4"/>
    <x v="1"/>
    <n v="113.81"/>
    <n v="9.1999999999999993"/>
    <n v="103.34"/>
    <d v="2025-08-06T00:00:00"/>
    <n v="11"/>
    <n v="2.4"/>
    <b v="0"/>
    <m/>
    <n v="27"/>
  </r>
  <r>
    <s v="FB001304"/>
    <x v="1"/>
    <x v="5"/>
    <x v="3"/>
    <x v="4"/>
    <x v="7"/>
    <n v="40.119999999999997"/>
    <n v="27.7"/>
    <n v="29.01"/>
    <d v="2025-08-06T00:00:00"/>
    <n v="29"/>
    <n v="1.7"/>
    <b v="1"/>
    <s v="Size Issue"/>
    <n v="27"/>
  </r>
  <r>
    <s v="FB001305"/>
    <x v="1"/>
    <x v="6"/>
    <x v="1"/>
    <x v="6"/>
    <x v="2"/>
    <n v="49.64"/>
    <n v="30.9"/>
    <n v="34.299999999999997"/>
    <d v="2025-08-06T00:00:00"/>
    <n v="21"/>
    <n v="2"/>
    <b v="0"/>
    <m/>
    <n v="27"/>
  </r>
  <r>
    <s v="FB001306"/>
    <x v="4"/>
    <x v="7"/>
    <x v="3"/>
    <x v="1"/>
    <x v="10"/>
    <n v="117.64"/>
    <n v="54.2"/>
    <n v="53.88"/>
    <d v="2025-08-06T00:00:00"/>
    <n v="25"/>
    <n v="4.5999999999999996"/>
    <b v="1"/>
    <s v="Wrong Item"/>
    <n v="27"/>
  </r>
  <r>
    <s v="FB001307"/>
    <x v="2"/>
    <x v="3"/>
    <x v="3"/>
    <x v="2"/>
    <x v="0"/>
    <n v="69.78"/>
    <n v="3.7"/>
    <n v="67.2"/>
    <d v="2025-08-06T00:00:00"/>
    <n v="14"/>
    <n v="3.2"/>
    <b v="0"/>
    <m/>
    <n v="27"/>
  </r>
  <r>
    <s v="FB001308"/>
    <x v="2"/>
    <x v="7"/>
    <x v="0"/>
    <x v="2"/>
    <x v="3"/>
    <n v="29.91"/>
    <n v="18.399999999999999"/>
    <n v="24.41"/>
    <d v="2025-03-03T00:00:00"/>
    <n v="10"/>
    <n v="4.9000000000000004"/>
    <b v="0"/>
    <m/>
    <n v="183"/>
  </r>
  <r>
    <s v="FB001309"/>
    <x v="3"/>
    <x v="4"/>
    <x v="2"/>
    <x v="0"/>
    <x v="2"/>
    <n v="187.11"/>
    <n v="43.3"/>
    <n v="106.09"/>
    <d v="2025-08-06T00:00:00"/>
    <n v="26"/>
    <n v="3"/>
    <b v="0"/>
    <m/>
    <n v="27"/>
  </r>
  <r>
    <s v="FB001310"/>
    <x v="2"/>
    <x v="5"/>
    <x v="3"/>
    <x v="2"/>
    <x v="7"/>
    <n v="40.04"/>
    <n v="15.8"/>
    <n v="33.71"/>
    <d v="2025-08-06T00:00:00"/>
    <n v="31"/>
    <n v="1.8"/>
    <b v="0"/>
    <m/>
    <n v="27"/>
  </r>
  <r>
    <s v="FB001311"/>
    <x v="5"/>
    <x v="3"/>
    <x v="0"/>
    <x v="5"/>
    <x v="7"/>
    <n v="113.44"/>
    <n v="23.4"/>
    <n v="86.9"/>
    <d v="2025-03-07T00:00:00"/>
    <n v="1"/>
    <n v="2.8372093023255811"/>
    <b v="0"/>
    <m/>
    <n v="179"/>
  </r>
  <r>
    <s v="FB001312"/>
    <x v="4"/>
    <x v="0"/>
    <x v="0"/>
    <x v="3"/>
    <x v="4"/>
    <n v="119.84"/>
    <n v="0"/>
    <n v="119.84"/>
    <d v="2024-09-27T00:00:00"/>
    <n v="47"/>
    <n v="1.4"/>
    <b v="0"/>
    <m/>
    <n v="340"/>
  </r>
  <r>
    <s v="FB001313"/>
    <x v="3"/>
    <x v="1"/>
    <x v="2"/>
    <x v="4"/>
    <x v="10"/>
    <n v="167.27"/>
    <n v="0"/>
    <n v="167.27"/>
    <d v="2025-08-06T00:00:00"/>
    <n v="9"/>
    <n v="4"/>
    <b v="0"/>
    <m/>
    <n v="27"/>
  </r>
  <r>
    <s v="FB001314"/>
    <x v="5"/>
    <x v="2"/>
    <x v="0"/>
    <x v="0"/>
    <x v="5"/>
    <n v="148"/>
    <n v="1.1000000000000001"/>
    <n v="146.37"/>
    <d v="2025-02-23T00:00:00"/>
    <n v="43"/>
    <n v="2"/>
    <b v="0"/>
    <m/>
    <n v="191"/>
  </r>
  <r>
    <s v="FB001315"/>
    <x v="4"/>
    <x v="4"/>
    <x v="1"/>
    <x v="4"/>
    <x v="0"/>
    <n v="65.34"/>
    <n v="49.8"/>
    <n v="32.799999999999997"/>
    <d v="2025-08-06T00:00:00"/>
    <n v="9"/>
    <n v="3.0659090909090896"/>
    <b v="0"/>
    <m/>
    <n v="27"/>
  </r>
  <r>
    <s v="FB001316"/>
    <x v="3"/>
    <x v="2"/>
    <x v="0"/>
    <x v="6"/>
    <x v="6"/>
    <n v="84.57"/>
    <n v="5.4"/>
    <n v="80"/>
    <d v="2025-07-17T00:00:00"/>
    <n v="33"/>
    <n v="3.1936170212765949"/>
    <b v="0"/>
    <m/>
    <n v="47"/>
  </r>
  <r>
    <s v="FB001317"/>
    <x v="4"/>
    <x v="6"/>
    <x v="3"/>
    <x v="5"/>
    <x v="4"/>
    <n v="52.6"/>
    <n v="0"/>
    <n v="52.6"/>
    <d v="2025-08-06T00:00:00"/>
    <n v="35"/>
    <n v="1.2"/>
    <b v="1"/>
    <s v="Color Mismatch"/>
    <n v="27"/>
  </r>
  <r>
    <s v="FB001318"/>
    <x v="3"/>
    <x v="1"/>
    <x v="3"/>
    <x v="1"/>
    <x v="6"/>
    <n v="106.37"/>
    <n v="0"/>
    <n v="106.37"/>
    <d v="2025-08-06T00:00:00"/>
    <n v="30"/>
    <n v="1.1000000000000001"/>
    <b v="0"/>
    <m/>
    <n v="27"/>
  </r>
  <r>
    <s v="FB001319"/>
    <x v="1"/>
    <x v="6"/>
    <x v="3"/>
    <x v="4"/>
    <x v="2"/>
    <n v="96.77"/>
    <n v="40.4"/>
    <n v="57.67"/>
    <d v="2025-08-06T00:00:00"/>
    <n v="31"/>
    <n v="4.5"/>
    <b v="0"/>
    <m/>
    <n v="27"/>
  </r>
  <r>
    <s v="FB001320"/>
    <x v="0"/>
    <x v="2"/>
    <x v="0"/>
    <x v="1"/>
    <x v="10"/>
    <n v="99.02"/>
    <n v="0"/>
    <n v="99.02"/>
    <d v="2024-10-16T00:00:00"/>
    <n v="21"/>
    <n v="1.2"/>
    <b v="0"/>
    <m/>
    <n v="321"/>
  </r>
  <r>
    <s v="FB001321"/>
    <x v="2"/>
    <x v="0"/>
    <x v="0"/>
    <x v="2"/>
    <x v="9"/>
    <n v="68.89"/>
    <n v="36.9"/>
    <n v="43.47"/>
    <d v="2024-12-05T00:00:00"/>
    <n v="9"/>
    <n v="1.8"/>
    <b v="0"/>
    <m/>
    <n v="271"/>
  </r>
  <r>
    <s v="FB001322"/>
    <x v="5"/>
    <x v="4"/>
    <x v="0"/>
    <x v="3"/>
    <x v="1"/>
    <n v="63.91"/>
    <n v="3.5"/>
    <n v="61.67"/>
    <d v="2025-05-19T00:00:00"/>
    <n v="14"/>
    <n v="2.1"/>
    <b v="0"/>
    <m/>
    <n v="106"/>
  </r>
  <r>
    <s v="FB001323"/>
    <x v="3"/>
    <x v="3"/>
    <x v="2"/>
    <x v="3"/>
    <x v="8"/>
    <n v="116.38"/>
    <n v="11.4"/>
    <n v="103.11"/>
    <d v="2025-08-06T00:00:00"/>
    <n v="15"/>
    <n v="2.9804347826086954"/>
    <b v="0"/>
    <m/>
    <n v="27"/>
  </r>
  <r>
    <s v="FB001324"/>
    <x v="4"/>
    <x v="1"/>
    <x v="2"/>
    <x v="5"/>
    <x v="6"/>
    <n v="71.739999999999995"/>
    <n v="0"/>
    <n v="71.739999999999995"/>
    <d v="2025-08-06T00:00:00"/>
    <n v="16"/>
    <n v="3.0846153846153843"/>
    <b v="0"/>
    <m/>
    <n v="27"/>
  </r>
  <r>
    <s v="FB001325"/>
    <x v="4"/>
    <x v="7"/>
    <x v="1"/>
    <x v="6"/>
    <x v="7"/>
    <n v="91.11"/>
    <n v="0"/>
    <n v="91.11"/>
    <d v="2025-08-06T00:00:00"/>
    <n v="38"/>
    <n v="3.3"/>
    <b v="0"/>
    <m/>
    <n v="27"/>
  </r>
  <r>
    <s v="FB001326"/>
    <x v="2"/>
    <x v="0"/>
    <x v="3"/>
    <x v="2"/>
    <x v="3"/>
    <n v="46.07"/>
    <n v="0"/>
    <n v="46.07"/>
    <d v="2025-08-06T00:00:00"/>
    <n v="25"/>
    <n v="2.5"/>
    <b v="0"/>
    <m/>
    <n v="27"/>
  </r>
  <r>
    <s v="FB001327"/>
    <x v="5"/>
    <x v="3"/>
    <x v="2"/>
    <x v="3"/>
    <x v="6"/>
    <n v="156.27000000000001"/>
    <n v="0"/>
    <n v="156.27000000000001"/>
    <d v="2025-08-06T00:00:00"/>
    <n v="43"/>
    <n v="2.8372093023255811"/>
    <b v="0"/>
    <m/>
    <n v="27"/>
  </r>
  <r>
    <s v="FB001328"/>
    <x v="1"/>
    <x v="3"/>
    <x v="2"/>
    <x v="5"/>
    <x v="1"/>
    <n v="56.35"/>
    <n v="0"/>
    <n v="56.35"/>
    <d v="2025-08-06T00:00:00"/>
    <n v="31"/>
    <n v="1.5"/>
    <b v="0"/>
    <m/>
    <n v="27"/>
  </r>
  <r>
    <s v="FB001329"/>
    <x v="4"/>
    <x v="0"/>
    <x v="1"/>
    <x v="5"/>
    <x v="9"/>
    <n v="118.21"/>
    <n v="23.1"/>
    <n v="90.9"/>
    <d v="2025-08-06T00:00:00"/>
    <n v="15"/>
    <n v="5"/>
    <b v="0"/>
    <m/>
    <n v="27"/>
  </r>
  <r>
    <s v="FB001330"/>
    <x v="1"/>
    <x v="6"/>
    <x v="2"/>
    <x v="5"/>
    <x v="7"/>
    <n v="25.86"/>
    <n v="0"/>
    <n v="25.86"/>
    <d v="2025-08-06T00:00:00"/>
    <n v="46"/>
    <n v="1.5"/>
    <b v="0"/>
    <m/>
    <n v="27"/>
  </r>
  <r>
    <s v="FB001331"/>
    <x v="1"/>
    <x v="4"/>
    <x v="2"/>
    <x v="3"/>
    <x v="6"/>
    <n v="91.67"/>
    <n v="23.7"/>
    <n v="69.94"/>
    <d v="2025-08-06T00:00:00"/>
    <n v="3"/>
    <n v="3.7"/>
    <b v="0"/>
    <m/>
    <n v="27"/>
  </r>
  <r>
    <s v="FB001332"/>
    <x v="4"/>
    <x v="1"/>
    <x v="2"/>
    <x v="1"/>
    <x v="5"/>
    <n v="25.29"/>
    <n v="7.9"/>
    <n v="23.29"/>
    <d v="2025-08-06T00:00:00"/>
    <n v="39"/>
    <n v="1.7"/>
    <b v="0"/>
    <m/>
    <n v="27"/>
  </r>
  <r>
    <s v="FB001333"/>
    <x v="2"/>
    <x v="4"/>
    <x v="1"/>
    <x v="2"/>
    <x v="8"/>
    <n v="51.61"/>
    <n v="32.200000000000003"/>
    <n v="34.99"/>
    <d v="2025-08-06T00:00:00"/>
    <n v="34"/>
    <n v="4.8"/>
    <b v="0"/>
    <m/>
    <n v="27"/>
  </r>
  <r>
    <s v="FB001334"/>
    <x v="0"/>
    <x v="2"/>
    <x v="3"/>
    <x v="0"/>
    <x v="2"/>
    <n v="143.61000000000001"/>
    <n v="24.6"/>
    <n v="108.28"/>
    <d v="2025-08-06T00:00:00"/>
    <n v="50"/>
    <n v="4.0999999999999996"/>
    <b v="0"/>
    <m/>
    <n v="27"/>
  </r>
  <r>
    <s v="FB001335"/>
    <x v="4"/>
    <x v="6"/>
    <x v="3"/>
    <x v="1"/>
    <x v="0"/>
    <n v="45.48"/>
    <n v="0"/>
    <n v="45.48"/>
    <d v="2025-08-06T00:00:00"/>
    <n v="29"/>
    <n v="2.2999999999999998"/>
    <b v="0"/>
    <m/>
    <n v="27"/>
  </r>
  <r>
    <s v="FB001336"/>
    <x v="3"/>
    <x v="0"/>
    <x v="3"/>
    <x v="2"/>
    <x v="3"/>
    <n v="177.79"/>
    <n v="10.7"/>
    <n v="158.77000000000001"/>
    <d v="2025-08-06T00:00:00"/>
    <n v="37"/>
    <n v="2.9153846153846157"/>
    <b v="0"/>
    <m/>
    <n v="27"/>
  </r>
  <r>
    <s v="FB001337"/>
    <x v="0"/>
    <x v="6"/>
    <x v="2"/>
    <x v="5"/>
    <x v="9"/>
    <n v="145.1"/>
    <n v="34.200000000000003"/>
    <n v="95.48"/>
    <d v="2025-08-06T00:00:00"/>
    <n v="14"/>
    <n v="2.9034482758620692"/>
    <b v="0"/>
    <m/>
    <n v="27"/>
  </r>
  <r>
    <s v="FB001338"/>
    <x v="3"/>
    <x v="5"/>
    <x v="3"/>
    <x v="4"/>
    <x v="8"/>
    <n v="190.78"/>
    <n v="0"/>
    <n v="190.78"/>
    <d v="2025-08-06T00:00:00"/>
    <n v="39"/>
    <n v="3.7"/>
    <b v="0"/>
    <m/>
    <n v="27"/>
  </r>
  <r>
    <s v="FB001339"/>
    <x v="2"/>
    <x v="7"/>
    <x v="2"/>
    <x v="2"/>
    <x v="5"/>
    <n v="44.73"/>
    <n v="0"/>
    <n v="44.73"/>
    <d v="2025-08-06T00:00:00"/>
    <n v="25"/>
    <n v="1.1000000000000001"/>
    <b v="0"/>
    <m/>
    <n v="27"/>
  </r>
  <r>
    <s v="FB001340"/>
    <x v="3"/>
    <x v="2"/>
    <x v="1"/>
    <x v="4"/>
    <x v="3"/>
    <n v="65.48"/>
    <n v="0"/>
    <n v="65.48"/>
    <d v="2025-08-06T00:00:00"/>
    <n v="7"/>
    <n v="4.5999999999999996"/>
    <b v="0"/>
    <m/>
    <n v="27"/>
  </r>
  <r>
    <s v="FB001341"/>
    <x v="3"/>
    <x v="6"/>
    <x v="0"/>
    <x v="5"/>
    <x v="9"/>
    <n v="86.1"/>
    <n v="0"/>
    <n v="86.1"/>
    <d v="2024-12-27T00:00:00"/>
    <n v="4"/>
    <n v="2.4"/>
    <b v="0"/>
    <m/>
    <n v="249"/>
  </r>
  <r>
    <s v="FB001342"/>
    <x v="4"/>
    <x v="1"/>
    <x v="1"/>
    <x v="5"/>
    <x v="6"/>
    <n v="100.14"/>
    <n v="0"/>
    <n v="100.14"/>
    <d v="2025-08-06T00:00:00"/>
    <n v="48"/>
    <n v="4.2"/>
    <b v="0"/>
    <m/>
    <n v="27"/>
  </r>
  <r>
    <s v="FB001343"/>
    <x v="0"/>
    <x v="2"/>
    <x v="1"/>
    <x v="2"/>
    <x v="0"/>
    <n v="203.4"/>
    <n v="0"/>
    <n v="203.4"/>
    <d v="2025-08-06T00:00:00"/>
    <n v="18"/>
    <n v="1.8"/>
    <b v="0"/>
    <m/>
    <n v="27"/>
  </r>
  <r>
    <s v="FB001344"/>
    <x v="1"/>
    <x v="6"/>
    <x v="1"/>
    <x v="5"/>
    <x v="3"/>
    <n v="95.22"/>
    <n v="24.4"/>
    <n v="71.989999999999995"/>
    <d v="2025-08-06T00:00:00"/>
    <n v="26"/>
    <n v="2.2999999999999998"/>
    <b v="0"/>
    <m/>
    <n v="27"/>
  </r>
  <r>
    <s v="FB001345"/>
    <x v="5"/>
    <x v="4"/>
    <x v="2"/>
    <x v="0"/>
    <x v="0"/>
    <n v="173.88"/>
    <n v="31.6"/>
    <n v="118.93"/>
    <d v="2025-08-06T00:00:00"/>
    <n v="5"/>
    <n v="3.2"/>
    <b v="0"/>
    <m/>
    <n v="27"/>
  </r>
  <r>
    <s v="FB001346"/>
    <x v="5"/>
    <x v="4"/>
    <x v="1"/>
    <x v="1"/>
    <x v="7"/>
    <n v="160.05000000000001"/>
    <n v="0"/>
    <n v="160.05000000000001"/>
    <d v="2025-08-06T00:00:00"/>
    <n v="23"/>
    <n v="4"/>
    <b v="0"/>
    <m/>
    <n v="27"/>
  </r>
  <r>
    <s v="FB001347"/>
    <x v="1"/>
    <x v="7"/>
    <x v="1"/>
    <x v="5"/>
    <x v="5"/>
    <n v="59.53"/>
    <n v="0"/>
    <n v="59.53"/>
    <d v="2025-08-06T00:00:00"/>
    <n v="28"/>
    <n v="1.5"/>
    <b v="0"/>
    <m/>
    <n v="27"/>
  </r>
  <r>
    <s v="FB001348"/>
    <x v="5"/>
    <x v="3"/>
    <x v="2"/>
    <x v="5"/>
    <x v="5"/>
    <n v="155.32"/>
    <n v="0"/>
    <n v="155.32"/>
    <d v="2025-08-06T00:00:00"/>
    <n v="19"/>
    <n v="4.0999999999999996"/>
    <b v="0"/>
    <m/>
    <n v="27"/>
  </r>
  <r>
    <s v="FB001349"/>
    <x v="4"/>
    <x v="7"/>
    <x v="0"/>
    <x v="0"/>
    <x v="2"/>
    <n v="29.65"/>
    <n v="41"/>
    <n v="17.489999999999998"/>
    <d v="2024-08-26T00:00:00"/>
    <n v="21"/>
    <n v="4.5"/>
    <b v="1"/>
    <s v="Quality Issue"/>
    <n v="372"/>
  </r>
  <r>
    <s v="FB001350"/>
    <x v="0"/>
    <x v="3"/>
    <x v="1"/>
    <x v="4"/>
    <x v="10"/>
    <n v="237.53"/>
    <n v="23.2"/>
    <n v="182.42"/>
    <d v="2025-08-06T00:00:00"/>
    <n v="23"/>
    <n v="2.2000000000000002"/>
    <b v="0"/>
    <m/>
    <n v="27"/>
  </r>
  <r>
    <s v="FB001351"/>
    <x v="0"/>
    <x v="5"/>
    <x v="3"/>
    <x v="6"/>
    <x v="1"/>
    <n v="81.67"/>
    <n v="0"/>
    <n v="81.67"/>
    <d v="2025-08-06T00:00:00"/>
    <n v="34"/>
    <n v="3.1"/>
    <b v="1"/>
    <s v="Damaged"/>
    <n v="27"/>
  </r>
  <r>
    <s v="FB001352"/>
    <x v="4"/>
    <x v="2"/>
    <x v="0"/>
    <x v="6"/>
    <x v="7"/>
    <n v="37.07"/>
    <n v="0"/>
    <n v="37.07"/>
    <d v="2025-05-01T00:00:00"/>
    <n v="13"/>
    <n v="3.0384615384615379"/>
    <b v="0"/>
    <m/>
    <n v="124"/>
  </r>
  <r>
    <s v="FB001353"/>
    <x v="1"/>
    <x v="1"/>
    <x v="2"/>
    <x v="4"/>
    <x v="9"/>
    <n v="80.97"/>
    <n v="0"/>
    <n v="80.97"/>
    <d v="2025-08-06T00:00:00"/>
    <n v="13"/>
    <n v="3.34"/>
    <b v="0"/>
    <m/>
    <n v="27"/>
  </r>
  <r>
    <s v="FB001354"/>
    <x v="2"/>
    <x v="0"/>
    <x v="0"/>
    <x v="2"/>
    <x v="4"/>
    <n v="77.680000000000007"/>
    <n v="29.9"/>
    <n v="54.45"/>
    <d v="2025-07-24T00:00:00"/>
    <n v="33"/>
    <n v="4"/>
    <b v="1"/>
    <s v="Damaged"/>
    <n v="40"/>
  </r>
  <r>
    <s v="FB001355"/>
    <x v="1"/>
    <x v="2"/>
    <x v="3"/>
    <x v="4"/>
    <x v="6"/>
    <n v="117.58"/>
    <n v="1"/>
    <n v="116.4"/>
    <d v="2025-08-06T00:00:00"/>
    <n v="27"/>
    <n v="3.3"/>
    <b v="0"/>
    <m/>
    <n v="27"/>
  </r>
  <r>
    <s v="FB001356"/>
    <x v="0"/>
    <x v="3"/>
    <x v="2"/>
    <x v="0"/>
    <x v="5"/>
    <n v="130.09"/>
    <n v="28.3"/>
    <n v="93.27"/>
    <d v="2025-08-06T00:00:00"/>
    <n v="41"/>
    <n v="2.2999999999999998"/>
    <b v="0"/>
    <m/>
    <n v="27"/>
  </r>
  <r>
    <s v="FB001357"/>
    <x v="1"/>
    <x v="1"/>
    <x v="2"/>
    <x v="5"/>
    <x v="9"/>
    <n v="63.69"/>
    <n v="0"/>
    <n v="63.69"/>
    <d v="2025-08-06T00:00:00"/>
    <n v="11"/>
    <n v="3"/>
    <b v="0"/>
    <m/>
    <n v="27"/>
  </r>
  <r>
    <s v="FB001358"/>
    <x v="0"/>
    <x v="2"/>
    <x v="0"/>
    <x v="0"/>
    <x v="0"/>
    <n v="135.02000000000001"/>
    <n v="0"/>
    <n v="135.02000000000001"/>
    <d v="2025-07-30T00:00:00"/>
    <n v="25"/>
    <n v="3.4"/>
    <b v="1"/>
    <s v="Changed Mind"/>
    <n v="34"/>
  </r>
  <r>
    <s v="FB001359"/>
    <x v="2"/>
    <x v="4"/>
    <x v="1"/>
    <x v="2"/>
    <x v="7"/>
    <n v="45.37"/>
    <n v="0"/>
    <n v="45.37"/>
    <d v="2025-08-06T00:00:00"/>
    <n v="19"/>
    <n v="1.1000000000000001"/>
    <b v="0"/>
    <m/>
    <n v="27"/>
  </r>
  <r>
    <s v="FB001360"/>
    <x v="4"/>
    <x v="0"/>
    <x v="1"/>
    <x v="0"/>
    <x v="10"/>
    <n v="51.17"/>
    <n v="8"/>
    <n v="47.08"/>
    <d v="2025-08-06T00:00:00"/>
    <n v="7"/>
    <n v="2.9210526315789478"/>
    <b v="0"/>
    <m/>
    <n v="27"/>
  </r>
  <r>
    <s v="FB001361"/>
    <x v="5"/>
    <x v="7"/>
    <x v="3"/>
    <x v="4"/>
    <x v="10"/>
    <n v="49.34"/>
    <n v="5.5"/>
    <n v="46.63"/>
    <d v="2025-08-06T00:00:00"/>
    <n v="10"/>
    <n v="4.3"/>
    <b v="0"/>
    <m/>
    <n v="27"/>
  </r>
  <r>
    <s v="FB001362"/>
    <x v="3"/>
    <x v="1"/>
    <x v="0"/>
    <x v="3"/>
    <x v="6"/>
    <n v="119.78"/>
    <n v="0"/>
    <n v="119.78"/>
    <d v="2025-06-10T00:00:00"/>
    <n v="40"/>
    <n v="2.8205128205128198"/>
    <b v="0"/>
    <m/>
    <n v="84"/>
  </r>
  <r>
    <s v="FB001363"/>
    <x v="1"/>
    <x v="2"/>
    <x v="0"/>
    <x v="3"/>
    <x v="4"/>
    <n v="77.3"/>
    <n v="35.1"/>
    <n v="50.17"/>
    <d v="2025-07-26T00:00:00"/>
    <n v="16"/>
    <n v="2.953125"/>
    <b v="0"/>
    <m/>
    <n v="38"/>
  </r>
  <r>
    <s v="FB001364"/>
    <x v="1"/>
    <x v="6"/>
    <x v="2"/>
    <x v="5"/>
    <x v="0"/>
    <n v="72.69"/>
    <n v="0"/>
    <n v="72.69"/>
    <d v="2025-08-06T00:00:00"/>
    <n v="6"/>
    <n v="2.9074999999999998"/>
    <b v="0"/>
    <m/>
    <n v="27"/>
  </r>
  <r>
    <s v="FB001365"/>
    <x v="3"/>
    <x v="6"/>
    <x v="2"/>
    <x v="0"/>
    <x v="10"/>
    <n v="117.57"/>
    <n v="0"/>
    <n v="117.57"/>
    <d v="2025-08-06T00:00:00"/>
    <n v="30"/>
    <n v="4.8"/>
    <b v="0"/>
    <m/>
    <n v="27"/>
  </r>
  <r>
    <s v="FB001366"/>
    <x v="0"/>
    <x v="7"/>
    <x v="0"/>
    <x v="3"/>
    <x v="6"/>
    <n v="161.25"/>
    <n v="48.4"/>
    <n v="83.2"/>
    <d v="2024-11-11T00:00:00"/>
    <n v="32"/>
    <n v="2.9718749999999998"/>
    <b v="0"/>
    <m/>
    <n v="295"/>
  </r>
  <r>
    <s v="FB001367"/>
    <x v="3"/>
    <x v="5"/>
    <x v="2"/>
    <x v="3"/>
    <x v="9"/>
    <n v="158.01"/>
    <n v="0"/>
    <n v="158.01"/>
    <d v="2025-08-06T00:00:00"/>
    <n v="19"/>
    <n v="2.6"/>
    <b v="0"/>
    <m/>
    <n v="27"/>
  </r>
  <r>
    <s v="FB001368"/>
    <x v="1"/>
    <x v="5"/>
    <x v="3"/>
    <x v="1"/>
    <x v="5"/>
    <n v="60.92"/>
    <n v="0"/>
    <n v="60.92"/>
    <d v="2025-08-06T00:00:00"/>
    <n v="25"/>
    <n v="2.9846153846153847"/>
    <b v="1"/>
    <s v="Quality Issue"/>
    <n v="27"/>
  </r>
  <r>
    <s v="FB001369"/>
    <x v="3"/>
    <x v="4"/>
    <x v="3"/>
    <x v="0"/>
    <x v="4"/>
    <n v="122.03"/>
    <n v="25.2"/>
    <n v="91.28"/>
    <d v="2025-08-06T00:00:00"/>
    <n v="21"/>
    <n v="4.7"/>
    <b v="0"/>
    <m/>
    <n v="27"/>
  </r>
  <r>
    <s v="FB001370"/>
    <x v="3"/>
    <x v="3"/>
    <x v="0"/>
    <x v="3"/>
    <x v="10"/>
    <n v="109.15"/>
    <n v="0"/>
    <n v="109.15"/>
    <d v="2024-11-11T00:00:00"/>
    <n v="11"/>
    <n v="2.9804347826086954"/>
    <b v="0"/>
    <m/>
    <n v="295"/>
  </r>
  <r>
    <s v="FB001371"/>
    <x v="4"/>
    <x v="5"/>
    <x v="2"/>
    <x v="6"/>
    <x v="7"/>
    <n v="60.97"/>
    <n v="0"/>
    <n v="60.97"/>
    <d v="2025-08-06T00:00:00"/>
    <n v="29"/>
    <n v="4.5"/>
    <b v="0"/>
    <m/>
    <n v="27"/>
  </r>
  <r>
    <s v="FB001372"/>
    <x v="2"/>
    <x v="1"/>
    <x v="3"/>
    <x v="2"/>
    <x v="1"/>
    <n v="64.87"/>
    <n v="35.299999999999997"/>
    <n v="41.97"/>
    <d v="2025-08-06T00:00:00"/>
    <n v="12"/>
    <n v="4.2"/>
    <b v="1"/>
    <s v="Size Issue"/>
    <n v="27"/>
  </r>
  <r>
    <s v="FB001373"/>
    <x v="3"/>
    <x v="3"/>
    <x v="2"/>
    <x v="3"/>
    <x v="1"/>
    <n v="151.35"/>
    <n v="0"/>
    <n v="151.35"/>
    <d v="2025-08-06T00:00:00"/>
    <n v="18"/>
    <n v="2.9804347826086954"/>
    <b v="0"/>
    <m/>
    <n v="27"/>
  </r>
  <r>
    <s v="FB001374"/>
    <x v="2"/>
    <x v="6"/>
    <x v="1"/>
    <x v="2"/>
    <x v="5"/>
    <n v="72.900000000000006"/>
    <n v="44"/>
    <n v="40.82"/>
    <d v="2025-08-06T00:00:00"/>
    <n v="25"/>
    <n v="3"/>
    <b v="0"/>
    <m/>
    <n v="27"/>
  </r>
  <r>
    <s v="FB001375"/>
    <x v="2"/>
    <x v="6"/>
    <x v="1"/>
    <x v="2"/>
    <x v="9"/>
    <n v="79.48"/>
    <n v="0"/>
    <n v="79.48"/>
    <d v="2025-08-06T00:00:00"/>
    <n v="2"/>
    <n v="3.3"/>
    <b v="0"/>
    <m/>
    <n v="27"/>
  </r>
  <r>
    <s v="FB001376"/>
    <x v="3"/>
    <x v="3"/>
    <x v="2"/>
    <x v="6"/>
    <x v="7"/>
    <n v="122.77"/>
    <n v="59.8"/>
    <n v="49.35"/>
    <d v="2025-08-06T00:00:00"/>
    <n v="33"/>
    <n v="4"/>
    <b v="0"/>
    <m/>
    <n v="27"/>
  </r>
  <r>
    <s v="FB001377"/>
    <x v="4"/>
    <x v="7"/>
    <x v="3"/>
    <x v="0"/>
    <x v="2"/>
    <n v="79.61"/>
    <n v="0"/>
    <n v="79.61"/>
    <d v="2025-08-06T00:00:00"/>
    <n v="29"/>
    <n v="3.7"/>
    <b v="0"/>
    <m/>
    <n v="27"/>
  </r>
  <r>
    <s v="FB001378"/>
    <x v="4"/>
    <x v="1"/>
    <x v="1"/>
    <x v="1"/>
    <x v="3"/>
    <n v="60.13"/>
    <n v="0"/>
    <n v="60.13"/>
    <d v="2025-08-06T00:00:00"/>
    <n v="27"/>
    <n v="3.0846153846153843"/>
    <b v="0"/>
    <m/>
    <n v="27"/>
  </r>
  <r>
    <s v="FB001379"/>
    <x v="2"/>
    <x v="6"/>
    <x v="1"/>
    <x v="2"/>
    <x v="4"/>
    <n v="72.260000000000005"/>
    <n v="41"/>
    <n v="42.63"/>
    <d v="2025-08-06T00:00:00"/>
    <n v="43"/>
    <n v="3.5"/>
    <b v="0"/>
    <m/>
    <n v="27"/>
  </r>
  <r>
    <s v="FB001380"/>
    <x v="4"/>
    <x v="3"/>
    <x v="3"/>
    <x v="0"/>
    <x v="6"/>
    <n v="66.38"/>
    <n v="17"/>
    <n v="55.1"/>
    <d v="2025-08-06T00:00:00"/>
    <n v="24"/>
    <n v="4.9000000000000004"/>
    <b v="1"/>
    <s v="Size Issue"/>
    <n v="27"/>
  </r>
  <r>
    <s v="FB001381"/>
    <x v="0"/>
    <x v="5"/>
    <x v="0"/>
    <x v="5"/>
    <x v="7"/>
    <n v="100.27"/>
    <n v="0"/>
    <n v="100.27"/>
    <d v="2025-03-03T00:00:00"/>
    <n v="37"/>
    <n v="3.1"/>
    <b v="0"/>
    <m/>
    <n v="183"/>
  </r>
  <r>
    <s v="FB001382"/>
    <x v="5"/>
    <x v="0"/>
    <x v="3"/>
    <x v="3"/>
    <x v="7"/>
    <n v="116.09"/>
    <n v="52.8"/>
    <n v="54.79"/>
    <d v="2025-08-06T00:00:00"/>
    <n v="22"/>
    <n v="3.0424242424242425"/>
    <b v="0"/>
    <m/>
    <n v="27"/>
  </r>
  <r>
    <s v="FB001383"/>
    <x v="0"/>
    <x v="3"/>
    <x v="2"/>
    <x v="3"/>
    <x v="3"/>
    <n v="80.709999999999994"/>
    <n v="0.9"/>
    <n v="79.98"/>
    <d v="2025-08-06T00:00:00"/>
    <n v="11"/>
    <n v="1.1000000000000001"/>
    <b v="0"/>
    <m/>
    <n v="27"/>
  </r>
  <r>
    <s v="FB001384"/>
    <x v="5"/>
    <x v="2"/>
    <x v="3"/>
    <x v="6"/>
    <x v="5"/>
    <n v="175.11"/>
    <n v="0"/>
    <n v="175.11"/>
    <d v="2025-08-06T00:00:00"/>
    <n v="39"/>
    <n v="2.9"/>
    <b v="0"/>
    <m/>
    <n v="27"/>
  </r>
  <r>
    <s v="FB001385"/>
    <x v="5"/>
    <x v="3"/>
    <x v="2"/>
    <x v="5"/>
    <x v="10"/>
    <n v="122.35"/>
    <n v="37"/>
    <n v="77.08"/>
    <d v="2025-08-06T00:00:00"/>
    <n v="25"/>
    <n v="2.8372093023255811"/>
    <b v="0"/>
    <m/>
    <n v="27"/>
  </r>
  <r>
    <s v="FB001386"/>
    <x v="3"/>
    <x v="1"/>
    <x v="1"/>
    <x v="3"/>
    <x v="5"/>
    <n v="127.99"/>
    <n v="0"/>
    <n v="127.99"/>
    <d v="2025-08-06T00:00:00"/>
    <n v="14"/>
    <n v="2.7"/>
    <b v="0"/>
    <m/>
    <n v="27"/>
  </r>
  <r>
    <s v="FB001387"/>
    <x v="4"/>
    <x v="0"/>
    <x v="3"/>
    <x v="3"/>
    <x v="10"/>
    <n v="101.07"/>
    <n v="4.5999999999999996"/>
    <n v="96.42"/>
    <d v="2025-08-06T00:00:00"/>
    <n v="19"/>
    <n v="4.7"/>
    <b v="0"/>
    <m/>
    <n v="27"/>
  </r>
  <r>
    <s v="FB001388"/>
    <x v="4"/>
    <x v="7"/>
    <x v="1"/>
    <x v="1"/>
    <x v="10"/>
    <n v="41.83"/>
    <n v="44.1"/>
    <n v="23.38"/>
    <d v="2025-08-06T00:00:00"/>
    <n v="6"/>
    <n v="2.4"/>
    <b v="0"/>
    <m/>
    <n v="27"/>
  </r>
  <r>
    <s v="FB001389"/>
    <x v="3"/>
    <x v="4"/>
    <x v="0"/>
    <x v="6"/>
    <x v="6"/>
    <n v="147.52000000000001"/>
    <n v="0"/>
    <n v="147.52000000000001"/>
    <d v="2025-01-08T00:00:00"/>
    <n v="41"/>
    <n v="4"/>
    <b v="0"/>
    <m/>
    <n v="237"/>
  </r>
  <r>
    <s v="FB001390"/>
    <x v="1"/>
    <x v="2"/>
    <x v="2"/>
    <x v="3"/>
    <x v="4"/>
    <n v="85.94"/>
    <n v="0"/>
    <n v="85.94"/>
    <d v="2025-08-06T00:00:00"/>
    <n v="49"/>
    <n v="1.5"/>
    <b v="0"/>
    <m/>
    <n v="27"/>
  </r>
  <r>
    <s v="FB001391"/>
    <x v="5"/>
    <x v="6"/>
    <x v="1"/>
    <x v="4"/>
    <x v="6"/>
    <n v="115.61"/>
    <n v="0"/>
    <n v="115.61"/>
    <d v="2025-08-06T00:00:00"/>
    <n v="35"/>
    <n v="1.8"/>
    <b v="0"/>
    <m/>
    <n v="27"/>
  </r>
  <r>
    <s v="FB001392"/>
    <x v="0"/>
    <x v="5"/>
    <x v="1"/>
    <x v="5"/>
    <x v="1"/>
    <n v="90.58"/>
    <n v="0"/>
    <n v="90.58"/>
    <d v="2025-08-06T00:00:00"/>
    <n v="1"/>
    <n v="1"/>
    <b v="0"/>
    <m/>
    <n v="27"/>
  </r>
  <r>
    <s v="FB001393"/>
    <x v="1"/>
    <x v="6"/>
    <x v="0"/>
    <x v="3"/>
    <x v="0"/>
    <n v="64.84"/>
    <n v="0"/>
    <n v="64.84"/>
    <d v="2024-10-26T00:00:00"/>
    <n v="25"/>
    <n v="3.9"/>
    <b v="0"/>
    <m/>
    <n v="311"/>
  </r>
  <r>
    <s v="FB001394"/>
    <x v="4"/>
    <x v="2"/>
    <x v="3"/>
    <x v="5"/>
    <x v="2"/>
    <n v="37.270000000000003"/>
    <n v="0"/>
    <n v="37.270000000000003"/>
    <d v="2025-08-06T00:00:00"/>
    <n v="27"/>
    <n v="2.8"/>
    <b v="1"/>
    <s v="Changed Mind"/>
    <n v="27"/>
  </r>
  <r>
    <s v="FB001395"/>
    <x v="1"/>
    <x v="6"/>
    <x v="3"/>
    <x v="0"/>
    <x v="5"/>
    <n v="90.48"/>
    <n v="55.2"/>
    <n v="40.54"/>
    <d v="2025-08-06T00:00:00"/>
    <n v="26"/>
    <n v="3"/>
    <b v="0"/>
    <m/>
    <n v="27"/>
  </r>
  <r>
    <s v="FB001396"/>
    <x v="3"/>
    <x v="6"/>
    <x v="3"/>
    <x v="3"/>
    <x v="6"/>
    <n v="159.62"/>
    <n v="58.4"/>
    <n v="66.400000000000006"/>
    <d v="2025-08-06T00:00:00"/>
    <n v="45"/>
    <n v="1.1000000000000001"/>
    <b v="0"/>
    <m/>
    <n v="27"/>
  </r>
  <r>
    <s v="FB001397"/>
    <x v="3"/>
    <x v="5"/>
    <x v="3"/>
    <x v="1"/>
    <x v="4"/>
    <n v="81.459999999999994"/>
    <n v="58.8"/>
    <n v="33.56"/>
    <d v="2025-08-06T00:00:00"/>
    <n v="37"/>
    <n v="4.5999999999999996"/>
    <b v="0"/>
    <m/>
    <n v="27"/>
  </r>
  <r>
    <s v="FB001398"/>
    <x v="3"/>
    <x v="7"/>
    <x v="1"/>
    <x v="5"/>
    <x v="3"/>
    <n v="93.63"/>
    <n v="0"/>
    <n v="93.63"/>
    <d v="2025-08-06T00:00:00"/>
    <n v="47"/>
    <n v="4.0999999999999996"/>
    <b v="0"/>
    <m/>
    <n v="27"/>
  </r>
  <r>
    <s v="FB001399"/>
    <x v="1"/>
    <x v="5"/>
    <x v="3"/>
    <x v="6"/>
    <x v="10"/>
    <n v="95.55"/>
    <n v="0"/>
    <n v="95.55"/>
    <d v="2025-08-06T00:00:00"/>
    <n v="25"/>
    <n v="4.7"/>
    <b v="0"/>
    <m/>
    <n v="27"/>
  </r>
  <r>
    <s v="FB001400"/>
    <x v="0"/>
    <x v="0"/>
    <x v="1"/>
    <x v="6"/>
    <x v="3"/>
    <n v="146.44999999999999"/>
    <n v="0"/>
    <n v="146.44999999999999"/>
    <d v="2025-08-06T00:00:00"/>
    <n v="45"/>
    <n v="3.4"/>
    <b v="0"/>
    <m/>
    <n v="27"/>
  </r>
  <r>
    <s v="FB001401"/>
    <x v="3"/>
    <x v="2"/>
    <x v="0"/>
    <x v="6"/>
    <x v="5"/>
    <n v="96.9"/>
    <n v="0"/>
    <n v="96.9"/>
    <d v="2025-02-03T00:00:00"/>
    <n v="24"/>
    <n v="4.3"/>
    <b v="0"/>
    <m/>
    <n v="211"/>
  </r>
  <r>
    <s v="FB001402"/>
    <x v="1"/>
    <x v="2"/>
    <x v="2"/>
    <x v="4"/>
    <x v="10"/>
    <n v="71.83"/>
    <n v="0"/>
    <n v="71.83"/>
    <d v="2025-08-06T00:00:00"/>
    <n v="46"/>
    <n v="4.5"/>
    <b v="0"/>
    <m/>
    <n v="27"/>
  </r>
  <r>
    <s v="FB001403"/>
    <x v="1"/>
    <x v="4"/>
    <x v="3"/>
    <x v="1"/>
    <x v="8"/>
    <n v="29.17"/>
    <n v="0"/>
    <n v="29.17"/>
    <d v="2025-08-06T00:00:00"/>
    <n v="17"/>
    <n v="1.6"/>
    <b v="0"/>
    <m/>
    <n v="27"/>
  </r>
  <r>
    <s v="FB001404"/>
    <x v="1"/>
    <x v="4"/>
    <x v="0"/>
    <x v="3"/>
    <x v="6"/>
    <n v="31.3"/>
    <n v="43.6"/>
    <n v="17.649999999999999"/>
    <d v="2025-03-06T00:00:00"/>
    <n v="21"/>
    <n v="4.4000000000000004"/>
    <b v="0"/>
    <m/>
    <n v="180"/>
  </r>
  <r>
    <s v="FB001405"/>
    <x v="2"/>
    <x v="0"/>
    <x v="2"/>
    <x v="2"/>
    <x v="6"/>
    <n v="73.569999999999993"/>
    <n v="0"/>
    <n v="73.569999999999993"/>
    <d v="2025-08-06T00:00:00"/>
    <n v="22"/>
    <n v="1.1000000000000001"/>
    <b v="0"/>
    <m/>
    <n v="27"/>
  </r>
  <r>
    <s v="FB001406"/>
    <x v="3"/>
    <x v="3"/>
    <x v="3"/>
    <x v="2"/>
    <x v="1"/>
    <n v="75.95"/>
    <n v="0"/>
    <n v="75.95"/>
    <d v="2025-08-06T00:00:00"/>
    <n v="14"/>
    <n v="2.9804347826086954"/>
    <b v="0"/>
    <m/>
    <n v="27"/>
  </r>
  <r>
    <s v="FB001407"/>
    <x v="2"/>
    <x v="4"/>
    <x v="0"/>
    <x v="2"/>
    <x v="6"/>
    <n v="79.040000000000006"/>
    <n v="0"/>
    <n v="79.040000000000006"/>
    <d v="2024-10-03T00:00:00"/>
    <n v="28"/>
    <n v="4.7"/>
    <b v="0"/>
    <m/>
    <n v="334"/>
  </r>
  <r>
    <s v="FB001408"/>
    <x v="1"/>
    <x v="3"/>
    <x v="2"/>
    <x v="1"/>
    <x v="3"/>
    <n v="26.85"/>
    <n v="0"/>
    <n v="26.85"/>
    <d v="2025-08-06T00:00:00"/>
    <n v="26"/>
    <n v="2.9742857142857138"/>
    <b v="0"/>
    <m/>
    <n v="27"/>
  </r>
  <r>
    <s v="FB001409"/>
    <x v="5"/>
    <x v="5"/>
    <x v="0"/>
    <x v="1"/>
    <x v="4"/>
    <n v="126.21"/>
    <n v="29.2"/>
    <n v="89.36"/>
    <d v="2024-08-15T00:00:00"/>
    <n v="25"/>
    <n v="1.1000000000000001"/>
    <b v="0"/>
    <m/>
    <n v="383"/>
  </r>
  <r>
    <s v="FB001410"/>
    <x v="3"/>
    <x v="3"/>
    <x v="2"/>
    <x v="3"/>
    <x v="8"/>
    <n v="71.459999999999994"/>
    <n v="0"/>
    <n v="71.459999999999994"/>
    <d v="2025-08-06T00:00:00"/>
    <n v="2"/>
    <n v="3.1"/>
    <b v="0"/>
    <m/>
    <n v="27"/>
  </r>
  <r>
    <s v="FB001411"/>
    <x v="5"/>
    <x v="3"/>
    <x v="1"/>
    <x v="6"/>
    <x v="7"/>
    <n v="65.069999999999993"/>
    <n v="14.8"/>
    <n v="55.44"/>
    <d v="2025-08-06T00:00:00"/>
    <n v="21"/>
    <n v="2.8372093023255811"/>
    <b v="0"/>
    <m/>
    <n v="27"/>
  </r>
  <r>
    <s v="FB001412"/>
    <x v="4"/>
    <x v="3"/>
    <x v="2"/>
    <x v="0"/>
    <x v="1"/>
    <n v="28.11"/>
    <n v="20.9"/>
    <n v="22.24"/>
    <d v="2025-08-06T00:00:00"/>
    <n v="6"/>
    <n v="2.2999999999999998"/>
    <b v="0"/>
    <m/>
    <n v="27"/>
  </r>
  <r>
    <s v="FB001413"/>
    <x v="1"/>
    <x v="4"/>
    <x v="0"/>
    <x v="1"/>
    <x v="6"/>
    <n v="29.12"/>
    <n v="0"/>
    <n v="29.12"/>
    <d v="2025-03-25T00:00:00"/>
    <n v="14"/>
    <n v="2.7"/>
    <b v="0"/>
    <m/>
    <n v="161"/>
  </r>
  <r>
    <s v="FB001414"/>
    <x v="2"/>
    <x v="7"/>
    <x v="1"/>
    <x v="2"/>
    <x v="2"/>
    <n v="57.1"/>
    <n v="0"/>
    <n v="57.1"/>
    <d v="2025-08-06T00:00:00"/>
    <n v="28"/>
    <n v="2.8636363636363633"/>
    <b v="1"/>
    <s v="Wrong Item"/>
    <n v="27"/>
  </r>
  <r>
    <s v="FB001415"/>
    <x v="0"/>
    <x v="1"/>
    <x v="0"/>
    <x v="6"/>
    <x v="2"/>
    <n v="248.05"/>
    <n v="0"/>
    <n v="248.05"/>
    <d v="2025-04-29T00:00:00"/>
    <n v="17"/>
    <n v="4.5999999999999996"/>
    <b v="0"/>
    <m/>
    <n v="126"/>
  </r>
  <r>
    <s v="FB001416"/>
    <x v="4"/>
    <x v="0"/>
    <x v="2"/>
    <x v="3"/>
    <x v="4"/>
    <n v="108.59"/>
    <n v="40.6"/>
    <n v="64.5"/>
    <d v="2025-08-06T00:00:00"/>
    <n v="9"/>
    <n v="1.3"/>
    <b v="0"/>
    <m/>
    <n v="27"/>
  </r>
  <r>
    <s v="FB001417"/>
    <x v="0"/>
    <x v="7"/>
    <x v="3"/>
    <x v="0"/>
    <x v="7"/>
    <n v="124.13"/>
    <n v="0"/>
    <n v="124.13"/>
    <d v="2025-08-06T00:00:00"/>
    <n v="33"/>
    <n v="5"/>
    <b v="0"/>
    <m/>
    <n v="27"/>
  </r>
  <r>
    <s v="FB001418"/>
    <x v="2"/>
    <x v="0"/>
    <x v="0"/>
    <x v="2"/>
    <x v="10"/>
    <n v="62.21"/>
    <n v="1.8"/>
    <n v="61.09"/>
    <d v="2024-11-03T00:00:00"/>
    <n v="4"/>
    <n v="2.2999999999999998"/>
    <b v="0"/>
    <m/>
    <n v="303"/>
  </r>
  <r>
    <s v="FB001419"/>
    <x v="4"/>
    <x v="1"/>
    <x v="2"/>
    <x v="6"/>
    <x v="4"/>
    <n v="48.27"/>
    <n v="0"/>
    <n v="48.27"/>
    <d v="2025-08-06T00:00:00"/>
    <n v="33"/>
    <n v="3.0846153846153843"/>
    <b v="0"/>
    <m/>
    <n v="27"/>
  </r>
  <r>
    <s v="FB001420"/>
    <x v="1"/>
    <x v="0"/>
    <x v="0"/>
    <x v="0"/>
    <x v="5"/>
    <n v="88.77"/>
    <n v="0"/>
    <n v="88.77"/>
    <d v="2025-05-16T00:00:00"/>
    <n v="40"/>
    <n v="4.8"/>
    <b v="0"/>
    <m/>
    <n v="109"/>
  </r>
  <r>
    <s v="FB001421"/>
    <x v="5"/>
    <x v="6"/>
    <x v="2"/>
    <x v="6"/>
    <x v="8"/>
    <n v="94.17"/>
    <n v="0"/>
    <n v="94.17"/>
    <d v="2025-08-06T00:00:00"/>
    <n v="2"/>
    <n v="2.980952380952381"/>
    <b v="0"/>
    <m/>
    <n v="27"/>
  </r>
  <r>
    <s v="FB001422"/>
    <x v="2"/>
    <x v="7"/>
    <x v="2"/>
    <x v="2"/>
    <x v="2"/>
    <n v="30.44"/>
    <n v="0"/>
    <n v="30.44"/>
    <d v="2025-08-06T00:00:00"/>
    <n v="42"/>
    <n v="2.8636363636363633"/>
    <b v="0"/>
    <m/>
    <n v="27"/>
  </r>
  <r>
    <s v="FB001423"/>
    <x v="4"/>
    <x v="1"/>
    <x v="2"/>
    <x v="5"/>
    <x v="9"/>
    <n v="114.29"/>
    <n v="0"/>
    <n v="114.29"/>
    <d v="2025-08-06T00:00:00"/>
    <n v="9"/>
    <n v="3.2"/>
    <b v="0"/>
    <m/>
    <n v="27"/>
  </r>
  <r>
    <s v="FB001424"/>
    <x v="3"/>
    <x v="1"/>
    <x v="2"/>
    <x v="0"/>
    <x v="4"/>
    <n v="105.01"/>
    <n v="25.8"/>
    <n v="77.92"/>
    <d v="2025-08-06T00:00:00"/>
    <n v="17"/>
    <n v="3.2"/>
    <b v="0"/>
    <m/>
    <n v="27"/>
  </r>
  <r>
    <s v="FB001425"/>
    <x v="1"/>
    <x v="5"/>
    <x v="0"/>
    <x v="0"/>
    <x v="5"/>
    <n v="38.56"/>
    <n v="0"/>
    <n v="38.56"/>
    <d v="2025-05-30T00:00:00"/>
    <n v="39"/>
    <n v="1.5"/>
    <b v="0"/>
    <m/>
    <n v="95"/>
  </r>
  <r>
    <s v="FB001426"/>
    <x v="3"/>
    <x v="3"/>
    <x v="1"/>
    <x v="1"/>
    <x v="9"/>
    <n v="64.94"/>
    <n v="0"/>
    <n v="64.94"/>
    <d v="2025-08-06T00:00:00"/>
    <n v="32"/>
    <n v="4.5"/>
    <b v="0"/>
    <m/>
    <n v="27"/>
  </r>
  <r>
    <s v="FB001427"/>
    <x v="4"/>
    <x v="3"/>
    <x v="1"/>
    <x v="3"/>
    <x v="6"/>
    <n v="63.74"/>
    <n v="56.8"/>
    <n v="27.54"/>
    <d v="2025-08-06T00:00:00"/>
    <n v="15"/>
    <n v="4"/>
    <b v="0"/>
    <m/>
    <n v="27"/>
  </r>
  <r>
    <s v="FB001428"/>
    <x v="1"/>
    <x v="0"/>
    <x v="3"/>
    <x v="0"/>
    <x v="1"/>
    <n v="67.23"/>
    <n v="11.1"/>
    <n v="59.77"/>
    <d v="2025-08-06T00:00:00"/>
    <n v="39"/>
    <n v="1.1000000000000001"/>
    <b v="1"/>
    <s v="Wrong Item"/>
    <n v="27"/>
  </r>
  <r>
    <s v="FB001429"/>
    <x v="2"/>
    <x v="4"/>
    <x v="0"/>
    <x v="2"/>
    <x v="5"/>
    <n v="27.2"/>
    <n v="40.4"/>
    <n v="16.21"/>
    <d v="2024-08-19T00:00:00"/>
    <n v="20"/>
    <n v="4.3"/>
    <b v="0"/>
    <m/>
    <n v="379"/>
  </r>
  <r>
    <s v="FB001430"/>
    <x v="1"/>
    <x v="3"/>
    <x v="0"/>
    <x v="0"/>
    <x v="10"/>
    <n v="75.84"/>
    <n v="0"/>
    <n v="75.84"/>
    <d v="2025-04-07T00:00:00"/>
    <n v="8"/>
    <n v="4.0999999999999996"/>
    <b v="0"/>
    <m/>
    <n v="148"/>
  </r>
  <r>
    <s v="FB001431"/>
    <x v="5"/>
    <x v="3"/>
    <x v="1"/>
    <x v="6"/>
    <x v="8"/>
    <n v="68.510000000000005"/>
    <n v="0"/>
    <n v="68.510000000000005"/>
    <d v="2025-08-06T00:00:00"/>
    <n v="1"/>
    <n v="2.6"/>
    <b v="0"/>
    <m/>
    <n v="27"/>
  </r>
  <r>
    <s v="FB001432"/>
    <x v="2"/>
    <x v="3"/>
    <x v="3"/>
    <x v="2"/>
    <x v="9"/>
    <n v="25.49"/>
    <n v="0"/>
    <n v="25.49"/>
    <d v="2025-08-06T00:00:00"/>
    <n v="35"/>
    <n v="2.2000000000000002"/>
    <b v="1"/>
    <s v="Size Issue"/>
    <n v="27"/>
  </r>
  <r>
    <s v="FB001433"/>
    <x v="1"/>
    <x v="5"/>
    <x v="2"/>
    <x v="5"/>
    <x v="0"/>
    <n v="70.88"/>
    <n v="0"/>
    <n v="70.88"/>
    <d v="2025-08-06T00:00:00"/>
    <n v="5"/>
    <n v="2.2999999999999998"/>
    <b v="0"/>
    <m/>
    <n v="27"/>
  </r>
  <r>
    <s v="FB001434"/>
    <x v="3"/>
    <x v="4"/>
    <x v="3"/>
    <x v="5"/>
    <x v="3"/>
    <n v="176.64"/>
    <n v="8.8000000000000007"/>
    <n v="161.1"/>
    <d v="2025-08-06T00:00:00"/>
    <n v="1"/>
    <n v="1.7"/>
    <b v="0"/>
    <m/>
    <n v="27"/>
  </r>
  <r>
    <s v="FB001435"/>
    <x v="5"/>
    <x v="5"/>
    <x v="1"/>
    <x v="1"/>
    <x v="0"/>
    <n v="50.76"/>
    <n v="0"/>
    <n v="50.76"/>
    <d v="2025-08-06T00:00:00"/>
    <n v="45"/>
    <n v="4.3"/>
    <b v="0"/>
    <m/>
    <n v="27"/>
  </r>
  <r>
    <s v="FB001436"/>
    <x v="3"/>
    <x v="3"/>
    <x v="2"/>
    <x v="0"/>
    <x v="1"/>
    <n v="155.85"/>
    <n v="0"/>
    <n v="155.85"/>
    <d v="2025-08-06T00:00:00"/>
    <n v="1"/>
    <n v="3.5"/>
    <b v="0"/>
    <m/>
    <n v="27"/>
  </r>
  <r>
    <s v="FB001437"/>
    <x v="5"/>
    <x v="2"/>
    <x v="0"/>
    <x v="0"/>
    <x v="5"/>
    <n v="48.04"/>
    <n v="0"/>
    <n v="48.04"/>
    <d v="2025-05-01T00:00:00"/>
    <n v="20"/>
    <n v="3.2"/>
    <b v="0"/>
    <m/>
    <n v="124"/>
  </r>
  <r>
    <s v="FB001438"/>
    <x v="1"/>
    <x v="7"/>
    <x v="0"/>
    <x v="5"/>
    <x v="8"/>
    <n v="44.79"/>
    <n v="0"/>
    <n v="44.79"/>
    <d v="2025-01-19T00:00:00"/>
    <n v="7"/>
    <n v="3.6"/>
    <b v="0"/>
    <m/>
    <n v="226"/>
  </r>
  <r>
    <s v="FB001439"/>
    <x v="1"/>
    <x v="1"/>
    <x v="0"/>
    <x v="5"/>
    <x v="5"/>
    <n v="76.95"/>
    <n v="0"/>
    <n v="76.95"/>
    <d v="2025-01-12T00:00:00"/>
    <n v="9"/>
    <n v="2.5"/>
    <b v="0"/>
    <m/>
    <n v="233"/>
  </r>
  <r>
    <s v="FB001440"/>
    <x v="2"/>
    <x v="6"/>
    <x v="3"/>
    <x v="2"/>
    <x v="4"/>
    <n v="35.93"/>
    <n v="49.9"/>
    <n v="18"/>
    <d v="2025-08-06T00:00:00"/>
    <n v="26"/>
    <n v="4"/>
    <b v="0"/>
    <m/>
    <n v="27"/>
  </r>
  <r>
    <s v="FB001441"/>
    <x v="4"/>
    <x v="2"/>
    <x v="2"/>
    <x v="0"/>
    <x v="0"/>
    <n v="49.97"/>
    <n v="0"/>
    <n v="49.97"/>
    <d v="2025-08-06T00:00:00"/>
    <n v="11"/>
    <n v="3.5"/>
    <b v="1"/>
    <s v="Quality Issue"/>
    <n v="27"/>
  </r>
  <r>
    <s v="FB001442"/>
    <x v="0"/>
    <x v="4"/>
    <x v="3"/>
    <x v="2"/>
    <x v="2"/>
    <n v="169.69"/>
    <n v="0"/>
    <n v="169.69"/>
    <d v="2025-08-06T00:00:00"/>
    <n v="29"/>
    <n v="1.9"/>
    <b v="0"/>
    <m/>
    <n v="27"/>
  </r>
  <r>
    <s v="FB001443"/>
    <x v="0"/>
    <x v="5"/>
    <x v="0"/>
    <x v="2"/>
    <x v="3"/>
    <n v="209.3"/>
    <n v="14.2"/>
    <n v="179.58"/>
    <d v="2025-03-05T00:00:00"/>
    <n v="29"/>
    <n v="3.0305555555555546"/>
    <b v="0"/>
    <m/>
    <n v="181"/>
  </r>
  <r>
    <s v="FB001444"/>
    <x v="1"/>
    <x v="6"/>
    <x v="3"/>
    <x v="4"/>
    <x v="1"/>
    <n v="110.81"/>
    <n v="0"/>
    <n v="110.81"/>
    <d v="2025-08-06T00:00:00"/>
    <n v="24"/>
    <n v="2.4"/>
    <b v="0"/>
    <m/>
    <n v="27"/>
  </r>
  <r>
    <s v="FB001445"/>
    <x v="2"/>
    <x v="1"/>
    <x v="2"/>
    <x v="2"/>
    <x v="2"/>
    <n v="61.84"/>
    <n v="0"/>
    <n v="61.84"/>
    <d v="2025-08-06T00:00:00"/>
    <n v="0"/>
    <n v="4.7"/>
    <b v="1"/>
    <s v="Wrong Item"/>
    <n v="27"/>
  </r>
  <r>
    <s v="FB001446"/>
    <x v="0"/>
    <x v="0"/>
    <x v="0"/>
    <x v="3"/>
    <x v="10"/>
    <n v="190.03"/>
    <n v="14.9"/>
    <n v="161.72"/>
    <d v="2025-07-24T00:00:00"/>
    <n v="35"/>
    <n v="4.0999999999999996"/>
    <b v="0"/>
    <m/>
    <n v="40"/>
  </r>
  <r>
    <s v="FB001447"/>
    <x v="4"/>
    <x v="2"/>
    <x v="2"/>
    <x v="5"/>
    <x v="0"/>
    <n v="74.27"/>
    <n v="0"/>
    <n v="74.27"/>
    <d v="2025-08-06T00:00:00"/>
    <n v="6"/>
    <n v="1.3"/>
    <b v="0"/>
    <m/>
    <n v="27"/>
  </r>
  <r>
    <s v="FB001448"/>
    <x v="0"/>
    <x v="0"/>
    <x v="2"/>
    <x v="0"/>
    <x v="7"/>
    <n v="163.77000000000001"/>
    <n v="30.5"/>
    <n v="113.82"/>
    <d v="2025-08-06T00:00:00"/>
    <n v="10"/>
    <n v="2.7030303030303036"/>
    <b v="0"/>
    <m/>
    <n v="27"/>
  </r>
  <r>
    <s v="FB001449"/>
    <x v="2"/>
    <x v="3"/>
    <x v="1"/>
    <x v="2"/>
    <x v="9"/>
    <n v="42.28"/>
    <n v="0"/>
    <n v="42.28"/>
    <d v="2025-08-06T00:00:00"/>
    <n v="22"/>
    <n v="1.9"/>
    <b v="0"/>
    <m/>
    <n v="27"/>
  </r>
  <r>
    <s v="FB001450"/>
    <x v="4"/>
    <x v="4"/>
    <x v="3"/>
    <x v="5"/>
    <x v="8"/>
    <n v="52.92"/>
    <n v="0"/>
    <n v="52.92"/>
    <d v="2025-08-06T00:00:00"/>
    <n v="9"/>
    <n v="3.0659090909090896"/>
    <b v="0"/>
    <m/>
    <n v="27"/>
  </r>
  <r>
    <s v="FB001451"/>
    <x v="2"/>
    <x v="5"/>
    <x v="0"/>
    <x v="2"/>
    <x v="2"/>
    <n v="40.549999999999997"/>
    <n v="6.2"/>
    <n v="38.04"/>
    <d v="2024-09-09T00:00:00"/>
    <n v="26"/>
    <n v="3.7"/>
    <b v="1"/>
    <s v="Wrong Item"/>
    <n v="358"/>
  </r>
  <r>
    <s v="FB001452"/>
    <x v="3"/>
    <x v="3"/>
    <x v="3"/>
    <x v="4"/>
    <x v="2"/>
    <n v="129.76"/>
    <n v="0"/>
    <n v="129.76"/>
    <d v="2025-08-06T00:00:00"/>
    <n v="39"/>
    <n v="2.9"/>
    <b v="0"/>
    <m/>
    <n v="27"/>
  </r>
  <r>
    <s v="FB001453"/>
    <x v="1"/>
    <x v="5"/>
    <x v="2"/>
    <x v="0"/>
    <x v="9"/>
    <n v="63.39"/>
    <n v="0"/>
    <n v="63.39"/>
    <d v="2025-08-06T00:00:00"/>
    <n v="50"/>
    <n v="2.5"/>
    <b v="0"/>
    <m/>
    <n v="27"/>
  </r>
  <r>
    <s v="FB001454"/>
    <x v="3"/>
    <x v="4"/>
    <x v="2"/>
    <x v="3"/>
    <x v="8"/>
    <n v="191.94"/>
    <n v="1.3"/>
    <n v="189.44"/>
    <d v="2025-08-06T00:00:00"/>
    <n v="39"/>
    <n v="1.2"/>
    <b v="0"/>
    <m/>
    <n v="27"/>
  </r>
  <r>
    <s v="FB001455"/>
    <x v="2"/>
    <x v="1"/>
    <x v="0"/>
    <x v="2"/>
    <x v="9"/>
    <n v="63.42"/>
    <n v="0"/>
    <n v="63.42"/>
    <d v="2024-11-12T00:00:00"/>
    <n v="19"/>
    <n v="2.9"/>
    <b v="1"/>
    <s v="Color Mismatch"/>
    <n v="294"/>
  </r>
  <r>
    <s v="FB001456"/>
    <x v="1"/>
    <x v="5"/>
    <x v="1"/>
    <x v="4"/>
    <x v="7"/>
    <n v="35.26"/>
    <n v="0"/>
    <n v="35.26"/>
    <d v="2025-08-06T00:00:00"/>
    <n v="47"/>
    <n v="2.2999999999999998"/>
    <b v="0"/>
    <m/>
    <n v="27"/>
  </r>
  <r>
    <s v="FB001457"/>
    <x v="2"/>
    <x v="6"/>
    <x v="0"/>
    <x v="2"/>
    <x v="6"/>
    <n v="44.5"/>
    <n v="0"/>
    <n v="44.5"/>
    <d v="2025-06-13T00:00:00"/>
    <n v="36"/>
    <n v="3.6"/>
    <b v="0"/>
    <m/>
    <n v="81"/>
  </r>
  <r>
    <s v="FB001458"/>
    <x v="3"/>
    <x v="0"/>
    <x v="0"/>
    <x v="5"/>
    <x v="3"/>
    <n v="186.78"/>
    <n v="43.4"/>
    <n v="105.72"/>
    <d v="2024-10-03T00:00:00"/>
    <n v="42"/>
    <n v="2.5"/>
    <b v="1"/>
    <s v="Damaged"/>
    <n v="334"/>
  </r>
  <r>
    <s v="FB001459"/>
    <x v="1"/>
    <x v="4"/>
    <x v="3"/>
    <x v="1"/>
    <x v="2"/>
    <n v="116.71"/>
    <n v="55.4"/>
    <n v="52.05"/>
    <d v="2025-08-06T00:00:00"/>
    <n v="15"/>
    <n v="2.9657142857142857"/>
    <b v="0"/>
    <m/>
    <n v="27"/>
  </r>
  <r>
    <s v="FB001460"/>
    <x v="2"/>
    <x v="4"/>
    <x v="1"/>
    <x v="2"/>
    <x v="2"/>
    <n v="24.5"/>
    <n v="0"/>
    <n v="24.5"/>
    <d v="2025-08-06T00:00:00"/>
    <n v="7"/>
    <n v="2.7333333333333334"/>
    <b v="0"/>
    <m/>
    <n v="27"/>
  </r>
  <r>
    <s v="FB001461"/>
    <x v="2"/>
    <x v="6"/>
    <x v="1"/>
    <x v="2"/>
    <x v="8"/>
    <n v="23.2"/>
    <n v="0"/>
    <n v="23.2"/>
    <d v="2025-08-06T00:00:00"/>
    <n v="17"/>
    <n v="2.1"/>
    <b v="0"/>
    <m/>
    <n v="27"/>
  </r>
  <r>
    <s v="FB001462"/>
    <x v="4"/>
    <x v="7"/>
    <x v="1"/>
    <x v="0"/>
    <x v="6"/>
    <n v="73.8"/>
    <n v="0"/>
    <n v="73.8"/>
    <d v="2025-08-06T00:00:00"/>
    <n v="42"/>
    <n v="3.1021739130434773"/>
    <b v="0"/>
    <m/>
    <n v="27"/>
  </r>
  <r>
    <s v="FB001463"/>
    <x v="2"/>
    <x v="0"/>
    <x v="3"/>
    <x v="2"/>
    <x v="2"/>
    <n v="51.33"/>
    <n v="0"/>
    <n v="51.33"/>
    <d v="2025-08-06T00:00:00"/>
    <n v="25"/>
    <n v="1.2"/>
    <b v="0"/>
    <m/>
    <n v="27"/>
  </r>
  <r>
    <s v="FB001464"/>
    <x v="4"/>
    <x v="4"/>
    <x v="1"/>
    <x v="4"/>
    <x v="6"/>
    <n v="80.209999999999994"/>
    <n v="0"/>
    <n v="80.209999999999994"/>
    <d v="2025-08-06T00:00:00"/>
    <n v="17"/>
    <n v="3.0659090909090896"/>
    <b v="0"/>
    <m/>
    <n v="27"/>
  </r>
  <r>
    <s v="FB001465"/>
    <x v="0"/>
    <x v="1"/>
    <x v="2"/>
    <x v="1"/>
    <x v="10"/>
    <n v="237.65"/>
    <n v="0"/>
    <n v="237.65"/>
    <d v="2025-08-06T00:00:00"/>
    <n v="3"/>
    <n v="3.4"/>
    <b v="0"/>
    <m/>
    <n v="27"/>
  </r>
  <r>
    <s v="FB001466"/>
    <x v="4"/>
    <x v="2"/>
    <x v="0"/>
    <x v="3"/>
    <x v="10"/>
    <n v="96.35"/>
    <n v="0"/>
    <n v="96.35"/>
    <d v="2024-12-12T00:00:00"/>
    <n v="34"/>
    <n v="3.7"/>
    <b v="0"/>
    <m/>
    <n v="264"/>
  </r>
  <r>
    <s v="FB001467"/>
    <x v="4"/>
    <x v="2"/>
    <x v="1"/>
    <x v="0"/>
    <x v="3"/>
    <n v="91.92"/>
    <n v="0"/>
    <n v="91.92"/>
    <d v="2025-08-06T00:00:00"/>
    <n v="29"/>
    <n v="3.0384615384615379"/>
    <b v="0"/>
    <m/>
    <n v="27"/>
  </r>
  <r>
    <s v="FB001468"/>
    <x v="3"/>
    <x v="2"/>
    <x v="2"/>
    <x v="4"/>
    <x v="8"/>
    <n v="194.05"/>
    <n v="0"/>
    <n v="194.05"/>
    <d v="2025-08-06T00:00:00"/>
    <n v="7"/>
    <n v="1.3"/>
    <b v="0"/>
    <m/>
    <n v="27"/>
  </r>
  <r>
    <s v="FB001469"/>
    <x v="0"/>
    <x v="6"/>
    <x v="3"/>
    <x v="3"/>
    <x v="0"/>
    <n v="166.88"/>
    <n v="0"/>
    <n v="166.88"/>
    <d v="2025-08-06T00:00:00"/>
    <n v="10"/>
    <n v="1.6"/>
    <b v="0"/>
    <m/>
    <n v="27"/>
  </r>
  <r>
    <s v="FB001470"/>
    <x v="4"/>
    <x v="4"/>
    <x v="1"/>
    <x v="3"/>
    <x v="0"/>
    <n v="47.01"/>
    <n v="0"/>
    <n v="47.01"/>
    <d v="2025-08-06T00:00:00"/>
    <n v="17"/>
    <n v="1.6"/>
    <b v="0"/>
    <m/>
    <n v="27"/>
  </r>
  <r>
    <s v="FB001471"/>
    <x v="3"/>
    <x v="2"/>
    <x v="1"/>
    <x v="4"/>
    <x v="1"/>
    <n v="119.91"/>
    <n v="20.3"/>
    <n v="95.57"/>
    <d v="2025-08-06T00:00:00"/>
    <n v="15"/>
    <n v="3.8"/>
    <b v="0"/>
    <m/>
    <n v="27"/>
  </r>
  <r>
    <s v="FB001472"/>
    <x v="2"/>
    <x v="4"/>
    <x v="2"/>
    <x v="2"/>
    <x v="0"/>
    <n v="73.73"/>
    <n v="54.2"/>
    <n v="33.770000000000003"/>
    <d v="2025-08-06T00:00:00"/>
    <n v="37"/>
    <n v="4.0999999999999996"/>
    <b v="0"/>
    <m/>
    <n v="27"/>
  </r>
  <r>
    <s v="FB001473"/>
    <x v="4"/>
    <x v="0"/>
    <x v="2"/>
    <x v="1"/>
    <x v="2"/>
    <n v="108.65"/>
    <n v="0"/>
    <n v="108.65"/>
    <d v="2025-08-06T00:00:00"/>
    <n v="26"/>
    <n v="2.4"/>
    <b v="0"/>
    <m/>
    <n v="27"/>
  </r>
  <r>
    <s v="FB001474"/>
    <x v="3"/>
    <x v="3"/>
    <x v="3"/>
    <x v="1"/>
    <x v="0"/>
    <n v="186.53"/>
    <n v="0"/>
    <n v="186.53"/>
    <d v="2025-08-06T00:00:00"/>
    <n v="31"/>
    <n v="2.6"/>
    <b v="0"/>
    <m/>
    <n v="27"/>
  </r>
  <r>
    <s v="FB001475"/>
    <x v="2"/>
    <x v="0"/>
    <x v="3"/>
    <x v="2"/>
    <x v="0"/>
    <n v="60.34"/>
    <n v="0"/>
    <n v="60.34"/>
    <d v="2025-08-06T00:00:00"/>
    <n v="13"/>
    <n v="2.9116666666666675"/>
    <b v="0"/>
    <m/>
    <n v="27"/>
  </r>
  <r>
    <s v="FB001476"/>
    <x v="2"/>
    <x v="3"/>
    <x v="1"/>
    <x v="2"/>
    <x v="8"/>
    <n v="61.16"/>
    <n v="0"/>
    <n v="61.16"/>
    <d v="2025-08-06T00:00:00"/>
    <n v="28"/>
    <n v="2.2999999999999998"/>
    <b v="0"/>
    <m/>
    <n v="27"/>
  </r>
  <r>
    <s v="FB001477"/>
    <x v="3"/>
    <x v="7"/>
    <x v="1"/>
    <x v="0"/>
    <x v="6"/>
    <n v="168.85"/>
    <n v="35.299999999999997"/>
    <n v="109.25"/>
    <d v="2025-08-06T00:00:00"/>
    <n v="10"/>
    <n v="3.3"/>
    <b v="0"/>
    <m/>
    <n v="27"/>
  </r>
  <r>
    <s v="FB001478"/>
    <x v="1"/>
    <x v="5"/>
    <x v="1"/>
    <x v="1"/>
    <x v="8"/>
    <n v="60.08"/>
    <n v="0"/>
    <n v="60.08"/>
    <d v="2025-08-06T00:00:00"/>
    <n v="26"/>
    <n v="2.9846153846153847"/>
    <b v="0"/>
    <m/>
    <n v="27"/>
  </r>
  <r>
    <s v="FB001479"/>
    <x v="2"/>
    <x v="6"/>
    <x v="3"/>
    <x v="2"/>
    <x v="10"/>
    <n v="39.39"/>
    <n v="29.8"/>
    <n v="27.65"/>
    <d v="2025-08-06T00:00:00"/>
    <n v="13"/>
    <n v="4.7"/>
    <b v="0"/>
    <m/>
    <n v="27"/>
  </r>
  <r>
    <s v="FB001480"/>
    <x v="1"/>
    <x v="6"/>
    <x v="2"/>
    <x v="6"/>
    <x v="1"/>
    <n v="111.09"/>
    <n v="0"/>
    <n v="111.09"/>
    <d v="2025-08-06T00:00:00"/>
    <n v="24"/>
    <n v="2.2000000000000002"/>
    <b v="0"/>
    <m/>
    <n v="27"/>
  </r>
  <r>
    <s v="FB001481"/>
    <x v="5"/>
    <x v="2"/>
    <x v="3"/>
    <x v="6"/>
    <x v="6"/>
    <n v="133.51"/>
    <n v="0"/>
    <n v="133.51"/>
    <d v="2025-08-06T00:00:00"/>
    <n v="5"/>
    <n v="1.7"/>
    <b v="1"/>
    <s v="Quality Issue"/>
    <n v="27"/>
  </r>
  <r>
    <s v="FB001482"/>
    <x v="5"/>
    <x v="7"/>
    <x v="3"/>
    <x v="5"/>
    <x v="1"/>
    <n v="158.9"/>
    <n v="43.5"/>
    <n v="89.78"/>
    <d v="2025-08-06T00:00:00"/>
    <n v="46"/>
    <n v="2.9636363636363638"/>
    <b v="0"/>
    <m/>
    <n v="27"/>
  </r>
  <r>
    <s v="FB001483"/>
    <x v="1"/>
    <x v="6"/>
    <x v="0"/>
    <x v="5"/>
    <x v="10"/>
    <n v="65.27"/>
    <n v="19"/>
    <n v="52.87"/>
    <d v="2024-08-29T00:00:00"/>
    <n v="48"/>
    <n v="3"/>
    <b v="0"/>
    <m/>
    <n v="369"/>
  </r>
  <r>
    <s v="FB001484"/>
    <x v="2"/>
    <x v="0"/>
    <x v="2"/>
    <x v="2"/>
    <x v="6"/>
    <n v="72.37"/>
    <n v="0"/>
    <n v="72.37"/>
    <d v="2025-08-06T00:00:00"/>
    <n v="24"/>
    <n v="2.9"/>
    <b v="0"/>
    <m/>
    <n v="27"/>
  </r>
  <r>
    <s v="FB001485"/>
    <x v="5"/>
    <x v="2"/>
    <x v="2"/>
    <x v="0"/>
    <x v="3"/>
    <n v="133.88"/>
    <n v="21.5"/>
    <n v="105.1"/>
    <d v="2025-08-06T00:00:00"/>
    <n v="42"/>
    <n v="3.1"/>
    <b v="0"/>
    <m/>
    <n v="27"/>
  </r>
  <r>
    <s v="FB001486"/>
    <x v="1"/>
    <x v="0"/>
    <x v="0"/>
    <x v="4"/>
    <x v="9"/>
    <n v="74.3"/>
    <n v="0"/>
    <n v="74.3"/>
    <d v="2024-12-07T00:00:00"/>
    <n v="24"/>
    <n v="4.4000000000000004"/>
    <b v="0"/>
    <m/>
    <n v="269"/>
  </r>
  <r>
    <s v="FB001487"/>
    <x v="3"/>
    <x v="2"/>
    <x v="3"/>
    <x v="0"/>
    <x v="7"/>
    <n v="192.74"/>
    <n v="47.5"/>
    <n v="101.19"/>
    <d v="2025-08-06T00:00:00"/>
    <n v="40"/>
    <n v="2.8"/>
    <b v="0"/>
    <m/>
    <n v="27"/>
  </r>
  <r>
    <s v="FB001488"/>
    <x v="2"/>
    <x v="1"/>
    <x v="3"/>
    <x v="2"/>
    <x v="0"/>
    <n v="79.02"/>
    <n v="2.5"/>
    <n v="77.040000000000006"/>
    <d v="2025-08-06T00:00:00"/>
    <n v="16"/>
    <n v="2.8"/>
    <b v="0"/>
    <m/>
    <n v="27"/>
  </r>
  <r>
    <s v="FB001489"/>
    <x v="3"/>
    <x v="0"/>
    <x v="1"/>
    <x v="3"/>
    <x v="3"/>
    <n v="158.29"/>
    <n v="0"/>
    <n v="158.29"/>
    <d v="2025-08-06T00:00:00"/>
    <n v="5"/>
    <n v="1.6"/>
    <b v="0"/>
    <m/>
    <n v="27"/>
  </r>
  <r>
    <s v="FB001490"/>
    <x v="1"/>
    <x v="5"/>
    <x v="1"/>
    <x v="1"/>
    <x v="3"/>
    <n v="69.33"/>
    <n v="0"/>
    <n v="69.33"/>
    <d v="2025-08-06T00:00:00"/>
    <n v="26"/>
    <n v="4.9000000000000004"/>
    <b v="0"/>
    <m/>
    <n v="27"/>
  </r>
  <r>
    <s v="FB001491"/>
    <x v="3"/>
    <x v="6"/>
    <x v="1"/>
    <x v="5"/>
    <x v="10"/>
    <n v="86.89"/>
    <n v="19.5"/>
    <n v="69.95"/>
    <d v="2025-08-06T00:00:00"/>
    <n v="49"/>
    <n v="1.3"/>
    <b v="0"/>
    <m/>
    <n v="27"/>
  </r>
  <r>
    <s v="FB001492"/>
    <x v="0"/>
    <x v="1"/>
    <x v="2"/>
    <x v="1"/>
    <x v="6"/>
    <n v="162.75"/>
    <n v="0"/>
    <n v="162.75"/>
    <d v="2025-08-06T00:00:00"/>
    <n v="13"/>
    <n v="4.8"/>
    <b v="0"/>
    <m/>
    <n v="27"/>
  </r>
  <r>
    <s v="FB001493"/>
    <x v="3"/>
    <x v="4"/>
    <x v="3"/>
    <x v="6"/>
    <x v="5"/>
    <n v="70.28"/>
    <n v="0"/>
    <n v="70.28"/>
    <d v="2025-08-06T00:00:00"/>
    <n v="27"/>
    <n v="4.7"/>
    <b v="0"/>
    <m/>
    <n v="27"/>
  </r>
  <r>
    <s v="FB001494"/>
    <x v="4"/>
    <x v="3"/>
    <x v="0"/>
    <x v="3"/>
    <x v="3"/>
    <n v="111.91"/>
    <n v="0"/>
    <n v="111.91"/>
    <d v="2025-07-22T00:00:00"/>
    <n v="28"/>
    <n v="1.8"/>
    <b v="0"/>
    <m/>
    <n v="42"/>
  </r>
  <r>
    <s v="FB001495"/>
    <x v="0"/>
    <x v="5"/>
    <x v="2"/>
    <x v="3"/>
    <x v="9"/>
    <n v="143.76"/>
    <n v="0"/>
    <n v="143.76"/>
    <d v="2025-08-06T00:00:00"/>
    <n v="7"/>
    <n v="2"/>
    <b v="0"/>
    <m/>
    <n v="27"/>
  </r>
  <r>
    <s v="FB001496"/>
    <x v="5"/>
    <x v="4"/>
    <x v="3"/>
    <x v="3"/>
    <x v="9"/>
    <n v="169.89"/>
    <n v="0"/>
    <n v="169.89"/>
    <d v="2025-08-06T00:00:00"/>
    <n v="17"/>
    <n v="1.3"/>
    <b v="0"/>
    <m/>
    <n v="27"/>
  </r>
  <r>
    <s v="FB001497"/>
    <x v="3"/>
    <x v="0"/>
    <x v="1"/>
    <x v="0"/>
    <x v="3"/>
    <n v="72.290000000000006"/>
    <n v="0"/>
    <n v="72.290000000000006"/>
    <d v="2025-08-06T00:00:00"/>
    <n v="0"/>
    <n v="2.9153846153846157"/>
    <b v="0"/>
    <m/>
    <n v="27"/>
  </r>
  <r>
    <s v="FB001498"/>
    <x v="0"/>
    <x v="7"/>
    <x v="1"/>
    <x v="5"/>
    <x v="9"/>
    <n v="136.19999999999999"/>
    <n v="10.199999999999999"/>
    <n v="122.31"/>
    <d v="2025-08-06T00:00:00"/>
    <n v="10"/>
    <n v="3.6"/>
    <b v="0"/>
    <m/>
    <n v="27"/>
  </r>
  <r>
    <s v="FB001499"/>
    <x v="1"/>
    <x v="7"/>
    <x v="3"/>
    <x v="3"/>
    <x v="0"/>
    <n v="92.5"/>
    <n v="0"/>
    <n v="92.5"/>
    <d v="2025-08-06T00:00:00"/>
    <n v="15"/>
    <n v="2.7"/>
    <b v="0"/>
    <m/>
    <n v="27"/>
  </r>
  <r>
    <s v="FB001500"/>
    <x v="3"/>
    <x v="2"/>
    <x v="1"/>
    <x v="1"/>
    <x v="9"/>
    <n v="89.5"/>
    <n v="0"/>
    <n v="89.5"/>
    <d v="2025-08-06T00:00:00"/>
    <n v="5"/>
    <n v="4.5"/>
    <b v="0"/>
    <m/>
    <n v="27"/>
  </r>
  <r>
    <s v="FB001501"/>
    <x v="0"/>
    <x v="4"/>
    <x v="0"/>
    <x v="1"/>
    <x v="7"/>
    <n v="161.51"/>
    <n v="0"/>
    <n v="161.51"/>
    <d v="2024-11-02T00:00:00"/>
    <n v="22"/>
    <n v="4.7"/>
    <b v="0"/>
    <m/>
    <n v="304"/>
  </r>
  <r>
    <s v="FB001502"/>
    <x v="2"/>
    <x v="0"/>
    <x v="1"/>
    <x v="2"/>
    <x v="10"/>
    <n v="38.119999999999997"/>
    <n v="0"/>
    <n v="38.119999999999997"/>
    <d v="2025-08-06T00:00:00"/>
    <n v="18"/>
    <n v="4.4000000000000004"/>
    <b v="1"/>
    <s v="Damaged"/>
    <n v="27"/>
  </r>
  <r>
    <s v="FB001503"/>
    <x v="5"/>
    <x v="4"/>
    <x v="3"/>
    <x v="5"/>
    <x v="9"/>
    <n v="100.08"/>
    <n v="0"/>
    <n v="100.08"/>
    <d v="2025-08-06T00:00:00"/>
    <n v="23"/>
    <n v="4.8"/>
    <b v="0"/>
    <m/>
    <n v="27"/>
  </r>
  <r>
    <s v="FB001504"/>
    <x v="5"/>
    <x v="1"/>
    <x v="2"/>
    <x v="1"/>
    <x v="3"/>
    <n v="161.79"/>
    <n v="0"/>
    <n v="161.79"/>
    <d v="2025-08-06T00:00:00"/>
    <n v="44"/>
    <n v="3.9"/>
    <b v="0"/>
    <m/>
    <n v="27"/>
  </r>
  <r>
    <s v="FB001505"/>
    <x v="4"/>
    <x v="5"/>
    <x v="2"/>
    <x v="0"/>
    <x v="2"/>
    <n v="46.42"/>
    <n v="0"/>
    <n v="46.42"/>
    <d v="2025-08-06T00:00:00"/>
    <n v="2"/>
    <n v="3.7"/>
    <b v="1"/>
    <s v="Changed Mind"/>
    <n v="27"/>
  </r>
  <r>
    <s v="FB001506"/>
    <x v="3"/>
    <x v="1"/>
    <x v="0"/>
    <x v="1"/>
    <x v="10"/>
    <n v="199.33"/>
    <n v="44.3"/>
    <n v="111.03"/>
    <d v="2024-11-20T00:00:00"/>
    <n v="19"/>
    <n v="1.8"/>
    <b v="0"/>
    <m/>
    <n v="286"/>
  </r>
  <r>
    <s v="FB001507"/>
    <x v="4"/>
    <x v="7"/>
    <x v="3"/>
    <x v="4"/>
    <x v="2"/>
    <n v="25.77"/>
    <n v="0"/>
    <n v="25.77"/>
    <d v="2025-08-06T00:00:00"/>
    <n v="5"/>
    <n v="3.1"/>
    <b v="0"/>
    <m/>
    <n v="27"/>
  </r>
  <r>
    <s v="FB001508"/>
    <x v="3"/>
    <x v="7"/>
    <x v="1"/>
    <x v="6"/>
    <x v="8"/>
    <n v="180.67"/>
    <n v="0"/>
    <n v="180.67"/>
    <d v="2025-08-06T00:00:00"/>
    <n v="31"/>
    <n v="4.4000000000000004"/>
    <b v="0"/>
    <m/>
    <n v="27"/>
  </r>
  <r>
    <s v="FB001509"/>
    <x v="3"/>
    <x v="7"/>
    <x v="0"/>
    <x v="1"/>
    <x v="6"/>
    <n v="198.13"/>
    <n v="46.1"/>
    <n v="106.79"/>
    <d v="2025-05-19T00:00:00"/>
    <n v="8"/>
    <n v="3.2"/>
    <b v="0"/>
    <m/>
    <n v="106"/>
  </r>
  <r>
    <s v="FB001510"/>
    <x v="5"/>
    <x v="1"/>
    <x v="3"/>
    <x v="2"/>
    <x v="8"/>
    <n v="161.53"/>
    <n v="5.3"/>
    <n v="152.97"/>
    <d v="2025-08-06T00:00:00"/>
    <n v="33"/>
    <n v="3.7"/>
    <b v="0"/>
    <m/>
    <n v="27"/>
  </r>
  <r>
    <s v="FB001511"/>
    <x v="4"/>
    <x v="0"/>
    <x v="0"/>
    <x v="6"/>
    <x v="4"/>
    <n v="25.97"/>
    <n v="0"/>
    <n v="25.97"/>
    <d v="2024-11-28T00:00:00"/>
    <n v="31"/>
    <n v="1.2"/>
    <b v="0"/>
    <m/>
    <n v="278"/>
  </r>
  <r>
    <s v="FB001512"/>
    <x v="1"/>
    <x v="7"/>
    <x v="3"/>
    <x v="1"/>
    <x v="7"/>
    <n v="85"/>
    <n v="39.9"/>
    <n v="51.09"/>
    <d v="2025-08-06T00:00:00"/>
    <n v="44"/>
    <n v="3"/>
    <b v="0"/>
    <m/>
    <n v="27"/>
  </r>
  <r>
    <s v="FB001513"/>
    <x v="2"/>
    <x v="1"/>
    <x v="3"/>
    <x v="2"/>
    <x v="1"/>
    <n v="75.03"/>
    <n v="10.9"/>
    <n v="66.849999999999994"/>
    <d v="2025-08-06T00:00:00"/>
    <n v="12"/>
    <n v="1.2"/>
    <b v="0"/>
    <m/>
    <n v="27"/>
  </r>
  <r>
    <s v="FB001514"/>
    <x v="2"/>
    <x v="5"/>
    <x v="1"/>
    <x v="2"/>
    <x v="7"/>
    <n v="33.880000000000003"/>
    <n v="0"/>
    <n v="33.880000000000003"/>
    <d v="2025-08-06T00:00:00"/>
    <n v="9"/>
    <n v="3.2731707317073173"/>
    <b v="0"/>
    <m/>
    <n v="27"/>
  </r>
  <r>
    <s v="FB001515"/>
    <x v="3"/>
    <x v="2"/>
    <x v="3"/>
    <x v="5"/>
    <x v="9"/>
    <n v="142"/>
    <n v="12.3"/>
    <n v="124.53"/>
    <d v="2025-08-06T00:00:00"/>
    <n v="39"/>
    <n v="3.3"/>
    <b v="0"/>
    <m/>
    <n v="27"/>
  </r>
  <r>
    <s v="FB001516"/>
    <x v="5"/>
    <x v="4"/>
    <x v="2"/>
    <x v="0"/>
    <x v="6"/>
    <n v="125.46"/>
    <n v="0"/>
    <n v="125.46"/>
    <d v="2025-08-06T00:00:00"/>
    <n v="26"/>
    <n v="1.1000000000000001"/>
    <b v="0"/>
    <m/>
    <n v="27"/>
  </r>
  <r>
    <s v="FB001517"/>
    <x v="3"/>
    <x v="4"/>
    <x v="1"/>
    <x v="1"/>
    <x v="5"/>
    <n v="138.79"/>
    <n v="0"/>
    <n v="138.79"/>
    <d v="2025-08-06T00:00:00"/>
    <n v="16"/>
    <n v="3.3021276595744684"/>
    <b v="1"/>
    <s v="Size Issue"/>
    <n v="27"/>
  </r>
  <r>
    <s v="FB001518"/>
    <x v="4"/>
    <x v="5"/>
    <x v="0"/>
    <x v="0"/>
    <x v="1"/>
    <n v="81.81"/>
    <n v="37.9"/>
    <n v="50.8"/>
    <d v="2025-02-16T00:00:00"/>
    <n v="44"/>
    <n v="3.0575757575757576"/>
    <b v="0"/>
    <m/>
    <n v="198"/>
  </r>
  <r>
    <s v="FB001519"/>
    <x v="2"/>
    <x v="1"/>
    <x v="2"/>
    <x v="2"/>
    <x v="10"/>
    <n v="78.260000000000005"/>
    <n v="47.3"/>
    <n v="41.24"/>
    <d v="2025-08-06T00:00:00"/>
    <n v="20"/>
    <n v="4"/>
    <b v="0"/>
    <m/>
    <n v="27"/>
  </r>
  <r>
    <s v="FB001520"/>
    <x v="4"/>
    <x v="2"/>
    <x v="0"/>
    <x v="0"/>
    <x v="8"/>
    <n v="119.33"/>
    <n v="16"/>
    <n v="100.24"/>
    <d v="2024-08-16T00:00:00"/>
    <n v="35"/>
    <n v="3.0384615384615379"/>
    <b v="0"/>
    <m/>
    <n v="382"/>
  </r>
  <r>
    <s v="FB001521"/>
    <x v="2"/>
    <x v="5"/>
    <x v="0"/>
    <x v="2"/>
    <x v="2"/>
    <n v="52.97"/>
    <n v="0"/>
    <n v="52.97"/>
    <d v="2025-07-26T00:00:00"/>
    <n v="36"/>
    <n v="4.5999999999999996"/>
    <b v="0"/>
    <m/>
    <n v="38"/>
  </r>
  <r>
    <s v="FB001522"/>
    <x v="2"/>
    <x v="3"/>
    <x v="1"/>
    <x v="2"/>
    <x v="5"/>
    <n v="69.48"/>
    <n v="0"/>
    <n v="69.48"/>
    <d v="2025-08-06T00:00:00"/>
    <n v="17"/>
    <n v="3.4"/>
    <b v="0"/>
    <m/>
    <n v="27"/>
  </r>
  <r>
    <s v="FB001523"/>
    <x v="0"/>
    <x v="2"/>
    <x v="3"/>
    <x v="1"/>
    <x v="4"/>
    <n v="177.82"/>
    <n v="0"/>
    <n v="177.82"/>
    <d v="2025-08-06T00:00:00"/>
    <n v="9"/>
    <n v="1.1000000000000001"/>
    <b v="0"/>
    <m/>
    <n v="27"/>
  </r>
  <r>
    <s v="FB001524"/>
    <x v="3"/>
    <x v="2"/>
    <x v="1"/>
    <x v="1"/>
    <x v="1"/>
    <n v="142.71"/>
    <n v="0"/>
    <n v="142.71"/>
    <d v="2025-08-06T00:00:00"/>
    <n v="28"/>
    <n v="1"/>
    <b v="0"/>
    <m/>
    <n v="27"/>
  </r>
  <r>
    <s v="FB001525"/>
    <x v="4"/>
    <x v="0"/>
    <x v="0"/>
    <x v="5"/>
    <x v="5"/>
    <n v="105.21"/>
    <n v="0"/>
    <n v="105.21"/>
    <d v="2024-11-02T00:00:00"/>
    <n v="41"/>
    <n v="4.9000000000000004"/>
    <b v="0"/>
    <m/>
    <n v="304"/>
  </r>
  <r>
    <s v="FB001526"/>
    <x v="2"/>
    <x v="7"/>
    <x v="2"/>
    <x v="2"/>
    <x v="4"/>
    <n v="65.09"/>
    <n v="49.8"/>
    <n v="32.68"/>
    <d v="2025-08-06T00:00:00"/>
    <n v="32"/>
    <n v="4.9000000000000004"/>
    <b v="0"/>
    <m/>
    <n v="27"/>
  </r>
  <r>
    <s v="FB001527"/>
    <x v="0"/>
    <x v="1"/>
    <x v="1"/>
    <x v="6"/>
    <x v="8"/>
    <n v="167.39"/>
    <n v="0"/>
    <n v="167.39"/>
    <d v="2025-08-06T00:00:00"/>
    <n v="43"/>
    <n v="1.8"/>
    <b v="0"/>
    <m/>
    <n v="27"/>
  </r>
  <r>
    <s v="FB001528"/>
    <x v="2"/>
    <x v="1"/>
    <x v="1"/>
    <x v="2"/>
    <x v="0"/>
    <n v="49.89"/>
    <n v="0"/>
    <n v="49.89"/>
    <d v="2025-08-06T00:00:00"/>
    <n v="32"/>
    <n v="2.4"/>
    <b v="0"/>
    <m/>
    <n v="27"/>
  </r>
  <r>
    <s v="FB001529"/>
    <x v="0"/>
    <x v="2"/>
    <x v="2"/>
    <x v="3"/>
    <x v="3"/>
    <n v="218.06"/>
    <n v="0"/>
    <n v="218.06"/>
    <d v="2025-08-06T00:00:00"/>
    <n v="32"/>
    <n v="4"/>
    <b v="0"/>
    <m/>
    <n v="27"/>
  </r>
  <r>
    <s v="FB001530"/>
    <x v="4"/>
    <x v="6"/>
    <x v="3"/>
    <x v="5"/>
    <x v="3"/>
    <n v="66.64"/>
    <n v="21.8"/>
    <n v="52.11"/>
    <d v="2025-08-06T00:00:00"/>
    <n v="25"/>
    <n v="3.5"/>
    <b v="1"/>
    <s v="Changed Mind"/>
    <n v="27"/>
  </r>
  <r>
    <s v="FB001531"/>
    <x v="0"/>
    <x v="5"/>
    <x v="2"/>
    <x v="3"/>
    <x v="4"/>
    <n v="124.69"/>
    <n v="40.9"/>
    <n v="73.69"/>
    <d v="2025-08-06T00:00:00"/>
    <n v="9"/>
    <n v="4.0999999999999996"/>
    <b v="0"/>
    <m/>
    <n v="27"/>
  </r>
  <r>
    <s v="FB001532"/>
    <x v="1"/>
    <x v="3"/>
    <x v="3"/>
    <x v="3"/>
    <x v="1"/>
    <n v="28.24"/>
    <n v="48.2"/>
    <n v="14.63"/>
    <d v="2025-08-06T00:00:00"/>
    <n v="20"/>
    <n v="4.5"/>
    <b v="0"/>
    <m/>
    <n v="27"/>
  </r>
  <r>
    <s v="FB001533"/>
    <x v="2"/>
    <x v="0"/>
    <x v="3"/>
    <x v="2"/>
    <x v="9"/>
    <n v="76.39"/>
    <n v="53.9"/>
    <n v="35.22"/>
    <d v="2025-08-06T00:00:00"/>
    <n v="15"/>
    <n v="1.5"/>
    <b v="0"/>
    <m/>
    <n v="27"/>
  </r>
  <r>
    <s v="FB001534"/>
    <x v="4"/>
    <x v="0"/>
    <x v="1"/>
    <x v="6"/>
    <x v="5"/>
    <n v="96.82"/>
    <n v="0"/>
    <n v="96.82"/>
    <d v="2025-08-06T00:00:00"/>
    <n v="0"/>
    <n v="1.1000000000000001"/>
    <b v="0"/>
    <m/>
    <n v="27"/>
  </r>
  <r>
    <s v="FB001535"/>
    <x v="3"/>
    <x v="2"/>
    <x v="2"/>
    <x v="5"/>
    <x v="8"/>
    <n v="159.25"/>
    <n v="28.2"/>
    <n v="114.34"/>
    <d v="2025-08-06T00:00:00"/>
    <n v="1"/>
    <n v="3.1936170212765949"/>
    <b v="1"/>
    <s v="Wrong Item"/>
    <n v="27"/>
  </r>
  <r>
    <s v="FB001536"/>
    <x v="5"/>
    <x v="0"/>
    <x v="3"/>
    <x v="4"/>
    <x v="8"/>
    <n v="171.93"/>
    <n v="52.3"/>
    <n v="82.01"/>
    <d v="2025-08-06T00:00:00"/>
    <n v="28"/>
    <n v="2.2000000000000002"/>
    <b v="0"/>
    <m/>
    <n v="27"/>
  </r>
  <r>
    <s v="FB001537"/>
    <x v="1"/>
    <x v="0"/>
    <x v="3"/>
    <x v="5"/>
    <x v="10"/>
    <n v="85.25"/>
    <n v="0"/>
    <n v="85.25"/>
    <d v="2025-08-06T00:00:00"/>
    <n v="11"/>
    <n v="2.9181818181818175"/>
    <b v="0"/>
    <m/>
    <n v="27"/>
  </r>
  <r>
    <s v="FB001538"/>
    <x v="1"/>
    <x v="2"/>
    <x v="0"/>
    <x v="4"/>
    <x v="1"/>
    <n v="70.48"/>
    <n v="0"/>
    <n v="70.48"/>
    <d v="2024-11-27T00:00:00"/>
    <n v="22"/>
    <n v="1.2"/>
    <b v="0"/>
    <m/>
    <n v="279"/>
  </r>
  <r>
    <s v="FB001539"/>
    <x v="0"/>
    <x v="2"/>
    <x v="0"/>
    <x v="3"/>
    <x v="10"/>
    <n v="203.02"/>
    <n v="0"/>
    <n v="203.02"/>
    <d v="2025-05-17T00:00:00"/>
    <n v="23"/>
    <n v="3.5"/>
    <b v="1"/>
    <s v="Quality Issue"/>
    <n v="108"/>
  </r>
  <r>
    <s v="FB001540"/>
    <x v="5"/>
    <x v="5"/>
    <x v="2"/>
    <x v="4"/>
    <x v="1"/>
    <n v="115.39"/>
    <n v="11.2"/>
    <n v="102.47"/>
    <d v="2025-08-06T00:00:00"/>
    <n v="4"/>
    <n v="3.8"/>
    <b v="0"/>
    <m/>
    <n v="27"/>
  </r>
  <r>
    <s v="FB001541"/>
    <x v="2"/>
    <x v="3"/>
    <x v="0"/>
    <x v="2"/>
    <x v="1"/>
    <n v="27.91"/>
    <n v="49.8"/>
    <n v="14.01"/>
    <d v="2025-02-13T00:00:00"/>
    <n v="12"/>
    <n v="2.6"/>
    <b v="0"/>
    <m/>
    <n v="201"/>
  </r>
  <r>
    <s v="FB001542"/>
    <x v="2"/>
    <x v="4"/>
    <x v="1"/>
    <x v="2"/>
    <x v="8"/>
    <n v="79.69"/>
    <n v="0"/>
    <n v="79.69"/>
    <d v="2025-08-06T00:00:00"/>
    <n v="44"/>
    <n v="1.6"/>
    <b v="0"/>
    <m/>
    <n v="27"/>
  </r>
  <r>
    <s v="FB001543"/>
    <x v="4"/>
    <x v="7"/>
    <x v="2"/>
    <x v="3"/>
    <x v="10"/>
    <n v="47.22"/>
    <n v="0"/>
    <n v="47.22"/>
    <d v="2025-08-06T00:00:00"/>
    <n v="19"/>
    <n v="1.9"/>
    <b v="0"/>
    <m/>
    <n v="27"/>
  </r>
  <r>
    <s v="FB001544"/>
    <x v="3"/>
    <x v="4"/>
    <x v="2"/>
    <x v="2"/>
    <x v="10"/>
    <n v="172.27"/>
    <n v="14.9"/>
    <n v="146.6"/>
    <d v="2025-08-06T00:00:00"/>
    <n v="8"/>
    <n v="3.7"/>
    <b v="0"/>
    <m/>
    <n v="27"/>
  </r>
  <r>
    <s v="FB001545"/>
    <x v="2"/>
    <x v="0"/>
    <x v="1"/>
    <x v="2"/>
    <x v="2"/>
    <n v="27.9"/>
    <n v="0"/>
    <n v="27.9"/>
    <d v="2025-08-06T00:00:00"/>
    <n v="27"/>
    <n v="3"/>
    <b v="1"/>
    <s v="Changed Mind"/>
    <n v="27"/>
  </r>
  <r>
    <s v="FB001546"/>
    <x v="5"/>
    <x v="0"/>
    <x v="0"/>
    <x v="3"/>
    <x v="7"/>
    <n v="139.26"/>
    <n v="0"/>
    <n v="139.26"/>
    <d v="2025-01-02T00:00:00"/>
    <n v="32"/>
    <n v="3.4"/>
    <b v="0"/>
    <m/>
    <n v="243"/>
  </r>
  <r>
    <s v="FB001547"/>
    <x v="2"/>
    <x v="5"/>
    <x v="3"/>
    <x v="2"/>
    <x v="4"/>
    <n v="30.47"/>
    <n v="0"/>
    <n v="30.47"/>
    <d v="2025-08-06T00:00:00"/>
    <n v="34"/>
    <n v="4.2"/>
    <b v="0"/>
    <m/>
    <n v="27"/>
  </r>
  <r>
    <s v="FB001548"/>
    <x v="0"/>
    <x v="6"/>
    <x v="2"/>
    <x v="6"/>
    <x v="9"/>
    <n v="141.53"/>
    <n v="39.799999999999997"/>
    <n v="85.2"/>
    <d v="2025-08-06T00:00:00"/>
    <n v="47"/>
    <n v="3.5"/>
    <b v="0"/>
    <m/>
    <n v="27"/>
  </r>
  <r>
    <s v="FB001549"/>
    <x v="5"/>
    <x v="6"/>
    <x v="0"/>
    <x v="0"/>
    <x v="4"/>
    <n v="47.45"/>
    <n v="24.4"/>
    <n v="35.869999999999997"/>
    <d v="2025-06-15T00:00:00"/>
    <n v="42"/>
    <n v="2.8"/>
    <b v="0"/>
    <m/>
    <n v="79"/>
  </r>
  <r>
    <s v="FB001550"/>
    <x v="4"/>
    <x v="6"/>
    <x v="1"/>
    <x v="5"/>
    <x v="8"/>
    <n v="51.39"/>
    <n v="6.3"/>
    <n v="48.15"/>
    <d v="2025-08-06T00:00:00"/>
    <n v="46"/>
    <n v="3.1799999999999997"/>
    <b v="0"/>
    <m/>
    <n v="27"/>
  </r>
  <r>
    <s v="FB001551"/>
    <x v="1"/>
    <x v="6"/>
    <x v="0"/>
    <x v="2"/>
    <x v="3"/>
    <n v="74.13"/>
    <n v="0"/>
    <n v="74.13"/>
    <d v="2024-11-13T00:00:00"/>
    <n v="23"/>
    <n v="2.9074999999999998"/>
    <b v="0"/>
    <m/>
    <n v="293"/>
  </r>
  <r>
    <s v="FB001552"/>
    <x v="5"/>
    <x v="0"/>
    <x v="2"/>
    <x v="0"/>
    <x v="9"/>
    <n v="156.13999999999999"/>
    <n v="5"/>
    <n v="148.33000000000001"/>
    <d v="2025-08-06T00:00:00"/>
    <n v="39"/>
    <n v="3.0424242424242425"/>
    <b v="0"/>
    <m/>
    <n v="27"/>
  </r>
  <r>
    <s v="FB001553"/>
    <x v="0"/>
    <x v="2"/>
    <x v="3"/>
    <x v="5"/>
    <x v="6"/>
    <n v="105.3"/>
    <n v="0"/>
    <n v="105.3"/>
    <d v="2025-08-06T00:00:00"/>
    <n v="1"/>
    <n v="3"/>
    <b v="0"/>
    <m/>
    <n v="27"/>
  </r>
  <r>
    <s v="FB001554"/>
    <x v="5"/>
    <x v="4"/>
    <x v="1"/>
    <x v="3"/>
    <x v="8"/>
    <n v="126.76"/>
    <n v="0"/>
    <n v="126.76"/>
    <d v="2025-08-06T00:00:00"/>
    <n v="24"/>
    <n v="2.2000000000000002"/>
    <b v="0"/>
    <m/>
    <n v="27"/>
  </r>
  <r>
    <s v="FB001555"/>
    <x v="1"/>
    <x v="6"/>
    <x v="1"/>
    <x v="1"/>
    <x v="8"/>
    <n v="35.409999999999997"/>
    <n v="0"/>
    <n v="35.409999999999997"/>
    <d v="2025-08-06T00:00:00"/>
    <n v="48"/>
    <n v="4.3"/>
    <b v="1"/>
    <s v="Damaged"/>
    <n v="27"/>
  </r>
  <r>
    <s v="FB001556"/>
    <x v="0"/>
    <x v="5"/>
    <x v="1"/>
    <x v="6"/>
    <x v="3"/>
    <n v="80.040000000000006"/>
    <n v="0"/>
    <n v="80.040000000000006"/>
    <d v="2025-08-06T00:00:00"/>
    <n v="13"/>
    <n v="2.2999999999999998"/>
    <b v="0"/>
    <m/>
    <n v="27"/>
  </r>
  <r>
    <s v="FB001557"/>
    <x v="4"/>
    <x v="6"/>
    <x v="2"/>
    <x v="2"/>
    <x v="8"/>
    <n v="68.16"/>
    <n v="0"/>
    <n v="68.16"/>
    <d v="2025-08-06T00:00:00"/>
    <n v="34"/>
    <n v="2.7"/>
    <b v="0"/>
    <m/>
    <n v="27"/>
  </r>
  <r>
    <s v="FB001558"/>
    <x v="5"/>
    <x v="5"/>
    <x v="2"/>
    <x v="0"/>
    <x v="3"/>
    <n v="60.87"/>
    <n v="0"/>
    <n v="60.87"/>
    <d v="2025-08-06T00:00:00"/>
    <n v="35"/>
    <n v="3.1874999999999991"/>
    <b v="0"/>
    <m/>
    <n v="27"/>
  </r>
  <r>
    <s v="FB001559"/>
    <x v="1"/>
    <x v="4"/>
    <x v="0"/>
    <x v="1"/>
    <x v="10"/>
    <n v="59.8"/>
    <n v="0"/>
    <n v="59.8"/>
    <d v="2025-04-06T00:00:00"/>
    <n v="50"/>
    <n v="2.2000000000000002"/>
    <b v="1"/>
    <s v="Size Issue"/>
    <n v="149"/>
  </r>
  <r>
    <s v="FB001560"/>
    <x v="2"/>
    <x v="6"/>
    <x v="2"/>
    <x v="2"/>
    <x v="2"/>
    <n v="75.83"/>
    <n v="0"/>
    <n v="75.83"/>
    <d v="2025-08-06T00:00:00"/>
    <n v="8"/>
    <n v="2"/>
    <b v="0"/>
    <m/>
    <n v="27"/>
  </r>
  <r>
    <s v="FB001561"/>
    <x v="1"/>
    <x v="4"/>
    <x v="3"/>
    <x v="1"/>
    <x v="7"/>
    <n v="55.97"/>
    <n v="0"/>
    <n v="55.97"/>
    <d v="2025-08-06T00:00:00"/>
    <n v="30"/>
    <n v="2.9657142857142857"/>
    <b v="0"/>
    <m/>
    <n v="27"/>
  </r>
  <r>
    <s v="FB001562"/>
    <x v="3"/>
    <x v="6"/>
    <x v="1"/>
    <x v="0"/>
    <x v="7"/>
    <n v="190.52"/>
    <n v="45.2"/>
    <n v="104.4"/>
    <d v="2025-08-06T00:00:00"/>
    <n v="2"/>
    <n v="1.1000000000000001"/>
    <b v="0"/>
    <m/>
    <n v="27"/>
  </r>
  <r>
    <s v="FB001563"/>
    <x v="4"/>
    <x v="0"/>
    <x v="3"/>
    <x v="6"/>
    <x v="1"/>
    <n v="89.19"/>
    <n v="10.3"/>
    <n v="80"/>
    <d v="2025-08-06T00:00:00"/>
    <n v="4"/>
    <n v="2.9210526315789478"/>
    <b v="0"/>
    <m/>
    <n v="27"/>
  </r>
  <r>
    <s v="FB001564"/>
    <x v="3"/>
    <x v="2"/>
    <x v="3"/>
    <x v="2"/>
    <x v="3"/>
    <n v="79.59"/>
    <n v="8.9"/>
    <n v="72.510000000000005"/>
    <d v="2025-08-06T00:00:00"/>
    <n v="16"/>
    <n v="4.5999999999999996"/>
    <b v="1"/>
    <s v="Wrong Item"/>
    <n v="27"/>
  </r>
  <r>
    <s v="FB001565"/>
    <x v="4"/>
    <x v="3"/>
    <x v="0"/>
    <x v="4"/>
    <x v="4"/>
    <n v="84.8"/>
    <n v="0"/>
    <n v="84.8"/>
    <d v="2025-07-08T00:00:00"/>
    <n v="46"/>
    <n v="4.5999999999999996"/>
    <b v="0"/>
    <m/>
    <n v="56"/>
  </r>
  <r>
    <s v="FB001566"/>
    <x v="4"/>
    <x v="7"/>
    <x v="2"/>
    <x v="6"/>
    <x v="2"/>
    <n v="69.209999999999994"/>
    <n v="0"/>
    <n v="69.209999999999994"/>
    <d v="2025-08-06T00:00:00"/>
    <n v="41"/>
    <n v="3.1021739130434773"/>
    <b v="0"/>
    <m/>
    <n v="27"/>
  </r>
  <r>
    <s v="FB001567"/>
    <x v="0"/>
    <x v="2"/>
    <x v="0"/>
    <x v="5"/>
    <x v="8"/>
    <n v="229.17"/>
    <n v="0"/>
    <n v="229.17"/>
    <d v="2025-07-17T00:00:00"/>
    <n v="37"/>
    <n v="2"/>
    <b v="0"/>
    <m/>
    <n v="47"/>
  </r>
  <r>
    <s v="FB001568"/>
    <x v="5"/>
    <x v="2"/>
    <x v="1"/>
    <x v="1"/>
    <x v="3"/>
    <n v="103.9"/>
    <n v="0"/>
    <n v="103.9"/>
    <d v="2025-08-06T00:00:00"/>
    <n v="40"/>
    <n v="4.4000000000000004"/>
    <b v="0"/>
    <m/>
    <n v="27"/>
  </r>
  <r>
    <s v="FB001569"/>
    <x v="0"/>
    <x v="0"/>
    <x v="0"/>
    <x v="5"/>
    <x v="7"/>
    <n v="228.46"/>
    <n v="0"/>
    <n v="228.46"/>
    <d v="2025-02-07T00:00:00"/>
    <n v="7"/>
    <n v="2.5"/>
    <b v="1"/>
    <s v="Quality Issue"/>
    <n v="207"/>
  </r>
  <r>
    <s v="FB001570"/>
    <x v="2"/>
    <x v="0"/>
    <x v="3"/>
    <x v="2"/>
    <x v="3"/>
    <n v="44.35"/>
    <n v="29.2"/>
    <n v="31.4"/>
    <d v="2025-08-06T00:00:00"/>
    <n v="20"/>
    <n v="4.9000000000000004"/>
    <b v="0"/>
    <m/>
    <n v="27"/>
  </r>
  <r>
    <s v="FB001571"/>
    <x v="4"/>
    <x v="1"/>
    <x v="0"/>
    <x v="2"/>
    <x v="4"/>
    <n v="28.76"/>
    <n v="54.7"/>
    <n v="13.03"/>
    <d v="2025-05-14T00:00:00"/>
    <n v="2"/>
    <n v="4.4000000000000004"/>
    <b v="1"/>
    <s v="Color Mismatch"/>
    <n v="111"/>
  </r>
  <r>
    <s v="FB001572"/>
    <x v="0"/>
    <x v="3"/>
    <x v="0"/>
    <x v="4"/>
    <x v="0"/>
    <n v="158.34"/>
    <n v="36.6"/>
    <n v="100.39"/>
    <d v="2025-01-27T00:00:00"/>
    <n v="11"/>
    <n v="4.5"/>
    <b v="0"/>
    <m/>
    <n v="218"/>
  </r>
  <r>
    <s v="FB001573"/>
    <x v="2"/>
    <x v="0"/>
    <x v="0"/>
    <x v="2"/>
    <x v="10"/>
    <n v="39.049999999999997"/>
    <n v="12"/>
    <n v="34.36"/>
    <d v="2024-09-30T00:00:00"/>
    <n v="0"/>
    <n v="3.1"/>
    <b v="0"/>
    <m/>
    <n v="337"/>
  </r>
  <r>
    <s v="FB001574"/>
    <x v="1"/>
    <x v="5"/>
    <x v="0"/>
    <x v="3"/>
    <x v="5"/>
    <n v="52.46"/>
    <n v="12.2"/>
    <n v="46.06"/>
    <d v="2024-12-19T00:00:00"/>
    <n v="39"/>
    <n v="2.2999999999999998"/>
    <b v="0"/>
    <m/>
    <n v="257"/>
  </r>
  <r>
    <s v="FB001575"/>
    <x v="4"/>
    <x v="6"/>
    <x v="0"/>
    <x v="3"/>
    <x v="0"/>
    <n v="70.31"/>
    <n v="34.4"/>
    <n v="46.12"/>
    <d v="2025-01-24T00:00:00"/>
    <n v="28"/>
    <n v="3.1"/>
    <b v="0"/>
    <m/>
    <n v="221"/>
  </r>
  <r>
    <s v="FB001576"/>
    <x v="0"/>
    <x v="7"/>
    <x v="3"/>
    <x v="3"/>
    <x v="7"/>
    <n v="123.27"/>
    <n v="0"/>
    <n v="123.27"/>
    <d v="2025-08-06T00:00:00"/>
    <n v="13"/>
    <n v="2.8"/>
    <b v="0"/>
    <m/>
    <n v="27"/>
  </r>
  <r>
    <s v="FB001577"/>
    <x v="0"/>
    <x v="3"/>
    <x v="3"/>
    <x v="1"/>
    <x v="8"/>
    <n v="215.82"/>
    <n v="16.5"/>
    <n v="180.21"/>
    <d v="2025-08-06T00:00:00"/>
    <n v="9"/>
    <n v="2.4"/>
    <b v="0"/>
    <m/>
    <n v="27"/>
  </r>
  <r>
    <s v="FB001578"/>
    <x v="0"/>
    <x v="6"/>
    <x v="3"/>
    <x v="5"/>
    <x v="5"/>
    <n v="82.91"/>
    <n v="0.7"/>
    <n v="82.33"/>
    <d v="2025-08-06T00:00:00"/>
    <n v="24"/>
    <n v="2.9034482758620692"/>
    <b v="1"/>
    <s v="Damaged"/>
    <n v="27"/>
  </r>
  <r>
    <s v="FB001579"/>
    <x v="1"/>
    <x v="6"/>
    <x v="1"/>
    <x v="0"/>
    <x v="9"/>
    <n v="33.46"/>
    <n v="0"/>
    <n v="33.46"/>
    <d v="2025-08-06T00:00:00"/>
    <n v="36"/>
    <n v="3.6"/>
    <b v="0"/>
    <m/>
    <n v="27"/>
  </r>
  <r>
    <s v="FB001580"/>
    <x v="4"/>
    <x v="2"/>
    <x v="0"/>
    <x v="1"/>
    <x v="4"/>
    <n v="37.21"/>
    <n v="53.9"/>
    <n v="17.149999999999999"/>
    <d v="2025-06-27T00:00:00"/>
    <n v="48"/>
    <n v="3.8"/>
    <b v="0"/>
    <m/>
    <n v="67"/>
  </r>
  <r>
    <s v="FB001581"/>
    <x v="4"/>
    <x v="3"/>
    <x v="1"/>
    <x v="2"/>
    <x v="0"/>
    <n v="76.86"/>
    <n v="48.9"/>
    <n v="39.28"/>
    <d v="2025-08-06T00:00:00"/>
    <n v="5"/>
    <n v="1.2"/>
    <b v="0"/>
    <m/>
    <n v="27"/>
  </r>
  <r>
    <s v="FB001582"/>
    <x v="0"/>
    <x v="4"/>
    <x v="1"/>
    <x v="3"/>
    <x v="7"/>
    <n v="208.57"/>
    <n v="0"/>
    <n v="208.57"/>
    <d v="2025-08-06T00:00:00"/>
    <n v="24"/>
    <n v="3.6"/>
    <b v="0"/>
    <m/>
    <n v="27"/>
  </r>
  <r>
    <s v="FB001583"/>
    <x v="5"/>
    <x v="6"/>
    <x v="0"/>
    <x v="0"/>
    <x v="0"/>
    <n v="131.69999999999999"/>
    <n v="15.8"/>
    <n v="110.89"/>
    <d v="2024-08-12T00:00:00"/>
    <n v="49"/>
    <n v="1.4"/>
    <b v="1"/>
    <s v="Damaged"/>
    <n v="386"/>
  </r>
  <r>
    <s v="FB001584"/>
    <x v="4"/>
    <x v="3"/>
    <x v="3"/>
    <x v="4"/>
    <x v="5"/>
    <n v="117.21"/>
    <n v="0"/>
    <n v="117.21"/>
    <d v="2025-08-06T00:00:00"/>
    <n v="14"/>
    <n v="3.2"/>
    <b v="0"/>
    <m/>
    <n v="27"/>
  </r>
  <r>
    <s v="FB001585"/>
    <x v="2"/>
    <x v="3"/>
    <x v="3"/>
    <x v="2"/>
    <x v="6"/>
    <n v="23.01"/>
    <n v="48.8"/>
    <n v="11.78"/>
    <d v="2025-08-06T00:00:00"/>
    <n v="13"/>
    <n v="3.6"/>
    <b v="0"/>
    <m/>
    <n v="27"/>
  </r>
  <r>
    <s v="FB001586"/>
    <x v="2"/>
    <x v="7"/>
    <x v="3"/>
    <x v="2"/>
    <x v="0"/>
    <n v="47.6"/>
    <n v="0"/>
    <n v="47.6"/>
    <d v="2025-08-06T00:00:00"/>
    <n v="24"/>
    <n v="4.4000000000000004"/>
    <b v="1"/>
    <s v="Wrong Item"/>
    <n v="27"/>
  </r>
  <r>
    <s v="FB001587"/>
    <x v="4"/>
    <x v="0"/>
    <x v="2"/>
    <x v="1"/>
    <x v="1"/>
    <n v="33.22"/>
    <n v="38.4"/>
    <n v="20.46"/>
    <d v="2025-08-06T00:00:00"/>
    <n v="11"/>
    <n v="2.9"/>
    <b v="0"/>
    <m/>
    <n v="27"/>
  </r>
  <r>
    <s v="FB001588"/>
    <x v="2"/>
    <x v="1"/>
    <x v="1"/>
    <x v="2"/>
    <x v="8"/>
    <n v="65.97"/>
    <n v="6.8"/>
    <n v="61.48"/>
    <d v="2025-08-06T00:00:00"/>
    <n v="41"/>
    <n v="4.3"/>
    <b v="0"/>
    <m/>
    <n v="27"/>
  </r>
  <r>
    <s v="FB001589"/>
    <x v="1"/>
    <x v="4"/>
    <x v="0"/>
    <x v="1"/>
    <x v="6"/>
    <n v="47.25"/>
    <n v="29"/>
    <n v="33.549999999999997"/>
    <d v="2025-06-20T00:00:00"/>
    <n v="38"/>
    <n v="5"/>
    <b v="0"/>
    <m/>
    <n v="74"/>
  </r>
  <r>
    <s v="FB001590"/>
    <x v="1"/>
    <x v="7"/>
    <x v="0"/>
    <x v="5"/>
    <x v="6"/>
    <n v="93.74"/>
    <n v="0"/>
    <n v="93.74"/>
    <d v="2024-12-27T00:00:00"/>
    <n v="39"/>
    <n v="4"/>
    <b v="0"/>
    <m/>
    <n v="249"/>
  </r>
  <r>
    <s v="FB001591"/>
    <x v="4"/>
    <x v="7"/>
    <x v="3"/>
    <x v="4"/>
    <x v="3"/>
    <n v="31.57"/>
    <n v="0"/>
    <n v="31.57"/>
    <d v="2025-08-06T00:00:00"/>
    <n v="2"/>
    <n v="3.1021739130434773"/>
    <b v="0"/>
    <m/>
    <n v="27"/>
  </r>
  <r>
    <s v="FB001592"/>
    <x v="4"/>
    <x v="2"/>
    <x v="1"/>
    <x v="4"/>
    <x v="10"/>
    <n v="64.209999999999994"/>
    <n v="0"/>
    <n v="64.209999999999994"/>
    <d v="2025-08-06T00:00:00"/>
    <n v="3"/>
    <n v="2.8"/>
    <b v="0"/>
    <m/>
    <n v="27"/>
  </r>
  <r>
    <s v="FB001593"/>
    <x v="2"/>
    <x v="2"/>
    <x v="1"/>
    <x v="2"/>
    <x v="6"/>
    <n v="56.13"/>
    <n v="8.1"/>
    <n v="51.58"/>
    <d v="2025-08-06T00:00:00"/>
    <n v="12"/>
    <n v="3.8"/>
    <b v="0"/>
    <m/>
    <n v="27"/>
  </r>
  <r>
    <s v="FB001594"/>
    <x v="1"/>
    <x v="1"/>
    <x v="3"/>
    <x v="4"/>
    <x v="7"/>
    <n v="70.89"/>
    <n v="0"/>
    <n v="70.89"/>
    <d v="2025-08-06T00:00:00"/>
    <n v="14"/>
    <n v="4.7"/>
    <b v="1"/>
    <s v="Size Issue"/>
    <n v="27"/>
  </r>
  <r>
    <s v="FB001595"/>
    <x v="3"/>
    <x v="2"/>
    <x v="1"/>
    <x v="6"/>
    <x v="9"/>
    <n v="149.65"/>
    <n v="0"/>
    <n v="149.65"/>
    <d v="2025-08-06T00:00:00"/>
    <n v="26"/>
    <n v="3.8"/>
    <b v="0"/>
    <m/>
    <n v="27"/>
  </r>
  <r>
    <s v="FB001596"/>
    <x v="3"/>
    <x v="0"/>
    <x v="0"/>
    <x v="3"/>
    <x v="3"/>
    <n v="83.17"/>
    <n v="0"/>
    <n v="83.17"/>
    <d v="2024-09-03T00:00:00"/>
    <n v="48"/>
    <n v="3.2"/>
    <b v="0"/>
    <m/>
    <n v="364"/>
  </r>
  <r>
    <s v="FB001597"/>
    <x v="0"/>
    <x v="4"/>
    <x v="2"/>
    <x v="0"/>
    <x v="5"/>
    <n v="121.56"/>
    <n v="0"/>
    <n v="121.56"/>
    <d v="2025-08-06T00:00:00"/>
    <n v="18"/>
    <n v="3.3"/>
    <b v="0"/>
    <m/>
    <n v="27"/>
  </r>
  <r>
    <s v="FB001598"/>
    <x v="4"/>
    <x v="0"/>
    <x v="1"/>
    <x v="6"/>
    <x v="9"/>
    <n v="48.62"/>
    <n v="0"/>
    <n v="48.62"/>
    <d v="2025-08-06T00:00:00"/>
    <n v="3"/>
    <n v="2.9210526315789478"/>
    <b v="1"/>
    <s v="Damaged"/>
    <n v="27"/>
  </r>
  <r>
    <s v="FB001599"/>
    <x v="5"/>
    <x v="5"/>
    <x v="1"/>
    <x v="6"/>
    <x v="5"/>
    <n v="79.040000000000006"/>
    <n v="0"/>
    <n v="79.040000000000006"/>
    <d v="2025-08-06T00:00:00"/>
    <n v="4"/>
    <n v="4.0999999999999996"/>
    <b v="0"/>
    <m/>
    <n v="27"/>
  </r>
  <r>
    <s v="FB001600"/>
    <x v="0"/>
    <x v="3"/>
    <x v="0"/>
    <x v="5"/>
    <x v="4"/>
    <n v="198.58"/>
    <n v="0"/>
    <n v="198.58"/>
    <d v="2025-01-24T00:00:00"/>
    <n v="46"/>
    <n v="2.4137931034482762"/>
    <b v="0"/>
    <m/>
    <n v="221"/>
  </r>
  <r>
    <s v="FB001601"/>
    <x v="0"/>
    <x v="2"/>
    <x v="3"/>
    <x v="6"/>
    <x v="6"/>
    <n v="109.82"/>
    <n v="0"/>
    <n v="109.82"/>
    <d v="2025-08-06T00:00:00"/>
    <n v="32"/>
    <n v="2.2999999999999998"/>
    <b v="0"/>
    <m/>
    <n v="27"/>
  </r>
  <r>
    <s v="FB001602"/>
    <x v="2"/>
    <x v="2"/>
    <x v="3"/>
    <x v="2"/>
    <x v="0"/>
    <n v="34.42"/>
    <n v="49.5"/>
    <n v="17.38"/>
    <d v="2025-08-06T00:00:00"/>
    <n v="26"/>
    <n v="2.2000000000000002"/>
    <b v="0"/>
    <m/>
    <n v="27"/>
  </r>
  <r>
    <s v="FB001603"/>
    <x v="3"/>
    <x v="0"/>
    <x v="1"/>
    <x v="2"/>
    <x v="4"/>
    <n v="112.1"/>
    <n v="0"/>
    <n v="112.1"/>
    <d v="2025-08-06T00:00:00"/>
    <n v="5"/>
    <n v="2"/>
    <b v="1"/>
    <s v="Color Mismatch"/>
    <n v="27"/>
  </r>
  <r>
    <s v="FB001604"/>
    <x v="4"/>
    <x v="6"/>
    <x v="2"/>
    <x v="5"/>
    <x v="3"/>
    <n v="25.07"/>
    <n v="0"/>
    <n v="25.07"/>
    <d v="2025-08-06T00:00:00"/>
    <n v="9"/>
    <n v="2.5"/>
    <b v="0"/>
    <m/>
    <n v="27"/>
  </r>
  <r>
    <s v="FB001605"/>
    <x v="5"/>
    <x v="1"/>
    <x v="0"/>
    <x v="0"/>
    <x v="6"/>
    <n v="170.38"/>
    <n v="0"/>
    <n v="170.38"/>
    <d v="2024-09-05T00:00:00"/>
    <n v="23"/>
    <n v="4.3"/>
    <b v="0"/>
    <m/>
    <n v="362"/>
  </r>
  <r>
    <s v="FB001606"/>
    <x v="5"/>
    <x v="3"/>
    <x v="1"/>
    <x v="4"/>
    <x v="6"/>
    <n v="77.319999999999993"/>
    <n v="0"/>
    <n v="77.319999999999993"/>
    <d v="2025-08-06T00:00:00"/>
    <n v="30"/>
    <n v="2.2000000000000002"/>
    <b v="1"/>
    <s v="Color Mismatch"/>
    <n v="27"/>
  </r>
  <r>
    <s v="FB001607"/>
    <x v="3"/>
    <x v="3"/>
    <x v="1"/>
    <x v="5"/>
    <x v="2"/>
    <n v="111.88"/>
    <n v="0"/>
    <n v="111.88"/>
    <d v="2025-08-06T00:00:00"/>
    <n v="17"/>
    <n v="4.5999999999999996"/>
    <b v="0"/>
    <m/>
    <n v="27"/>
  </r>
  <r>
    <s v="FB001608"/>
    <x v="2"/>
    <x v="7"/>
    <x v="2"/>
    <x v="2"/>
    <x v="2"/>
    <n v="24.71"/>
    <n v="0"/>
    <n v="24.71"/>
    <d v="2025-08-06T00:00:00"/>
    <n v="37"/>
    <n v="2.8636363636363633"/>
    <b v="0"/>
    <m/>
    <n v="27"/>
  </r>
  <r>
    <s v="FB001609"/>
    <x v="1"/>
    <x v="1"/>
    <x v="0"/>
    <x v="0"/>
    <x v="0"/>
    <n v="61.42"/>
    <n v="0"/>
    <n v="61.42"/>
    <d v="2024-08-22T00:00:00"/>
    <n v="41"/>
    <n v="3.5"/>
    <b v="0"/>
    <m/>
    <n v="376"/>
  </r>
  <r>
    <s v="FB001610"/>
    <x v="2"/>
    <x v="6"/>
    <x v="2"/>
    <x v="2"/>
    <x v="5"/>
    <n v="60.48"/>
    <n v="7.3"/>
    <n v="56.06"/>
    <d v="2025-08-06T00:00:00"/>
    <n v="46"/>
    <n v="3.6"/>
    <b v="0"/>
    <m/>
    <n v="27"/>
  </r>
  <r>
    <s v="FB001611"/>
    <x v="2"/>
    <x v="3"/>
    <x v="2"/>
    <x v="2"/>
    <x v="9"/>
    <n v="34.94"/>
    <n v="5.2"/>
    <n v="33.119999999999997"/>
    <d v="2025-08-06T00:00:00"/>
    <n v="18"/>
    <n v="2.5131578947368416"/>
    <b v="0"/>
    <m/>
    <n v="27"/>
  </r>
  <r>
    <s v="FB001612"/>
    <x v="4"/>
    <x v="2"/>
    <x v="0"/>
    <x v="0"/>
    <x v="0"/>
    <n v="30.51"/>
    <n v="0"/>
    <n v="30.51"/>
    <d v="2025-01-14T00:00:00"/>
    <n v="17"/>
    <n v="1.2"/>
    <b v="0"/>
    <m/>
    <n v="231"/>
  </r>
  <r>
    <s v="FB001613"/>
    <x v="5"/>
    <x v="2"/>
    <x v="1"/>
    <x v="4"/>
    <x v="8"/>
    <n v="65.540000000000006"/>
    <n v="40.299999999999997"/>
    <n v="39.130000000000003"/>
    <d v="2025-08-06T00:00:00"/>
    <n v="27"/>
    <n v="1.2"/>
    <b v="0"/>
    <m/>
    <n v="27"/>
  </r>
  <r>
    <s v="FB001614"/>
    <x v="3"/>
    <x v="7"/>
    <x v="3"/>
    <x v="3"/>
    <x v="7"/>
    <n v="114.37"/>
    <n v="43.2"/>
    <n v="64.959999999999994"/>
    <d v="2025-08-06T00:00:00"/>
    <n v="16"/>
    <n v="1.4"/>
    <b v="0"/>
    <m/>
    <n v="27"/>
  </r>
  <r>
    <s v="FB001615"/>
    <x v="5"/>
    <x v="3"/>
    <x v="0"/>
    <x v="3"/>
    <x v="3"/>
    <n v="145.80000000000001"/>
    <n v="0"/>
    <n v="145.80000000000001"/>
    <d v="2024-09-27T00:00:00"/>
    <n v="13"/>
    <n v="4"/>
    <b v="0"/>
    <m/>
    <n v="340"/>
  </r>
  <r>
    <s v="FB001616"/>
    <x v="3"/>
    <x v="0"/>
    <x v="3"/>
    <x v="3"/>
    <x v="0"/>
    <n v="121.43"/>
    <n v="44.1"/>
    <n v="67.88"/>
    <d v="2025-08-06T00:00:00"/>
    <n v="2"/>
    <n v="4.4000000000000004"/>
    <b v="0"/>
    <m/>
    <n v="27"/>
  </r>
  <r>
    <s v="FB001617"/>
    <x v="3"/>
    <x v="7"/>
    <x v="3"/>
    <x v="4"/>
    <x v="6"/>
    <n v="94.49"/>
    <n v="0"/>
    <n v="94.49"/>
    <d v="2025-08-06T00:00:00"/>
    <n v="30"/>
    <n v="1.5"/>
    <b v="0"/>
    <m/>
    <n v="27"/>
  </r>
  <r>
    <s v="FB001618"/>
    <x v="0"/>
    <x v="7"/>
    <x v="2"/>
    <x v="6"/>
    <x v="9"/>
    <n v="218.64"/>
    <n v="0"/>
    <n v="218.64"/>
    <d v="2025-08-06T00:00:00"/>
    <n v="5"/>
    <n v="2.9718749999999998"/>
    <b v="0"/>
    <m/>
    <n v="27"/>
  </r>
  <r>
    <s v="FB001619"/>
    <x v="0"/>
    <x v="1"/>
    <x v="2"/>
    <x v="3"/>
    <x v="2"/>
    <n v="80.41"/>
    <n v="11.9"/>
    <n v="70.84"/>
    <d v="2025-08-06T00:00:00"/>
    <n v="35"/>
    <n v="1.5"/>
    <b v="0"/>
    <m/>
    <n v="27"/>
  </r>
  <r>
    <s v="FB001620"/>
    <x v="3"/>
    <x v="6"/>
    <x v="1"/>
    <x v="0"/>
    <x v="7"/>
    <n v="183.3"/>
    <n v="0"/>
    <n v="183.3"/>
    <d v="2025-08-06T00:00:00"/>
    <n v="7"/>
    <n v="2"/>
    <b v="0"/>
    <m/>
    <n v="27"/>
  </r>
  <r>
    <s v="FB001621"/>
    <x v="0"/>
    <x v="1"/>
    <x v="2"/>
    <x v="5"/>
    <x v="3"/>
    <n v="241.81"/>
    <n v="0"/>
    <n v="241.81"/>
    <d v="2025-08-06T00:00:00"/>
    <n v="38"/>
    <n v="3.5"/>
    <b v="0"/>
    <m/>
    <n v="27"/>
  </r>
  <r>
    <s v="FB001622"/>
    <x v="0"/>
    <x v="3"/>
    <x v="0"/>
    <x v="5"/>
    <x v="3"/>
    <n v="216.46"/>
    <n v="28.8"/>
    <n v="154.12"/>
    <d v="2024-08-12T00:00:00"/>
    <n v="43"/>
    <n v="1.3"/>
    <b v="0"/>
    <m/>
    <n v="386"/>
  </r>
  <r>
    <s v="FB001623"/>
    <x v="5"/>
    <x v="1"/>
    <x v="0"/>
    <x v="3"/>
    <x v="1"/>
    <n v="63.07"/>
    <n v="53.6"/>
    <n v="29.26"/>
    <d v="2025-05-20T00:00:00"/>
    <n v="4"/>
    <n v="1.5"/>
    <b v="1"/>
    <s v="Color Mismatch"/>
    <n v="105"/>
  </r>
  <r>
    <s v="FB001624"/>
    <x v="2"/>
    <x v="2"/>
    <x v="0"/>
    <x v="2"/>
    <x v="6"/>
    <n v="44.7"/>
    <n v="0"/>
    <n v="44.7"/>
    <d v="2025-03-17T00:00:00"/>
    <n v="29"/>
    <n v="3.2"/>
    <b v="0"/>
    <m/>
    <n v="169"/>
  </r>
  <r>
    <s v="FB001625"/>
    <x v="1"/>
    <x v="0"/>
    <x v="2"/>
    <x v="4"/>
    <x v="3"/>
    <n v="28.23"/>
    <n v="40.299999999999997"/>
    <n v="16.850000000000001"/>
    <d v="2025-08-06T00:00:00"/>
    <n v="21"/>
    <n v="2.7"/>
    <b v="0"/>
    <m/>
    <n v="27"/>
  </r>
  <r>
    <s v="FB001626"/>
    <x v="3"/>
    <x v="5"/>
    <x v="2"/>
    <x v="4"/>
    <x v="6"/>
    <n v="131.94"/>
    <n v="27.3"/>
    <n v="95.92"/>
    <d v="2025-08-06T00:00:00"/>
    <n v="6"/>
    <n v="2.8"/>
    <b v="1"/>
    <s v="Damaged"/>
    <n v="27"/>
  </r>
  <r>
    <s v="FB001627"/>
    <x v="0"/>
    <x v="7"/>
    <x v="2"/>
    <x v="6"/>
    <x v="5"/>
    <n v="166.85"/>
    <n v="30.9"/>
    <n v="115.29"/>
    <d v="2025-08-06T00:00:00"/>
    <n v="14"/>
    <n v="4.2"/>
    <b v="1"/>
    <s v="Changed Mind"/>
    <n v="27"/>
  </r>
  <r>
    <s v="FB001628"/>
    <x v="1"/>
    <x v="2"/>
    <x v="1"/>
    <x v="3"/>
    <x v="8"/>
    <n v="39.58"/>
    <n v="30.9"/>
    <n v="27.35"/>
    <d v="2025-08-06T00:00:00"/>
    <n v="17"/>
    <n v="2.5"/>
    <b v="0"/>
    <m/>
    <n v="27"/>
  </r>
  <r>
    <s v="FB001629"/>
    <x v="0"/>
    <x v="1"/>
    <x v="3"/>
    <x v="6"/>
    <x v="5"/>
    <n v="89.55"/>
    <n v="58"/>
    <n v="37.61"/>
    <d v="2025-08-06T00:00:00"/>
    <n v="21"/>
    <n v="2.6"/>
    <b v="0"/>
    <m/>
    <n v="27"/>
  </r>
  <r>
    <s v="FB001630"/>
    <x v="0"/>
    <x v="3"/>
    <x v="2"/>
    <x v="6"/>
    <x v="9"/>
    <n v="138.55000000000001"/>
    <n v="0"/>
    <n v="138.55000000000001"/>
    <d v="2025-08-06T00:00:00"/>
    <n v="25"/>
    <n v="2"/>
    <b v="0"/>
    <m/>
    <n v="27"/>
  </r>
  <r>
    <s v="FB001631"/>
    <x v="2"/>
    <x v="1"/>
    <x v="2"/>
    <x v="2"/>
    <x v="7"/>
    <n v="43.84"/>
    <n v="0"/>
    <n v="43.84"/>
    <d v="2025-08-06T00:00:00"/>
    <n v="28"/>
    <n v="2.8"/>
    <b v="0"/>
    <m/>
    <n v="27"/>
  </r>
  <r>
    <s v="FB001632"/>
    <x v="1"/>
    <x v="7"/>
    <x v="2"/>
    <x v="0"/>
    <x v="10"/>
    <n v="63.72"/>
    <n v="17.8"/>
    <n v="52.38"/>
    <d v="2025-08-06T00:00:00"/>
    <n v="45"/>
    <n v="2.4"/>
    <b v="0"/>
    <m/>
    <n v="27"/>
  </r>
  <r>
    <s v="FB001633"/>
    <x v="2"/>
    <x v="0"/>
    <x v="0"/>
    <x v="2"/>
    <x v="0"/>
    <n v="74.61"/>
    <n v="0"/>
    <n v="74.61"/>
    <d v="2025-04-28T00:00:00"/>
    <n v="38"/>
    <n v="2.8"/>
    <b v="0"/>
    <m/>
    <n v="127"/>
  </r>
  <r>
    <s v="FB001634"/>
    <x v="3"/>
    <x v="1"/>
    <x v="0"/>
    <x v="3"/>
    <x v="4"/>
    <n v="148.24"/>
    <n v="10.9"/>
    <n v="132.08000000000001"/>
    <d v="2024-08-27T00:00:00"/>
    <n v="44"/>
    <n v="1.3"/>
    <b v="0"/>
    <m/>
    <n v="371"/>
  </r>
  <r>
    <s v="FB001635"/>
    <x v="1"/>
    <x v="6"/>
    <x v="0"/>
    <x v="0"/>
    <x v="4"/>
    <n v="93.46"/>
    <n v="0"/>
    <n v="93.46"/>
    <d v="2025-02-12T00:00:00"/>
    <n v="20"/>
    <n v="2.2000000000000002"/>
    <b v="0"/>
    <m/>
    <n v="202"/>
  </r>
  <r>
    <s v="FB001636"/>
    <x v="0"/>
    <x v="1"/>
    <x v="3"/>
    <x v="4"/>
    <x v="0"/>
    <n v="245.31"/>
    <n v="44.1"/>
    <n v="137.13"/>
    <d v="2025-08-06T00:00:00"/>
    <n v="44"/>
    <n v="3.15"/>
    <b v="0"/>
    <m/>
    <n v="27"/>
  </r>
  <r>
    <s v="FB001637"/>
    <x v="1"/>
    <x v="2"/>
    <x v="0"/>
    <x v="4"/>
    <x v="0"/>
    <n v="43.38"/>
    <n v="45.9"/>
    <n v="23.47"/>
    <d v="2024-12-03T00:00:00"/>
    <n v="47"/>
    <n v="3.7"/>
    <b v="1"/>
    <s v="Changed Mind"/>
    <n v="273"/>
  </r>
  <r>
    <s v="FB001638"/>
    <x v="2"/>
    <x v="5"/>
    <x v="2"/>
    <x v="2"/>
    <x v="2"/>
    <n v="40.04"/>
    <n v="45.5"/>
    <n v="21.82"/>
    <d v="2025-08-06T00:00:00"/>
    <n v="50"/>
    <n v="2.2000000000000002"/>
    <b v="0"/>
    <m/>
    <n v="27"/>
  </r>
  <r>
    <s v="FB001639"/>
    <x v="0"/>
    <x v="4"/>
    <x v="2"/>
    <x v="6"/>
    <x v="7"/>
    <n v="209.68"/>
    <n v="3.6"/>
    <n v="202.13"/>
    <d v="2025-08-06T00:00:00"/>
    <n v="18"/>
    <n v="4.0999999999999996"/>
    <b v="0"/>
    <m/>
    <n v="27"/>
  </r>
  <r>
    <s v="FB001640"/>
    <x v="2"/>
    <x v="3"/>
    <x v="1"/>
    <x v="2"/>
    <x v="10"/>
    <n v="38.08"/>
    <n v="0"/>
    <n v="38.08"/>
    <d v="2025-08-06T00:00:00"/>
    <n v="0"/>
    <n v="1.6"/>
    <b v="0"/>
    <m/>
    <n v="27"/>
  </r>
  <r>
    <s v="FB001641"/>
    <x v="0"/>
    <x v="5"/>
    <x v="0"/>
    <x v="4"/>
    <x v="7"/>
    <n v="123.04"/>
    <n v="0"/>
    <n v="123.04"/>
    <d v="2025-04-05T00:00:00"/>
    <n v="13"/>
    <n v="1.2"/>
    <b v="0"/>
    <m/>
    <n v="150"/>
  </r>
  <r>
    <s v="FB001642"/>
    <x v="2"/>
    <x v="1"/>
    <x v="3"/>
    <x v="2"/>
    <x v="1"/>
    <n v="39.94"/>
    <n v="0"/>
    <n v="39.94"/>
    <d v="2025-08-06T00:00:00"/>
    <n v="32"/>
    <n v="3.1"/>
    <b v="0"/>
    <m/>
    <n v="27"/>
  </r>
  <r>
    <s v="FB001643"/>
    <x v="5"/>
    <x v="4"/>
    <x v="3"/>
    <x v="6"/>
    <x v="4"/>
    <n v="80.19"/>
    <n v="0"/>
    <n v="80.19"/>
    <d v="2025-08-06T00:00:00"/>
    <n v="43"/>
    <n v="3.8"/>
    <b v="0"/>
    <m/>
    <n v="27"/>
  </r>
  <r>
    <s v="FB001644"/>
    <x v="1"/>
    <x v="1"/>
    <x v="0"/>
    <x v="4"/>
    <x v="9"/>
    <n v="35.03"/>
    <n v="10.1"/>
    <n v="31.49"/>
    <d v="2025-05-30T00:00:00"/>
    <n v="5"/>
    <n v="3.8"/>
    <b v="0"/>
    <m/>
    <n v="95"/>
  </r>
  <r>
    <s v="FB001645"/>
    <x v="1"/>
    <x v="4"/>
    <x v="3"/>
    <x v="6"/>
    <x v="2"/>
    <n v="27.64"/>
    <n v="29"/>
    <n v="19.62"/>
    <d v="2025-08-06T00:00:00"/>
    <n v="19"/>
    <n v="1"/>
    <b v="0"/>
    <m/>
    <n v="27"/>
  </r>
  <r>
    <s v="FB001646"/>
    <x v="0"/>
    <x v="3"/>
    <x v="0"/>
    <x v="6"/>
    <x v="8"/>
    <n v="187.63"/>
    <n v="0"/>
    <n v="187.63"/>
    <d v="2025-04-25T00:00:00"/>
    <n v="25"/>
    <n v="1.8"/>
    <b v="0"/>
    <m/>
    <n v="130"/>
  </r>
  <r>
    <s v="FB001647"/>
    <x v="0"/>
    <x v="4"/>
    <x v="1"/>
    <x v="4"/>
    <x v="2"/>
    <n v="193.17"/>
    <n v="34.6"/>
    <n v="126.33"/>
    <d v="2025-08-06T00:00:00"/>
    <n v="26"/>
    <n v="2.9228571428571426"/>
    <b v="0"/>
    <m/>
    <n v="27"/>
  </r>
  <r>
    <s v="FB001648"/>
    <x v="3"/>
    <x v="2"/>
    <x v="0"/>
    <x v="6"/>
    <x v="2"/>
    <n v="157.78"/>
    <n v="40.200000000000003"/>
    <n v="94.35"/>
    <d v="2025-08-02T00:00:00"/>
    <n v="23"/>
    <n v="3.1"/>
    <b v="0"/>
    <m/>
    <n v="31"/>
  </r>
  <r>
    <s v="FB001649"/>
    <x v="3"/>
    <x v="0"/>
    <x v="1"/>
    <x v="1"/>
    <x v="2"/>
    <n v="119.14"/>
    <n v="7.8"/>
    <n v="109.85"/>
    <d v="2025-08-06T00:00:00"/>
    <n v="20"/>
    <n v="3.1"/>
    <b v="0"/>
    <m/>
    <n v="27"/>
  </r>
  <r>
    <s v="FB001650"/>
    <x v="5"/>
    <x v="7"/>
    <x v="1"/>
    <x v="6"/>
    <x v="3"/>
    <n v="150.08000000000001"/>
    <n v="4.8"/>
    <n v="142.88"/>
    <d v="2025-08-06T00:00:00"/>
    <n v="24"/>
    <n v="1.7"/>
    <b v="0"/>
    <m/>
    <n v="27"/>
  </r>
  <r>
    <s v="FB001651"/>
    <x v="5"/>
    <x v="1"/>
    <x v="3"/>
    <x v="1"/>
    <x v="5"/>
    <n v="153.18"/>
    <n v="0"/>
    <n v="153.18"/>
    <d v="2025-08-06T00:00:00"/>
    <n v="26"/>
    <n v="1.1000000000000001"/>
    <b v="0"/>
    <m/>
    <n v="27"/>
  </r>
  <r>
    <s v="FB001652"/>
    <x v="1"/>
    <x v="2"/>
    <x v="1"/>
    <x v="3"/>
    <x v="1"/>
    <n v="118.69"/>
    <n v="47.7"/>
    <n v="62.07"/>
    <d v="2025-08-06T00:00:00"/>
    <n v="11"/>
    <n v="2.8"/>
    <b v="0"/>
    <m/>
    <n v="27"/>
  </r>
  <r>
    <s v="FB001653"/>
    <x v="2"/>
    <x v="4"/>
    <x v="0"/>
    <x v="2"/>
    <x v="8"/>
    <n v="50.12"/>
    <n v="0"/>
    <n v="50.12"/>
    <d v="2025-03-09T00:00:00"/>
    <n v="27"/>
    <n v="2.4"/>
    <b v="0"/>
    <m/>
    <n v="177"/>
  </r>
  <r>
    <s v="FB001654"/>
    <x v="5"/>
    <x v="6"/>
    <x v="0"/>
    <x v="5"/>
    <x v="5"/>
    <n v="93.68"/>
    <n v="59.5"/>
    <n v="37.94"/>
    <d v="2025-04-24T00:00:00"/>
    <n v="21"/>
    <n v="2.980952380952381"/>
    <b v="0"/>
    <m/>
    <n v="131"/>
  </r>
  <r>
    <s v="FB001655"/>
    <x v="1"/>
    <x v="1"/>
    <x v="3"/>
    <x v="3"/>
    <x v="0"/>
    <n v="50.49"/>
    <n v="0"/>
    <n v="50.49"/>
    <d v="2025-08-06T00:00:00"/>
    <n v="30"/>
    <n v="4.0999999999999996"/>
    <b v="0"/>
    <m/>
    <n v="27"/>
  </r>
  <r>
    <s v="FB001656"/>
    <x v="3"/>
    <x v="3"/>
    <x v="3"/>
    <x v="5"/>
    <x v="3"/>
    <n v="97.9"/>
    <n v="0"/>
    <n v="97.9"/>
    <d v="2025-08-06T00:00:00"/>
    <n v="29"/>
    <n v="1.3"/>
    <b v="0"/>
    <m/>
    <n v="27"/>
  </r>
  <r>
    <s v="FB001657"/>
    <x v="1"/>
    <x v="1"/>
    <x v="3"/>
    <x v="3"/>
    <x v="4"/>
    <n v="69"/>
    <n v="0"/>
    <n v="69"/>
    <d v="2025-08-06T00:00:00"/>
    <n v="32"/>
    <n v="4.5"/>
    <b v="0"/>
    <m/>
    <n v="27"/>
  </r>
  <r>
    <s v="FB001658"/>
    <x v="2"/>
    <x v="3"/>
    <x v="2"/>
    <x v="2"/>
    <x v="9"/>
    <n v="30.2"/>
    <n v="27.1"/>
    <n v="22.02"/>
    <d v="2025-08-06T00:00:00"/>
    <n v="15"/>
    <n v="2.5131578947368416"/>
    <b v="0"/>
    <m/>
    <n v="27"/>
  </r>
  <r>
    <s v="FB001659"/>
    <x v="1"/>
    <x v="2"/>
    <x v="1"/>
    <x v="1"/>
    <x v="7"/>
    <n v="84.92"/>
    <n v="59.1"/>
    <n v="34.729999999999997"/>
    <d v="2025-08-06T00:00:00"/>
    <n v="42"/>
    <n v="2.953125"/>
    <b v="0"/>
    <m/>
    <n v="27"/>
  </r>
  <r>
    <s v="FB001660"/>
    <x v="1"/>
    <x v="7"/>
    <x v="2"/>
    <x v="5"/>
    <x v="3"/>
    <n v="116.48"/>
    <n v="0"/>
    <n v="116.48"/>
    <d v="2025-08-06T00:00:00"/>
    <n v="3"/>
    <n v="1.5"/>
    <b v="0"/>
    <m/>
    <n v="27"/>
  </r>
  <r>
    <s v="FB001661"/>
    <x v="1"/>
    <x v="4"/>
    <x v="3"/>
    <x v="0"/>
    <x v="8"/>
    <n v="40.68"/>
    <n v="0"/>
    <n v="40.68"/>
    <d v="2025-08-06T00:00:00"/>
    <n v="41"/>
    <n v="1.1000000000000001"/>
    <b v="1"/>
    <s v="Changed Mind"/>
    <n v="27"/>
  </r>
  <r>
    <s v="FB001662"/>
    <x v="0"/>
    <x v="5"/>
    <x v="3"/>
    <x v="0"/>
    <x v="2"/>
    <n v="118.92"/>
    <n v="0"/>
    <n v="118.92"/>
    <d v="2025-08-06T00:00:00"/>
    <n v="36"/>
    <n v="1.8"/>
    <b v="1"/>
    <s v="Wrong Item"/>
    <n v="27"/>
  </r>
  <r>
    <s v="FB001663"/>
    <x v="4"/>
    <x v="5"/>
    <x v="3"/>
    <x v="4"/>
    <x v="2"/>
    <n v="26.86"/>
    <n v="0"/>
    <n v="26.86"/>
    <d v="2025-08-06T00:00:00"/>
    <n v="18"/>
    <n v="3.2"/>
    <b v="0"/>
    <m/>
    <n v="27"/>
  </r>
  <r>
    <s v="FB001664"/>
    <x v="5"/>
    <x v="2"/>
    <x v="2"/>
    <x v="3"/>
    <x v="6"/>
    <n v="113.34"/>
    <n v="0"/>
    <n v="113.34"/>
    <d v="2025-08-06T00:00:00"/>
    <n v="13"/>
    <n v="2.9000000000000008"/>
    <b v="0"/>
    <m/>
    <n v="27"/>
  </r>
  <r>
    <s v="FB001665"/>
    <x v="1"/>
    <x v="6"/>
    <x v="3"/>
    <x v="1"/>
    <x v="2"/>
    <n v="40.520000000000003"/>
    <n v="8.9"/>
    <n v="36.909999999999997"/>
    <d v="2025-08-06T00:00:00"/>
    <n v="13"/>
    <n v="2.5"/>
    <b v="0"/>
    <m/>
    <n v="27"/>
  </r>
  <r>
    <s v="FB001666"/>
    <x v="4"/>
    <x v="7"/>
    <x v="3"/>
    <x v="1"/>
    <x v="1"/>
    <n v="98.41"/>
    <n v="0"/>
    <n v="98.41"/>
    <d v="2025-08-06T00:00:00"/>
    <n v="7"/>
    <n v="4.5999999999999996"/>
    <b v="0"/>
    <m/>
    <n v="27"/>
  </r>
  <r>
    <s v="FB001667"/>
    <x v="4"/>
    <x v="7"/>
    <x v="1"/>
    <x v="5"/>
    <x v="0"/>
    <n v="83.18"/>
    <n v="0"/>
    <n v="83.18"/>
    <d v="2025-08-06T00:00:00"/>
    <n v="17"/>
    <n v="1.7"/>
    <b v="1"/>
    <s v="Size Issue"/>
    <n v="27"/>
  </r>
  <r>
    <s v="FB001668"/>
    <x v="3"/>
    <x v="4"/>
    <x v="0"/>
    <x v="4"/>
    <x v="9"/>
    <n v="179.31"/>
    <n v="24.1"/>
    <n v="136.1"/>
    <d v="2025-07-13T00:00:00"/>
    <n v="0"/>
    <n v="3.1"/>
    <b v="0"/>
    <m/>
    <n v="51"/>
  </r>
  <r>
    <s v="FB001669"/>
    <x v="1"/>
    <x v="0"/>
    <x v="0"/>
    <x v="4"/>
    <x v="6"/>
    <n v="47.88"/>
    <n v="0"/>
    <n v="47.88"/>
    <d v="2024-12-21T00:00:00"/>
    <n v="44"/>
    <n v="1.9"/>
    <b v="0"/>
    <m/>
    <n v="255"/>
  </r>
  <r>
    <s v="FB001670"/>
    <x v="0"/>
    <x v="3"/>
    <x v="1"/>
    <x v="0"/>
    <x v="8"/>
    <n v="89.26"/>
    <n v="0"/>
    <n v="89.26"/>
    <d v="2025-08-06T00:00:00"/>
    <n v="43"/>
    <n v="3.8"/>
    <b v="0"/>
    <m/>
    <n v="27"/>
  </r>
  <r>
    <s v="FB001671"/>
    <x v="5"/>
    <x v="6"/>
    <x v="3"/>
    <x v="4"/>
    <x v="2"/>
    <n v="114.2"/>
    <n v="0"/>
    <n v="114.2"/>
    <d v="2025-08-06T00:00:00"/>
    <n v="15"/>
    <n v="2.980952380952381"/>
    <b v="0"/>
    <m/>
    <n v="27"/>
  </r>
  <r>
    <s v="FB001672"/>
    <x v="3"/>
    <x v="6"/>
    <x v="3"/>
    <x v="1"/>
    <x v="6"/>
    <n v="169.5"/>
    <n v="59.7"/>
    <n v="68.31"/>
    <d v="2025-08-06T00:00:00"/>
    <n v="16"/>
    <n v="1.8"/>
    <b v="0"/>
    <m/>
    <n v="27"/>
  </r>
  <r>
    <s v="FB001673"/>
    <x v="1"/>
    <x v="4"/>
    <x v="2"/>
    <x v="5"/>
    <x v="3"/>
    <n v="77.989999999999995"/>
    <n v="0"/>
    <n v="77.989999999999995"/>
    <d v="2025-08-06T00:00:00"/>
    <n v="42"/>
    <n v="2.9657142857142857"/>
    <b v="0"/>
    <m/>
    <n v="27"/>
  </r>
  <r>
    <s v="FB001674"/>
    <x v="4"/>
    <x v="5"/>
    <x v="2"/>
    <x v="2"/>
    <x v="1"/>
    <n v="103.77"/>
    <n v="0"/>
    <n v="103.77"/>
    <d v="2025-08-06T00:00:00"/>
    <n v="12"/>
    <n v="4.4000000000000004"/>
    <b v="0"/>
    <m/>
    <n v="27"/>
  </r>
  <r>
    <s v="FB001675"/>
    <x v="2"/>
    <x v="7"/>
    <x v="2"/>
    <x v="2"/>
    <x v="2"/>
    <n v="42.96"/>
    <n v="0"/>
    <n v="42.96"/>
    <d v="2025-08-06T00:00:00"/>
    <n v="36"/>
    <n v="1.1000000000000001"/>
    <b v="0"/>
    <m/>
    <n v="27"/>
  </r>
  <r>
    <s v="FB001676"/>
    <x v="5"/>
    <x v="2"/>
    <x v="2"/>
    <x v="2"/>
    <x v="10"/>
    <n v="126.11"/>
    <n v="0"/>
    <n v="126.11"/>
    <d v="2025-08-06T00:00:00"/>
    <n v="16"/>
    <n v="3.5"/>
    <b v="0"/>
    <m/>
    <n v="27"/>
  </r>
  <r>
    <s v="FB001677"/>
    <x v="2"/>
    <x v="2"/>
    <x v="3"/>
    <x v="2"/>
    <x v="7"/>
    <n v="43.83"/>
    <n v="0"/>
    <n v="43.83"/>
    <d v="2025-08-06T00:00:00"/>
    <n v="31"/>
    <n v="2.5"/>
    <b v="0"/>
    <m/>
    <n v="27"/>
  </r>
  <r>
    <s v="FB001678"/>
    <x v="3"/>
    <x v="2"/>
    <x v="2"/>
    <x v="3"/>
    <x v="7"/>
    <n v="94.1"/>
    <n v="0"/>
    <n v="94.1"/>
    <d v="2025-08-06T00:00:00"/>
    <n v="24"/>
    <n v="1.4"/>
    <b v="0"/>
    <m/>
    <n v="27"/>
  </r>
  <r>
    <s v="FB001679"/>
    <x v="3"/>
    <x v="0"/>
    <x v="2"/>
    <x v="6"/>
    <x v="0"/>
    <n v="151.27000000000001"/>
    <n v="0"/>
    <n v="151.27000000000001"/>
    <d v="2025-08-06T00:00:00"/>
    <n v="39"/>
    <n v="4"/>
    <b v="1"/>
    <s v="Damaged"/>
    <n v="27"/>
  </r>
  <r>
    <s v="FB001680"/>
    <x v="2"/>
    <x v="6"/>
    <x v="0"/>
    <x v="2"/>
    <x v="8"/>
    <n v="61.47"/>
    <n v="0"/>
    <n v="61.47"/>
    <d v="2024-08-25T00:00:00"/>
    <n v="44"/>
    <n v="3.2720930232558145"/>
    <b v="0"/>
    <m/>
    <n v="373"/>
  </r>
  <r>
    <s v="FB001681"/>
    <x v="3"/>
    <x v="3"/>
    <x v="3"/>
    <x v="6"/>
    <x v="8"/>
    <n v="185.96"/>
    <n v="0"/>
    <n v="185.96"/>
    <d v="2025-08-06T00:00:00"/>
    <n v="35"/>
    <n v="1.3"/>
    <b v="0"/>
    <m/>
    <n v="27"/>
  </r>
  <r>
    <s v="FB001682"/>
    <x v="5"/>
    <x v="6"/>
    <x v="2"/>
    <x v="6"/>
    <x v="0"/>
    <n v="113.05"/>
    <n v="0"/>
    <n v="113.05"/>
    <d v="2025-08-06T00:00:00"/>
    <n v="47"/>
    <n v="2"/>
    <b v="0"/>
    <m/>
    <n v="27"/>
  </r>
  <r>
    <s v="FB001683"/>
    <x v="1"/>
    <x v="2"/>
    <x v="3"/>
    <x v="1"/>
    <x v="10"/>
    <n v="110.9"/>
    <n v="34.700000000000003"/>
    <n v="72.42"/>
    <d v="2025-08-06T00:00:00"/>
    <n v="2"/>
    <n v="2.5"/>
    <b v="0"/>
    <m/>
    <n v="27"/>
  </r>
  <r>
    <s v="FB001684"/>
    <x v="1"/>
    <x v="1"/>
    <x v="3"/>
    <x v="4"/>
    <x v="3"/>
    <n v="29.04"/>
    <n v="0"/>
    <n v="29.04"/>
    <d v="2025-08-06T00:00:00"/>
    <n v="4"/>
    <n v="5"/>
    <b v="0"/>
    <m/>
    <n v="27"/>
  </r>
  <r>
    <s v="FB001685"/>
    <x v="3"/>
    <x v="7"/>
    <x v="0"/>
    <x v="0"/>
    <x v="4"/>
    <n v="164.48"/>
    <n v="51.5"/>
    <n v="79.77"/>
    <d v="2024-09-07T00:00:00"/>
    <n v="27"/>
    <n v="3.4"/>
    <b v="0"/>
    <m/>
    <n v="360"/>
  </r>
  <r>
    <s v="FB001686"/>
    <x v="4"/>
    <x v="2"/>
    <x v="1"/>
    <x v="1"/>
    <x v="3"/>
    <n v="52.51"/>
    <n v="49.4"/>
    <n v="26.57"/>
    <d v="2025-08-06T00:00:00"/>
    <n v="37"/>
    <n v="3.5"/>
    <b v="1"/>
    <s v="Changed Mind"/>
    <n v="27"/>
  </r>
  <r>
    <s v="FB001687"/>
    <x v="5"/>
    <x v="5"/>
    <x v="1"/>
    <x v="4"/>
    <x v="4"/>
    <n v="175.74"/>
    <n v="42.9"/>
    <n v="100.35"/>
    <d v="2025-08-06T00:00:00"/>
    <n v="48"/>
    <n v="3.1874999999999991"/>
    <b v="1"/>
    <s v="Changed Mind"/>
    <n v="27"/>
  </r>
  <r>
    <s v="FB001688"/>
    <x v="1"/>
    <x v="5"/>
    <x v="0"/>
    <x v="5"/>
    <x v="7"/>
    <n v="57.06"/>
    <n v="27.5"/>
    <n v="41.37"/>
    <d v="2024-12-25T00:00:00"/>
    <n v="43"/>
    <n v="1.8"/>
    <b v="0"/>
    <m/>
    <n v="251"/>
  </r>
  <r>
    <s v="FB001689"/>
    <x v="5"/>
    <x v="5"/>
    <x v="1"/>
    <x v="1"/>
    <x v="2"/>
    <n v="158.24"/>
    <n v="0"/>
    <n v="158.24"/>
    <d v="2025-08-06T00:00:00"/>
    <n v="41"/>
    <n v="3.1"/>
    <b v="0"/>
    <m/>
    <n v="27"/>
  </r>
  <r>
    <s v="FB001690"/>
    <x v="0"/>
    <x v="3"/>
    <x v="2"/>
    <x v="2"/>
    <x v="1"/>
    <n v="153.46"/>
    <n v="0"/>
    <n v="153.46"/>
    <d v="2025-08-06T00:00:00"/>
    <n v="27"/>
    <n v="1.7"/>
    <b v="0"/>
    <m/>
    <n v="27"/>
  </r>
  <r>
    <s v="FB001691"/>
    <x v="2"/>
    <x v="0"/>
    <x v="0"/>
    <x v="2"/>
    <x v="10"/>
    <n v="54.92"/>
    <n v="0"/>
    <n v="54.92"/>
    <d v="2025-04-12T00:00:00"/>
    <n v="44"/>
    <n v="3.1"/>
    <b v="0"/>
    <m/>
    <n v="143"/>
  </r>
  <r>
    <s v="FB001692"/>
    <x v="2"/>
    <x v="1"/>
    <x v="0"/>
    <x v="2"/>
    <x v="9"/>
    <n v="32.200000000000003"/>
    <n v="19.2"/>
    <n v="26.02"/>
    <d v="2025-07-27T00:00:00"/>
    <n v="8"/>
    <n v="4.3"/>
    <b v="0"/>
    <m/>
    <n v="37"/>
  </r>
  <r>
    <s v="FB001693"/>
    <x v="2"/>
    <x v="3"/>
    <x v="2"/>
    <x v="2"/>
    <x v="10"/>
    <n v="66.489999999999995"/>
    <n v="29.1"/>
    <n v="47.14"/>
    <d v="2025-08-06T00:00:00"/>
    <n v="37"/>
    <n v="1.3"/>
    <b v="0"/>
    <m/>
    <n v="27"/>
  </r>
  <r>
    <s v="FB001694"/>
    <x v="2"/>
    <x v="3"/>
    <x v="1"/>
    <x v="2"/>
    <x v="5"/>
    <n v="32.950000000000003"/>
    <n v="50.2"/>
    <n v="16.41"/>
    <d v="2025-08-06T00:00:00"/>
    <n v="46"/>
    <n v="2.5131578947368416"/>
    <b v="0"/>
    <m/>
    <n v="27"/>
  </r>
  <r>
    <s v="FB001695"/>
    <x v="2"/>
    <x v="4"/>
    <x v="2"/>
    <x v="2"/>
    <x v="4"/>
    <n v="54.31"/>
    <n v="19.2"/>
    <n v="43.88"/>
    <d v="2025-08-06T00:00:00"/>
    <n v="19"/>
    <n v="1.8"/>
    <b v="0"/>
    <m/>
    <n v="27"/>
  </r>
  <r>
    <s v="FB001696"/>
    <x v="2"/>
    <x v="2"/>
    <x v="3"/>
    <x v="2"/>
    <x v="8"/>
    <n v="19.68"/>
    <n v="0"/>
    <n v="19.68"/>
    <d v="2025-08-06T00:00:00"/>
    <n v="29"/>
    <n v="1.5"/>
    <b v="1"/>
    <s v="Size Issue"/>
    <n v="27"/>
  </r>
  <r>
    <s v="FB001697"/>
    <x v="1"/>
    <x v="0"/>
    <x v="0"/>
    <x v="5"/>
    <x v="4"/>
    <n v="105.19"/>
    <n v="24.3"/>
    <n v="79.63"/>
    <d v="2025-06-14T00:00:00"/>
    <n v="47"/>
    <n v="5"/>
    <b v="0"/>
    <m/>
    <n v="80"/>
  </r>
  <r>
    <s v="FB001698"/>
    <x v="2"/>
    <x v="2"/>
    <x v="3"/>
    <x v="2"/>
    <x v="6"/>
    <n v="20.3"/>
    <n v="19.600000000000001"/>
    <n v="16.32"/>
    <d v="2025-08-06T00:00:00"/>
    <n v="47"/>
    <n v="2.9"/>
    <b v="1"/>
    <s v="Changed Mind"/>
    <n v="27"/>
  </r>
  <r>
    <s v="FB001699"/>
    <x v="4"/>
    <x v="3"/>
    <x v="3"/>
    <x v="3"/>
    <x v="10"/>
    <n v="105.37"/>
    <n v="19.600000000000001"/>
    <n v="84.72"/>
    <d v="2025-08-06T00:00:00"/>
    <n v="39"/>
    <n v="4.3"/>
    <b v="0"/>
    <m/>
    <n v="27"/>
  </r>
  <r>
    <s v="FB001700"/>
    <x v="5"/>
    <x v="5"/>
    <x v="1"/>
    <x v="5"/>
    <x v="6"/>
    <n v="156.24"/>
    <n v="0"/>
    <n v="156.24"/>
    <d v="2025-08-06T00:00:00"/>
    <n v="15"/>
    <n v="5"/>
    <b v="0"/>
    <m/>
    <n v="27"/>
  </r>
  <r>
    <s v="FB001701"/>
    <x v="3"/>
    <x v="3"/>
    <x v="1"/>
    <x v="5"/>
    <x v="10"/>
    <n v="162.19"/>
    <n v="5.7"/>
    <n v="152.94999999999999"/>
    <d v="2025-08-06T00:00:00"/>
    <n v="39"/>
    <n v="1.4"/>
    <b v="0"/>
    <m/>
    <n v="27"/>
  </r>
  <r>
    <s v="FB001702"/>
    <x v="1"/>
    <x v="4"/>
    <x v="0"/>
    <x v="6"/>
    <x v="7"/>
    <n v="75.790000000000006"/>
    <n v="7.1"/>
    <n v="70.41"/>
    <d v="2025-03-29T00:00:00"/>
    <n v="13"/>
    <n v="3.3"/>
    <b v="0"/>
    <m/>
    <n v="157"/>
  </r>
  <r>
    <s v="FB001703"/>
    <x v="2"/>
    <x v="7"/>
    <x v="3"/>
    <x v="2"/>
    <x v="1"/>
    <n v="32.04"/>
    <n v="0"/>
    <n v="32.04"/>
    <d v="2025-08-06T00:00:00"/>
    <n v="41"/>
    <n v="1.8"/>
    <b v="0"/>
    <m/>
    <n v="27"/>
  </r>
  <r>
    <s v="FB001704"/>
    <x v="1"/>
    <x v="6"/>
    <x v="2"/>
    <x v="6"/>
    <x v="2"/>
    <n v="27.65"/>
    <n v="31.8"/>
    <n v="18.86"/>
    <d v="2025-08-06T00:00:00"/>
    <n v="2"/>
    <n v="3.7"/>
    <b v="1"/>
    <s v="Size Issue"/>
    <n v="27"/>
  </r>
  <r>
    <s v="FB001705"/>
    <x v="4"/>
    <x v="2"/>
    <x v="0"/>
    <x v="6"/>
    <x v="9"/>
    <n v="31.54"/>
    <n v="0"/>
    <n v="31.54"/>
    <d v="2025-08-03T00:00:00"/>
    <n v="45"/>
    <n v="1.3"/>
    <b v="0"/>
    <m/>
    <n v="30"/>
  </r>
  <r>
    <s v="FB001706"/>
    <x v="4"/>
    <x v="0"/>
    <x v="3"/>
    <x v="4"/>
    <x v="7"/>
    <n v="77.64"/>
    <n v="39.1"/>
    <n v="47.28"/>
    <d v="2025-08-06T00:00:00"/>
    <n v="19"/>
    <n v="2.6"/>
    <b v="0"/>
    <m/>
    <n v="27"/>
  </r>
  <r>
    <s v="FB001707"/>
    <x v="5"/>
    <x v="4"/>
    <x v="1"/>
    <x v="0"/>
    <x v="1"/>
    <n v="51.48"/>
    <n v="0"/>
    <n v="51.48"/>
    <d v="2025-08-06T00:00:00"/>
    <n v="10"/>
    <n v="1"/>
    <b v="0"/>
    <m/>
    <n v="27"/>
  </r>
  <r>
    <s v="FB001708"/>
    <x v="0"/>
    <x v="0"/>
    <x v="2"/>
    <x v="6"/>
    <x v="1"/>
    <n v="108.58"/>
    <n v="0"/>
    <n v="108.58"/>
    <d v="2025-08-06T00:00:00"/>
    <n v="44"/>
    <n v="2.4"/>
    <b v="0"/>
    <m/>
    <n v="27"/>
  </r>
  <r>
    <s v="FB001709"/>
    <x v="1"/>
    <x v="7"/>
    <x v="1"/>
    <x v="4"/>
    <x v="2"/>
    <n v="84.17"/>
    <n v="0"/>
    <n v="84.17"/>
    <d v="2025-08-06T00:00:00"/>
    <n v="20"/>
    <n v="3.7"/>
    <b v="0"/>
    <m/>
    <n v="27"/>
  </r>
  <r>
    <s v="FB001710"/>
    <x v="4"/>
    <x v="3"/>
    <x v="0"/>
    <x v="1"/>
    <x v="1"/>
    <n v="76.45"/>
    <n v="0"/>
    <n v="76.45"/>
    <d v="2025-06-10T00:00:00"/>
    <n v="16"/>
    <n v="1"/>
    <b v="1"/>
    <s v="Color Mismatch"/>
    <n v="84"/>
  </r>
  <r>
    <s v="FB001711"/>
    <x v="2"/>
    <x v="1"/>
    <x v="0"/>
    <x v="2"/>
    <x v="4"/>
    <n v="50.31"/>
    <n v="0"/>
    <n v="50.31"/>
    <d v="2025-04-24T00:00:00"/>
    <n v="36"/>
    <n v="3.1288461538461547"/>
    <b v="0"/>
    <m/>
    <n v="131"/>
  </r>
  <r>
    <s v="FB001712"/>
    <x v="1"/>
    <x v="6"/>
    <x v="0"/>
    <x v="3"/>
    <x v="1"/>
    <n v="43.45"/>
    <n v="0"/>
    <n v="43.45"/>
    <d v="2025-07-17T00:00:00"/>
    <n v="30"/>
    <n v="2.2999999999999998"/>
    <b v="0"/>
    <m/>
    <n v="47"/>
  </r>
  <r>
    <s v="FB001713"/>
    <x v="5"/>
    <x v="1"/>
    <x v="2"/>
    <x v="0"/>
    <x v="4"/>
    <n v="149.22"/>
    <n v="53.9"/>
    <n v="68.790000000000006"/>
    <d v="2025-08-06T00:00:00"/>
    <n v="41"/>
    <n v="2.2000000000000002"/>
    <b v="0"/>
    <m/>
    <n v="27"/>
  </r>
  <r>
    <s v="FB001714"/>
    <x v="4"/>
    <x v="6"/>
    <x v="3"/>
    <x v="5"/>
    <x v="4"/>
    <n v="48.24"/>
    <n v="31.7"/>
    <n v="32.950000000000003"/>
    <d v="2025-08-06T00:00:00"/>
    <n v="46"/>
    <n v="3.7"/>
    <b v="0"/>
    <m/>
    <n v="27"/>
  </r>
  <r>
    <s v="FB001715"/>
    <x v="4"/>
    <x v="4"/>
    <x v="3"/>
    <x v="3"/>
    <x v="10"/>
    <n v="66.27"/>
    <n v="21.7"/>
    <n v="51.89"/>
    <d v="2025-08-06T00:00:00"/>
    <n v="28"/>
    <n v="2.5"/>
    <b v="1"/>
    <s v="Changed Mind"/>
    <n v="27"/>
  </r>
  <r>
    <s v="FB001716"/>
    <x v="3"/>
    <x v="4"/>
    <x v="2"/>
    <x v="4"/>
    <x v="8"/>
    <n v="82.65"/>
    <n v="0"/>
    <n v="82.65"/>
    <d v="2025-08-06T00:00:00"/>
    <n v="30"/>
    <n v="4.0999999999999996"/>
    <b v="0"/>
    <m/>
    <n v="27"/>
  </r>
  <r>
    <s v="FB001717"/>
    <x v="4"/>
    <x v="5"/>
    <x v="1"/>
    <x v="4"/>
    <x v="2"/>
    <n v="42.36"/>
    <n v="0"/>
    <n v="42.36"/>
    <d v="2025-08-06T00:00:00"/>
    <n v="37"/>
    <n v="1.4"/>
    <b v="0"/>
    <m/>
    <n v="27"/>
  </r>
  <r>
    <s v="FB001718"/>
    <x v="4"/>
    <x v="5"/>
    <x v="3"/>
    <x v="6"/>
    <x v="0"/>
    <n v="109.36"/>
    <n v="0"/>
    <n v="109.36"/>
    <d v="2025-08-06T00:00:00"/>
    <n v="24"/>
    <n v="1.7"/>
    <b v="0"/>
    <m/>
    <n v="27"/>
  </r>
  <r>
    <s v="FB001719"/>
    <x v="2"/>
    <x v="5"/>
    <x v="1"/>
    <x v="2"/>
    <x v="7"/>
    <n v="59.98"/>
    <n v="0"/>
    <n v="59.98"/>
    <d v="2025-08-06T00:00:00"/>
    <n v="28"/>
    <n v="2.2000000000000002"/>
    <b v="0"/>
    <m/>
    <n v="27"/>
  </r>
  <r>
    <s v="FB001720"/>
    <x v="5"/>
    <x v="6"/>
    <x v="0"/>
    <x v="2"/>
    <x v="9"/>
    <n v="111.81"/>
    <n v="0"/>
    <n v="111.81"/>
    <d v="2024-08-21T00:00:00"/>
    <n v="45"/>
    <n v="1.1000000000000001"/>
    <b v="0"/>
    <m/>
    <n v="377"/>
  </r>
  <r>
    <s v="FB001721"/>
    <x v="4"/>
    <x v="2"/>
    <x v="1"/>
    <x v="4"/>
    <x v="0"/>
    <n v="70.78"/>
    <n v="0"/>
    <n v="70.78"/>
    <d v="2025-08-06T00:00:00"/>
    <n v="39"/>
    <n v="3.4"/>
    <b v="1"/>
    <s v="Color Mismatch"/>
    <n v="27"/>
  </r>
  <r>
    <s v="FB001722"/>
    <x v="2"/>
    <x v="3"/>
    <x v="1"/>
    <x v="2"/>
    <x v="1"/>
    <n v="76.13"/>
    <n v="58.5"/>
    <n v="31.59"/>
    <d v="2025-08-06T00:00:00"/>
    <n v="40"/>
    <n v="1.6"/>
    <b v="0"/>
    <m/>
    <n v="27"/>
  </r>
  <r>
    <s v="FB001723"/>
    <x v="4"/>
    <x v="2"/>
    <x v="2"/>
    <x v="5"/>
    <x v="1"/>
    <n v="71.09"/>
    <n v="41.5"/>
    <n v="41.59"/>
    <d v="2025-08-06T00:00:00"/>
    <n v="20"/>
    <n v="3.1"/>
    <b v="0"/>
    <m/>
    <n v="27"/>
  </r>
  <r>
    <s v="FB001724"/>
    <x v="4"/>
    <x v="3"/>
    <x v="2"/>
    <x v="2"/>
    <x v="4"/>
    <n v="53.64"/>
    <n v="55.9"/>
    <n v="23.66"/>
    <d v="2025-08-06T00:00:00"/>
    <n v="10"/>
    <n v="2.5"/>
    <b v="0"/>
    <m/>
    <n v="27"/>
  </r>
  <r>
    <s v="FB001725"/>
    <x v="3"/>
    <x v="5"/>
    <x v="2"/>
    <x v="2"/>
    <x v="10"/>
    <n v="110.2"/>
    <n v="59.7"/>
    <n v="44.41"/>
    <d v="2025-08-06T00:00:00"/>
    <n v="13"/>
    <n v="3.5"/>
    <b v="1"/>
    <s v="Color Mismatch"/>
    <n v="27"/>
  </r>
  <r>
    <s v="FB001726"/>
    <x v="3"/>
    <x v="1"/>
    <x v="3"/>
    <x v="4"/>
    <x v="6"/>
    <n v="80.63"/>
    <n v="17.399999999999999"/>
    <n v="66.599999999999994"/>
    <d v="2025-08-06T00:00:00"/>
    <n v="6"/>
    <n v="2.8205128205128198"/>
    <b v="1"/>
    <s v="Damaged"/>
    <n v="27"/>
  </r>
  <r>
    <s v="FB001727"/>
    <x v="5"/>
    <x v="3"/>
    <x v="0"/>
    <x v="0"/>
    <x v="6"/>
    <n v="101.09"/>
    <n v="24.8"/>
    <n v="76.02"/>
    <d v="2024-09-02T00:00:00"/>
    <n v="7"/>
    <n v="4.5"/>
    <b v="1"/>
    <s v="Damaged"/>
    <n v="365"/>
  </r>
  <r>
    <s v="FB001728"/>
    <x v="2"/>
    <x v="0"/>
    <x v="0"/>
    <x v="2"/>
    <x v="8"/>
    <n v="75.48"/>
    <n v="0"/>
    <n v="75.48"/>
    <d v="2025-05-27T00:00:00"/>
    <n v="16"/>
    <n v="1.4"/>
    <b v="0"/>
    <m/>
    <n v="98"/>
  </r>
  <r>
    <s v="FB001729"/>
    <x v="3"/>
    <x v="2"/>
    <x v="3"/>
    <x v="3"/>
    <x v="10"/>
    <n v="159.94999999999999"/>
    <n v="6.4"/>
    <n v="149.71"/>
    <d v="2025-08-06T00:00:00"/>
    <n v="39"/>
    <n v="3"/>
    <b v="0"/>
    <m/>
    <n v="27"/>
  </r>
  <r>
    <s v="FB001730"/>
    <x v="5"/>
    <x v="6"/>
    <x v="3"/>
    <x v="1"/>
    <x v="2"/>
    <n v="61.9"/>
    <n v="0"/>
    <n v="61.9"/>
    <d v="2025-08-06T00:00:00"/>
    <n v="29"/>
    <n v="4.4000000000000004"/>
    <b v="0"/>
    <m/>
    <n v="27"/>
  </r>
  <r>
    <s v="FB001731"/>
    <x v="1"/>
    <x v="2"/>
    <x v="2"/>
    <x v="0"/>
    <x v="9"/>
    <n v="63.45"/>
    <n v="12.3"/>
    <n v="55.65"/>
    <d v="2025-08-06T00:00:00"/>
    <n v="23"/>
    <n v="4.9000000000000004"/>
    <b v="0"/>
    <m/>
    <n v="27"/>
  </r>
  <r>
    <s v="FB001732"/>
    <x v="1"/>
    <x v="3"/>
    <x v="3"/>
    <x v="3"/>
    <x v="0"/>
    <n v="43.22"/>
    <n v="46.7"/>
    <n v="23.04"/>
    <d v="2025-08-06T00:00:00"/>
    <n v="29"/>
    <n v="1.3"/>
    <b v="0"/>
    <m/>
    <n v="27"/>
  </r>
  <r>
    <s v="FB001733"/>
    <x v="3"/>
    <x v="2"/>
    <x v="1"/>
    <x v="3"/>
    <x v="8"/>
    <n v="64.650000000000006"/>
    <n v="26.8"/>
    <n v="47.32"/>
    <d v="2025-08-06T00:00:00"/>
    <n v="28"/>
    <n v="4.7"/>
    <b v="0"/>
    <m/>
    <n v="27"/>
  </r>
  <r>
    <s v="FB001734"/>
    <x v="3"/>
    <x v="1"/>
    <x v="0"/>
    <x v="4"/>
    <x v="9"/>
    <n v="118.67"/>
    <n v="56"/>
    <n v="52.21"/>
    <d v="2025-04-26T00:00:00"/>
    <n v="27"/>
    <n v="3.5"/>
    <b v="0"/>
    <m/>
    <n v="129"/>
  </r>
  <r>
    <s v="FB001735"/>
    <x v="5"/>
    <x v="2"/>
    <x v="0"/>
    <x v="5"/>
    <x v="3"/>
    <n v="169.32"/>
    <n v="0"/>
    <n v="169.32"/>
    <d v="2024-12-17T00:00:00"/>
    <n v="19"/>
    <n v="2.2000000000000002"/>
    <b v="0"/>
    <m/>
    <n v="259"/>
  </r>
  <r>
    <s v="FB001736"/>
    <x v="3"/>
    <x v="5"/>
    <x v="0"/>
    <x v="5"/>
    <x v="4"/>
    <n v="115.77"/>
    <n v="0"/>
    <n v="115.77"/>
    <d v="2024-11-24T00:00:00"/>
    <n v="43"/>
    <n v="3.0068965517241386"/>
    <b v="0"/>
    <m/>
    <n v="282"/>
  </r>
  <r>
    <s v="FB001737"/>
    <x v="3"/>
    <x v="3"/>
    <x v="2"/>
    <x v="5"/>
    <x v="7"/>
    <n v="139.91"/>
    <n v="0"/>
    <n v="139.91"/>
    <d v="2025-08-06T00:00:00"/>
    <n v="9"/>
    <n v="3.7"/>
    <b v="0"/>
    <m/>
    <n v="27"/>
  </r>
  <r>
    <s v="FB001738"/>
    <x v="4"/>
    <x v="2"/>
    <x v="3"/>
    <x v="4"/>
    <x v="9"/>
    <n v="101.73"/>
    <n v="0"/>
    <n v="101.73"/>
    <d v="2025-08-06T00:00:00"/>
    <n v="14"/>
    <n v="4.7"/>
    <b v="0"/>
    <m/>
    <n v="27"/>
  </r>
  <r>
    <s v="FB001739"/>
    <x v="1"/>
    <x v="7"/>
    <x v="3"/>
    <x v="2"/>
    <x v="1"/>
    <n v="105.85"/>
    <n v="0"/>
    <n v="105.85"/>
    <d v="2025-08-06T00:00:00"/>
    <n v="29"/>
    <n v="2.1"/>
    <b v="0"/>
    <m/>
    <n v="27"/>
  </r>
  <r>
    <s v="FB001740"/>
    <x v="1"/>
    <x v="6"/>
    <x v="0"/>
    <x v="0"/>
    <x v="4"/>
    <n v="105.37"/>
    <n v="0"/>
    <n v="105.37"/>
    <d v="2025-04-15T00:00:00"/>
    <n v="24"/>
    <n v="1.2"/>
    <b v="0"/>
    <m/>
    <n v="140"/>
  </r>
  <r>
    <s v="FB001741"/>
    <x v="1"/>
    <x v="4"/>
    <x v="3"/>
    <x v="3"/>
    <x v="10"/>
    <n v="44.42"/>
    <n v="0"/>
    <n v="44.42"/>
    <d v="2025-08-06T00:00:00"/>
    <n v="49"/>
    <n v="2.9657142857142857"/>
    <b v="0"/>
    <m/>
    <n v="27"/>
  </r>
  <r>
    <s v="FB001742"/>
    <x v="3"/>
    <x v="1"/>
    <x v="0"/>
    <x v="5"/>
    <x v="4"/>
    <n v="164.86"/>
    <n v="14.3"/>
    <n v="141.29"/>
    <d v="2025-03-14T00:00:00"/>
    <n v="7"/>
    <n v="2.2999999999999998"/>
    <b v="0"/>
    <m/>
    <n v="172"/>
  </r>
  <r>
    <s v="FB001743"/>
    <x v="3"/>
    <x v="3"/>
    <x v="2"/>
    <x v="4"/>
    <x v="2"/>
    <n v="163.88"/>
    <n v="5.9"/>
    <n v="154.21"/>
    <d v="2025-08-06T00:00:00"/>
    <n v="39"/>
    <n v="2.6"/>
    <b v="0"/>
    <m/>
    <n v="27"/>
  </r>
  <r>
    <s v="FB001744"/>
    <x v="4"/>
    <x v="0"/>
    <x v="2"/>
    <x v="5"/>
    <x v="6"/>
    <n v="36.54"/>
    <n v="5.3"/>
    <n v="34.6"/>
    <d v="2025-08-06T00:00:00"/>
    <n v="13"/>
    <n v="2.5"/>
    <b v="0"/>
    <m/>
    <n v="27"/>
  </r>
  <r>
    <s v="FB001745"/>
    <x v="5"/>
    <x v="2"/>
    <x v="0"/>
    <x v="6"/>
    <x v="0"/>
    <n v="99.97"/>
    <n v="0"/>
    <n v="99.97"/>
    <d v="2024-10-16T00:00:00"/>
    <n v="38"/>
    <n v="1.4"/>
    <b v="0"/>
    <m/>
    <n v="321"/>
  </r>
  <r>
    <s v="FB001746"/>
    <x v="0"/>
    <x v="5"/>
    <x v="3"/>
    <x v="0"/>
    <x v="0"/>
    <n v="194.78"/>
    <n v="0"/>
    <n v="194.78"/>
    <d v="2025-08-06T00:00:00"/>
    <n v="31"/>
    <n v="3.0305555555555546"/>
    <b v="0"/>
    <m/>
    <n v="27"/>
  </r>
  <r>
    <s v="FB001747"/>
    <x v="0"/>
    <x v="1"/>
    <x v="2"/>
    <x v="5"/>
    <x v="5"/>
    <n v="208.93"/>
    <n v="0"/>
    <n v="208.93"/>
    <d v="2025-08-06T00:00:00"/>
    <n v="12"/>
    <n v="2.2999999999999998"/>
    <b v="0"/>
    <m/>
    <n v="27"/>
  </r>
  <r>
    <s v="FB001748"/>
    <x v="4"/>
    <x v="5"/>
    <x v="0"/>
    <x v="5"/>
    <x v="0"/>
    <n v="68.459999999999994"/>
    <n v="50"/>
    <n v="34.229999999999997"/>
    <d v="2025-01-26T00:00:00"/>
    <n v="24"/>
    <n v="1.9"/>
    <b v="0"/>
    <m/>
    <n v="219"/>
  </r>
  <r>
    <s v="FB001749"/>
    <x v="2"/>
    <x v="2"/>
    <x v="1"/>
    <x v="2"/>
    <x v="9"/>
    <n v="30.26"/>
    <n v="50"/>
    <n v="15.13"/>
    <d v="2025-08-06T00:00:00"/>
    <n v="23"/>
    <n v="1.4"/>
    <b v="0"/>
    <m/>
    <n v="27"/>
  </r>
  <r>
    <s v="FB001750"/>
    <x v="0"/>
    <x v="3"/>
    <x v="3"/>
    <x v="5"/>
    <x v="6"/>
    <n v="186.66"/>
    <n v="30.9"/>
    <n v="128.97999999999999"/>
    <d v="2025-08-06T00:00:00"/>
    <n v="7"/>
    <n v="1"/>
    <b v="0"/>
    <m/>
    <n v="27"/>
  </r>
  <r>
    <s v="FB001751"/>
    <x v="1"/>
    <x v="0"/>
    <x v="1"/>
    <x v="3"/>
    <x v="2"/>
    <n v="78.05"/>
    <n v="48.1"/>
    <n v="40.51"/>
    <d v="2025-08-06T00:00:00"/>
    <n v="36"/>
    <n v="2.9"/>
    <b v="1"/>
    <s v="Changed Mind"/>
    <n v="27"/>
  </r>
  <r>
    <s v="FB001752"/>
    <x v="1"/>
    <x v="1"/>
    <x v="0"/>
    <x v="6"/>
    <x v="9"/>
    <n v="104.75"/>
    <n v="0"/>
    <n v="104.75"/>
    <d v="2024-10-26T00:00:00"/>
    <n v="11"/>
    <n v="3.34"/>
    <b v="0"/>
    <m/>
    <n v="311"/>
  </r>
  <r>
    <s v="FB001753"/>
    <x v="3"/>
    <x v="1"/>
    <x v="3"/>
    <x v="6"/>
    <x v="10"/>
    <n v="121.33"/>
    <n v="0"/>
    <n v="121.33"/>
    <d v="2025-08-06T00:00:00"/>
    <n v="30"/>
    <n v="4.2"/>
    <b v="0"/>
    <m/>
    <n v="27"/>
  </r>
  <r>
    <s v="FB001754"/>
    <x v="5"/>
    <x v="3"/>
    <x v="2"/>
    <x v="4"/>
    <x v="6"/>
    <n v="78.09"/>
    <n v="0"/>
    <n v="78.09"/>
    <d v="2025-08-06T00:00:00"/>
    <n v="6"/>
    <n v="2"/>
    <b v="0"/>
    <m/>
    <n v="27"/>
  </r>
  <r>
    <s v="FB001755"/>
    <x v="1"/>
    <x v="1"/>
    <x v="2"/>
    <x v="4"/>
    <x v="0"/>
    <n v="109.19"/>
    <n v="0"/>
    <n v="109.19"/>
    <d v="2025-08-06T00:00:00"/>
    <n v="47"/>
    <n v="4.5"/>
    <b v="0"/>
    <m/>
    <n v="27"/>
  </r>
  <r>
    <s v="FB001756"/>
    <x v="3"/>
    <x v="5"/>
    <x v="1"/>
    <x v="1"/>
    <x v="2"/>
    <n v="126.74"/>
    <n v="0"/>
    <n v="126.74"/>
    <d v="2025-08-06T00:00:00"/>
    <n v="2"/>
    <n v="2.9"/>
    <b v="0"/>
    <m/>
    <n v="27"/>
  </r>
  <r>
    <s v="FB001757"/>
    <x v="3"/>
    <x v="4"/>
    <x v="0"/>
    <x v="0"/>
    <x v="2"/>
    <n v="95.85"/>
    <n v="0"/>
    <n v="95.85"/>
    <d v="2025-02-15T00:00:00"/>
    <n v="45"/>
    <n v="5"/>
    <b v="0"/>
    <m/>
    <n v="199"/>
  </r>
  <r>
    <s v="FB001758"/>
    <x v="0"/>
    <x v="3"/>
    <x v="3"/>
    <x v="3"/>
    <x v="5"/>
    <n v="213.98"/>
    <n v="0"/>
    <n v="213.98"/>
    <d v="2025-08-06T00:00:00"/>
    <n v="38"/>
    <n v="2.4137931034482762"/>
    <b v="0"/>
    <m/>
    <n v="27"/>
  </r>
  <r>
    <s v="FB001759"/>
    <x v="3"/>
    <x v="7"/>
    <x v="0"/>
    <x v="4"/>
    <x v="7"/>
    <n v="146.22999999999999"/>
    <n v="40"/>
    <n v="87.74"/>
    <d v="2025-01-27T00:00:00"/>
    <n v="17"/>
    <n v="2.6"/>
    <b v="1"/>
    <s v="Quality Issue"/>
    <n v="218"/>
  </r>
  <r>
    <s v="FB001760"/>
    <x v="4"/>
    <x v="3"/>
    <x v="1"/>
    <x v="1"/>
    <x v="1"/>
    <n v="115.57"/>
    <n v="16.100000000000001"/>
    <n v="96.96"/>
    <d v="2025-08-06T00:00:00"/>
    <n v="32"/>
    <n v="3.1"/>
    <b v="1"/>
    <s v="Size Issue"/>
    <n v="27"/>
  </r>
  <r>
    <s v="FB001761"/>
    <x v="2"/>
    <x v="2"/>
    <x v="0"/>
    <x v="2"/>
    <x v="5"/>
    <n v="66.62"/>
    <n v="0"/>
    <n v="66.62"/>
    <d v="2024-10-27T00:00:00"/>
    <n v="37"/>
    <n v="2.8694444444444449"/>
    <b v="0"/>
    <m/>
    <n v="310"/>
  </r>
  <r>
    <s v="FB001762"/>
    <x v="5"/>
    <x v="2"/>
    <x v="0"/>
    <x v="5"/>
    <x v="9"/>
    <n v="60.37"/>
    <n v="23.1"/>
    <n v="46.42"/>
    <d v="2025-03-14T00:00:00"/>
    <n v="30"/>
    <n v="4.8"/>
    <b v="0"/>
    <m/>
    <n v="172"/>
  </r>
  <r>
    <s v="FB001763"/>
    <x v="3"/>
    <x v="4"/>
    <x v="1"/>
    <x v="6"/>
    <x v="5"/>
    <n v="83.2"/>
    <n v="57.1"/>
    <n v="35.69"/>
    <d v="2025-08-06T00:00:00"/>
    <n v="10"/>
    <n v="3.3"/>
    <b v="0"/>
    <m/>
    <n v="27"/>
  </r>
  <r>
    <s v="FB001764"/>
    <x v="0"/>
    <x v="1"/>
    <x v="3"/>
    <x v="3"/>
    <x v="8"/>
    <n v="204.47"/>
    <n v="3.6"/>
    <n v="197.11"/>
    <d v="2025-08-06T00:00:00"/>
    <n v="26"/>
    <n v="3.15"/>
    <b v="0"/>
    <m/>
    <n v="27"/>
  </r>
  <r>
    <s v="FB001765"/>
    <x v="2"/>
    <x v="3"/>
    <x v="2"/>
    <x v="2"/>
    <x v="9"/>
    <n v="52.73"/>
    <n v="0"/>
    <n v="52.73"/>
    <d v="2025-08-06T00:00:00"/>
    <n v="42"/>
    <n v="2.5131578947368416"/>
    <b v="0"/>
    <m/>
    <n v="27"/>
  </r>
  <r>
    <s v="FB001766"/>
    <x v="4"/>
    <x v="7"/>
    <x v="2"/>
    <x v="4"/>
    <x v="7"/>
    <n v="61.1"/>
    <n v="0"/>
    <n v="61.1"/>
    <d v="2025-08-06T00:00:00"/>
    <n v="30"/>
    <n v="4.5999999999999996"/>
    <b v="0"/>
    <m/>
    <n v="27"/>
  </r>
  <r>
    <s v="FB001767"/>
    <x v="0"/>
    <x v="0"/>
    <x v="3"/>
    <x v="3"/>
    <x v="4"/>
    <n v="227.92"/>
    <n v="0"/>
    <n v="227.92"/>
    <d v="2025-08-06T00:00:00"/>
    <n v="34"/>
    <n v="2.7030303030303036"/>
    <b v="0"/>
    <m/>
    <n v="27"/>
  </r>
  <r>
    <s v="FB001768"/>
    <x v="5"/>
    <x v="4"/>
    <x v="2"/>
    <x v="1"/>
    <x v="5"/>
    <n v="111.55"/>
    <n v="0"/>
    <n v="111.55"/>
    <d v="2025-08-06T00:00:00"/>
    <n v="14"/>
    <n v="3.1051282051282048"/>
    <b v="0"/>
    <m/>
    <n v="27"/>
  </r>
  <r>
    <s v="FB001769"/>
    <x v="4"/>
    <x v="7"/>
    <x v="2"/>
    <x v="5"/>
    <x v="1"/>
    <n v="29.09"/>
    <n v="29.6"/>
    <n v="20.48"/>
    <d v="2025-08-06T00:00:00"/>
    <n v="25"/>
    <n v="4.8"/>
    <b v="0"/>
    <m/>
    <n v="27"/>
  </r>
  <r>
    <s v="FB001770"/>
    <x v="5"/>
    <x v="4"/>
    <x v="2"/>
    <x v="6"/>
    <x v="1"/>
    <n v="179.71"/>
    <n v="0"/>
    <n v="179.71"/>
    <d v="2025-08-06T00:00:00"/>
    <n v="9"/>
    <n v="3.9"/>
    <b v="0"/>
    <m/>
    <n v="27"/>
  </r>
  <r>
    <s v="FB001771"/>
    <x v="2"/>
    <x v="4"/>
    <x v="3"/>
    <x v="2"/>
    <x v="1"/>
    <n v="52.76"/>
    <n v="39.4"/>
    <n v="31.97"/>
    <d v="2025-08-06T00:00:00"/>
    <n v="0"/>
    <n v="1.4"/>
    <b v="0"/>
    <m/>
    <n v="27"/>
  </r>
  <r>
    <s v="FB001772"/>
    <x v="2"/>
    <x v="1"/>
    <x v="0"/>
    <x v="2"/>
    <x v="6"/>
    <n v="67.900000000000006"/>
    <n v="0"/>
    <n v="67.900000000000006"/>
    <d v="2024-12-31T00:00:00"/>
    <n v="1"/>
    <n v="1.3"/>
    <b v="0"/>
    <m/>
    <n v="245"/>
  </r>
  <r>
    <s v="FB001773"/>
    <x v="2"/>
    <x v="1"/>
    <x v="2"/>
    <x v="2"/>
    <x v="8"/>
    <n v="46.77"/>
    <n v="40.799999999999997"/>
    <n v="27.69"/>
    <d v="2025-08-06T00:00:00"/>
    <n v="25"/>
    <n v="2.6"/>
    <b v="0"/>
    <m/>
    <n v="27"/>
  </r>
  <r>
    <s v="FB001774"/>
    <x v="1"/>
    <x v="1"/>
    <x v="1"/>
    <x v="0"/>
    <x v="8"/>
    <n v="91.6"/>
    <n v="0"/>
    <n v="91.6"/>
    <d v="2025-08-06T00:00:00"/>
    <n v="6"/>
    <n v="2.7"/>
    <b v="0"/>
    <m/>
    <n v="27"/>
  </r>
  <r>
    <s v="FB001775"/>
    <x v="0"/>
    <x v="1"/>
    <x v="0"/>
    <x v="5"/>
    <x v="1"/>
    <n v="230.39"/>
    <n v="4.2"/>
    <n v="220.71"/>
    <d v="2024-10-15T00:00:00"/>
    <n v="34"/>
    <n v="3.5"/>
    <b v="0"/>
    <m/>
    <n v="322"/>
  </r>
  <r>
    <s v="FB001776"/>
    <x v="0"/>
    <x v="5"/>
    <x v="2"/>
    <x v="6"/>
    <x v="5"/>
    <n v="118.37"/>
    <n v="0"/>
    <n v="118.37"/>
    <d v="2025-08-06T00:00:00"/>
    <n v="45"/>
    <n v="3.0305555555555546"/>
    <b v="0"/>
    <m/>
    <n v="27"/>
  </r>
  <r>
    <s v="FB001777"/>
    <x v="3"/>
    <x v="6"/>
    <x v="1"/>
    <x v="6"/>
    <x v="0"/>
    <n v="81.260000000000005"/>
    <n v="32.700000000000003"/>
    <n v="54.69"/>
    <d v="2025-08-06T00:00:00"/>
    <n v="2"/>
    <n v="3.3"/>
    <b v="0"/>
    <m/>
    <n v="27"/>
  </r>
  <r>
    <s v="FB001778"/>
    <x v="2"/>
    <x v="4"/>
    <x v="2"/>
    <x v="2"/>
    <x v="9"/>
    <n v="57.21"/>
    <n v="18"/>
    <n v="46.91"/>
    <d v="2025-08-06T00:00:00"/>
    <n v="7"/>
    <n v="2.5"/>
    <b v="0"/>
    <m/>
    <n v="27"/>
  </r>
  <r>
    <s v="FB001779"/>
    <x v="5"/>
    <x v="7"/>
    <x v="3"/>
    <x v="0"/>
    <x v="10"/>
    <n v="74.53"/>
    <n v="0"/>
    <n v="74.53"/>
    <d v="2025-08-06T00:00:00"/>
    <n v="9"/>
    <n v="2.9636363636363638"/>
    <b v="0"/>
    <m/>
    <n v="27"/>
  </r>
  <r>
    <s v="FB001780"/>
    <x v="5"/>
    <x v="2"/>
    <x v="3"/>
    <x v="6"/>
    <x v="0"/>
    <n v="69.540000000000006"/>
    <n v="0"/>
    <n v="69.540000000000006"/>
    <d v="2025-08-06T00:00:00"/>
    <n v="40"/>
    <n v="3.2"/>
    <b v="1"/>
    <s v="Size Issue"/>
    <n v="27"/>
  </r>
  <r>
    <s v="FB001781"/>
    <x v="5"/>
    <x v="5"/>
    <x v="3"/>
    <x v="0"/>
    <x v="10"/>
    <n v="102.71"/>
    <n v="55.9"/>
    <n v="45.3"/>
    <d v="2025-08-06T00:00:00"/>
    <n v="31"/>
    <n v="4.5999999999999996"/>
    <b v="0"/>
    <m/>
    <n v="27"/>
  </r>
  <r>
    <s v="FB001782"/>
    <x v="3"/>
    <x v="6"/>
    <x v="3"/>
    <x v="1"/>
    <x v="7"/>
    <n v="117.82"/>
    <n v="0"/>
    <n v="117.82"/>
    <d v="2025-08-06T00:00:00"/>
    <n v="7"/>
    <n v="4.9000000000000004"/>
    <b v="0"/>
    <m/>
    <n v="27"/>
  </r>
  <r>
    <s v="FB001783"/>
    <x v="2"/>
    <x v="6"/>
    <x v="0"/>
    <x v="2"/>
    <x v="9"/>
    <n v="61.01"/>
    <n v="0"/>
    <n v="61.01"/>
    <d v="2025-04-25T00:00:00"/>
    <n v="30"/>
    <n v="3.4"/>
    <b v="0"/>
    <m/>
    <n v="130"/>
  </r>
  <r>
    <s v="FB001784"/>
    <x v="0"/>
    <x v="7"/>
    <x v="1"/>
    <x v="0"/>
    <x v="1"/>
    <n v="222.01"/>
    <n v="0"/>
    <n v="222.01"/>
    <d v="2025-08-06T00:00:00"/>
    <n v="27"/>
    <n v="2.1"/>
    <b v="0"/>
    <m/>
    <n v="27"/>
  </r>
  <r>
    <s v="FB001785"/>
    <x v="0"/>
    <x v="4"/>
    <x v="3"/>
    <x v="1"/>
    <x v="10"/>
    <n v="123.55"/>
    <n v="0"/>
    <n v="123.55"/>
    <d v="2025-08-06T00:00:00"/>
    <n v="28"/>
    <n v="1.2"/>
    <b v="0"/>
    <m/>
    <n v="27"/>
  </r>
  <r>
    <s v="FB001786"/>
    <x v="2"/>
    <x v="0"/>
    <x v="2"/>
    <x v="2"/>
    <x v="2"/>
    <n v="24.65"/>
    <n v="0"/>
    <n v="24.65"/>
    <d v="2025-08-06T00:00:00"/>
    <n v="43"/>
    <n v="1.1000000000000001"/>
    <b v="0"/>
    <m/>
    <n v="27"/>
  </r>
  <r>
    <s v="FB001787"/>
    <x v="0"/>
    <x v="2"/>
    <x v="2"/>
    <x v="4"/>
    <x v="8"/>
    <n v="168.8"/>
    <n v="0"/>
    <n v="168.8"/>
    <d v="2025-08-06T00:00:00"/>
    <n v="1"/>
    <n v="1"/>
    <b v="0"/>
    <m/>
    <n v="27"/>
  </r>
  <r>
    <s v="FB001788"/>
    <x v="1"/>
    <x v="6"/>
    <x v="2"/>
    <x v="3"/>
    <x v="6"/>
    <n v="39.159999999999997"/>
    <n v="40.1"/>
    <n v="23.46"/>
    <d v="2025-08-06T00:00:00"/>
    <n v="4"/>
    <n v="2.8"/>
    <b v="0"/>
    <m/>
    <n v="27"/>
  </r>
  <r>
    <s v="FB001789"/>
    <x v="4"/>
    <x v="4"/>
    <x v="2"/>
    <x v="2"/>
    <x v="10"/>
    <n v="74.760000000000005"/>
    <n v="0"/>
    <n v="74.760000000000005"/>
    <d v="2025-08-06T00:00:00"/>
    <n v="50"/>
    <n v="4.4000000000000004"/>
    <b v="1"/>
    <s v="Color Mismatch"/>
    <n v="27"/>
  </r>
  <r>
    <s v="FB001790"/>
    <x v="2"/>
    <x v="6"/>
    <x v="1"/>
    <x v="2"/>
    <x v="8"/>
    <n v="37"/>
    <n v="0"/>
    <n v="37"/>
    <d v="2025-08-06T00:00:00"/>
    <n v="5"/>
    <n v="4.9000000000000004"/>
    <b v="0"/>
    <m/>
    <n v="27"/>
  </r>
  <r>
    <s v="FB001791"/>
    <x v="2"/>
    <x v="3"/>
    <x v="1"/>
    <x v="2"/>
    <x v="2"/>
    <n v="67.38"/>
    <n v="0"/>
    <n v="67.38"/>
    <d v="2025-08-06T00:00:00"/>
    <n v="15"/>
    <n v="1.6"/>
    <b v="0"/>
    <m/>
    <n v="27"/>
  </r>
  <r>
    <s v="FB001792"/>
    <x v="4"/>
    <x v="4"/>
    <x v="3"/>
    <x v="5"/>
    <x v="3"/>
    <n v="77.44"/>
    <n v="1.4"/>
    <n v="76.36"/>
    <d v="2025-08-06T00:00:00"/>
    <n v="18"/>
    <n v="3.3"/>
    <b v="0"/>
    <m/>
    <n v="27"/>
  </r>
  <r>
    <s v="FB001793"/>
    <x v="0"/>
    <x v="4"/>
    <x v="3"/>
    <x v="5"/>
    <x v="4"/>
    <n v="215.06"/>
    <n v="0"/>
    <n v="215.06"/>
    <d v="2025-08-06T00:00:00"/>
    <n v="50"/>
    <n v="1.6"/>
    <b v="0"/>
    <m/>
    <n v="27"/>
  </r>
  <r>
    <s v="FB001794"/>
    <x v="0"/>
    <x v="2"/>
    <x v="1"/>
    <x v="5"/>
    <x v="4"/>
    <n v="141.44"/>
    <n v="0"/>
    <n v="141.44"/>
    <d v="2025-08-06T00:00:00"/>
    <n v="34"/>
    <n v="2.4"/>
    <b v="0"/>
    <m/>
    <n v="27"/>
  </r>
  <r>
    <s v="FB001795"/>
    <x v="5"/>
    <x v="5"/>
    <x v="0"/>
    <x v="4"/>
    <x v="3"/>
    <n v="151.83000000000001"/>
    <n v="0"/>
    <n v="151.83000000000001"/>
    <d v="2025-06-17T00:00:00"/>
    <n v="24"/>
    <n v="4.3"/>
    <b v="1"/>
    <s v="Wrong Item"/>
    <n v="77"/>
  </r>
  <r>
    <s v="FB001796"/>
    <x v="0"/>
    <x v="6"/>
    <x v="1"/>
    <x v="0"/>
    <x v="4"/>
    <n v="140.07"/>
    <n v="0"/>
    <n v="140.07"/>
    <d v="2025-08-06T00:00:00"/>
    <n v="23"/>
    <n v="2.7"/>
    <b v="0"/>
    <m/>
    <n v="27"/>
  </r>
  <r>
    <s v="FB001797"/>
    <x v="5"/>
    <x v="3"/>
    <x v="3"/>
    <x v="4"/>
    <x v="1"/>
    <n v="94.26"/>
    <n v="28.9"/>
    <n v="67.02"/>
    <d v="2025-08-06T00:00:00"/>
    <n v="44"/>
    <n v="3.6"/>
    <b v="0"/>
    <m/>
    <n v="27"/>
  </r>
  <r>
    <s v="FB001798"/>
    <x v="2"/>
    <x v="5"/>
    <x v="1"/>
    <x v="2"/>
    <x v="6"/>
    <n v="55.79"/>
    <n v="27.3"/>
    <n v="40.56"/>
    <d v="2025-08-06T00:00:00"/>
    <n v="39"/>
    <n v="4.9000000000000004"/>
    <b v="0"/>
    <m/>
    <n v="27"/>
  </r>
  <r>
    <s v="FB001799"/>
    <x v="2"/>
    <x v="6"/>
    <x v="1"/>
    <x v="2"/>
    <x v="2"/>
    <n v="58.99"/>
    <n v="0"/>
    <n v="58.99"/>
    <d v="2025-08-06T00:00:00"/>
    <n v="50"/>
    <n v="2.7"/>
    <b v="0"/>
    <m/>
    <n v="27"/>
  </r>
  <r>
    <s v="FB001800"/>
    <x v="4"/>
    <x v="7"/>
    <x v="3"/>
    <x v="4"/>
    <x v="9"/>
    <n v="61.96"/>
    <n v="0"/>
    <n v="61.96"/>
    <d v="2025-08-06T00:00:00"/>
    <n v="13"/>
    <n v="3.9"/>
    <b v="0"/>
    <m/>
    <n v="27"/>
  </r>
  <r>
    <s v="FB001801"/>
    <x v="4"/>
    <x v="0"/>
    <x v="2"/>
    <x v="1"/>
    <x v="10"/>
    <n v="104.25"/>
    <n v="0"/>
    <n v="104.25"/>
    <d v="2025-08-06T00:00:00"/>
    <n v="35"/>
    <n v="3.1"/>
    <b v="0"/>
    <m/>
    <n v="27"/>
  </r>
  <r>
    <s v="FB001802"/>
    <x v="0"/>
    <x v="4"/>
    <x v="1"/>
    <x v="1"/>
    <x v="4"/>
    <n v="102.68"/>
    <n v="0"/>
    <n v="102.68"/>
    <d v="2025-08-06T00:00:00"/>
    <n v="18"/>
    <n v="1.9"/>
    <b v="0"/>
    <m/>
    <n v="27"/>
  </r>
  <r>
    <s v="FB001803"/>
    <x v="5"/>
    <x v="6"/>
    <x v="1"/>
    <x v="4"/>
    <x v="7"/>
    <n v="131.05000000000001"/>
    <n v="32.6"/>
    <n v="88.33"/>
    <d v="2025-08-06T00:00:00"/>
    <n v="9"/>
    <n v="2.980952380952381"/>
    <b v="0"/>
    <m/>
    <n v="27"/>
  </r>
  <r>
    <s v="FB001804"/>
    <x v="0"/>
    <x v="2"/>
    <x v="0"/>
    <x v="5"/>
    <x v="8"/>
    <n v="139.72999999999999"/>
    <n v="54.3"/>
    <n v="63.86"/>
    <d v="2025-03-27T00:00:00"/>
    <n v="38"/>
    <n v="3.0177777777777774"/>
    <b v="1"/>
    <s v="Changed Mind"/>
    <n v="159"/>
  </r>
  <r>
    <s v="FB001805"/>
    <x v="2"/>
    <x v="7"/>
    <x v="1"/>
    <x v="2"/>
    <x v="8"/>
    <n v="17.59"/>
    <n v="0"/>
    <n v="17.59"/>
    <d v="2025-08-06T00:00:00"/>
    <n v="14"/>
    <n v="2.8636363636363633"/>
    <b v="0"/>
    <m/>
    <n v="27"/>
  </r>
  <r>
    <s v="FB001806"/>
    <x v="3"/>
    <x v="0"/>
    <x v="2"/>
    <x v="1"/>
    <x v="0"/>
    <n v="115.09"/>
    <n v="0"/>
    <n v="115.09"/>
    <d v="2025-08-06T00:00:00"/>
    <n v="10"/>
    <n v="2.5"/>
    <b v="0"/>
    <m/>
    <n v="27"/>
  </r>
  <r>
    <s v="FB001807"/>
    <x v="2"/>
    <x v="0"/>
    <x v="3"/>
    <x v="2"/>
    <x v="2"/>
    <n v="73.75"/>
    <n v="0"/>
    <n v="73.75"/>
    <d v="2025-08-06T00:00:00"/>
    <n v="23"/>
    <n v="4.5"/>
    <b v="0"/>
    <m/>
    <n v="27"/>
  </r>
  <r>
    <s v="FB001808"/>
    <x v="2"/>
    <x v="5"/>
    <x v="1"/>
    <x v="2"/>
    <x v="8"/>
    <n v="66.77"/>
    <n v="0"/>
    <n v="66.77"/>
    <d v="2025-08-06T00:00:00"/>
    <n v="28"/>
    <n v="5"/>
    <b v="1"/>
    <s v="Size Issue"/>
    <n v="27"/>
  </r>
  <r>
    <s v="FB001809"/>
    <x v="1"/>
    <x v="4"/>
    <x v="2"/>
    <x v="1"/>
    <x v="3"/>
    <n v="63.92"/>
    <n v="0"/>
    <n v="63.92"/>
    <d v="2025-08-06T00:00:00"/>
    <n v="10"/>
    <n v="4.4000000000000004"/>
    <b v="0"/>
    <m/>
    <n v="27"/>
  </r>
  <r>
    <s v="FB001810"/>
    <x v="2"/>
    <x v="4"/>
    <x v="2"/>
    <x v="2"/>
    <x v="6"/>
    <n v="26.26"/>
    <n v="0"/>
    <n v="26.26"/>
    <d v="2025-08-06T00:00:00"/>
    <n v="27"/>
    <n v="2.7333333333333334"/>
    <b v="0"/>
    <m/>
    <n v="27"/>
  </r>
  <r>
    <s v="FB001811"/>
    <x v="2"/>
    <x v="4"/>
    <x v="0"/>
    <x v="2"/>
    <x v="3"/>
    <n v="62.58"/>
    <n v="8.8000000000000007"/>
    <n v="57.07"/>
    <d v="2024-11-06T00:00:00"/>
    <n v="1"/>
    <n v="1.7"/>
    <b v="0"/>
    <m/>
    <n v="300"/>
  </r>
  <r>
    <s v="FB001812"/>
    <x v="3"/>
    <x v="2"/>
    <x v="3"/>
    <x v="3"/>
    <x v="6"/>
    <n v="143.88"/>
    <n v="0"/>
    <n v="143.88"/>
    <d v="2025-08-06T00:00:00"/>
    <n v="1"/>
    <n v="3.1"/>
    <b v="0"/>
    <m/>
    <n v="27"/>
  </r>
  <r>
    <s v="FB001813"/>
    <x v="0"/>
    <x v="0"/>
    <x v="0"/>
    <x v="0"/>
    <x v="5"/>
    <n v="226.24"/>
    <n v="1.2"/>
    <n v="223.53"/>
    <d v="2025-02-20T00:00:00"/>
    <n v="24"/>
    <n v="4.5"/>
    <b v="0"/>
    <m/>
    <n v="194"/>
  </r>
  <r>
    <s v="FB001814"/>
    <x v="3"/>
    <x v="6"/>
    <x v="0"/>
    <x v="4"/>
    <x v="2"/>
    <n v="164.75"/>
    <n v="0"/>
    <n v="164.75"/>
    <d v="2025-05-02T00:00:00"/>
    <n v="8"/>
    <n v="3.7"/>
    <b v="0"/>
    <m/>
    <n v="123"/>
  </r>
  <r>
    <s v="FB001815"/>
    <x v="4"/>
    <x v="0"/>
    <x v="3"/>
    <x v="1"/>
    <x v="8"/>
    <n v="56.14"/>
    <n v="0"/>
    <n v="56.14"/>
    <d v="2025-08-06T00:00:00"/>
    <n v="16"/>
    <n v="4.3"/>
    <b v="0"/>
    <m/>
    <n v="27"/>
  </r>
  <r>
    <s v="FB001816"/>
    <x v="2"/>
    <x v="4"/>
    <x v="1"/>
    <x v="2"/>
    <x v="0"/>
    <n v="39.96"/>
    <n v="0"/>
    <n v="39.96"/>
    <d v="2025-08-06T00:00:00"/>
    <n v="49"/>
    <n v="2.7333333333333334"/>
    <b v="0"/>
    <m/>
    <n v="27"/>
  </r>
  <r>
    <s v="FB001817"/>
    <x v="4"/>
    <x v="5"/>
    <x v="3"/>
    <x v="1"/>
    <x v="8"/>
    <n v="26.5"/>
    <n v="57.9"/>
    <n v="11.16"/>
    <d v="2025-08-06T00:00:00"/>
    <n v="8"/>
    <n v="1.7"/>
    <b v="0"/>
    <m/>
    <n v="27"/>
  </r>
  <r>
    <s v="FB001818"/>
    <x v="3"/>
    <x v="4"/>
    <x v="0"/>
    <x v="4"/>
    <x v="10"/>
    <n v="118.53"/>
    <n v="55"/>
    <n v="53.34"/>
    <d v="2025-04-25T00:00:00"/>
    <n v="2"/>
    <n v="4.9000000000000004"/>
    <b v="0"/>
    <m/>
    <n v="130"/>
  </r>
  <r>
    <s v="FB001819"/>
    <x v="5"/>
    <x v="3"/>
    <x v="3"/>
    <x v="0"/>
    <x v="9"/>
    <n v="58.08"/>
    <n v="0"/>
    <n v="58.08"/>
    <d v="2025-08-06T00:00:00"/>
    <n v="42"/>
    <n v="1.6"/>
    <b v="0"/>
    <m/>
    <n v="27"/>
  </r>
  <r>
    <s v="FB001820"/>
    <x v="3"/>
    <x v="4"/>
    <x v="3"/>
    <x v="3"/>
    <x v="8"/>
    <n v="138.85"/>
    <n v="15"/>
    <n v="118.02"/>
    <d v="2025-08-06T00:00:00"/>
    <n v="17"/>
    <n v="3.3021276595744684"/>
    <b v="0"/>
    <m/>
    <n v="27"/>
  </r>
  <r>
    <s v="FB001821"/>
    <x v="4"/>
    <x v="2"/>
    <x v="3"/>
    <x v="5"/>
    <x v="4"/>
    <n v="73.33"/>
    <n v="0"/>
    <n v="73.33"/>
    <d v="2025-08-06T00:00:00"/>
    <n v="3"/>
    <n v="3.1"/>
    <b v="1"/>
    <s v="Changed Mind"/>
    <n v="27"/>
  </r>
  <r>
    <s v="FB001822"/>
    <x v="0"/>
    <x v="7"/>
    <x v="1"/>
    <x v="3"/>
    <x v="6"/>
    <n v="167.73"/>
    <n v="0"/>
    <n v="167.73"/>
    <d v="2025-08-06T00:00:00"/>
    <n v="4"/>
    <n v="4.9000000000000004"/>
    <b v="0"/>
    <m/>
    <n v="27"/>
  </r>
  <r>
    <s v="FB001823"/>
    <x v="1"/>
    <x v="4"/>
    <x v="1"/>
    <x v="4"/>
    <x v="2"/>
    <n v="79.47"/>
    <n v="0"/>
    <n v="79.47"/>
    <d v="2025-08-06T00:00:00"/>
    <n v="31"/>
    <n v="3.7"/>
    <b v="0"/>
    <m/>
    <n v="27"/>
  </r>
  <r>
    <s v="FB001824"/>
    <x v="5"/>
    <x v="7"/>
    <x v="3"/>
    <x v="0"/>
    <x v="3"/>
    <n v="69.12"/>
    <n v="49.4"/>
    <n v="34.97"/>
    <d v="2025-08-06T00:00:00"/>
    <n v="45"/>
    <n v="2.2999999999999998"/>
    <b v="0"/>
    <m/>
    <n v="27"/>
  </r>
  <r>
    <s v="FB001825"/>
    <x v="4"/>
    <x v="3"/>
    <x v="3"/>
    <x v="3"/>
    <x v="9"/>
    <n v="56.18"/>
    <n v="6.7"/>
    <n v="52.42"/>
    <d v="2025-08-06T00:00:00"/>
    <n v="35"/>
    <n v="2.6"/>
    <b v="1"/>
    <s v="Changed Mind"/>
    <n v="27"/>
  </r>
  <r>
    <s v="FB001826"/>
    <x v="1"/>
    <x v="6"/>
    <x v="1"/>
    <x v="5"/>
    <x v="4"/>
    <n v="51.28"/>
    <n v="48.3"/>
    <n v="26.51"/>
    <d v="2025-08-06T00:00:00"/>
    <n v="9"/>
    <n v="1.1000000000000001"/>
    <b v="1"/>
    <s v="Changed Mind"/>
    <n v="27"/>
  </r>
  <r>
    <s v="FB001827"/>
    <x v="0"/>
    <x v="6"/>
    <x v="0"/>
    <x v="2"/>
    <x v="6"/>
    <n v="111.73"/>
    <n v="16.8"/>
    <n v="92.96"/>
    <d v="2025-05-29T00:00:00"/>
    <n v="41"/>
    <n v="1.2"/>
    <b v="0"/>
    <m/>
    <n v="96"/>
  </r>
  <r>
    <s v="FB001828"/>
    <x v="4"/>
    <x v="5"/>
    <x v="2"/>
    <x v="4"/>
    <x v="4"/>
    <n v="49.08"/>
    <n v="19.899999999999999"/>
    <n v="39.31"/>
    <d v="2025-08-06T00:00:00"/>
    <n v="46"/>
    <n v="1"/>
    <b v="1"/>
    <s v="Changed Mind"/>
    <n v="27"/>
  </r>
  <r>
    <s v="FB001829"/>
    <x v="3"/>
    <x v="7"/>
    <x v="1"/>
    <x v="6"/>
    <x v="1"/>
    <n v="182.47"/>
    <n v="27.1"/>
    <n v="133.02000000000001"/>
    <d v="2025-08-06T00:00:00"/>
    <n v="40"/>
    <n v="3.2576923076923077"/>
    <b v="0"/>
    <m/>
    <n v="27"/>
  </r>
  <r>
    <s v="FB001830"/>
    <x v="0"/>
    <x v="7"/>
    <x v="3"/>
    <x v="5"/>
    <x v="9"/>
    <n v="241.22"/>
    <n v="5.9"/>
    <n v="226.99"/>
    <d v="2025-08-06T00:00:00"/>
    <n v="13"/>
    <n v="1.2"/>
    <b v="0"/>
    <m/>
    <n v="27"/>
  </r>
  <r>
    <s v="FB001831"/>
    <x v="5"/>
    <x v="5"/>
    <x v="0"/>
    <x v="4"/>
    <x v="5"/>
    <n v="78.3"/>
    <n v="0"/>
    <n v="78.3"/>
    <d v="2025-03-14T00:00:00"/>
    <n v="19"/>
    <n v="3"/>
    <b v="0"/>
    <m/>
    <n v="172"/>
  </r>
  <r>
    <s v="FB001832"/>
    <x v="3"/>
    <x v="2"/>
    <x v="1"/>
    <x v="6"/>
    <x v="9"/>
    <n v="73.930000000000007"/>
    <n v="0"/>
    <n v="73.930000000000007"/>
    <d v="2025-08-06T00:00:00"/>
    <n v="0"/>
    <n v="3.1936170212765949"/>
    <b v="0"/>
    <m/>
    <n v="27"/>
  </r>
  <r>
    <s v="FB001833"/>
    <x v="4"/>
    <x v="4"/>
    <x v="3"/>
    <x v="4"/>
    <x v="6"/>
    <n v="97.5"/>
    <n v="0"/>
    <n v="97.5"/>
    <d v="2025-08-06T00:00:00"/>
    <n v="43"/>
    <n v="1.6"/>
    <b v="0"/>
    <m/>
    <n v="27"/>
  </r>
  <r>
    <s v="FB001834"/>
    <x v="1"/>
    <x v="5"/>
    <x v="3"/>
    <x v="5"/>
    <x v="6"/>
    <n v="38.9"/>
    <n v="0"/>
    <n v="38.9"/>
    <d v="2025-08-06T00:00:00"/>
    <n v="1"/>
    <n v="5"/>
    <b v="0"/>
    <m/>
    <n v="27"/>
  </r>
  <r>
    <s v="FB001835"/>
    <x v="3"/>
    <x v="2"/>
    <x v="3"/>
    <x v="3"/>
    <x v="5"/>
    <n v="95.52"/>
    <n v="0"/>
    <n v="95.52"/>
    <d v="2025-08-06T00:00:00"/>
    <n v="47"/>
    <n v="3.9"/>
    <b v="0"/>
    <m/>
    <n v="27"/>
  </r>
  <r>
    <s v="FB001836"/>
    <x v="0"/>
    <x v="0"/>
    <x v="2"/>
    <x v="6"/>
    <x v="0"/>
    <n v="158.63999999999999"/>
    <n v="50.2"/>
    <n v="79"/>
    <d v="2025-08-06T00:00:00"/>
    <n v="7"/>
    <n v="3"/>
    <b v="1"/>
    <s v="Changed Mind"/>
    <n v="27"/>
  </r>
  <r>
    <s v="FB001837"/>
    <x v="1"/>
    <x v="3"/>
    <x v="2"/>
    <x v="0"/>
    <x v="8"/>
    <n v="26.11"/>
    <n v="0"/>
    <n v="26.11"/>
    <d v="2025-08-06T00:00:00"/>
    <n v="41"/>
    <n v="4.3"/>
    <b v="0"/>
    <m/>
    <n v="27"/>
  </r>
  <r>
    <s v="FB001838"/>
    <x v="3"/>
    <x v="7"/>
    <x v="0"/>
    <x v="2"/>
    <x v="3"/>
    <n v="107.09"/>
    <n v="43.1"/>
    <n v="60.93"/>
    <d v="2025-02-14T00:00:00"/>
    <n v="16"/>
    <n v="4.7"/>
    <b v="1"/>
    <s v="Changed Mind"/>
    <n v="200"/>
  </r>
  <r>
    <s v="FB001839"/>
    <x v="2"/>
    <x v="6"/>
    <x v="3"/>
    <x v="2"/>
    <x v="2"/>
    <n v="71.42"/>
    <n v="38"/>
    <n v="44.28"/>
    <d v="2025-08-06T00:00:00"/>
    <n v="49"/>
    <n v="2.8"/>
    <b v="0"/>
    <m/>
    <n v="27"/>
  </r>
  <r>
    <s v="FB001840"/>
    <x v="3"/>
    <x v="0"/>
    <x v="3"/>
    <x v="0"/>
    <x v="0"/>
    <n v="124.56"/>
    <n v="0"/>
    <n v="124.56"/>
    <d v="2025-08-06T00:00:00"/>
    <n v="18"/>
    <n v="3"/>
    <b v="0"/>
    <m/>
    <n v="27"/>
  </r>
  <r>
    <s v="FB001841"/>
    <x v="4"/>
    <x v="1"/>
    <x v="3"/>
    <x v="1"/>
    <x v="9"/>
    <n v="30.91"/>
    <n v="0"/>
    <n v="30.91"/>
    <d v="2025-08-06T00:00:00"/>
    <n v="45"/>
    <n v="1.8"/>
    <b v="0"/>
    <m/>
    <n v="27"/>
  </r>
  <r>
    <s v="FB001842"/>
    <x v="1"/>
    <x v="0"/>
    <x v="1"/>
    <x v="5"/>
    <x v="7"/>
    <n v="53.37"/>
    <n v="0"/>
    <n v="53.37"/>
    <d v="2025-08-06T00:00:00"/>
    <n v="15"/>
    <n v="1.1000000000000001"/>
    <b v="0"/>
    <m/>
    <n v="27"/>
  </r>
  <r>
    <s v="FB001843"/>
    <x v="3"/>
    <x v="6"/>
    <x v="3"/>
    <x v="0"/>
    <x v="6"/>
    <n v="159.16"/>
    <n v="0"/>
    <n v="159.16"/>
    <d v="2025-08-06T00:00:00"/>
    <n v="40"/>
    <n v="2.9083333333333328"/>
    <b v="1"/>
    <s v="Changed Mind"/>
    <n v="27"/>
  </r>
  <r>
    <s v="FB001844"/>
    <x v="5"/>
    <x v="3"/>
    <x v="2"/>
    <x v="3"/>
    <x v="1"/>
    <n v="169.64"/>
    <n v="0"/>
    <n v="169.64"/>
    <d v="2025-08-06T00:00:00"/>
    <n v="5"/>
    <n v="1.6"/>
    <b v="0"/>
    <m/>
    <n v="27"/>
  </r>
  <r>
    <s v="FB001845"/>
    <x v="2"/>
    <x v="6"/>
    <x v="3"/>
    <x v="2"/>
    <x v="5"/>
    <n v="59.94"/>
    <n v="0"/>
    <n v="59.94"/>
    <d v="2025-08-06T00:00:00"/>
    <n v="7"/>
    <n v="4"/>
    <b v="0"/>
    <m/>
    <n v="27"/>
  </r>
  <r>
    <s v="FB001846"/>
    <x v="5"/>
    <x v="6"/>
    <x v="2"/>
    <x v="0"/>
    <x v="9"/>
    <n v="92.59"/>
    <n v="0"/>
    <n v="92.59"/>
    <d v="2025-08-06T00:00:00"/>
    <n v="29"/>
    <n v="3.5"/>
    <b v="1"/>
    <s v="Size Issue"/>
    <n v="27"/>
  </r>
  <r>
    <s v="FB001847"/>
    <x v="4"/>
    <x v="4"/>
    <x v="0"/>
    <x v="3"/>
    <x v="3"/>
    <n v="64.069999999999993"/>
    <n v="0"/>
    <n v="64.069999999999993"/>
    <d v="2025-03-18T00:00:00"/>
    <n v="10"/>
    <n v="3.0659090909090896"/>
    <b v="0"/>
    <m/>
    <n v="168"/>
  </r>
  <r>
    <s v="FB001848"/>
    <x v="5"/>
    <x v="7"/>
    <x v="2"/>
    <x v="5"/>
    <x v="5"/>
    <n v="127.87"/>
    <n v="54.6"/>
    <n v="58.05"/>
    <d v="2025-08-06T00:00:00"/>
    <n v="14"/>
    <n v="4.4000000000000004"/>
    <b v="0"/>
    <m/>
    <n v="27"/>
  </r>
  <r>
    <s v="FB001849"/>
    <x v="4"/>
    <x v="2"/>
    <x v="2"/>
    <x v="6"/>
    <x v="5"/>
    <n v="32.46"/>
    <n v="12.9"/>
    <n v="28.27"/>
    <d v="2025-08-06T00:00:00"/>
    <n v="9"/>
    <n v="3.0384615384615379"/>
    <b v="0"/>
    <m/>
    <n v="27"/>
  </r>
  <r>
    <s v="FB001850"/>
    <x v="4"/>
    <x v="4"/>
    <x v="3"/>
    <x v="4"/>
    <x v="1"/>
    <n v="40.31"/>
    <n v="43"/>
    <n v="22.98"/>
    <d v="2025-08-06T00:00:00"/>
    <n v="30"/>
    <n v="3.5"/>
    <b v="1"/>
    <s v="Color Mismatch"/>
    <n v="27"/>
  </r>
  <r>
    <s v="FB001851"/>
    <x v="2"/>
    <x v="5"/>
    <x v="1"/>
    <x v="2"/>
    <x v="6"/>
    <n v="51.3"/>
    <n v="6.1"/>
    <n v="48.17"/>
    <d v="2025-08-06T00:00:00"/>
    <n v="31"/>
    <n v="3.2731707317073173"/>
    <b v="0"/>
    <m/>
    <n v="27"/>
  </r>
  <r>
    <s v="FB001852"/>
    <x v="4"/>
    <x v="6"/>
    <x v="1"/>
    <x v="5"/>
    <x v="1"/>
    <n v="28.62"/>
    <n v="0"/>
    <n v="28.62"/>
    <d v="2025-08-06T00:00:00"/>
    <n v="41"/>
    <n v="4"/>
    <b v="0"/>
    <m/>
    <n v="27"/>
  </r>
  <r>
    <s v="FB001853"/>
    <x v="2"/>
    <x v="6"/>
    <x v="2"/>
    <x v="2"/>
    <x v="6"/>
    <n v="59.03"/>
    <n v="6.4"/>
    <n v="55.25"/>
    <d v="2025-08-06T00:00:00"/>
    <n v="45"/>
    <n v="3.2720930232558145"/>
    <b v="0"/>
    <m/>
    <n v="27"/>
  </r>
  <r>
    <s v="FB001854"/>
    <x v="1"/>
    <x v="5"/>
    <x v="3"/>
    <x v="3"/>
    <x v="10"/>
    <n v="99.65"/>
    <n v="7.4"/>
    <n v="92.28"/>
    <d v="2025-08-06T00:00:00"/>
    <n v="31"/>
    <n v="3.8"/>
    <b v="0"/>
    <m/>
    <n v="27"/>
  </r>
  <r>
    <s v="FB001855"/>
    <x v="5"/>
    <x v="7"/>
    <x v="1"/>
    <x v="2"/>
    <x v="5"/>
    <n v="128.55000000000001"/>
    <n v="0"/>
    <n v="128.55000000000001"/>
    <d v="2025-08-06T00:00:00"/>
    <n v="1"/>
    <n v="3.7"/>
    <b v="0"/>
    <m/>
    <n v="27"/>
  </r>
  <r>
    <s v="FB001856"/>
    <x v="4"/>
    <x v="3"/>
    <x v="0"/>
    <x v="1"/>
    <x v="9"/>
    <n v="78.09"/>
    <n v="56.3"/>
    <n v="34.130000000000003"/>
    <d v="2025-04-23T00:00:00"/>
    <n v="20"/>
    <n v="1.3"/>
    <b v="0"/>
    <m/>
    <n v="132"/>
  </r>
  <r>
    <s v="FB001857"/>
    <x v="4"/>
    <x v="3"/>
    <x v="3"/>
    <x v="4"/>
    <x v="8"/>
    <n v="108.89"/>
    <n v="0"/>
    <n v="108.89"/>
    <d v="2025-08-06T00:00:00"/>
    <n v="50"/>
    <n v="2.9"/>
    <b v="0"/>
    <m/>
    <n v="27"/>
  </r>
  <r>
    <s v="FB001858"/>
    <x v="4"/>
    <x v="5"/>
    <x v="0"/>
    <x v="2"/>
    <x v="4"/>
    <n v="35.21"/>
    <n v="14.7"/>
    <n v="30.03"/>
    <d v="2024-12-23T00:00:00"/>
    <n v="15"/>
    <n v="3.1"/>
    <b v="1"/>
    <s v="Quality Issue"/>
    <n v="253"/>
  </r>
  <r>
    <s v="FB001859"/>
    <x v="5"/>
    <x v="6"/>
    <x v="3"/>
    <x v="4"/>
    <x v="10"/>
    <n v="129.16"/>
    <n v="34"/>
    <n v="85.25"/>
    <d v="2025-08-06T00:00:00"/>
    <n v="24"/>
    <n v="1.7"/>
    <b v="0"/>
    <m/>
    <n v="27"/>
  </r>
  <r>
    <s v="FB001860"/>
    <x v="5"/>
    <x v="5"/>
    <x v="3"/>
    <x v="3"/>
    <x v="4"/>
    <n v="142.43"/>
    <n v="0"/>
    <n v="142.43"/>
    <d v="2025-08-06T00:00:00"/>
    <n v="15"/>
    <n v="4.0999999999999996"/>
    <b v="1"/>
    <s v="Size Issue"/>
    <n v="27"/>
  </r>
  <r>
    <s v="FB001861"/>
    <x v="2"/>
    <x v="7"/>
    <x v="0"/>
    <x v="2"/>
    <x v="8"/>
    <n v="45.19"/>
    <n v="0"/>
    <n v="45.19"/>
    <d v="2025-02-28T00:00:00"/>
    <n v="38"/>
    <n v="1.6"/>
    <b v="1"/>
    <s v="Wrong Item"/>
    <n v="186"/>
  </r>
  <r>
    <s v="FB001862"/>
    <x v="4"/>
    <x v="4"/>
    <x v="2"/>
    <x v="3"/>
    <x v="9"/>
    <n v="47.66"/>
    <n v="0"/>
    <n v="47.66"/>
    <d v="2025-08-06T00:00:00"/>
    <n v="0"/>
    <n v="4.8"/>
    <b v="1"/>
    <s v="Size Issue"/>
    <n v="27"/>
  </r>
  <r>
    <s v="FB001863"/>
    <x v="4"/>
    <x v="1"/>
    <x v="3"/>
    <x v="5"/>
    <x v="7"/>
    <n v="115.05"/>
    <n v="40"/>
    <n v="69.03"/>
    <d v="2025-08-06T00:00:00"/>
    <n v="48"/>
    <n v="3.1"/>
    <b v="0"/>
    <m/>
    <n v="27"/>
  </r>
  <r>
    <s v="FB001864"/>
    <x v="4"/>
    <x v="2"/>
    <x v="3"/>
    <x v="0"/>
    <x v="10"/>
    <n v="87.84"/>
    <n v="0"/>
    <n v="87.84"/>
    <d v="2025-08-06T00:00:00"/>
    <n v="29"/>
    <n v="1.3"/>
    <b v="0"/>
    <m/>
    <n v="27"/>
  </r>
  <r>
    <s v="FB001865"/>
    <x v="5"/>
    <x v="7"/>
    <x v="2"/>
    <x v="3"/>
    <x v="5"/>
    <n v="73.42"/>
    <n v="35"/>
    <n v="47.72"/>
    <d v="2025-08-06T00:00:00"/>
    <n v="44"/>
    <n v="2.9636363636363638"/>
    <b v="0"/>
    <m/>
    <n v="27"/>
  </r>
  <r>
    <s v="FB001866"/>
    <x v="3"/>
    <x v="6"/>
    <x v="2"/>
    <x v="1"/>
    <x v="8"/>
    <n v="181.58"/>
    <n v="21.6"/>
    <n v="142.36000000000001"/>
    <d v="2025-08-06T00:00:00"/>
    <n v="14"/>
    <n v="4.7"/>
    <b v="0"/>
    <m/>
    <n v="27"/>
  </r>
  <r>
    <s v="FB001867"/>
    <x v="1"/>
    <x v="4"/>
    <x v="0"/>
    <x v="1"/>
    <x v="2"/>
    <n v="71.680000000000007"/>
    <n v="0"/>
    <n v="71.680000000000007"/>
    <d v="2025-08-05T00:00:00"/>
    <n v="0"/>
    <n v="1.5"/>
    <b v="0"/>
    <m/>
    <n v="28"/>
  </r>
  <r>
    <s v="FB001868"/>
    <x v="1"/>
    <x v="2"/>
    <x v="1"/>
    <x v="4"/>
    <x v="7"/>
    <n v="25.63"/>
    <n v="0"/>
    <n v="25.63"/>
    <d v="2025-08-06T00:00:00"/>
    <n v="27"/>
    <n v="1.2"/>
    <b v="0"/>
    <m/>
    <n v="27"/>
  </r>
  <r>
    <s v="FB001869"/>
    <x v="1"/>
    <x v="7"/>
    <x v="1"/>
    <x v="2"/>
    <x v="10"/>
    <n v="31.34"/>
    <n v="48.5"/>
    <n v="16.14"/>
    <d v="2025-08-06T00:00:00"/>
    <n v="36"/>
    <n v="1.6"/>
    <b v="1"/>
    <s v="Size Issue"/>
    <n v="27"/>
  </r>
  <r>
    <s v="FB001870"/>
    <x v="5"/>
    <x v="4"/>
    <x v="2"/>
    <x v="1"/>
    <x v="7"/>
    <n v="98.91"/>
    <n v="33.799999999999997"/>
    <n v="65.48"/>
    <d v="2025-08-06T00:00:00"/>
    <n v="33"/>
    <n v="3.1051282051282048"/>
    <b v="1"/>
    <s v="Color Mismatch"/>
    <n v="27"/>
  </r>
  <r>
    <s v="FB001871"/>
    <x v="2"/>
    <x v="0"/>
    <x v="1"/>
    <x v="2"/>
    <x v="0"/>
    <n v="43.33"/>
    <n v="7.8"/>
    <n v="39.950000000000003"/>
    <d v="2025-08-06T00:00:00"/>
    <n v="4"/>
    <n v="1.3"/>
    <b v="0"/>
    <m/>
    <n v="27"/>
  </r>
  <r>
    <s v="FB001872"/>
    <x v="3"/>
    <x v="6"/>
    <x v="3"/>
    <x v="6"/>
    <x v="2"/>
    <n v="70.709999999999994"/>
    <n v="0"/>
    <n v="70.709999999999994"/>
    <d v="2025-08-06T00:00:00"/>
    <n v="8"/>
    <n v="2.2999999999999998"/>
    <b v="0"/>
    <m/>
    <n v="27"/>
  </r>
  <r>
    <s v="FB001873"/>
    <x v="0"/>
    <x v="4"/>
    <x v="1"/>
    <x v="3"/>
    <x v="9"/>
    <n v="215.99"/>
    <n v="38.1"/>
    <n v="133.69999999999999"/>
    <d v="2025-08-06T00:00:00"/>
    <n v="14"/>
    <n v="3.9"/>
    <b v="0"/>
    <m/>
    <n v="27"/>
  </r>
  <r>
    <s v="FB001874"/>
    <x v="5"/>
    <x v="2"/>
    <x v="1"/>
    <x v="0"/>
    <x v="6"/>
    <n v="145.57"/>
    <n v="5.0999999999999996"/>
    <n v="138.15"/>
    <d v="2025-08-06T00:00:00"/>
    <n v="8"/>
    <n v="4.4000000000000004"/>
    <b v="0"/>
    <m/>
    <n v="27"/>
  </r>
  <r>
    <s v="FB001875"/>
    <x v="3"/>
    <x v="2"/>
    <x v="2"/>
    <x v="5"/>
    <x v="8"/>
    <n v="195.03"/>
    <n v="0"/>
    <n v="195.03"/>
    <d v="2025-08-06T00:00:00"/>
    <n v="44"/>
    <n v="4.4000000000000004"/>
    <b v="0"/>
    <m/>
    <n v="27"/>
  </r>
  <r>
    <s v="FB001876"/>
    <x v="4"/>
    <x v="5"/>
    <x v="1"/>
    <x v="5"/>
    <x v="2"/>
    <n v="74.88"/>
    <n v="9.6999999999999993"/>
    <n v="67.62"/>
    <d v="2025-08-06T00:00:00"/>
    <n v="23"/>
    <n v="2.6"/>
    <b v="0"/>
    <m/>
    <n v="27"/>
  </r>
  <r>
    <s v="FB001877"/>
    <x v="1"/>
    <x v="6"/>
    <x v="0"/>
    <x v="1"/>
    <x v="1"/>
    <n v="50.3"/>
    <n v="0"/>
    <n v="50.3"/>
    <d v="2024-08-18T00:00:00"/>
    <n v="23"/>
    <n v="1.3"/>
    <b v="0"/>
    <m/>
    <n v="380"/>
  </r>
  <r>
    <s v="FB001878"/>
    <x v="0"/>
    <x v="5"/>
    <x v="3"/>
    <x v="4"/>
    <x v="0"/>
    <n v="130.65"/>
    <n v="0"/>
    <n v="130.65"/>
    <d v="2025-08-06T00:00:00"/>
    <n v="20"/>
    <n v="2.6"/>
    <b v="0"/>
    <m/>
    <n v="27"/>
  </r>
  <r>
    <s v="FB001879"/>
    <x v="5"/>
    <x v="7"/>
    <x v="0"/>
    <x v="4"/>
    <x v="6"/>
    <n v="94.56"/>
    <n v="40.299999999999997"/>
    <n v="56.45"/>
    <d v="2025-06-14T00:00:00"/>
    <n v="41"/>
    <n v="4.7"/>
    <b v="0"/>
    <m/>
    <n v="80"/>
  </r>
  <r>
    <s v="FB001880"/>
    <x v="0"/>
    <x v="1"/>
    <x v="0"/>
    <x v="3"/>
    <x v="10"/>
    <n v="138.97999999999999"/>
    <n v="10.199999999999999"/>
    <n v="124.8"/>
    <d v="2025-07-22T00:00:00"/>
    <n v="36"/>
    <n v="1.4"/>
    <b v="0"/>
    <m/>
    <n v="42"/>
  </r>
  <r>
    <s v="FB001881"/>
    <x v="2"/>
    <x v="4"/>
    <x v="1"/>
    <x v="2"/>
    <x v="6"/>
    <n v="52.57"/>
    <n v="0"/>
    <n v="52.57"/>
    <d v="2025-08-06T00:00:00"/>
    <n v="50"/>
    <n v="2.5"/>
    <b v="1"/>
    <s v="Damaged"/>
    <n v="27"/>
  </r>
  <r>
    <s v="FB001882"/>
    <x v="0"/>
    <x v="4"/>
    <x v="0"/>
    <x v="2"/>
    <x v="3"/>
    <n v="151.62"/>
    <n v="0"/>
    <n v="151.62"/>
    <d v="2025-07-11T00:00:00"/>
    <n v="41"/>
    <n v="3.5"/>
    <b v="0"/>
    <m/>
    <n v="53"/>
  </r>
  <r>
    <s v="FB001883"/>
    <x v="2"/>
    <x v="1"/>
    <x v="0"/>
    <x v="2"/>
    <x v="5"/>
    <n v="26.7"/>
    <n v="0"/>
    <n v="26.7"/>
    <d v="2025-05-27T00:00:00"/>
    <n v="48"/>
    <n v="3.1"/>
    <b v="0"/>
    <m/>
    <n v="98"/>
  </r>
  <r>
    <s v="FB001884"/>
    <x v="0"/>
    <x v="5"/>
    <x v="3"/>
    <x v="3"/>
    <x v="10"/>
    <n v="147.5"/>
    <n v="0"/>
    <n v="147.5"/>
    <d v="2025-08-06T00:00:00"/>
    <n v="4"/>
    <n v="2.4"/>
    <b v="0"/>
    <m/>
    <n v="27"/>
  </r>
  <r>
    <s v="FB001885"/>
    <x v="1"/>
    <x v="3"/>
    <x v="2"/>
    <x v="3"/>
    <x v="8"/>
    <n v="66"/>
    <n v="2.7"/>
    <n v="64.22"/>
    <d v="2025-08-06T00:00:00"/>
    <n v="42"/>
    <n v="4.4000000000000004"/>
    <b v="0"/>
    <m/>
    <n v="27"/>
  </r>
  <r>
    <s v="FB001886"/>
    <x v="0"/>
    <x v="0"/>
    <x v="2"/>
    <x v="5"/>
    <x v="0"/>
    <n v="183.6"/>
    <n v="0"/>
    <n v="183.6"/>
    <d v="2025-08-06T00:00:00"/>
    <n v="10"/>
    <n v="2.7030303030303036"/>
    <b v="0"/>
    <m/>
    <n v="27"/>
  </r>
  <r>
    <s v="FB001887"/>
    <x v="3"/>
    <x v="1"/>
    <x v="3"/>
    <x v="1"/>
    <x v="5"/>
    <n v="195.83"/>
    <n v="0"/>
    <n v="195.83"/>
    <d v="2025-08-06T00:00:00"/>
    <n v="14"/>
    <n v="2.1"/>
    <b v="0"/>
    <m/>
    <n v="27"/>
  </r>
  <r>
    <s v="FB001888"/>
    <x v="4"/>
    <x v="5"/>
    <x v="1"/>
    <x v="3"/>
    <x v="7"/>
    <n v="75.53"/>
    <n v="58.1"/>
    <n v="31.65"/>
    <d v="2025-08-06T00:00:00"/>
    <n v="33"/>
    <n v="4"/>
    <b v="0"/>
    <m/>
    <n v="27"/>
  </r>
  <r>
    <s v="FB001889"/>
    <x v="1"/>
    <x v="3"/>
    <x v="0"/>
    <x v="0"/>
    <x v="7"/>
    <n v="30.78"/>
    <n v="0"/>
    <n v="30.78"/>
    <d v="2025-06-13T00:00:00"/>
    <n v="28"/>
    <n v="3.9"/>
    <b v="0"/>
    <m/>
    <n v="81"/>
  </r>
  <r>
    <s v="FB001890"/>
    <x v="3"/>
    <x v="2"/>
    <x v="1"/>
    <x v="1"/>
    <x v="3"/>
    <n v="150.96"/>
    <n v="0"/>
    <n v="150.96"/>
    <d v="2025-08-06T00:00:00"/>
    <n v="18"/>
    <n v="4.5999999999999996"/>
    <b v="0"/>
    <m/>
    <n v="27"/>
  </r>
  <r>
    <s v="FB001891"/>
    <x v="4"/>
    <x v="7"/>
    <x v="3"/>
    <x v="1"/>
    <x v="2"/>
    <n v="58.98"/>
    <n v="18.100000000000001"/>
    <n v="48.3"/>
    <d v="2025-08-06T00:00:00"/>
    <n v="23"/>
    <n v="2.8"/>
    <b v="0"/>
    <m/>
    <n v="27"/>
  </r>
  <r>
    <s v="FB001892"/>
    <x v="0"/>
    <x v="7"/>
    <x v="0"/>
    <x v="1"/>
    <x v="9"/>
    <n v="224.91"/>
    <n v="18.899999999999999"/>
    <n v="182.4"/>
    <d v="2024-09-19T00:00:00"/>
    <n v="50"/>
    <n v="2.9718749999999998"/>
    <b v="0"/>
    <m/>
    <n v="348"/>
  </r>
  <r>
    <s v="FB001893"/>
    <x v="0"/>
    <x v="2"/>
    <x v="0"/>
    <x v="0"/>
    <x v="10"/>
    <n v="155.75"/>
    <n v="0"/>
    <n v="155.75"/>
    <d v="2025-03-25T00:00:00"/>
    <n v="0"/>
    <n v="2.4"/>
    <b v="0"/>
    <m/>
    <n v="161"/>
  </r>
  <r>
    <s v="FB001894"/>
    <x v="3"/>
    <x v="4"/>
    <x v="1"/>
    <x v="0"/>
    <x v="5"/>
    <n v="194.4"/>
    <n v="16.2"/>
    <n v="162.91"/>
    <d v="2025-08-06T00:00:00"/>
    <n v="36"/>
    <n v="1.5"/>
    <b v="0"/>
    <m/>
    <n v="27"/>
  </r>
  <r>
    <s v="FB001895"/>
    <x v="3"/>
    <x v="2"/>
    <x v="2"/>
    <x v="1"/>
    <x v="0"/>
    <n v="169.77"/>
    <n v="0"/>
    <n v="169.77"/>
    <d v="2025-08-06T00:00:00"/>
    <n v="39"/>
    <n v="4.4000000000000004"/>
    <b v="0"/>
    <m/>
    <n v="27"/>
  </r>
  <r>
    <s v="FB001896"/>
    <x v="2"/>
    <x v="1"/>
    <x v="1"/>
    <x v="2"/>
    <x v="5"/>
    <n v="41.52"/>
    <n v="27.3"/>
    <n v="30.19"/>
    <d v="2025-08-06T00:00:00"/>
    <n v="48"/>
    <n v="3.4"/>
    <b v="0"/>
    <m/>
    <n v="27"/>
  </r>
  <r>
    <s v="FB001897"/>
    <x v="4"/>
    <x v="1"/>
    <x v="1"/>
    <x v="3"/>
    <x v="6"/>
    <n v="29.5"/>
    <n v="0"/>
    <n v="29.5"/>
    <d v="2025-08-06T00:00:00"/>
    <n v="36"/>
    <n v="2.6"/>
    <b v="0"/>
    <m/>
    <n v="27"/>
  </r>
  <r>
    <s v="FB001898"/>
    <x v="0"/>
    <x v="2"/>
    <x v="0"/>
    <x v="3"/>
    <x v="4"/>
    <n v="224.47"/>
    <n v="2.7"/>
    <n v="218.41"/>
    <d v="2025-01-27T00:00:00"/>
    <n v="15"/>
    <n v="3.5"/>
    <b v="0"/>
    <m/>
    <n v="218"/>
  </r>
  <r>
    <s v="FB001899"/>
    <x v="4"/>
    <x v="7"/>
    <x v="3"/>
    <x v="3"/>
    <x v="4"/>
    <n v="101.45"/>
    <n v="7.8"/>
    <n v="93.54"/>
    <d v="2025-08-06T00:00:00"/>
    <n v="4"/>
    <n v="1.1000000000000001"/>
    <b v="0"/>
    <m/>
    <n v="27"/>
  </r>
  <r>
    <s v="FB001900"/>
    <x v="3"/>
    <x v="2"/>
    <x v="0"/>
    <x v="4"/>
    <x v="0"/>
    <n v="84.65"/>
    <n v="0"/>
    <n v="84.65"/>
    <d v="2025-07-26T00:00:00"/>
    <n v="49"/>
    <n v="3.6"/>
    <b v="0"/>
    <m/>
    <n v="38"/>
  </r>
  <r>
    <s v="FB001901"/>
    <x v="0"/>
    <x v="5"/>
    <x v="3"/>
    <x v="3"/>
    <x v="7"/>
    <n v="155.85"/>
    <n v="0"/>
    <n v="155.85"/>
    <d v="2025-08-06T00:00:00"/>
    <n v="38"/>
    <n v="3.0305555555555546"/>
    <b v="0"/>
    <m/>
    <n v="27"/>
  </r>
  <r>
    <s v="FB001902"/>
    <x v="1"/>
    <x v="0"/>
    <x v="1"/>
    <x v="0"/>
    <x v="5"/>
    <n v="89.62"/>
    <n v="0"/>
    <n v="89.62"/>
    <d v="2025-08-06T00:00:00"/>
    <n v="0"/>
    <n v="4.5999999999999996"/>
    <b v="1"/>
    <s v="Color Mismatch"/>
    <n v="27"/>
  </r>
  <r>
    <s v="FB001903"/>
    <x v="1"/>
    <x v="6"/>
    <x v="3"/>
    <x v="1"/>
    <x v="6"/>
    <n v="62.79"/>
    <n v="37.700000000000003"/>
    <n v="39.119999999999997"/>
    <d v="2025-08-06T00:00:00"/>
    <n v="5"/>
    <n v="2.6"/>
    <b v="0"/>
    <m/>
    <n v="27"/>
  </r>
  <r>
    <s v="FB001904"/>
    <x v="4"/>
    <x v="6"/>
    <x v="3"/>
    <x v="0"/>
    <x v="7"/>
    <n v="84.72"/>
    <n v="24.2"/>
    <n v="64.22"/>
    <d v="2025-08-06T00:00:00"/>
    <n v="44"/>
    <n v="3.1799999999999997"/>
    <b v="1"/>
    <s v="Color Mismatch"/>
    <n v="27"/>
  </r>
  <r>
    <s v="FB001905"/>
    <x v="1"/>
    <x v="3"/>
    <x v="2"/>
    <x v="0"/>
    <x v="1"/>
    <n v="50.9"/>
    <n v="0"/>
    <n v="50.9"/>
    <d v="2025-08-06T00:00:00"/>
    <n v="1"/>
    <n v="1.8"/>
    <b v="0"/>
    <m/>
    <n v="27"/>
  </r>
  <r>
    <s v="FB001906"/>
    <x v="2"/>
    <x v="0"/>
    <x v="1"/>
    <x v="2"/>
    <x v="1"/>
    <n v="31.23"/>
    <n v="0"/>
    <n v="31.23"/>
    <d v="2025-08-06T00:00:00"/>
    <n v="25"/>
    <n v="2.8"/>
    <b v="0"/>
    <m/>
    <n v="27"/>
  </r>
  <r>
    <s v="FB001907"/>
    <x v="1"/>
    <x v="0"/>
    <x v="0"/>
    <x v="4"/>
    <x v="0"/>
    <n v="105.1"/>
    <n v="0"/>
    <n v="105.1"/>
    <d v="2024-08-28T00:00:00"/>
    <n v="39"/>
    <n v="4.4000000000000004"/>
    <b v="0"/>
    <m/>
    <n v="370"/>
  </r>
  <r>
    <s v="FB001908"/>
    <x v="5"/>
    <x v="7"/>
    <x v="3"/>
    <x v="5"/>
    <x v="10"/>
    <n v="160.38"/>
    <n v="0"/>
    <n v="160.38"/>
    <d v="2025-08-06T00:00:00"/>
    <n v="27"/>
    <n v="2.7"/>
    <b v="1"/>
    <s v="Wrong Item"/>
    <n v="27"/>
  </r>
  <r>
    <s v="FB001909"/>
    <x v="4"/>
    <x v="1"/>
    <x v="0"/>
    <x v="5"/>
    <x v="1"/>
    <n v="96.68"/>
    <n v="26"/>
    <n v="71.540000000000006"/>
    <d v="2024-09-21T00:00:00"/>
    <n v="16"/>
    <n v="3.0846153846153843"/>
    <b v="0"/>
    <m/>
    <n v="346"/>
  </r>
  <r>
    <s v="FB001910"/>
    <x v="2"/>
    <x v="7"/>
    <x v="3"/>
    <x v="2"/>
    <x v="7"/>
    <n v="16.64"/>
    <n v="0"/>
    <n v="16.64"/>
    <d v="2025-08-06T00:00:00"/>
    <n v="8"/>
    <n v="4.8"/>
    <b v="0"/>
    <m/>
    <n v="27"/>
  </r>
  <r>
    <s v="FB001911"/>
    <x v="0"/>
    <x v="5"/>
    <x v="2"/>
    <x v="3"/>
    <x v="7"/>
    <n v="160.05000000000001"/>
    <n v="53.7"/>
    <n v="74.099999999999994"/>
    <d v="2025-08-06T00:00:00"/>
    <n v="2"/>
    <n v="3.2"/>
    <b v="1"/>
    <s v="Quality Issue"/>
    <n v="27"/>
  </r>
  <r>
    <s v="FB001912"/>
    <x v="2"/>
    <x v="3"/>
    <x v="2"/>
    <x v="2"/>
    <x v="4"/>
    <n v="23.56"/>
    <n v="0"/>
    <n v="23.56"/>
    <d v="2025-08-06T00:00:00"/>
    <n v="16"/>
    <n v="4.4000000000000004"/>
    <b v="0"/>
    <m/>
    <n v="27"/>
  </r>
  <r>
    <s v="FB001913"/>
    <x v="3"/>
    <x v="0"/>
    <x v="2"/>
    <x v="5"/>
    <x v="2"/>
    <n v="68.37"/>
    <n v="24.2"/>
    <n v="51.82"/>
    <d v="2025-08-06T00:00:00"/>
    <n v="8"/>
    <n v="3.7"/>
    <b v="0"/>
    <m/>
    <n v="27"/>
  </r>
  <r>
    <s v="FB001914"/>
    <x v="0"/>
    <x v="3"/>
    <x v="2"/>
    <x v="3"/>
    <x v="6"/>
    <n v="184.24"/>
    <n v="0"/>
    <n v="184.24"/>
    <d v="2025-08-06T00:00:00"/>
    <n v="49"/>
    <n v="4"/>
    <b v="0"/>
    <m/>
    <n v="27"/>
  </r>
  <r>
    <s v="FB001915"/>
    <x v="3"/>
    <x v="2"/>
    <x v="0"/>
    <x v="5"/>
    <x v="6"/>
    <n v="94.83"/>
    <n v="0"/>
    <n v="94.83"/>
    <d v="2024-09-08T00:00:00"/>
    <n v="23"/>
    <n v="2.9"/>
    <b v="0"/>
    <m/>
    <n v="359"/>
  </r>
  <r>
    <s v="FB001916"/>
    <x v="1"/>
    <x v="5"/>
    <x v="3"/>
    <x v="6"/>
    <x v="1"/>
    <n v="115.58"/>
    <n v="0"/>
    <n v="115.58"/>
    <d v="2025-08-06T00:00:00"/>
    <n v="37"/>
    <n v="2.2000000000000002"/>
    <b v="0"/>
    <m/>
    <n v="27"/>
  </r>
  <r>
    <s v="FB001917"/>
    <x v="0"/>
    <x v="0"/>
    <x v="1"/>
    <x v="4"/>
    <x v="6"/>
    <n v="116.29"/>
    <n v="58.7"/>
    <n v="48.03"/>
    <d v="2025-08-06T00:00:00"/>
    <n v="34"/>
    <n v="3.3"/>
    <b v="0"/>
    <m/>
    <n v="27"/>
  </r>
  <r>
    <s v="FB001918"/>
    <x v="2"/>
    <x v="2"/>
    <x v="3"/>
    <x v="2"/>
    <x v="6"/>
    <n v="24.55"/>
    <n v="0"/>
    <n v="24.55"/>
    <d v="2025-08-06T00:00:00"/>
    <n v="43"/>
    <n v="2.2999999999999998"/>
    <b v="0"/>
    <m/>
    <n v="27"/>
  </r>
  <r>
    <s v="FB001919"/>
    <x v="5"/>
    <x v="0"/>
    <x v="0"/>
    <x v="2"/>
    <x v="8"/>
    <n v="81.56"/>
    <n v="0"/>
    <n v="81.56"/>
    <d v="2025-01-09T00:00:00"/>
    <n v="28"/>
    <n v="3"/>
    <b v="0"/>
    <m/>
    <n v="236"/>
  </r>
  <r>
    <s v="FB001920"/>
    <x v="0"/>
    <x v="2"/>
    <x v="0"/>
    <x v="6"/>
    <x v="3"/>
    <n v="234.63"/>
    <n v="0"/>
    <n v="234.63"/>
    <d v="2025-02-07T00:00:00"/>
    <n v="30"/>
    <n v="4.3"/>
    <b v="0"/>
    <m/>
    <n v="207"/>
  </r>
  <r>
    <s v="FB001921"/>
    <x v="2"/>
    <x v="0"/>
    <x v="2"/>
    <x v="2"/>
    <x v="3"/>
    <n v="27.6"/>
    <n v="0"/>
    <n v="27.6"/>
    <d v="2025-08-06T00:00:00"/>
    <n v="33"/>
    <n v="2.8"/>
    <b v="0"/>
    <m/>
    <n v="27"/>
  </r>
  <r>
    <s v="FB001922"/>
    <x v="1"/>
    <x v="5"/>
    <x v="2"/>
    <x v="5"/>
    <x v="4"/>
    <n v="114.76"/>
    <n v="24.3"/>
    <n v="86.87"/>
    <d v="2025-08-06T00:00:00"/>
    <n v="10"/>
    <n v="3.4"/>
    <b v="0"/>
    <m/>
    <n v="27"/>
  </r>
  <r>
    <s v="FB001923"/>
    <x v="3"/>
    <x v="0"/>
    <x v="0"/>
    <x v="3"/>
    <x v="6"/>
    <n v="133.52000000000001"/>
    <n v="0"/>
    <n v="133.52000000000001"/>
    <d v="2024-10-04T00:00:00"/>
    <n v="32"/>
    <n v="2.9153846153846157"/>
    <b v="0"/>
    <m/>
    <n v="333"/>
  </r>
  <r>
    <s v="FB001924"/>
    <x v="1"/>
    <x v="2"/>
    <x v="1"/>
    <x v="5"/>
    <x v="5"/>
    <n v="64.34"/>
    <n v="59.3"/>
    <n v="26.19"/>
    <d v="2025-08-06T00:00:00"/>
    <n v="34"/>
    <n v="1.2"/>
    <b v="0"/>
    <m/>
    <n v="27"/>
  </r>
  <r>
    <s v="FB001925"/>
    <x v="4"/>
    <x v="7"/>
    <x v="2"/>
    <x v="1"/>
    <x v="9"/>
    <n v="117.81"/>
    <n v="0"/>
    <n v="117.81"/>
    <d v="2025-08-06T00:00:00"/>
    <n v="22"/>
    <n v="4.9000000000000004"/>
    <b v="0"/>
    <m/>
    <n v="27"/>
  </r>
  <r>
    <s v="FB001926"/>
    <x v="2"/>
    <x v="5"/>
    <x v="0"/>
    <x v="2"/>
    <x v="5"/>
    <n v="29.19"/>
    <n v="0"/>
    <n v="29.19"/>
    <d v="2025-03-15T00:00:00"/>
    <n v="20"/>
    <n v="1.9"/>
    <b v="0"/>
    <m/>
    <n v="171"/>
  </r>
  <r>
    <s v="FB001927"/>
    <x v="1"/>
    <x v="1"/>
    <x v="2"/>
    <x v="6"/>
    <x v="9"/>
    <n v="34.72"/>
    <n v="0"/>
    <n v="34.72"/>
    <d v="2025-08-06T00:00:00"/>
    <n v="7"/>
    <n v="3.34"/>
    <b v="0"/>
    <m/>
    <n v="27"/>
  </r>
  <r>
    <s v="FB001928"/>
    <x v="5"/>
    <x v="6"/>
    <x v="2"/>
    <x v="0"/>
    <x v="4"/>
    <n v="107.49"/>
    <n v="0"/>
    <n v="107.49"/>
    <d v="2025-08-06T00:00:00"/>
    <n v="49"/>
    <n v="3.3"/>
    <b v="0"/>
    <m/>
    <n v="27"/>
  </r>
  <r>
    <s v="FB001929"/>
    <x v="4"/>
    <x v="1"/>
    <x v="1"/>
    <x v="4"/>
    <x v="5"/>
    <n v="38.700000000000003"/>
    <n v="0"/>
    <n v="38.700000000000003"/>
    <d v="2025-08-06T00:00:00"/>
    <n v="11"/>
    <n v="4"/>
    <b v="0"/>
    <m/>
    <n v="27"/>
  </r>
  <r>
    <s v="FB001930"/>
    <x v="0"/>
    <x v="5"/>
    <x v="0"/>
    <x v="5"/>
    <x v="10"/>
    <n v="152.63999999999999"/>
    <n v="0"/>
    <n v="152.63999999999999"/>
    <d v="2025-04-05T00:00:00"/>
    <n v="19"/>
    <n v="4.0999999999999996"/>
    <b v="0"/>
    <m/>
    <n v="150"/>
  </r>
  <r>
    <s v="FB001931"/>
    <x v="0"/>
    <x v="3"/>
    <x v="2"/>
    <x v="5"/>
    <x v="9"/>
    <n v="181.66"/>
    <n v="56.4"/>
    <n v="79.2"/>
    <d v="2025-08-06T00:00:00"/>
    <n v="43"/>
    <n v="1.2"/>
    <b v="0"/>
    <m/>
    <n v="27"/>
  </r>
  <r>
    <s v="FB001932"/>
    <x v="1"/>
    <x v="1"/>
    <x v="0"/>
    <x v="0"/>
    <x v="6"/>
    <n v="114.8"/>
    <n v="17.399999999999999"/>
    <n v="94.82"/>
    <d v="2025-05-17T00:00:00"/>
    <n v="4"/>
    <n v="1.8"/>
    <b v="0"/>
    <m/>
    <n v="108"/>
  </r>
  <r>
    <s v="FB001933"/>
    <x v="3"/>
    <x v="1"/>
    <x v="1"/>
    <x v="4"/>
    <x v="6"/>
    <n v="102.95"/>
    <n v="0"/>
    <n v="102.95"/>
    <d v="2025-08-06T00:00:00"/>
    <n v="38"/>
    <n v="3.8"/>
    <b v="0"/>
    <m/>
    <n v="27"/>
  </r>
  <r>
    <s v="FB001934"/>
    <x v="1"/>
    <x v="7"/>
    <x v="1"/>
    <x v="4"/>
    <x v="6"/>
    <n v="86.82"/>
    <n v="0"/>
    <n v="86.82"/>
    <d v="2025-08-06T00:00:00"/>
    <n v="0"/>
    <n v="4.8"/>
    <b v="0"/>
    <m/>
    <n v="27"/>
  </r>
  <r>
    <s v="FB001935"/>
    <x v="0"/>
    <x v="4"/>
    <x v="3"/>
    <x v="1"/>
    <x v="0"/>
    <n v="83.68"/>
    <n v="28.1"/>
    <n v="60.17"/>
    <d v="2025-08-06T00:00:00"/>
    <n v="46"/>
    <n v="2.9228571428571426"/>
    <b v="1"/>
    <s v="Quality Issue"/>
    <n v="27"/>
  </r>
  <r>
    <s v="FB001936"/>
    <x v="0"/>
    <x v="2"/>
    <x v="2"/>
    <x v="3"/>
    <x v="1"/>
    <n v="167.31"/>
    <n v="50.7"/>
    <n v="82.48"/>
    <d v="2025-08-06T00:00:00"/>
    <n v="9"/>
    <n v="3.2"/>
    <b v="0"/>
    <m/>
    <n v="27"/>
  </r>
  <r>
    <s v="FB001937"/>
    <x v="4"/>
    <x v="4"/>
    <x v="2"/>
    <x v="5"/>
    <x v="4"/>
    <n v="114.64"/>
    <n v="5.0999999999999996"/>
    <n v="108.79"/>
    <d v="2025-08-06T00:00:00"/>
    <n v="21"/>
    <n v="2"/>
    <b v="0"/>
    <m/>
    <n v="27"/>
  </r>
  <r>
    <s v="FB001938"/>
    <x v="0"/>
    <x v="4"/>
    <x v="0"/>
    <x v="4"/>
    <x v="3"/>
    <n v="109.53"/>
    <n v="29.3"/>
    <n v="77.44"/>
    <d v="2024-11-02T00:00:00"/>
    <n v="35"/>
    <n v="1.3"/>
    <b v="0"/>
    <m/>
    <n v="304"/>
  </r>
  <r>
    <s v="FB001939"/>
    <x v="2"/>
    <x v="5"/>
    <x v="3"/>
    <x v="2"/>
    <x v="7"/>
    <n v="51.02"/>
    <n v="57.9"/>
    <n v="21.48"/>
    <d v="2025-08-06T00:00:00"/>
    <n v="36"/>
    <n v="3.2731707317073173"/>
    <b v="0"/>
    <m/>
    <n v="27"/>
  </r>
  <r>
    <s v="FB001940"/>
    <x v="3"/>
    <x v="4"/>
    <x v="2"/>
    <x v="6"/>
    <x v="6"/>
    <n v="77.45"/>
    <n v="52.8"/>
    <n v="36.56"/>
    <d v="2025-08-06T00:00:00"/>
    <n v="6"/>
    <n v="2.7"/>
    <b v="0"/>
    <m/>
    <n v="27"/>
  </r>
  <r>
    <s v="FB001941"/>
    <x v="3"/>
    <x v="5"/>
    <x v="2"/>
    <x v="5"/>
    <x v="3"/>
    <n v="142.87"/>
    <n v="45.4"/>
    <n v="78.010000000000005"/>
    <d v="2025-08-06T00:00:00"/>
    <n v="20"/>
    <n v="1.7"/>
    <b v="0"/>
    <m/>
    <n v="27"/>
  </r>
  <r>
    <s v="FB001942"/>
    <x v="0"/>
    <x v="2"/>
    <x v="1"/>
    <x v="5"/>
    <x v="3"/>
    <n v="138.87"/>
    <n v="0"/>
    <n v="138.87"/>
    <d v="2025-08-06T00:00:00"/>
    <n v="37"/>
    <n v="3.2"/>
    <b v="0"/>
    <m/>
    <n v="27"/>
  </r>
  <r>
    <s v="FB001943"/>
    <x v="3"/>
    <x v="5"/>
    <x v="0"/>
    <x v="3"/>
    <x v="0"/>
    <n v="132.82"/>
    <n v="0"/>
    <n v="132.82"/>
    <d v="2025-03-17T00:00:00"/>
    <n v="40"/>
    <n v="3.0068965517241386"/>
    <b v="1"/>
    <s v="Changed Mind"/>
    <n v="169"/>
  </r>
  <r>
    <s v="FB001944"/>
    <x v="3"/>
    <x v="4"/>
    <x v="3"/>
    <x v="1"/>
    <x v="8"/>
    <n v="110.54"/>
    <n v="0"/>
    <n v="110.54"/>
    <d v="2025-08-06T00:00:00"/>
    <n v="24"/>
    <n v="3.3021276595744684"/>
    <b v="1"/>
    <s v="Size Issue"/>
    <n v="27"/>
  </r>
  <r>
    <s v="FB001945"/>
    <x v="4"/>
    <x v="0"/>
    <x v="3"/>
    <x v="0"/>
    <x v="7"/>
    <n v="29.07"/>
    <n v="0"/>
    <n v="29.07"/>
    <d v="2025-08-06T00:00:00"/>
    <n v="41"/>
    <n v="2.8"/>
    <b v="0"/>
    <m/>
    <n v="27"/>
  </r>
  <r>
    <s v="FB001946"/>
    <x v="0"/>
    <x v="6"/>
    <x v="3"/>
    <x v="3"/>
    <x v="8"/>
    <n v="141.91999999999999"/>
    <n v="0"/>
    <n v="141.91999999999999"/>
    <d v="2025-08-06T00:00:00"/>
    <n v="37"/>
    <n v="1.7"/>
    <b v="0"/>
    <m/>
    <n v="27"/>
  </r>
  <r>
    <s v="FB001947"/>
    <x v="3"/>
    <x v="2"/>
    <x v="3"/>
    <x v="0"/>
    <x v="0"/>
    <n v="67.84"/>
    <n v="0"/>
    <n v="67.84"/>
    <d v="2025-08-06T00:00:00"/>
    <n v="24"/>
    <n v="1.2"/>
    <b v="0"/>
    <m/>
    <n v="27"/>
  </r>
  <r>
    <s v="FB001948"/>
    <x v="3"/>
    <x v="3"/>
    <x v="1"/>
    <x v="3"/>
    <x v="10"/>
    <n v="143.27000000000001"/>
    <n v="0"/>
    <n v="143.27000000000001"/>
    <d v="2025-08-06T00:00:00"/>
    <n v="0"/>
    <n v="2.9804347826086954"/>
    <b v="0"/>
    <m/>
    <n v="27"/>
  </r>
  <r>
    <s v="FB001949"/>
    <x v="2"/>
    <x v="2"/>
    <x v="1"/>
    <x v="2"/>
    <x v="10"/>
    <n v="20.97"/>
    <n v="0"/>
    <n v="20.97"/>
    <d v="2025-08-06T00:00:00"/>
    <n v="44"/>
    <n v="4.5999999999999996"/>
    <b v="0"/>
    <m/>
    <n v="27"/>
  </r>
  <r>
    <s v="FB001950"/>
    <x v="5"/>
    <x v="0"/>
    <x v="3"/>
    <x v="0"/>
    <x v="9"/>
    <n v="105.5"/>
    <n v="59.8"/>
    <n v="42.41"/>
    <d v="2025-08-06T00:00:00"/>
    <n v="34"/>
    <n v="3.0424242424242425"/>
    <b v="0"/>
    <m/>
    <n v="27"/>
  </r>
  <r>
    <s v="FB001951"/>
    <x v="3"/>
    <x v="2"/>
    <x v="0"/>
    <x v="4"/>
    <x v="6"/>
    <n v="184.7"/>
    <n v="0"/>
    <n v="184.7"/>
    <d v="2024-09-19T00:00:00"/>
    <n v="39"/>
    <n v="2.1"/>
    <b v="1"/>
    <s v="Size Issue"/>
    <n v="348"/>
  </r>
  <r>
    <s v="FB001952"/>
    <x v="3"/>
    <x v="4"/>
    <x v="0"/>
    <x v="5"/>
    <x v="5"/>
    <n v="81.47"/>
    <n v="32"/>
    <n v="55.4"/>
    <d v="2024-09-01T00:00:00"/>
    <n v="2"/>
    <n v="1.1000000000000001"/>
    <b v="0"/>
    <m/>
    <n v="366"/>
  </r>
  <r>
    <s v="FB001953"/>
    <x v="0"/>
    <x v="2"/>
    <x v="1"/>
    <x v="1"/>
    <x v="5"/>
    <n v="107.67"/>
    <n v="20.3"/>
    <n v="85.81"/>
    <d v="2025-08-06T00:00:00"/>
    <n v="16"/>
    <n v="4.3"/>
    <b v="0"/>
    <m/>
    <n v="27"/>
  </r>
  <r>
    <s v="FB001954"/>
    <x v="1"/>
    <x v="2"/>
    <x v="3"/>
    <x v="0"/>
    <x v="9"/>
    <n v="88.64"/>
    <n v="0"/>
    <n v="88.64"/>
    <d v="2025-08-06T00:00:00"/>
    <n v="33"/>
    <n v="2.953125"/>
    <b v="0"/>
    <m/>
    <n v="27"/>
  </r>
  <r>
    <s v="FB001955"/>
    <x v="2"/>
    <x v="0"/>
    <x v="1"/>
    <x v="2"/>
    <x v="0"/>
    <n v="17.5"/>
    <n v="14.4"/>
    <n v="14.98"/>
    <d v="2025-08-06T00:00:00"/>
    <n v="16"/>
    <n v="3.1"/>
    <b v="0"/>
    <m/>
    <n v="27"/>
  </r>
  <r>
    <s v="FB001956"/>
    <x v="0"/>
    <x v="4"/>
    <x v="1"/>
    <x v="0"/>
    <x v="4"/>
    <n v="205.37"/>
    <n v="0"/>
    <n v="205.37"/>
    <d v="2025-08-06T00:00:00"/>
    <n v="25"/>
    <n v="2"/>
    <b v="1"/>
    <s v="Damaged"/>
    <n v="27"/>
  </r>
  <r>
    <s v="FB001957"/>
    <x v="5"/>
    <x v="3"/>
    <x v="1"/>
    <x v="5"/>
    <x v="7"/>
    <n v="111.66"/>
    <n v="0"/>
    <n v="111.66"/>
    <d v="2025-08-06T00:00:00"/>
    <n v="26"/>
    <n v="1.4"/>
    <b v="0"/>
    <m/>
    <n v="27"/>
  </r>
  <r>
    <s v="FB001958"/>
    <x v="3"/>
    <x v="3"/>
    <x v="3"/>
    <x v="3"/>
    <x v="1"/>
    <n v="184.87"/>
    <n v="56.4"/>
    <n v="80.599999999999994"/>
    <d v="2025-08-06T00:00:00"/>
    <n v="10"/>
    <n v="3.7"/>
    <b v="0"/>
    <m/>
    <n v="27"/>
  </r>
  <r>
    <s v="FB001959"/>
    <x v="4"/>
    <x v="0"/>
    <x v="0"/>
    <x v="1"/>
    <x v="6"/>
    <n v="84.58"/>
    <n v="0"/>
    <n v="84.58"/>
    <d v="2025-01-17T00:00:00"/>
    <n v="33"/>
    <n v="4.5"/>
    <b v="0"/>
    <m/>
    <n v="228"/>
  </r>
  <r>
    <s v="FB001960"/>
    <x v="4"/>
    <x v="7"/>
    <x v="3"/>
    <x v="4"/>
    <x v="3"/>
    <n v="66.739999999999995"/>
    <n v="0"/>
    <n v="66.739999999999995"/>
    <d v="2025-08-06T00:00:00"/>
    <n v="26"/>
    <n v="4.5999999999999996"/>
    <b v="0"/>
    <m/>
    <n v="27"/>
  </r>
  <r>
    <s v="FB001961"/>
    <x v="3"/>
    <x v="4"/>
    <x v="3"/>
    <x v="6"/>
    <x v="6"/>
    <n v="104.19"/>
    <n v="0"/>
    <n v="104.19"/>
    <d v="2025-08-06T00:00:00"/>
    <n v="4"/>
    <n v="4.7"/>
    <b v="0"/>
    <m/>
    <n v="27"/>
  </r>
  <r>
    <s v="FB001962"/>
    <x v="0"/>
    <x v="1"/>
    <x v="3"/>
    <x v="6"/>
    <x v="6"/>
    <n v="216.73"/>
    <n v="0"/>
    <n v="216.73"/>
    <d v="2025-08-06T00:00:00"/>
    <n v="5"/>
    <n v="2.7"/>
    <b v="1"/>
    <s v="Wrong Item"/>
    <n v="27"/>
  </r>
  <r>
    <s v="FB001963"/>
    <x v="5"/>
    <x v="3"/>
    <x v="3"/>
    <x v="4"/>
    <x v="7"/>
    <n v="87.82"/>
    <n v="0"/>
    <n v="87.82"/>
    <d v="2025-08-06T00:00:00"/>
    <n v="24"/>
    <n v="4.2"/>
    <b v="0"/>
    <m/>
    <n v="27"/>
  </r>
  <r>
    <s v="FB001964"/>
    <x v="3"/>
    <x v="0"/>
    <x v="3"/>
    <x v="1"/>
    <x v="6"/>
    <n v="81.59"/>
    <n v="0"/>
    <n v="81.59"/>
    <d v="2025-08-06T00:00:00"/>
    <n v="5"/>
    <n v="2.5"/>
    <b v="0"/>
    <m/>
    <n v="27"/>
  </r>
  <r>
    <s v="FB001965"/>
    <x v="0"/>
    <x v="6"/>
    <x v="3"/>
    <x v="2"/>
    <x v="5"/>
    <n v="93.14"/>
    <n v="32.799999999999997"/>
    <n v="62.59"/>
    <d v="2025-08-06T00:00:00"/>
    <n v="45"/>
    <n v="4.5"/>
    <b v="0"/>
    <m/>
    <n v="27"/>
  </r>
  <r>
    <s v="FB001966"/>
    <x v="4"/>
    <x v="6"/>
    <x v="0"/>
    <x v="5"/>
    <x v="4"/>
    <n v="96.73"/>
    <n v="0"/>
    <n v="96.73"/>
    <d v="2024-11-09T00:00:00"/>
    <n v="18"/>
    <n v="4.8"/>
    <b v="0"/>
    <m/>
    <n v="297"/>
  </r>
  <r>
    <s v="FB001967"/>
    <x v="2"/>
    <x v="7"/>
    <x v="1"/>
    <x v="2"/>
    <x v="5"/>
    <n v="19.34"/>
    <n v="0"/>
    <n v="19.34"/>
    <d v="2025-08-06T00:00:00"/>
    <n v="19"/>
    <n v="2.8636363636363633"/>
    <b v="0"/>
    <m/>
    <n v="27"/>
  </r>
  <r>
    <s v="FB001968"/>
    <x v="3"/>
    <x v="0"/>
    <x v="0"/>
    <x v="3"/>
    <x v="0"/>
    <n v="113.88"/>
    <n v="31.1"/>
    <n v="78.459999999999994"/>
    <d v="2025-06-10T00:00:00"/>
    <n v="22"/>
    <n v="3.1"/>
    <b v="0"/>
    <m/>
    <n v="84"/>
  </r>
  <r>
    <s v="FB001969"/>
    <x v="5"/>
    <x v="0"/>
    <x v="0"/>
    <x v="0"/>
    <x v="8"/>
    <n v="90.32"/>
    <n v="0"/>
    <n v="90.32"/>
    <d v="2025-03-26T00:00:00"/>
    <n v="41"/>
    <n v="2.8"/>
    <b v="0"/>
    <m/>
    <n v="160"/>
  </r>
  <r>
    <s v="FB001970"/>
    <x v="1"/>
    <x v="2"/>
    <x v="3"/>
    <x v="1"/>
    <x v="4"/>
    <n v="38.119999999999997"/>
    <n v="0"/>
    <n v="38.119999999999997"/>
    <d v="2025-08-06T00:00:00"/>
    <n v="44"/>
    <n v="2.953125"/>
    <b v="0"/>
    <m/>
    <n v="27"/>
  </r>
  <r>
    <s v="FB001971"/>
    <x v="3"/>
    <x v="2"/>
    <x v="3"/>
    <x v="3"/>
    <x v="5"/>
    <n v="175.31"/>
    <n v="0"/>
    <n v="175.31"/>
    <d v="2025-08-06T00:00:00"/>
    <n v="13"/>
    <n v="3.1936170212765949"/>
    <b v="0"/>
    <m/>
    <n v="27"/>
  </r>
  <r>
    <s v="FB001972"/>
    <x v="5"/>
    <x v="0"/>
    <x v="0"/>
    <x v="1"/>
    <x v="0"/>
    <n v="171.92"/>
    <n v="0"/>
    <n v="171.92"/>
    <d v="2025-06-08T00:00:00"/>
    <n v="12"/>
    <n v="1.3"/>
    <b v="0"/>
    <m/>
    <n v="86"/>
  </r>
  <r>
    <s v="FB001973"/>
    <x v="2"/>
    <x v="6"/>
    <x v="3"/>
    <x v="2"/>
    <x v="5"/>
    <n v="35.6"/>
    <n v="0"/>
    <n v="35.6"/>
    <d v="2025-08-06T00:00:00"/>
    <n v="24"/>
    <n v="3.1"/>
    <b v="0"/>
    <m/>
    <n v="27"/>
  </r>
  <r>
    <s v="FB001974"/>
    <x v="4"/>
    <x v="4"/>
    <x v="3"/>
    <x v="6"/>
    <x v="8"/>
    <n v="81.7"/>
    <n v="0"/>
    <n v="81.7"/>
    <d v="2025-08-06T00:00:00"/>
    <n v="33"/>
    <n v="3.0659090909090896"/>
    <b v="1"/>
    <s v="Wrong Item"/>
    <n v="27"/>
  </r>
  <r>
    <s v="FB001975"/>
    <x v="4"/>
    <x v="2"/>
    <x v="3"/>
    <x v="2"/>
    <x v="9"/>
    <n v="29.7"/>
    <n v="0"/>
    <n v="29.7"/>
    <d v="2025-08-06T00:00:00"/>
    <n v="16"/>
    <n v="2.7"/>
    <b v="0"/>
    <m/>
    <n v="27"/>
  </r>
  <r>
    <s v="FB001976"/>
    <x v="0"/>
    <x v="3"/>
    <x v="1"/>
    <x v="3"/>
    <x v="10"/>
    <n v="239.65"/>
    <n v="0"/>
    <n v="239.65"/>
    <d v="2025-08-06T00:00:00"/>
    <n v="27"/>
    <n v="2.9"/>
    <b v="0"/>
    <m/>
    <n v="27"/>
  </r>
  <r>
    <s v="FB001977"/>
    <x v="1"/>
    <x v="4"/>
    <x v="2"/>
    <x v="6"/>
    <x v="0"/>
    <n v="90.41"/>
    <n v="0"/>
    <n v="90.41"/>
    <d v="2025-08-06T00:00:00"/>
    <n v="11"/>
    <n v="2.9657142857142857"/>
    <b v="0"/>
    <m/>
    <n v="27"/>
  </r>
  <r>
    <s v="FB001978"/>
    <x v="5"/>
    <x v="5"/>
    <x v="1"/>
    <x v="0"/>
    <x v="3"/>
    <n v="81.78"/>
    <n v="10"/>
    <n v="73.599999999999994"/>
    <d v="2025-08-06T00:00:00"/>
    <n v="24"/>
    <n v="1.2"/>
    <b v="0"/>
    <m/>
    <n v="27"/>
  </r>
  <r>
    <s v="FB001979"/>
    <x v="0"/>
    <x v="7"/>
    <x v="1"/>
    <x v="1"/>
    <x v="2"/>
    <n v="142.55000000000001"/>
    <n v="0"/>
    <n v="142.55000000000001"/>
    <d v="2025-08-06T00:00:00"/>
    <n v="21"/>
    <n v="4.5"/>
    <b v="0"/>
    <m/>
    <n v="27"/>
  </r>
  <r>
    <s v="FB001980"/>
    <x v="5"/>
    <x v="6"/>
    <x v="2"/>
    <x v="3"/>
    <x v="2"/>
    <n v="53.13"/>
    <n v="0"/>
    <n v="53.13"/>
    <d v="2025-08-06T00:00:00"/>
    <n v="5"/>
    <n v="4.5999999999999996"/>
    <b v="0"/>
    <m/>
    <n v="27"/>
  </r>
  <r>
    <s v="FB001981"/>
    <x v="4"/>
    <x v="7"/>
    <x v="3"/>
    <x v="1"/>
    <x v="8"/>
    <n v="80.81"/>
    <n v="0"/>
    <n v="80.81"/>
    <d v="2025-08-06T00:00:00"/>
    <n v="15"/>
    <n v="4.5999999999999996"/>
    <b v="0"/>
    <m/>
    <n v="27"/>
  </r>
  <r>
    <s v="FB001982"/>
    <x v="1"/>
    <x v="1"/>
    <x v="2"/>
    <x v="6"/>
    <x v="8"/>
    <n v="89.39"/>
    <n v="0"/>
    <n v="89.39"/>
    <d v="2025-08-06T00:00:00"/>
    <n v="33"/>
    <n v="4.2"/>
    <b v="0"/>
    <m/>
    <n v="27"/>
  </r>
  <r>
    <s v="FB001983"/>
    <x v="4"/>
    <x v="3"/>
    <x v="3"/>
    <x v="3"/>
    <x v="5"/>
    <n v="37.9"/>
    <n v="37.9"/>
    <n v="23.54"/>
    <d v="2025-08-06T00:00:00"/>
    <n v="34"/>
    <n v="1.3"/>
    <b v="0"/>
    <m/>
    <n v="27"/>
  </r>
  <r>
    <s v="FB001984"/>
    <x v="2"/>
    <x v="3"/>
    <x v="0"/>
    <x v="2"/>
    <x v="10"/>
    <n v="44.49"/>
    <n v="0"/>
    <n v="44.49"/>
    <d v="2025-06-27T00:00:00"/>
    <n v="34"/>
    <n v="2.1"/>
    <b v="0"/>
    <m/>
    <n v="67"/>
  </r>
  <r>
    <s v="FB001985"/>
    <x v="1"/>
    <x v="3"/>
    <x v="3"/>
    <x v="1"/>
    <x v="7"/>
    <n v="111.7"/>
    <n v="0"/>
    <n v="111.7"/>
    <d v="2025-08-06T00:00:00"/>
    <n v="2"/>
    <n v="2.9742857142857138"/>
    <b v="1"/>
    <s v="Size Issue"/>
    <n v="27"/>
  </r>
  <r>
    <s v="FB001986"/>
    <x v="1"/>
    <x v="4"/>
    <x v="0"/>
    <x v="1"/>
    <x v="8"/>
    <n v="109.76"/>
    <n v="0"/>
    <n v="109.76"/>
    <d v="2025-01-12T00:00:00"/>
    <n v="23"/>
    <n v="2"/>
    <b v="1"/>
    <s v="Quality Issue"/>
    <n v="233"/>
  </r>
  <r>
    <s v="FB001987"/>
    <x v="2"/>
    <x v="1"/>
    <x v="2"/>
    <x v="2"/>
    <x v="8"/>
    <n v="33"/>
    <n v="0"/>
    <n v="33"/>
    <d v="2025-08-06T00:00:00"/>
    <n v="50"/>
    <n v="4"/>
    <b v="0"/>
    <m/>
    <n v="27"/>
  </r>
  <r>
    <s v="FB001988"/>
    <x v="3"/>
    <x v="5"/>
    <x v="1"/>
    <x v="6"/>
    <x v="6"/>
    <n v="150.65"/>
    <n v="8.9"/>
    <n v="137.24"/>
    <d v="2025-08-06T00:00:00"/>
    <n v="43"/>
    <n v="3.4"/>
    <b v="0"/>
    <m/>
    <n v="27"/>
  </r>
  <r>
    <s v="FB001989"/>
    <x v="4"/>
    <x v="0"/>
    <x v="2"/>
    <x v="3"/>
    <x v="6"/>
    <n v="66.34"/>
    <n v="19"/>
    <n v="53.74"/>
    <d v="2025-08-06T00:00:00"/>
    <n v="42"/>
    <n v="1.9"/>
    <b v="0"/>
    <m/>
    <n v="27"/>
  </r>
  <r>
    <s v="FB001990"/>
    <x v="4"/>
    <x v="6"/>
    <x v="0"/>
    <x v="6"/>
    <x v="1"/>
    <n v="27.89"/>
    <n v="17.399999999999999"/>
    <n v="23.04"/>
    <d v="2024-09-06T00:00:00"/>
    <n v="43"/>
    <n v="2.1"/>
    <b v="0"/>
    <m/>
    <n v="361"/>
  </r>
  <r>
    <s v="FB001991"/>
    <x v="2"/>
    <x v="1"/>
    <x v="3"/>
    <x v="2"/>
    <x v="4"/>
    <n v="60.18"/>
    <n v="0"/>
    <n v="60.18"/>
    <d v="2025-08-06T00:00:00"/>
    <n v="36"/>
    <n v="1.4"/>
    <b v="0"/>
    <m/>
    <n v="27"/>
  </r>
  <r>
    <s v="FB001992"/>
    <x v="1"/>
    <x v="0"/>
    <x v="2"/>
    <x v="0"/>
    <x v="0"/>
    <n v="54.26"/>
    <n v="18.399999999999999"/>
    <n v="44.28"/>
    <d v="2025-08-06T00:00:00"/>
    <n v="29"/>
    <n v="2.6"/>
    <b v="0"/>
    <m/>
    <n v="27"/>
  </r>
  <r>
    <s v="FB001993"/>
    <x v="3"/>
    <x v="1"/>
    <x v="0"/>
    <x v="3"/>
    <x v="0"/>
    <n v="78.44"/>
    <n v="0"/>
    <n v="78.44"/>
    <d v="2024-09-20T00:00:00"/>
    <n v="42"/>
    <n v="2.8205128205128198"/>
    <b v="1"/>
    <s v="Quality Issue"/>
    <n v="347"/>
  </r>
  <r>
    <s v="FB001994"/>
    <x v="0"/>
    <x v="4"/>
    <x v="2"/>
    <x v="5"/>
    <x v="2"/>
    <n v="183.05"/>
    <n v="0"/>
    <n v="183.05"/>
    <d v="2025-08-06T00:00:00"/>
    <n v="4"/>
    <n v="4.5999999999999996"/>
    <b v="0"/>
    <m/>
    <n v="27"/>
  </r>
  <r>
    <s v="FB001995"/>
    <x v="3"/>
    <x v="1"/>
    <x v="0"/>
    <x v="6"/>
    <x v="4"/>
    <n v="76.3"/>
    <n v="0"/>
    <n v="76.3"/>
    <d v="2025-07-03T00:00:00"/>
    <n v="35"/>
    <n v="2.6"/>
    <b v="0"/>
    <m/>
    <n v="61"/>
  </r>
  <r>
    <s v="FB001996"/>
    <x v="1"/>
    <x v="0"/>
    <x v="0"/>
    <x v="5"/>
    <x v="9"/>
    <n v="84.21"/>
    <n v="0"/>
    <n v="84.21"/>
    <d v="2025-01-15T00:00:00"/>
    <n v="43"/>
    <n v="3.4"/>
    <b v="0"/>
    <m/>
    <n v="230"/>
  </r>
  <r>
    <s v="FB001997"/>
    <x v="2"/>
    <x v="5"/>
    <x v="0"/>
    <x v="2"/>
    <x v="4"/>
    <n v="77.34"/>
    <n v="0"/>
    <n v="77.34"/>
    <d v="2025-01-10T00:00:00"/>
    <n v="27"/>
    <n v="3.2731707317073173"/>
    <b v="0"/>
    <m/>
    <n v="235"/>
  </r>
  <r>
    <s v="FB001998"/>
    <x v="5"/>
    <x v="0"/>
    <x v="0"/>
    <x v="3"/>
    <x v="8"/>
    <n v="122.82"/>
    <n v="45.4"/>
    <n v="67.06"/>
    <d v="2024-08-30T00:00:00"/>
    <n v="9"/>
    <n v="3.1"/>
    <b v="0"/>
    <m/>
    <n v="368"/>
  </r>
  <r>
    <s v="FB001999"/>
    <x v="5"/>
    <x v="3"/>
    <x v="1"/>
    <x v="4"/>
    <x v="5"/>
    <n v="103.85"/>
    <n v="0"/>
    <n v="103.85"/>
    <d v="2025-08-06T00:00:00"/>
    <n v="26"/>
    <n v="3.1"/>
    <b v="0"/>
    <m/>
    <n v="27"/>
  </r>
  <r>
    <s v="FB002000"/>
    <x v="4"/>
    <x v="4"/>
    <x v="2"/>
    <x v="4"/>
    <x v="0"/>
    <n v="117.73"/>
    <n v="41.3"/>
    <n v="69.11"/>
    <d v="2025-08-06T00:00:00"/>
    <n v="8"/>
    <n v="3.0659090909090896"/>
    <b v="0"/>
    <m/>
    <n v="27"/>
  </r>
  <r>
    <s v="FB002001"/>
    <x v="5"/>
    <x v="7"/>
    <x v="2"/>
    <x v="0"/>
    <x v="6"/>
    <n v="115.98"/>
    <n v="0"/>
    <n v="115.98"/>
    <d v="2025-08-06T00:00:00"/>
    <n v="42"/>
    <n v="3.7"/>
    <b v="0"/>
    <m/>
    <n v="27"/>
  </r>
  <r>
    <s v="FB002002"/>
    <x v="5"/>
    <x v="0"/>
    <x v="2"/>
    <x v="1"/>
    <x v="8"/>
    <n v="175.43"/>
    <n v="0"/>
    <n v="175.43"/>
    <d v="2025-08-06T00:00:00"/>
    <n v="3"/>
    <n v="1.8"/>
    <b v="1"/>
    <s v="Color Mismatch"/>
    <n v="27"/>
  </r>
  <r>
    <s v="FB002003"/>
    <x v="0"/>
    <x v="6"/>
    <x v="0"/>
    <x v="3"/>
    <x v="6"/>
    <n v="162.81"/>
    <n v="0"/>
    <n v="162.81"/>
    <d v="2025-01-10T00:00:00"/>
    <n v="40"/>
    <n v="2.1"/>
    <b v="0"/>
    <m/>
    <n v="235"/>
  </r>
  <r>
    <s v="FB002004"/>
    <x v="5"/>
    <x v="1"/>
    <x v="0"/>
    <x v="1"/>
    <x v="9"/>
    <n v="146.68"/>
    <n v="0"/>
    <n v="146.68"/>
    <d v="2024-08-07T00:00:00"/>
    <n v="8"/>
    <n v="3.1666666666666665"/>
    <b v="0"/>
    <m/>
    <n v="391"/>
  </r>
  <r>
    <s v="FB002005"/>
    <x v="5"/>
    <x v="4"/>
    <x v="2"/>
    <x v="1"/>
    <x v="1"/>
    <n v="82.9"/>
    <n v="42.2"/>
    <n v="47.92"/>
    <d v="2025-08-06T00:00:00"/>
    <n v="4"/>
    <n v="2.1"/>
    <b v="0"/>
    <m/>
    <n v="27"/>
  </r>
  <r>
    <s v="FB002006"/>
    <x v="1"/>
    <x v="0"/>
    <x v="2"/>
    <x v="5"/>
    <x v="3"/>
    <n v="92.9"/>
    <n v="0"/>
    <n v="92.9"/>
    <d v="2025-08-06T00:00:00"/>
    <n v="30"/>
    <n v="2.9181818181818175"/>
    <b v="0"/>
    <m/>
    <n v="27"/>
  </r>
  <r>
    <s v="FB002007"/>
    <x v="5"/>
    <x v="2"/>
    <x v="1"/>
    <x v="4"/>
    <x v="5"/>
    <n v="133.88999999999999"/>
    <n v="5.7"/>
    <n v="126.26"/>
    <d v="2025-08-06T00:00:00"/>
    <n v="17"/>
    <n v="3.4"/>
    <b v="1"/>
    <s v="Size Issue"/>
    <n v="27"/>
  </r>
  <r>
    <s v="FB002008"/>
    <x v="5"/>
    <x v="5"/>
    <x v="1"/>
    <x v="4"/>
    <x v="7"/>
    <n v="89.1"/>
    <n v="0"/>
    <n v="89.1"/>
    <d v="2025-08-06T00:00:00"/>
    <n v="8"/>
    <n v="2.2000000000000002"/>
    <b v="0"/>
    <m/>
    <n v="27"/>
  </r>
  <r>
    <s v="FB002009"/>
    <x v="0"/>
    <x v="2"/>
    <x v="1"/>
    <x v="0"/>
    <x v="7"/>
    <n v="175.62"/>
    <n v="3.2"/>
    <n v="170"/>
    <d v="2025-08-06T00:00:00"/>
    <n v="46"/>
    <n v="3.0177777777777774"/>
    <b v="0"/>
    <m/>
    <n v="27"/>
  </r>
  <r>
    <s v="FB002010"/>
    <x v="5"/>
    <x v="4"/>
    <x v="3"/>
    <x v="1"/>
    <x v="2"/>
    <n v="154.02000000000001"/>
    <n v="0"/>
    <n v="154.02000000000001"/>
    <d v="2025-08-06T00:00:00"/>
    <n v="21"/>
    <n v="3.3"/>
    <b v="0"/>
    <m/>
    <n v="27"/>
  </r>
  <r>
    <s v="FB002011"/>
    <x v="0"/>
    <x v="0"/>
    <x v="2"/>
    <x v="3"/>
    <x v="7"/>
    <n v="215.1"/>
    <n v="0"/>
    <n v="215.1"/>
    <d v="2025-08-06T00:00:00"/>
    <n v="16"/>
    <n v="2.5"/>
    <b v="0"/>
    <m/>
    <n v="27"/>
  </r>
  <r>
    <s v="FB002012"/>
    <x v="1"/>
    <x v="5"/>
    <x v="2"/>
    <x v="6"/>
    <x v="10"/>
    <n v="40.28"/>
    <n v="0"/>
    <n v="40.28"/>
    <d v="2025-08-06T00:00:00"/>
    <n v="35"/>
    <n v="3.8"/>
    <b v="0"/>
    <m/>
    <n v="27"/>
  </r>
  <r>
    <s v="FB002013"/>
    <x v="2"/>
    <x v="7"/>
    <x v="2"/>
    <x v="2"/>
    <x v="4"/>
    <n v="25.95"/>
    <n v="18.8"/>
    <n v="21.07"/>
    <d v="2025-08-06T00:00:00"/>
    <n v="1"/>
    <n v="4"/>
    <b v="0"/>
    <m/>
    <n v="27"/>
  </r>
  <r>
    <s v="FB002014"/>
    <x v="2"/>
    <x v="1"/>
    <x v="2"/>
    <x v="2"/>
    <x v="8"/>
    <n v="21.26"/>
    <n v="50.7"/>
    <n v="10.48"/>
    <d v="2025-08-06T00:00:00"/>
    <n v="39"/>
    <n v="4.3"/>
    <b v="0"/>
    <m/>
    <n v="27"/>
  </r>
  <r>
    <s v="FB002015"/>
    <x v="5"/>
    <x v="0"/>
    <x v="0"/>
    <x v="5"/>
    <x v="5"/>
    <n v="146.07"/>
    <n v="0"/>
    <n v="146.07"/>
    <d v="2025-07-09T00:00:00"/>
    <n v="33"/>
    <n v="3.7"/>
    <b v="0"/>
    <m/>
    <n v="55"/>
  </r>
  <r>
    <s v="FB002016"/>
    <x v="5"/>
    <x v="5"/>
    <x v="0"/>
    <x v="3"/>
    <x v="4"/>
    <n v="135.97"/>
    <n v="0"/>
    <n v="135.97"/>
    <d v="2024-09-10T00:00:00"/>
    <n v="30"/>
    <n v="1.1000000000000001"/>
    <b v="0"/>
    <m/>
    <n v="357"/>
  </r>
  <r>
    <s v="FB002017"/>
    <x v="3"/>
    <x v="0"/>
    <x v="0"/>
    <x v="1"/>
    <x v="6"/>
    <n v="84.88"/>
    <n v="7.4"/>
    <n v="78.599999999999994"/>
    <d v="2025-03-26T00:00:00"/>
    <n v="42"/>
    <n v="3.4"/>
    <b v="0"/>
    <m/>
    <n v="160"/>
  </r>
  <r>
    <s v="FB002018"/>
    <x v="3"/>
    <x v="4"/>
    <x v="1"/>
    <x v="5"/>
    <x v="7"/>
    <n v="159.25"/>
    <n v="5.5"/>
    <n v="150.49"/>
    <d v="2025-08-06T00:00:00"/>
    <n v="8"/>
    <n v="3.3021276595744684"/>
    <b v="0"/>
    <m/>
    <n v="27"/>
  </r>
  <r>
    <s v="FB002019"/>
    <x v="4"/>
    <x v="5"/>
    <x v="1"/>
    <x v="6"/>
    <x v="10"/>
    <n v="84.29"/>
    <n v="0"/>
    <n v="84.29"/>
    <d v="2025-08-06T00:00:00"/>
    <n v="4"/>
    <n v="2.8"/>
    <b v="0"/>
    <m/>
    <n v="27"/>
  </r>
  <r>
    <s v="FB002020"/>
    <x v="2"/>
    <x v="7"/>
    <x v="1"/>
    <x v="2"/>
    <x v="0"/>
    <n v="38.86"/>
    <n v="0"/>
    <n v="38.86"/>
    <d v="2025-08-06T00:00:00"/>
    <n v="44"/>
    <n v="2.8636363636363633"/>
    <b v="0"/>
    <m/>
    <n v="27"/>
  </r>
  <r>
    <s v="FB002021"/>
    <x v="1"/>
    <x v="2"/>
    <x v="3"/>
    <x v="6"/>
    <x v="5"/>
    <n v="38.72"/>
    <n v="0"/>
    <n v="38.72"/>
    <d v="2025-08-06T00:00:00"/>
    <n v="35"/>
    <n v="4"/>
    <b v="0"/>
    <m/>
    <n v="27"/>
  </r>
  <r>
    <s v="FB002022"/>
    <x v="5"/>
    <x v="0"/>
    <x v="1"/>
    <x v="5"/>
    <x v="2"/>
    <n v="177.1"/>
    <n v="0"/>
    <n v="177.1"/>
    <d v="2025-08-06T00:00:00"/>
    <n v="49"/>
    <n v="1.6"/>
    <b v="0"/>
    <m/>
    <n v="27"/>
  </r>
  <r>
    <s v="FB002023"/>
    <x v="4"/>
    <x v="7"/>
    <x v="0"/>
    <x v="5"/>
    <x v="4"/>
    <n v="31.49"/>
    <n v="0"/>
    <n v="31.49"/>
    <d v="2024-10-19T00:00:00"/>
    <n v="28"/>
    <n v="3.1021739130434773"/>
    <b v="0"/>
    <m/>
    <n v="318"/>
  </r>
  <r>
    <s v="FB002024"/>
    <x v="1"/>
    <x v="1"/>
    <x v="3"/>
    <x v="2"/>
    <x v="1"/>
    <n v="118.14"/>
    <n v="0"/>
    <n v="118.14"/>
    <d v="2025-08-06T00:00:00"/>
    <n v="33"/>
    <n v="2.4"/>
    <b v="0"/>
    <m/>
    <n v="27"/>
  </r>
  <r>
    <s v="FB002025"/>
    <x v="1"/>
    <x v="6"/>
    <x v="0"/>
    <x v="3"/>
    <x v="6"/>
    <n v="26.51"/>
    <n v="24"/>
    <n v="20.149999999999999"/>
    <d v="2025-05-24T00:00:00"/>
    <n v="1"/>
    <n v="4.7"/>
    <b v="0"/>
    <m/>
    <n v="101"/>
  </r>
  <r>
    <s v="FB002026"/>
    <x v="1"/>
    <x v="7"/>
    <x v="2"/>
    <x v="1"/>
    <x v="5"/>
    <n v="29.61"/>
    <n v="0"/>
    <n v="29.61"/>
    <d v="2025-08-06T00:00:00"/>
    <n v="9"/>
    <n v="1"/>
    <b v="0"/>
    <m/>
    <n v="27"/>
  </r>
  <r>
    <s v="FB002027"/>
    <x v="0"/>
    <x v="5"/>
    <x v="3"/>
    <x v="3"/>
    <x v="4"/>
    <n v="244.13"/>
    <n v="0"/>
    <n v="244.13"/>
    <d v="2025-08-06T00:00:00"/>
    <n v="2"/>
    <n v="3.5"/>
    <b v="1"/>
    <s v="Size Issue"/>
    <n v="27"/>
  </r>
  <r>
    <s v="FB002028"/>
    <x v="2"/>
    <x v="6"/>
    <x v="0"/>
    <x v="2"/>
    <x v="3"/>
    <n v="16.54"/>
    <n v="0"/>
    <n v="16.54"/>
    <d v="2025-04-26T00:00:00"/>
    <n v="30"/>
    <n v="3.2720930232558145"/>
    <b v="0"/>
    <m/>
    <n v="129"/>
  </r>
  <r>
    <s v="FB002029"/>
    <x v="1"/>
    <x v="0"/>
    <x v="2"/>
    <x v="3"/>
    <x v="3"/>
    <n v="100.98"/>
    <n v="0"/>
    <n v="100.98"/>
    <d v="2025-08-06T00:00:00"/>
    <n v="41"/>
    <n v="2.9181818181818175"/>
    <b v="0"/>
    <m/>
    <n v="27"/>
  </r>
  <r>
    <s v="FB002030"/>
    <x v="0"/>
    <x v="1"/>
    <x v="1"/>
    <x v="2"/>
    <x v="4"/>
    <n v="175.42"/>
    <n v="0"/>
    <n v="175.42"/>
    <d v="2025-08-06T00:00:00"/>
    <n v="5"/>
    <n v="3.6"/>
    <b v="0"/>
    <m/>
    <n v="27"/>
  </r>
  <r>
    <s v="FB002031"/>
    <x v="5"/>
    <x v="5"/>
    <x v="0"/>
    <x v="4"/>
    <x v="1"/>
    <n v="133.15"/>
    <n v="20.3"/>
    <n v="106.12"/>
    <d v="2025-06-03T00:00:00"/>
    <n v="9"/>
    <n v="3.2"/>
    <b v="0"/>
    <m/>
    <n v="91"/>
  </r>
  <r>
    <s v="FB002032"/>
    <x v="5"/>
    <x v="1"/>
    <x v="2"/>
    <x v="2"/>
    <x v="1"/>
    <n v="94.21"/>
    <n v="44.7"/>
    <n v="52.1"/>
    <d v="2025-08-06T00:00:00"/>
    <n v="48"/>
    <n v="4.3"/>
    <b v="0"/>
    <m/>
    <n v="27"/>
  </r>
  <r>
    <s v="FB002033"/>
    <x v="1"/>
    <x v="7"/>
    <x v="1"/>
    <x v="6"/>
    <x v="1"/>
    <n v="115.44"/>
    <n v="0"/>
    <n v="115.44"/>
    <d v="2025-08-06T00:00:00"/>
    <n v="21"/>
    <n v="1.2"/>
    <b v="0"/>
    <m/>
    <n v="27"/>
  </r>
  <r>
    <s v="FB002034"/>
    <x v="0"/>
    <x v="0"/>
    <x v="0"/>
    <x v="3"/>
    <x v="3"/>
    <n v="194.39"/>
    <n v="26.5"/>
    <n v="142.88"/>
    <d v="2025-04-15T00:00:00"/>
    <n v="12"/>
    <n v="1.2"/>
    <b v="0"/>
    <m/>
    <n v="140"/>
  </r>
  <r>
    <s v="FB002035"/>
    <x v="3"/>
    <x v="2"/>
    <x v="0"/>
    <x v="1"/>
    <x v="3"/>
    <n v="132.38999999999999"/>
    <n v="27.6"/>
    <n v="95.85"/>
    <d v="2024-10-31T00:00:00"/>
    <n v="16"/>
    <n v="3.1936170212765949"/>
    <b v="0"/>
    <m/>
    <n v="306"/>
  </r>
  <r>
    <s v="FB002036"/>
    <x v="2"/>
    <x v="1"/>
    <x v="0"/>
    <x v="2"/>
    <x v="0"/>
    <n v="52.54"/>
    <n v="14.6"/>
    <n v="44.87"/>
    <d v="2024-09-17T00:00:00"/>
    <n v="7"/>
    <n v="1.4"/>
    <b v="0"/>
    <m/>
    <n v="350"/>
  </r>
  <r>
    <s v="FB002037"/>
    <x v="5"/>
    <x v="1"/>
    <x v="0"/>
    <x v="0"/>
    <x v="2"/>
    <n v="165.01"/>
    <n v="41.2"/>
    <n v="97.03"/>
    <d v="2024-10-19T00:00:00"/>
    <n v="22"/>
    <n v="3.1666666666666665"/>
    <b v="0"/>
    <m/>
    <n v="318"/>
  </r>
  <r>
    <s v="FB002038"/>
    <x v="2"/>
    <x v="5"/>
    <x v="0"/>
    <x v="2"/>
    <x v="9"/>
    <n v="42.94"/>
    <n v="34.299999999999997"/>
    <n v="28.21"/>
    <d v="2024-12-22T00:00:00"/>
    <n v="41"/>
    <n v="3.2731707317073173"/>
    <b v="0"/>
    <m/>
    <n v="254"/>
  </r>
  <r>
    <s v="FB002039"/>
    <x v="1"/>
    <x v="1"/>
    <x v="2"/>
    <x v="0"/>
    <x v="7"/>
    <n v="72.78"/>
    <n v="0"/>
    <n v="72.78"/>
    <d v="2025-08-06T00:00:00"/>
    <n v="49"/>
    <n v="3.1"/>
    <b v="0"/>
    <m/>
    <n v="27"/>
  </r>
  <r>
    <s v="FB002040"/>
    <x v="3"/>
    <x v="1"/>
    <x v="2"/>
    <x v="3"/>
    <x v="0"/>
    <n v="189.32"/>
    <n v="0"/>
    <n v="189.32"/>
    <d v="2025-08-06T00:00:00"/>
    <n v="35"/>
    <n v="2.5"/>
    <b v="0"/>
    <m/>
    <n v="27"/>
  </r>
  <r>
    <s v="FB002041"/>
    <x v="5"/>
    <x v="5"/>
    <x v="3"/>
    <x v="0"/>
    <x v="3"/>
    <n v="157"/>
    <n v="55.7"/>
    <n v="69.55"/>
    <d v="2025-08-06T00:00:00"/>
    <n v="6"/>
    <n v="2.1"/>
    <b v="0"/>
    <m/>
    <n v="27"/>
  </r>
  <r>
    <s v="FB002042"/>
    <x v="1"/>
    <x v="6"/>
    <x v="0"/>
    <x v="3"/>
    <x v="9"/>
    <n v="28.73"/>
    <n v="26.4"/>
    <n v="21.15"/>
    <d v="2024-10-10T00:00:00"/>
    <n v="47"/>
    <n v="2.2999999999999998"/>
    <b v="1"/>
    <s v="Size Issue"/>
    <n v="327"/>
  </r>
  <r>
    <s v="FB002043"/>
    <x v="0"/>
    <x v="7"/>
    <x v="1"/>
    <x v="1"/>
    <x v="4"/>
    <n v="144.63999999999999"/>
    <n v="0"/>
    <n v="144.63999999999999"/>
    <d v="2025-08-06T00:00:00"/>
    <n v="0"/>
    <n v="4.5"/>
    <b v="0"/>
    <m/>
    <n v="27"/>
  </r>
  <r>
    <s v="FB002044"/>
    <x v="3"/>
    <x v="2"/>
    <x v="2"/>
    <x v="1"/>
    <x v="5"/>
    <n v="180.99"/>
    <n v="0"/>
    <n v="180.99"/>
    <d v="2025-08-06T00:00:00"/>
    <n v="0"/>
    <n v="4.5"/>
    <b v="0"/>
    <m/>
    <n v="27"/>
  </r>
  <r>
    <s v="FB002045"/>
    <x v="1"/>
    <x v="5"/>
    <x v="2"/>
    <x v="6"/>
    <x v="6"/>
    <n v="74.959999999999994"/>
    <n v="56.1"/>
    <n v="32.909999999999997"/>
    <d v="2025-08-06T00:00:00"/>
    <n v="16"/>
    <n v="2.9846153846153847"/>
    <b v="1"/>
    <s v="Wrong Item"/>
    <n v="27"/>
  </r>
  <r>
    <s v="FB002046"/>
    <x v="5"/>
    <x v="5"/>
    <x v="2"/>
    <x v="4"/>
    <x v="8"/>
    <n v="63.46"/>
    <n v="0"/>
    <n v="63.46"/>
    <d v="2025-08-06T00:00:00"/>
    <n v="36"/>
    <n v="1.2"/>
    <b v="0"/>
    <m/>
    <n v="27"/>
  </r>
  <r>
    <s v="FB002047"/>
    <x v="3"/>
    <x v="3"/>
    <x v="0"/>
    <x v="3"/>
    <x v="2"/>
    <n v="105.95"/>
    <n v="31.6"/>
    <n v="72.47"/>
    <d v="2025-04-01T00:00:00"/>
    <n v="38"/>
    <n v="3.5"/>
    <b v="0"/>
    <m/>
    <n v="154"/>
  </r>
  <r>
    <s v="FB002048"/>
    <x v="5"/>
    <x v="3"/>
    <x v="3"/>
    <x v="3"/>
    <x v="8"/>
    <n v="86.55"/>
    <n v="24.5"/>
    <n v="65.349999999999994"/>
    <d v="2025-08-06T00:00:00"/>
    <n v="40"/>
    <n v="3.5"/>
    <b v="0"/>
    <m/>
    <n v="27"/>
  </r>
  <r>
    <s v="FB002049"/>
    <x v="4"/>
    <x v="6"/>
    <x v="2"/>
    <x v="6"/>
    <x v="8"/>
    <n v="90.97"/>
    <n v="10.8"/>
    <n v="81.150000000000006"/>
    <d v="2025-08-06T00:00:00"/>
    <n v="33"/>
    <n v="2.2000000000000002"/>
    <b v="1"/>
    <s v="Damaged"/>
    <n v="27"/>
  </r>
  <r>
    <s v="FB002050"/>
    <x v="5"/>
    <x v="3"/>
    <x v="1"/>
    <x v="1"/>
    <x v="7"/>
    <n v="122.41"/>
    <n v="48.2"/>
    <n v="63.41"/>
    <d v="2025-08-06T00:00:00"/>
    <n v="49"/>
    <n v="4.5"/>
    <b v="0"/>
    <m/>
    <n v="27"/>
  </r>
  <r>
    <s v="FB002051"/>
    <x v="3"/>
    <x v="2"/>
    <x v="1"/>
    <x v="4"/>
    <x v="4"/>
    <n v="198.22"/>
    <n v="0"/>
    <n v="198.22"/>
    <d v="2025-08-06T00:00:00"/>
    <n v="12"/>
    <n v="3.1936170212765949"/>
    <b v="0"/>
    <m/>
    <n v="27"/>
  </r>
  <r>
    <s v="FB002052"/>
    <x v="3"/>
    <x v="0"/>
    <x v="1"/>
    <x v="6"/>
    <x v="7"/>
    <n v="129.56"/>
    <n v="20.8"/>
    <n v="102.61"/>
    <d v="2025-08-06T00:00:00"/>
    <n v="3"/>
    <n v="2.9"/>
    <b v="0"/>
    <m/>
    <n v="27"/>
  </r>
  <r>
    <s v="FB002053"/>
    <x v="2"/>
    <x v="0"/>
    <x v="3"/>
    <x v="2"/>
    <x v="1"/>
    <n v="49.31"/>
    <n v="0"/>
    <n v="49.31"/>
    <d v="2025-08-06T00:00:00"/>
    <n v="49"/>
    <n v="3.4"/>
    <b v="0"/>
    <m/>
    <n v="27"/>
  </r>
  <r>
    <s v="FB002054"/>
    <x v="0"/>
    <x v="1"/>
    <x v="3"/>
    <x v="3"/>
    <x v="1"/>
    <n v="206.94"/>
    <n v="0"/>
    <n v="206.94"/>
    <d v="2025-08-06T00:00:00"/>
    <n v="43"/>
    <n v="3.3"/>
    <b v="0"/>
    <m/>
    <n v="27"/>
  </r>
  <r>
    <s v="FB002055"/>
    <x v="2"/>
    <x v="2"/>
    <x v="3"/>
    <x v="2"/>
    <x v="2"/>
    <n v="36.93"/>
    <n v="0"/>
    <n v="36.93"/>
    <d v="2025-08-06T00:00:00"/>
    <n v="18"/>
    <n v="2.8694444444444449"/>
    <b v="0"/>
    <m/>
    <n v="27"/>
  </r>
  <r>
    <s v="FB002056"/>
    <x v="2"/>
    <x v="1"/>
    <x v="3"/>
    <x v="2"/>
    <x v="6"/>
    <n v="21.85"/>
    <n v="12"/>
    <n v="19.23"/>
    <d v="2025-08-06T00:00:00"/>
    <n v="18"/>
    <n v="4.8"/>
    <b v="0"/>
    <m/>
    <n v="27"/>
  </r>
  <r>
    <s v="FB002057"/>
    <x v="3"/>
    <x v="2"/>
    <x v="1"/>
    <x v="3"/>
    <x v="10"/>
    <n v="174.65"/>
    <n v="43.8"/>
    <n v="98.15"/>
    <d v="2025-08-06T00:00:00"/>
    <n v="28"/>
    <n v="3.3"/>
    <b v="0"/>
    <m/>
    <n v="27"/>
  </r>
  <r>
    <s v="FB002058"/>
    <x v="2"/>
    <x v="3"/>
    <x v="0"/>
    <x v="2"/>
    <x v="1"/>
    <n v="19.96"/>
    <n v="0"/>
    <n v="19.96"/>
    <d v="2025-06-19T00:00:00"/>
    <n v="16"/>
    <n v="1.4"/>
    <b v="0"/>
    <m/>
    <n v="75"/>
  </r>
  <r>
    <s v="FB002059"/>
    <x v="1"/>
    <x v="4"/>
    <x v="2"/>
    <x v="6"/>
    <x v="6"/>
    <n v="90.46"/>
    <n v="54.1"/>
    <n v="41.52"/>
    <d v="2025-08-06T00:00:00"/>
    <n v="15"/>
    <n v="2.5"/>
    <b v="0"/>
    <m/>
    <n v="27"/>
  </r>
  <r>
    <s v="FB002060"/>
    <x v="3"/>
    <x v="4"/>
    <x v="2"/>
    <x v="1"/>
    <x v="5"/>
    <n v="189.24"/>
    <n v="0"/>
    <n v="189.24"/>
    <d v="2025-08-06T00:00:00"/>
    <n v="25"/>
    <n v="3.6"/>
    <b v="1"/>
    <s v="Color Mismatch"/>
    <n v="27"/>
  </r>
  <r>
    <s v="FB002061"/>
    <x v="0"/>
    <x v="2"/>
    <x v="3"/>
    <x v="4"/>
    <x v="2"/>
    <n v="231.24"/>
    <n v="44.6"/>
    <n v="128.11000000000001"/>
    <d v="2025-08-06T00:00:00"/>
    <n v="15"/>
    <n v="3.7"/>
    <b v="0"/>
    <m/>
    <n v="27"/>
  </r>
  <r>
    <s v="FB002062"/>
    <x v="2"/>
    <x v="3"/>
    <x v="2"/>
    <x v="2"/>
    <x v="7"/>
    <n v="66.48"/>
    <n v="0"/>
    <n v="66.48"/>
    <d v="2025-08-06T00:00:00"/>
    <n v="38"/>
    <n v="1.4"/>
    <b v="0"/>
    <m/>
    <n v="27"/>
  </r>
  <r>
    <s v="FB002063"/>
    <x v="2"/>
    <x v="4"/>
    <x v="2"/>
    <x v="2"/>
    <x v="7"/>
    <n v="37.270000000000003"/>
    <n v="0"/>
    <n v="37.270000000000003"/>
    <d v="2025-08-06T00:00:00"/>
    <n v="15"/>
    <n v="3.8"/>
    <b v="0"/>
    <m/>
    <n v="27"/>
  </r>
  <r>
    <s v="FB002064"/>
    <x v="3"/>
    <x v="1"/>
    <x v="0"/>
    <x v="1"/>
    <x v="10"/>
    <n v="178.05"/>
    <n v="0"/>
    <n v="178.05"/>
    <d v="2025-03-08T00:00:00"/>
    <n v="24"/>
    <n v="2.8205128205128198"/>
    <b v="0"/>
    <m/>
    <n v="178"/>
  </r>
  <r>
    <s v="FB002065"/>
    <x v="1"/>
    <x v="7"/>
    <x v="0"/>
    <x v="5"/>
    <x v="1"/>
    <n v="73.760000000000005"/>
    <n v="0"/>
    <n v="73.760000000000005"/>
    <d v="2024-08-19T00:00:00"/>
    <n v="25"/>
    <n v="1.3"/>
    <b v="0"/>
    <m/>
    <n v="379"/>
  </r>
  <r>
    <s v="FB002066"/>
    <x v="4"/>
    <x v="0"/>
    <x v="1"/>
    <x v="0"/>
    <x v="1"/>
    <n v="36.229999999999997"/>
    <n v="0"/>
    <n v="36.229999999999997"/>
    <d v="2025-08-06T00:00:00"/>
    <n v="49"/>
    <n v="2.9210526315789478"/>
    <b v="0"/>
    <m/>
    <n v="27"/>
  </r>
  <r>
    <s v="FB002067"/>
    <x v="4"/>
    <x v="4"/>
    <x v="0"/>
    <x v="3"/>
    <x v="9"/>
    <n v="48.89"/>
    <n v="0"/>
    <n v="48.89"/>
    <d v="2024-12-10T00:00:00"/>
    <n v="9"/>
    <n v="3.1"/>
    <b v="0"/>
    <m/>
    <n v="266"/>
  </r>
  <r>
    <s v="FB002068"/>
    <x v="1"/>
    <x v="4"/>
    <x v="1"/>
    <x v="0"/>
    <x v="1"/>
    <n v="94.15"/>
    <n v="31"/>
    <n v="64.959999999999994"/>
    <d v="2025-08-06T00:00:00"/>
    <n v="25"/>
    <n v="2.9657142857142857"/>
    <b v="0"/>
    <m/>
    <n v="27"/>
  </r>
  <r>
    <s v="FB002069"/>
    <x v="2"/>
    <x v="7"/>
    <x v="3"/>
    <x v="2"/>
    <x v="10"/>
    <n v="27.7"/>
    <n v="0"/>
    <n v="27.7"/>
    <d v="2025-08-06T00:00:00"/>
    <n v="27"/>
    <n v="4.8"/>
    <b v="0"/>
    <m/>
    <n v="27"/>
  </r>
  <r>
    <s v="FB002070"/>
    <x v="3"/>
    <x v="4"/>
    <x v="0"/>
    <x v="4"/>
    <x v="4"/>
    <n v="122.55"/>
    <n v="11.2"/>
    <n v="108.82"/>
    <d v="2024-10-02T00:00:00"/>
    <n v="23"/>
    <n v="3.3021276595744684"/>
    <b v="0"/>
    <m/>
    <n v="335"/>
  </r>
  <r>
    <s v="FB002071"/>
    <x v="5"/>
    <x v="3"/>
    <x v="0"/>
    <x v="0"/>
    <x v="1"/>
    <n v="173.77"/>
    <n v="17"/>
    <n v="144.22999999999999"/>
    <d v="2024-11-20T00:00:00"/>
    <n v="5"/>
    <n v="1.9"/>
    <b v="0"/>
    <m/>
    <n v="286"/>
  </r>
  <r>
    <s v="FB002072"/>
    <x v="2"/>
    <x v="1"/>
    <x v="3"/>
    <x v="2"/>
    <x v="1"/>
    <n v="77.45"/>
    <n v="0"/>
    <n v="77.45"/>
    <d v="2025-08-06T00:00:00"/>
    <n v="0"/>
    <n v="3.1"/>
    <b v="0"/>
    <m/>
    <n v="27"/>
  </r>
  <r>
    <s v="FB002073"/>
    <x v="4"/>
    <x v="1"/>
    <x v="1"/>
    <x v="6"/>
    <x v="2"/>
    <n v="34.159999999999997"/>
    <n v="0"/>
    <n v="34.159999999999997"/>
    <d v="2025-08-06T00:00:00"/>
    <n v="37"/>
    <n v="1.3"/>
    <b v="0"/>
    <m/>
    <n v="27"/>
  </r>
  <r>
    <s v="FB002074"/>
    <x v="2"/>
    <x v="7"/>
    <x v="3"/>
    <x v="2"/>
    <x v="3"/>
    <n v="71.3"/>
    <n v="0"/>
    <n v="71.3"/>
    <d v="2025-08-06T00:00:00"/>
    <n v="21"/>
    <n v="1.6"/>
    <b v="0"/>
    <m/>
    <n v="27"/>
  </r>
  <r>
    <s v="FB002075"/>
    <x v="1"/>
    <x v="4"/>
    <x v="3"/>
    <x v="6"/>
    <x v="10"/>
    <n v="63.67"/>
    <n v="0"/>
    <n v="63.67"/>
    <d v="2025-08-06T00:00:00"/>
    <n v="18"/>
    <n v="1.6"/>
    <b v="0"/>
    <m/>
    <n v="27"/>
  </r>
  <r>
    <s v="FB002076"/>
    <x v="0"/>
    <x v="7"/>
    <x v="2"/>
    <x v="3"/>
    <x v="4"/>
    <n v="249.98"/>
    <n v="0"/>
    <n v="249.98"/>
    <d v="2025-08-06T00:00:00"/>
    <n v="46"/>
    <n v="3.6"/>
    <b v="0"/>
    <m/>
    <n v="27"/>
  </r>
  <r>
    <s v="FB002077"/>
    <x v="0"/>
    <x v="5"/>
    <x v="0"/>
    <x v="0"/>
    <x v="6"/>
    <n v="103.92"/>
    <n v="0"/>
    <n v="103.92"/>
    <d v="2024-10-24T00:00:00"/>
    <n v="5"/>
    <n v="3.0305555555555546"/>
    <b v="0"/>
    <m/>
    <n v="313"/>
  </r>
  <r>
    <s v="FB002078"/>
    <x v="3"/>
    <x v="1"/>
    <x v="3"/>
    <x v="0"/>
    <x v="2"/>
    <n v="116.76"/>
    <n v="0"/>
    <n v="116.76"/>
    <d v="2025-08-06T00:00:00"/>
    <n v="13"/>
    <n v="2.8205128205128198"/>
    <b v="0"/>
    <m/>
    <n v="27"/>
  </r>
  <r>
    <s v="FB002079"/>
    <x v="3"/>
    <x v="6"/>
    <x v="1"/>
    <x v="4"/>
    <x v="3"/>
    <n v="102.61"/>
    <n v="0"/>
    <n v="102.61"/>
    <d v="2025-08-06T00:00:00"/>
    <n v="47"/>
    <n v="3.5"/>
    <b v="0"/>
    <m/>
    <n v="27"/>
  </r>
  <r>
    <s v="FB002080"/>
    <x v="2"/>
    <x v="5"/>
    <x v="0"/>
    <x v="2"/>
    <x v="1"/>
    <n v="43.48"/>
    <n v="0"/>
    <n v="43.48"/>
    <d v="2024-08-23T00:00:00"/>
    <n v="11"/>
    <n v="4.7"/>
    <b v="0"/>
    <m/>
    <n v="375"/>
  </r>
  <r>
    <s v="FB002081"/>
    <x v="2"/>
    <x v="7"/>
    <x v="1"/>
    <x v="2"/>
    <x v="1"/>
    <n v="39.9"/>
    <n v="0"/>
    <n v="39.9"/>
    <d v="2025-08-06T00:00:00"/>
    <n v="6"/>
    <n v="2.4"/>
    <b v="1"/>
    <s v="Damaged"/>
    <n v="27"/>
  </r>
  <r>
    <s v="FB002082"/>
    <x v="4"/>
    <x v="0"/>
    <x v="0"/>
    <x v="3"/>
    <x v="1"/>
    <n v="86"/>
    <n v="36.700000000000003"/>
    <n v="54.44"/>
    <d v="2025-04-23T00:00:00"/>
    <n v="18"/>
    <n v="2.4"/>
    <b v="1"/>
    <s v="Size Issue"/>
    <n v="132"/>
  </r>
  <r>
    <s v="FB002083"/>
    <x v="3"/>
    <x v="6"/>
    <x v="3"/>
    <x v="4"/>
    <x v="5"/>
    <n v="154.47999999999999"/>
    <n v="58.5"/>
    <n v="64.11"/>
    <d v="2025-08-06T00:00:00"/>
    <n v="19"/>
    <n v="3.2"/>
    <b v="0"/>
    <m/>
    <n v="27"/>
  </r>
  <r>
    <s v="FB002084"/>
    <x v="5"/>
    <x v="6"/>
    <x v="3"/>
    <x v="3"/>
    <x v="0"/>
    <n v="141.97"/>
    <n v="35.299999999999997"/>
    <n v="91.85"/>
    <d v="2025-08-06T00:00:00"/>
    <n v="12"/>
    <n v="2.6"/>
    <b v="0"/>
    <m/>
    <n v="27"/>
  </r>
  <r>
    <s v="FB002085"/>
    <x v="0"/>
    <x v="6"/>
    <x v="0"/>
    <x v="5"/>
    <x v="0"/>
    <n v="119.36"/>
    <n v="0"/>
    <n v="119.36"/>
    <d v="2025-07-02T00:00:00"/>
    <n v="30"/>
    <n v="2.7"/>
    <b v="1"/>
    <s v="Size Issue"/>
    <n v="62"/>
  </r>
  <r>
    <s v="FB002086"/>
    <x v="2"/>
    <x v="7"/>
    <x v="3"/>
    <x v="2"/>
    <x v="8"/>
    <n v="15.71"/>
    <n v="47.6"/>
    <n v="8.23"/>
    <d v="2025-08-06T00:00:00"/>
    <n v="42"/>
    <n v="2"/>
    <b v="0"/>
    <m/>
    <n v="27"/>
  </r>
  <r>
    <s v="FB002087"/>
    <x v="3"/>
    <x v="3"/>
    <x v="1"/>
    <x v="6"/>
    <x v="2"/>
    <n v="89.12"/>
    <n v="0"/>
    <n v="89.12"/>
    <d v="2025-08-06T00:00:00"/>
    <n v="27"/>
    <n v="2.9804347826086954"/>
    <b v="1"/>
    <s v="Damaged"/>
    <n v="27"/>
  </r>
  <r>
    <s v="FB002088"/>
    <x v="4"/>
    <x v="4"/>
    <x v="2"/>
    <x v="3"/>
    <x v="5"/>
    <n v="30.43"/>
    <n v="0"/>
    <n v="30.43"/>
    <d v="2025-08-06T00:00:00"/>
    <n v="32"/>
    <n v="3.1"/>
    <b v="0"/>
    <m/>
    <n v="27"/>
  </r>
  <r>
    <s v="FB002089"/>
    <x v="5"/>
    <x v="7"/>
    <x v="1"/>
    <x v="5"/>
    <x v="1"/>
    <n v="115.4"/>
    <n v="0"/>
    <n v="115.4"/>
    <d v="2025-08-06T00:00:00"/>
    <n v="7"/>
    <n v="4.5"/>
    <b v="0"/>
    <m/>
    <n v="27"/>
  </r>
  <r>
    <s v="FB002090"/>
    <x v="0"/>
    <x v="6"/>
    <x v="1"/>
    <x v="3"/>
    <x v="0"/>
    <n v="155.19999999999999"/>
    <n v="0"/>
    <n v="155.19999999999999"/>
    <d v="2025-08-06T00:00:00"/>
    <n v="5"/>
    <n v="4.8"/>
    <b v="0"/>
    <m/>
    <n v="27"/>
  </r>
  <r>
    <s v="FB002091"/>
    <x v="4"/>
    <x v="7"/>
    <x v="2"/>
    <x v="1"/>
    <x v="4"/>
    <n v="104.83"/>
    <n v="0"/>
    <n v="104.83"/>
    <d v="2025-08-06T00:00:00"/>
    <n v="26"/>
    <n v="4"/>
    <b v="0"/>
    <m/>
    <n v="27"/>
  </r>
  <r>
    <s v="FB002092"/>
    <x v="2"/>
    <x v="6"/>
    <x v="3"/>
    <x v="2"/>
    <x v="4"/>
    <n v="41.62"/>
    <n v="0"/>
    <n v="41.62"/>
    <d v="2025-08-06T00:00:00"/>
    <n v="33"/>
    <n v="3.2720930232558145"/>
    <b v="0"/>
    <m/>
    <n v="27"/>
  </r>
  <r>
    <s v="FB002093"/>
    <x v="4"/>
    <x v="5"/>
    <x v="0"/>
    <x v="6"/>
    <x v="7"/>
    <n v="94.92"/>
    <n v="0"/>
    <n v="94.92"/>
    <d v="2024-09-29T00:00:00"/>
    <n v="20"/>
    <n v="2.2999999999999998"/>
    <b v="0"/>
    <m/>
    <n v="338"/>
  </r>
  <r>
    <s v="FB002094"/>
    <x v="4"/>
    <x v="3"/>
    <x v="2"/>
    <x v="4"/>
    <x v="0"/>
    <n v="107.92"/>
    <n v="22.2"/>
    <n v="83.96"/>
    <d v="2025-08-06T00:00:00"/>
    <n v="35"/>
    <n v="3.7"/>
    <b v="0"/>
    <m/>
    <n v="27"/>
  </r>
  <r>
    <s v="FB002095"/>
    <x v="2"/>
    <x v="7"/>
    <x v="3"/>
    <x v="2"/>
    <x v="6"/>
    <n v="45.52"/>
    <n v="0"/>
    <n v="45.52"/>
    <d v="2025-08-06T00:00:00"/>
    <n v="41"/>
    <n v="1.6"/>
    <b v="0"/>
    <m/>
    <n v="27"/>
  </r>
  <r>
    <s v="FB002096"/>
    <x v="4"/>
    <x v="6"/>
    <x v="1"/>
    <x v="6"/>
    <x v="6"/>
    <n v="112.1"/>
    <n v="30.7"/>
    <n v="77.69"/>
    <d v="2025-08-06T00:00:00"/>
    <n v="10"/>
    <n v="1"/>
    <b v="0"/>
    <m/>
    <n v="27"/>
  </r>
  <r>
    <s v="FB002097"/>
    <x v="3"/>
    <x v="1"/>
    <x v="0"/>
    <x v="1"/>
    <x v="9"/>
    <n v="103.9"/>
    <n v="0"/>
    <n v="103.9"/>
    <d v="2025-07-23T00:00:00"/>
    <n v="27"/>
    <n v="2.1"/>
    <b v="0"/>
    <m/>
    <n v="41"/>
  </r>
  <r>
    <s v="FB002098"/>
    <x v="0"/>
    <x v="2"/>
    <x v="1"/>
    <x v="1"/>
    <x v="1"/>
    <n v="168.02"/>
    <n v="0"/>
    <n v="168.02"/>
    <d v="2025-08-06T00:00:00"/>
    <n v="30"/>
    <n v="1.6"/>
    <b v="1"/>
    <s v="Size Issue"/>
    <n v="27"/>
  </r>
  <r>
    <s v="FB002099"/>
    <x v="3"/>
    <x v="3"/>
    <x v="2"/>
    <x v="6"/>
    <x v="10"/>
    <n v="80.41"/>
    <n v="0"/>
    <n v="80.41"/>
    <d v="2025-08-06T00:00:00"/>
    <n v="46"/>
    <n v="2.8"/>
    <b v="0"/>
    <m/>
    <n v="27"/>
  </r>
  <r>
    <s v="FB002100"/>
    <x v="4"/>
    <x v="7"/>
    <x v="0"/>
    <x v="0"/>
    <x v="6"/>
    <n v="102.76"/>
    <n v="0"/>
    <n v="102.76"/>
    <d v="2024-11-16T00:00:00"/>
    <n v="35"/>
    <n v="2.2000000000000002"/>
    <b v="0"/>
    <m/>
    <n v="290"/>
  </r>
  <r>
    <s v="FB002101"/>
    <x v="1"/>
    <x v="7"/>
    <x v="2"/>
    <x v="4"/>
    <x v="2"/>
    <n v="81.2"/>
    <n v="0"/>
    <n v="81.2"/>
    <d v="2025-08-06T00:00:00"/>
    <n v="27"/>
    <n v="1.7"/>
    <b v="0"/>
    <m/>
    <n v="27"/>
  </r>
  <r>
    <s v="FB002102"/>
    <x v="2"/>
    <x v="1"/>
    <x v="2"/>
    <x v="2"/>
    <x v="4"/>
    <n v="68.95"/>
    <n v="0"/>
    <n v="68.95"/>
    <d v="2025-08-06T00:00:00"/>
    <n v="47"/>
    <n v="3.6"/>
    <b v="0"/>
    <m/>
    <n v="27"/>
  </r>
  <r>
    <s v="FB002103"/>
    <x v="4"/>
    <x v="0"/>
    <x v="3"/>
    <x v="5"/>
    <x v="9"/>
    <n v="43.04"/>
    <n v="0"/>
    <n v="43.04"/>
    <d v="2025-08-06T00:00:00"/>
    <n v="26"/>
    <n v="4.8"/>
    <b v="1"/>
    <s v="Wrong Item"/>
    <n v="27"/>
  </r>
  <r>
    <s v="FB002104"/>
    <x v="1"/>
    <x v="0"/>
    <x v="0"/>
    <x v="5"/>
    <x v="7"/>
    <n v="81.819999999999993"/>
    <n v="0"/>
    <n v="81.819999999999993"/>
    <d v="2025-05-09T00:00:00"/>
    <n v="1"/>
    <n v="3.5"/>
    <b v="0"/>
    <m/>
    <n v="116"/>
  </r>
  <r>
    <s v="FB002105"/>
    <x v="2"/>
    <x v="3"/>
    <x v="3"/>
    <x v="2"/>
    <x v="5"/>
    <n v="53.7"/>
    <n v="0"/>
    <n v="53.7"/>
    <d v="2025-08-06T00:00:00"/>
    <n v="16"/>
    <n v="1.4"/>
    <b v="1"/>
    <s v="Damaged"/>
    <n v="27"/>
  </r>
  <r>
    <s v="FB002106"/>
    <x v="1"/>
    <x v="3"/>
    <x v="3"/>
    <x v="1"/>
    <x v="0"/>
    <n v="100.11"/>
    <n v="0"/>
    <n v="100.11"/>
    <d v="2025-08-06T00:00:00"/>
    <n v="41"/>
    <n v="4.7"/>
    <b v="0"/>
    <m/>
    <n v="27"/>
  </r>
  <r>
    <s v="FB002107"/>
    <x v="2"/>
    <x v="5"/>
    <x v="1"/>
    <x v="2"/>
    <x v="4"/>
    <n v="24.08"/>
    <n v="38.5"/>
    <n v="14.81"/>
    <d v="2025-08-06T00:00:00"/>
    <n v="43"/>
    <n v="4.0999999999999996"/>
    <b v="0"/>
    <m/>
    <n v="27"/>
  </r>
  <r>
    <s v="FB002108"/>
    <x v="2"/>
    <x v="5"/>
    <x v="0"/>
    <x v="2"/>
    <x v="0"/>
    <n v="74.77"/>
    <n v="0"/>
    <n v="74.77"/>
    <d v="2025-03-18T00:00:00"/>
    <n v="26"/>
    <n v="2.9"/>
    <b v="0"/>
    <m/>
    <n v="168"/>
  </r>
  <r>
    <s v="FB002109"/>
    <x v="5"/>
    <x v="4"/>
    <x v="0"/>
    <x v="0"/>
    <x v="8"/>
    <n v="105.98"/>
    <n v="0"/>
    <n v="105.98"/>
    <d v="2024-10-02T00:00:00"/>
    <n v="32"/>
    <n v="2.5"/>
    <b v="1"/>
    <s v="Size Issue"/>
    <n v="335"/>
  </r>
  <r>
    <s v="FB002110"/>
    <x v="3"/>
    <x v="0"/>
    <x v="3"/>
    <x v="1"/>
    <x v="3"/>
    <n v="81.650000000000006"/>
    <n v="7.7"/>
    <n v="75.36"/>
    <d v="2025-08-06T00:00:00"/>
    <n v="23"/>
    <n v="2.6"/>
    <b v="0"/>
    <m/>
    <n v="27"/>
  </r>
  <r>
    <s v="FB002111"/>
    <x v="3"/>
    <x v="7"/>
    <x v="2"/>
    <x v="3"/>
    <x v="2"/>
    <n v="92.66"/>
    <n v="8.3000000000000007"/>
    <n v="84.97"/>
    <d v="2025-08-06T00:00:00"/>
    <n v="5"/>
    <n v="3.3"/>
    <b v="0"/>
    <m/>
    <n v="27"/>
  </r>
  <r>
    <s v="FB002112"/>
    <x v="2"/>
    <x v="3"/>
    <x v="3"/>
    <x v="2"/>
    <x v="10"/>
    <n v="41.04"/>
    <n v="0"/>
    <n v="41.04"/>
    <d v="2025-08-06T00:00:00"/>
    <n v="43"/>
    <n v="2.5131578947368416"/>
    <b v="0"/>
    <m/>
    <n v="27"/>
  </r>
  <r>
    <s v="FB002113"/>
    <x v="0"/>
    <x v="7"/>
    <x v="2"/>
    <x v="6"/>
    <x v="1"/>
    <n v="169.98"/>
    <n v="5.8"/>
    <n v="160.12"/>
    <d v="2025-08-06T00:00:00"/>
    <n v="12"/>
    <n v="2.1"/>
    <b v="0"/>
    <m/>
    <n v="27"/>
  </r>
  <r>
    <s v="FB002114"/>
    <x v="2"/>
    <x v="3"/>
    <x v="1"/>
    <x v="2"/>
    <x v="0"/>
    <n v="66.12"/>
    <n v="51"/>
    <n v="32.4"/>
    <d v="2025-08-06T00:00:00"/>
    <n v="17"/>
    <n v="2.2000000000000002"/>
    <b v="0"/>
    <m/>
    <n v="27"/>
  </r>
  <r>
    <s v="FB002115"/>
    <x v="5"/>
    <x v="2"/>
    <x v="0"/>
    <x v="3"/>
    <x v="9"/>
    <n v="139.87"/>
    <n v="14.5"/>
    <n v="119.59"/>
    <d v="2024-09-13T00:00:00"/>
    <n v="13"/>
    <n v="1.3"/>
    <b v="0"/>
    <m/>
    <n v="354"/>
  </r>
  <r>
    <s v="FB002116"/>
    <x v="2"/>
    <x v="0"/>
    <x v="1"/>
    <x v="2"/>
    <x v="1"/>
    <n v="70.23"/>
    <n v="49.9"/>
    <n v="35.19"/>
    <d v="2025-08-06T00:00:00"/>
    <n v="0"/>
    <n v="4.5999999999999996"/>
    <b v="1"/>
    <s v="Damaged"/>
    <n v="27"/>
  </r>
  <r>
    <s v="FB002117"/>
    <x v="3"/>
    <x v="0"/>
    <x v="1"/>
    <x v="0"/>
    <x v="5"/>
    <n v="129.9"/>
    <n v="39.9"/>
    <n v="78.069999999999993"/>
    <d v="2025-08-06T00:00:00"/>
    <n v="28"/>
    <n v="1.3"/>
    <b v="0"/>
    <m/>
    <n v="27"/>
  </r>
  <r>
    <s v="FB002118"/>
    <x v="4"/>
    <x v="0"/>
    <x v="0"/>
    <x v="1"/>
    <x v="7"/>
    <n v="75.78"/>
    <n v="0"/>
    <n v="75.78"/>
    <d v="2025-01-28T00:00:00"/>
    <n v="12"/>
    <n v="3.6"/>
    <b v="0"/>
    <m/>
    <n v="217"/>
  </r>
  <r>
    <s v="FB002119"/>
    <x v="4"/>
    <x v="4"/>
    <x v="1"/>
    <x v="6"/>
    <x v="7"/>
    <n v="93.41"/>
    <n v="0"/>
    <n v="93.41"/>
    <d v="2025-08-06T00:00:00"/>
    <n v="4"/>
    <n v="3.2"/>
    <b v="1"/>
    <s v="Size Issue"/>
    <n v="27"/>
  </r>
  <r>
    <s v="FB002120"/>
    <x v="1"/>
    <x v="2"/>
    <x v="0"/>
    <x v="1"/>
    <x v="0"/>
    <n v="66.900000000000006"/>
    <n v="0"/>
    <n v="66.900000000000006"/>
    <d v="2025-05-07T00:00:00"/>
    <n v="1"/>
    <n v="2.8"/>
    <b v="0"/>
    <m/>
    <n v="118"/>
  </r>
  <r>
    <s v="FB002121"/>
    <x v="1"/>
    <x v="3"/>
    <x v="2"/>
    <x v="1"/>
    <x v="6"/>
    <n v="110.45"/>
    <n v="6.6"/>
    <n v="103.16"/>
    <d v="2025-08-06T00:00:00"/>
    <n v="6"/>
    <n v="2.9742857142857138"/>
    <b v="0"/>
    <m/>
    <n v="27"/>
  </r>
  <r>
    <s v="FB002122"/>
    <x v="4"/>
    <x v="0"/>
    <x v="2"/>
    <x v="1"/>
    <x v="4"/>
    <n v="52.73"/>
    <n v="0"/>
    <n v="52.73"/>
    <d v="2025-08-06T00:00:00"/>
    <n v="10"/>
    <n v="4.5"/>
    <b v="0"/>
    <m/>
    <n v="27"/>
  </r>
  <r>
    <s v="FB002123"/>
    <x v="0"/>
    <x v="5"/>
    <x v="2"/>
    <x v="1"/>
    <x v="5"/>
    <n v="89.13"/>
    <n v="0"/>
    <n v="89.13"/>
    <d v="2025-08-06T00:00:00"/>
    <n v="17"/>
    <n v="4.0999999999999996"/>
    <b v="0"/>
    <m/>
    <n v="27"/>
  </r>
  <r>
    <s v="FB002124"/>
    <x v="0"/>
    <x v="2"/>
    <x v="3"/>
    <x v="1"/>
    <x v="6"/>
    <n v="171.78"/>
    <n v="44.1"/>
    <n v="96.03"/>
    <d v="2025-08-06T00:00:00"/>
    <n v="25"/>
    <n v="3.0177777777777774"/>
    <b v="1"/>
    <s v="Color Mismatch"/>
    <n v="27"/>
  </r>
  <r>
    <s v="FB002125"/>
    <x v="3"/>
    <x v="6"/>
    <x v="1"/>
    <x v="6"/>
    <x v="1"/>
    <n v="129"/>
    <n v="0"/>
    <n v="129"/>
    <d v="2025-08-06T00:00:00"/>
    <n v="13"/>
    <n v="3.8"/>
    <b v="1"/>
    <s v="Changed Mind"/>
    <n v="27"/>
  </r>
  <r>
    <s v="FB002126"/>
    <x v="3"/>
    <x v="0"/>
    <x v="3"/>
    <x v="5"/>
    <x v="10"/>
    <n v="160.59"/>
    <n v="0"/>
    <n v="160.59"/>
    <d v="2025-08-06T00:00:00"/>
    <n v="8"/>
    <n v="2.9"/>
    <b v="0"/>
    <m/>
    <n v="27"/>
  </r>
  <r>
    <s v="FB002127"/>
    <x v="1"/>
    <x v="2"/>
    <x v="3"/>
    <x v="1"/>
    <x v="0"/>
    <n v="56.38"/>
    <n v="0"/>
    <n v="56.38"/>
    <d v="2025-08-06T00:00:00"/>
    <n v="9"/>
    <n v="2.953125"/>
    <b v="0"/>
    <m/>
    <n v="27"/>
  </r>
  <r>
    <s v="FB002128"/>
    <x v="0"/>
    <x v="6"/>
    <x v="1"/>
    <x v="1"/>
    <x v="6"/>
    <n v="109.2"/>
    <n v="26.6"/>
    <n v="80.150000000000006"/>
    <d v="2025-08-06T00:00:00"/>
    <n v="21"/>
    <n v="3.9"/>
    <b v="1"/>
    <s v="Quality Issue"/>
    <n v="27"/>
  </r>
  <r>
    <s v="FB002129"/>
    <x v="2"/>
    <x v="1"/>
    <x v="0"/>
    <x v="2"/>
    <x v="1"/>
    <n v="21.43"/>
    <n v="0"/>
    <n v="21.43"/>
    <d v="2025-02-03T00:00:00"/>
    <n v="38"/>
    <n v="1.9"/>
    <b v="0"/>
    <m/>
    <n v="211"/>
  </r>
  <r>
    <s v="FB002130"/>
    <x v="3"/>
    <x v="4"/>
    <x v="1"/>
    <x v="6"/>
    <x v="9"/>
    <n v="87.11"/>
    <n v="0"/>
    <n v="87.11"/>
    <d v="2025-08-06T00:00:00"/>
    <n v="36"/>
    <n v="2.2999999999999998"/>
    <b v="0"/>
    <m/>
    <n v="27"/>
  </r>
  <r>
    <s v="FB002131"/>
    <x v="2"/>
    <x v="7"/>
    <x v="2"/>
    <x v="2"/>
    <x v="8"/>
    <n v="36.29"/>
    <n v="0"/>
    <n v="36.29"/>
    <d v="2025-08-06T00:00:00"/>
    <n v="47"/>
    <n v="2.8"/>
    <b v="0"/>
    <m/>
    <n v="27"/>
  </r>
  <r>
    <s v="FB002132"/>
    <x v="5"/>
    <x v="4"/>
    <x v="0"/>
    <x v="6"/>
    <x v="6"/>
    <n v="105.59"/>
    <n v="0"/>
    <n v="105.59"/>
    <d v="2025-06-27T00:00:00"/>
    <n v="37"/>
    <n v="4.7"/>
    <b v="0"/>
    <m/>
    <n v="67"/>
  </r>
  <r>
    <s v="FB002133"/>
    <x v="5"/>
    <x v="0"/>
    <x v="2"/>
    <x v="3"/>
    <x v="2"/>
    <n v="93.5"/>
    <n v="0"/>
    <n v="93.5"/>
    <d v="2025-08-06T00:00:00"/>
    <n v="4"/>
    <n v="3.7"/>
    <b v="0"/>
    <m/>
    <n v="27"/>
  </r>
  <r>
    <s v="FB002134"/>
    <x v="2"/>
    <x v="5"/>
    <x v="1"/>
    <x v="2"/>
    <x v="2"/>
    <n v="41.72"/>
    <n v="9.5"/>
    <n v="37.76"/>
    <d v="2025-08-06T00:00:00"/>
    <n v="9"/>
    <n v="3.9"/>
    <b v="0"/>
    <m/>
    <n v="27"/>
  </r>
  <r>
    <s v="FB002135"/>
    <x v="2"/>
    <x v="3"/>
    <x v="3"/>
    <x v="2"/>
    <x v="0"/>
    <n v="74.540000000000006"/>
    <n v="58.1"/>
    <n v="31.23"/>
    <d v="2025-08-06T00:00:00"/>
    <n v="35"/>
    <n v="4.8"/>
    <b v="0"/>
    <m/>
    <n v="27"/>
  </r>
  <r>
    <s v="FB002136"/>
    <x v="5"/>
    <x v="1"/>
    <x v="0"/>
    <x v="2"/>
    <x v="5"/>
    <n v="85.49"/>
    <n v="0"/>
    <n v="85.49"/>
    <d v="2024-12-16T00:00:00"/>
    <n v="0"/>
    <n v="3.7"/>
    <b v="0"/>
    <m/>
    <n v="260"/>
  </r>
  <r>
    <s v="FB002137"/>
    <x v="5"/>
    <x v="0"/>
    <x v="3"/>
    <x v="6"/>
    <x v="6"/>
    <n v="131.05000000000001"/>
    <n v="0"/>
    <n v="131.05000000000001"/>
    <d v="2025-08-06T00:00:00"/>
    <n v="23"/>
    <n v="4.9000000000000004"/>
    <b v="0"/>
    <m/>
    <n v="27"/>
  </r>
  <r>
    <s v="FB002138"/>
    <x v="4"/>
    <x v="7"/>
    <x v="3"/>
    <x v="0"/>
    <x v="1"/>
    <n v="63.5"/>
    <n v="0"/>
    <n v="63.5"/>
    <d v="2025-08-06T00:00:00"/>
    <n v="17"/>
    <n v="2.6"/>
    <b v="0"/>
    <m/>
    <n v="27"/>
  </r>
  <r>
    <s v="FB002139"/>
    <x v="1"/>
    <x v="1"/>
    <x v="2"/>
    <x v="6"/>
    <x v="7"/>
    <n v="75.540000000000006"/>
    <n v="0"/>
    <n v="75.540000000000006"/>
    <d v="2025-08-06T00:00:00"/>
    <n v="7"/>
    <n v="3.3"/>
    <b v="0"/>
    <m/>
    <n v="27"/>
  </r>
  <r>
    <s v="FB002140"/>
    <x v="1"/>
    <x v="3"/>
    <x v="2"/>
    <x v="4"/>
    <x v="7"/>
    <n v="110.77"/>
    <n v="0"/>
    <n v="110.77"/>
    <d v="2025-08-06T00:00:00"/>
    <n v="48"/>
    <n v="2.6"/>
    <b v="0"/>
    <m/>
    <n v="27"/>
  </r>
  <r>
    <s v="FB002141"/>
    <x v="3"/>
    <x v="3"/>
    <x v="3"/>
    <x v="6"/>
    <x v="3"/>
    <n v="190.71"/>
    <n v="6.3"/>
    <n v="178.7"/>
    <d v="2025-08-06T00:00:00"/>
    <n v="1"/>
    <n v="2"/>
    <b v="0"/>
    <m/>
    <n v="27"/>
  </r>
  <r>
    <s v="FB002142"/>
    <x v="1"/>
    <x v="3"/>
    <x v="2"/>
    <x v="1"/>
    <x v="3"/>
    <n v="100.56"/>
    <n v="17.3"/>
    <n v="83.16"/>
    <d v="2025-08-06T00:00:00"/>
    <n v="21"/>
    <n v="3.6"/>
    <b v="0"/>
    <m/>
    <n v="27"/>
  </r>
  <r>
    <s v="FB002143"/>
    <x v="0"/>
    <x v="7"/>
    <x v="3"/>
    <x v="4"/>
    <x v="1"/>
    <n v="221.59"/>
    <n v="8.6"/>
    <n v="202.53"/>
    <d v="2025-08-06T00:00:00"/>
    <n v="5"/>
    <n v="2.9718749999999998"/>
    <b v="0"/>
    <m/>
    <n v="27"/>
  </r>
  <r>
    <s v="FB002144"/>
    <x v="4"/>
    <x v="6"/>
    <x v="3"/>
    <x v="1"/>
    <x v="7"/>
    <n v="55.21"/>
    <n v="0"/>
    <n v="55.21"/>
    <d v="2025-08-06T00:00:00"/>
    <n v="21"/>
    <n v="1.8"/>
    <b v="1"/>
    <s v="Wrong Item"/>
    <n v="27"/>
  </r>
  <r>
    <s v="FB002145"/>
    <x v="2"/>
    <x v="1"/>
    <x v="2"/>
    <x v="2"/>
    <x v="2"/>
    <n v="17.87"/>
    <n v="0"/>
    <n v="17.87"/>
    <d v="2025-08-06T00:00:00"/>
    <n v="47"/>
    <n v="3.1288461538461547"/>
    <b v="0"/>
    <m/>
    <n v="27"/>
  </r>
  <r>
    <s v="FB002146"/>
    <x v="4"/>
    <x v="1"/>
    <x v="3"/>
    <x v="5"/>
    <x v="1"/>
    <n v="56.57"/>
    <n v="0"/>
    <n v="56.57"/>
    <d v="2025-08-06T00:00:00"/>
    <n v="43"/>
    <n v="4.4000000000000004"/>
    <b v="1"/>
    <s v="Size Issue"/>
    <n v="27"/>
  </r>
  <r>
    <s v="FB002147"/>
    <x v="2"/>
    <x v="6"/>
    <x v="0"/>
    <x v="2"/>
    <x v="9"/>
    <n v="47.74"/>
    <n v="0"/>
    <n v="47.74"/>
    <d v="2024-12-25T00:00:00"/>
    <n v="17"/>
    <n v="2.9"/>
    <b v="0"/>
    <m/>
    <n v="251"/>
  </r>
  <r>
    <s v="FB002148"/>
    <x v="5"/>
    <x v="2"/>
    <x v="2"/>
    <x v="6"/>
    <x v="8"/>
    <n v="152.88"/>
    <n v="8.9"/>
    <n v="139.27000000000001"/>
    <d v="2025-08-06T00:00:00"/>
    <n v="19"/>
    <n v="2.2000000000000002"/>
    <b v="0"/>
    <m/>
    <n v="27"/>
  </r>
  <r>
    <s v="FB002149"/>
    <x v="0"/>
    <x v="2"/>
    <x v="1"/>
    <x v="6"/>
    <x v="7"/>
    <n v="199.61"/>
    <n v="37.700000000000003"/>
    <n v="124.36"/>
    <d v="2025-08-06T00:00:00"/>
    <n v="6"/>
    <n v="3.0177777777777774"/>
    <b v="0"/>
    <m/>
    <n v="27"/>
  </r>
  <r>
    <s v="FB002150"/>
    <x v="2"/>
    <x v="6"/>
    <x v="3"/>
    <x v="2"/>
    <x v="4"/>
    <n v="57.25"/>
    <n v="0"/>
    <n v="57.25"/>
    <d v="2025-08-06T00:00:00"/>
    <n v="22"/>
    <n v="5"/>
    <b v="0"/>
    <m/>
    <n v="27"/>
  </r>
  <r>
    <s v="FB002151"/>
    <x v="5"/>
    <x v="4"/>
    <x v="2"/>
    <x v="0"/>
    <x v="5"/>
    <n v="134.41"/>
    <n v="55.3"/>
    <n v="60.08"/>
    <d v="2025-08-06T00:00:00"/>
    <n v="12"/>
    <n v="3.2"/>
    <b v="0"/>
    <m/>
    <n v="27"/>
  </r>
  <r>
    <s v="FB002152"/>
    <x v="4"/>
    <x v="5"/>
    <x v="2"/>
    <x v="3"/>
    <x v="10"/>
    <n v="111.43"/>
    <n v="43.5"/>
    <n v="62.96"/>
    <d v="2025-08-06T00:00:00"/>
    <n v="22"/>
    <n v="4.8"/>
    <b v="0"/>
    <m/>
    <n v="27"/>
  </r>
  <r>
    <s v="FB002153"/>
    <x v="2"/>
    <x v="1"/>
    <x v="0"/>
    <x v="2"/>
    <x v="10"/>
    <n v="15.36"/>
    <n v="36.799999999999997"/>
    <n v="9.7100000000000009"/>
    <d v="2025-04-29T00:00:00"/>
    <n v="46"/>
    <n v="2.2999999999999998"/>
    <b v="0"/>
    <m/>
    <n v="126"/>
  </r>
  <r>
    <s v="FB002154"/>
    <x v="1"/>
    <x v="6"/>
    <x v="2"/>
    <x v="0"/>
    <x v="2"/>
    <n v="100.03"/>
    <n v="51.8"/>
    <n v="48.21"/>
    <d v="2025-08-06T00:00:00"/>
    <n v="43"/>
    <n v="5"/>
    <b v="0"/>
    <m/>
    <n v="27"/>
  </r>
  <r>
    <s v="FB002155"/>
    <x v="3"/>
    <x v="1"/>
    <x v="3"/>
    <x v="3"/>
    <x v="2"/>
    <n v="173.75"/>
    <n v="19.2"/>
    <n v="140.38999999999999"/>
    <d v="2025-08-06T00:00:00"/>
    <n v="38"/>
    <n v="2.8205128205128198"/>
    <b v="0"/>
    <m/>
    <n v="27"/>
  </r>
  <r>
    <s v="FB002156"/>
    <x v="4"/>
    <x v="6"/>
    <x v="1"/>
    <x v="0"/>
    <x v="6"/>
    <n v="37.979999999999997"/>
    <n v="15.2"/>
    <n v="32.21"/>
    <d v="2025-08-06T00:00:00"/>
    <n v="25"/>
    <n v="3.6"/>
    <b v="0"/>
    <m/>
    <n v="27"/>
  </r>
  <r>
    <s v="FB002157"/>
    <x v="5"/>
    <x v="7"/>
    <x v="3"/>
    <x v="6"/>
    <x v="2"/>
    <n v="154.11000000000001"/>
    <n v="0"/>
    <n v="154.11000000000001"/>
    <d v="2025-08-06T00:00:00"/>
    <n v="50"/>
    <n v="3.1"/>
    <b v="0"/>
    <m/>
    <n v="27"/>
  </r>
  <r>
    <s v="FB002158"/>
    <x v="2"/>
    <x v="5"/>
    <x v="0"/>
    <x v="2"/>
    <x v="9"/>
    <n v="69.8"/>
    <n v="46.9"/>
    <n v="37.06"/>
    <d v="2024-10-21T00:00:00"/>
    <n v="26"/>
    <n v="3.8"/>
    <b v="0"/>
    <m/>
    <n v="316"/>
  </r>
  <r>
    <s v="FB002159"/>
    <x v="5"/>
    <x v="6"/>
    <x v="1"/>
    <x v="4"/>
    <x v="4"/>
    <n v="171.16"/>
    <n v="0"/>
    <n v="171.16"/>
    <d v="2025-08-06T00:00:00"/>
    <n v="26"/>
    <n v="4.3"/>
    <b v="0"/>
    <m/>
    <n v="27"/>
  </r>
  <r>
    <s v="FB002160"/>
    <x v="0"/>
    <x v="0"/>
    <x v="3"/>
    <x v="4"/>
    <x v="3"/>
    <n v="118.57"/>
    <n v="0"/>
    <n v="118.57"/>
    <d v="2025-08-06T00:00:00"/>
    <n v="6"/>
    <n v="1.4"/>
    <b v="1"/>
    <s v="Quality Issue"/>
    <n v="27"/>
  </r>
  <r>
    <s v="FB002161"/>
    <x v="5"/>
    <x v="3"/>
    <x v="1"/>
    <x v="4"/>
    <x v="1"/>
    <n v="118.46"/>
    <n v="0"/>
    <n v="118.46"/>
    <d v="2025-08-06T00:00:00"/>
    <n v="40"/>
    <n v="2.2999999999999998"/>
    <b v="0"/>
    <m/>
    <n v="27"/>
  </r>
  <r>
    <s v="FB002162"/>
    <x v="3"/>
    <x v="0"/>
    <x v="3"/>
    <x v="1"/>
    <x v="6"/>
    <n v="122.7"/>
    <n v="0"/>
    <n v="122.7"/>
    <d v="2025-08-06T00:00:00"/>
    <n v="9"/>
    <n v="2.9153846153846157"/>
    <b v="0"/>
    <m/>
    <n v="27"/>
  </r>
  <r>
    <s v="FB002163"/>
    <x v="2"/>
    <x v="6"/>
    <x v="0"/>
    <x v="2"/>
    <x v="2"/>
    <n v="68.2"/>
    <n v="0"/>
    <n v="68.2"/>
    <d v="2025-04-05T00:00:00"/>
    <n v="2"/>
    <n v="3.8"/>
    <b v="0"/>
    <m/>
    <n v="150"/>
  </r>
  <r>
    <s v="FB002164"/>
    <x v="3"/>
    <x v="4"/>
    <x v="0"/>
    <x v="0"/>
    <x v="3"/>
    <n v="178.56"/>
    <n v="0"/>
    <n v="178.56"/>
    <d v="2025-03-16T00:00:00"/>
    <n v="46"/>
    <n v="2.6"/>
    <b v="0"/>
    <m/>
    <n v="170"/>
  </r>
  <r>
    <s v="FB002165"/>
    <x v="2"/>
    <x v="1"/>
    <x v="3"/>
    <x v="2"/>
    <x v="6"/>
    <n v="30.46"/>
    <n v="31.4"/>
    <n v="20.9"/>
    <d v="2025-08-06T00:00:00"/>
    <n v="40"/>
    <n v="2.4"/>
    <b v="0"/>
    <m/>
    <n v="27"/>
  </r>
  <r>
    <s v="FB002166"/>
    <x v="2"/>
    <x v="2"/>
    <x v="3"/>
    <x v="2"/>
    <x v="2"/>
    <n v="76.08"/>
    <n v="0"/>
    <n v="76.08"/>
    <d v="2025-08-06T00:00:00"/>
    <n v="6"/>
    <n v="4.9000000000000004"/>
    <b v="0"/>
    <m/>
    <n v="27"/>
  </r>
  <r>
    <s v="FB002167"/>
    <x v="3"/>
    <x v="2"/>
    <x v="1"/>
    <x v="6"/>
    <x v="10"/>
    <n v="116.15"/>
    <n v="16.5"/>
    <n v="96.99"/>
    <d v="2025-08-06T00:00:00"/>
    <n v="11"/>
    <n v="3"/>
    <b v="0"/>
    <m/>
    <n v="27"/>
  </r>
  <r>
    <s v="FB002168"/>
    <x v="3"/>
    <x v="4"/>
    <x v="1"/>
    <x v="5"/>
    <x v="3"/>
    <n v="98.22"/>
    <n v="0"/>
    <n v="98.22"/>
    <d v="2025-08-06T00:00:00"/>
    <n v="27"/>
    <n v="3.3"/>
    <b v="0"/>
    <m/>
    <n v="27"/>
  </r>
  <r>
    <s v="FB002169"/>
    <x v="3"/>
    <x v="5"/>
    <x v="1"/>
    <x v="2"/>
    <x v="7"/>
    <n v="66.58"/>
    <n v="0"/>
    <n v="66.58"/>
    <d v="2025-08-06T00:00:00"/>
    <n v="45"/>
    <n v="3.4"/>
    <b v="0"/>
    <m/>
    <n v="27"/>
  </r>
  <r>
    <s v="FB002170"/>
    <x v="2"/>
    <x v="1"/>
    <x v="0"/>
    <x v="2"/>
    <x v="7"/>
    <n v="69.22"/>
    <n v="0"/>
    <n v="69.22"/>
    <d v="2024-09-05T00:00:00"/>
    <n v="42"/>
    <n v="3.8"/>
    <b v="0"/>
    <m/>
    <n v="362"/>
  </r>
  <r>
    <s v="FB002171"/>
    <x v="1"/>
    <x v="1"/>
    <x v="1"/>
    <x v="0"/>
    <x v="2"/>
    <n v="85.01"/>
    <n v="0"/>
    <n v="85.01"/>
    <d v="2025-08-06T00:00:00"/>
    <n v="39"/>
    <n v="4.3"/>
    <b v="0"/>
    <m/>
    <n v="27"/>
  </r>
  <r>
    <s v="FB002172"/>
    <x v="1"/>
    <x v="3"/>
    <x v="3"/>
    <x v="0"/>
    <x v="2"/>
    <n v="31.41"/>
    <n v="0"/>
    <n v="31.41"/>
    <d v="2025-08-06T00:00:00"/>
    <n v="10"/>
    <n v="2.1"/>
    <b v="0"/>
    <m/>
    <n v="27"/>
  </r>
  <r>
    <s v="FB002173"/>
    <x v="5"/>
    <x v="2"/>
    <x v="1"/>
    <x v="1"/>
    <x v="10"/>
    <n v="50.58"/>
    <n v="0"/>
    <n v="50.58"/>
    <d v="2025-08-06T00:00:00"/>
    <n v="1"/>
    <n v="3.1"/>
    <b v="1"/>
    <s v="Changed Mind"/>
    <n v="27"/>
  </r>
  <r>
    <s v="FB002174"/>
    <x v="2"/>
    <x v="2"/>
    <x v="1"/>
    <x v="2"/>
    <x v="7"/>
    <n v="79.37"/>
    <n v="54.8"/>
    <n v="35.880000000000003"/>
    <d v="2025-08-06T00:00:00"/>
    <n v="40"/>
    <n v="2.6"/>
    <b v="0"/>
    <m/>
    <n v="27"/>
  </r>
  <r>
    <s v="FB002175"/>
    <x v="4"/>
    <x v="5"/>
    <x v="3"/>
    <x v="0"/>
    <x v="1"/>
    <n v="105.52"/>
    <n v="0"/>
    <n v="105.52"/>
    <d v="2025-08-06T00:00:00"/>
    <n v="20"/>
    <n v="4.9000000000000004"/>
    <b v="1"/>
    <s v="Size Issue"/>
    <n v="27"/>
  </r>
  <r>
    <s v="FB002176"/>
    <x v="3"/>
    <x v="5"/>
    <x v="3"/>
    <x v="4"/>
    <x v="3"/>
    <n v="154.02000000000001"/>
    <n v="0"/>
    <n v="154.02000000000001"/>
    <d v="2025-08-06T00:00:00"/>
    <n v="23"/>
    <n v="1.3"/>
    <b v="0"/>
    <m/>
    <n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E31:L41"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items count="12">
        <item x="7"/>
        <item x="2"/>
        <item x="5"/>
        <item x="10"/>
        <item x="4"/>
        <item x="6"/>
        <item x="8"/>
        <item x="1"/>
        <item x="9"/>
        <item x="0"/>
        <item x="3"/>
        <item t="default"/>
      </items>
    </pivotField>
    <pivotField showAll="0"/>
    <pivotField showAll="0"/>
    <pivotField showAll="0"/>
    <pivotField numFmtId="164"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Sum of stock_quantity" fld="10" baseField="2" baseItem="6"/>
  </dataFields>
  <formats count="1">
    <format dxfId="129">
      <pivotArea type="all" dataOnly="0" outline="0" fieldPosition="0"/>
    </format>
  </formats>
  <conditionalFormats count="1">
    <conditionalFormat priority="37">
      <pivotAreas count="1">
        <pivotArea type="data" collapsedLevelsAreSubtotals="1" fieldPosition="0">
          <references count="3">
            <reference field="4294967294" count="1" selected="0">
              <x v="0"/>
            </reference>
            <reference field="1" count="6" selected="0">
              <x v="0"/>
              <x v="1"/>
              <x v="2"/>
              <x v="3"/>
              <x v="4"/>
              <x v="5"/>
            </reference>
            <reference field="2" count="8">
              <x v="0"/>
              <x v="1"/>
              <x v="2"/>
              <x v="3"/>
              <x v="4"/>
              <x v="5"/>
              <x v="6"/>
              <x v="7"/>
            </reference>
          </references>
        </pivotArea>
      </pivotAreas>
    </conditionalFormat>
  </conditional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5" format="14" series="1">
      <pivotArea type="data" outline="0" fieldPosition="0">
        <references count="2">
          <reference field="4294967294" count="1" selected="0">
            <x v="0"/>
          </reference>
          <reference field="1" count="1" selected="0">
            <x v="2"/>
          </reference>
        </references>
      </pivotArea>
    </chartFormat>
    <chartFormat chart="5" format="15" series="1">
      <pivotArea type="data" outline="0" fieldPosition="0">
        <references count="2">
          <reference field="4294967294" count="1" selected="0">
            <x v="0"/>
          </reference>
          <reference field="1" count="1" selected="0">
            <x v="3"/>
          </reference>
        </references>
      </pivotArea>
    </chartFormat>
    <chartFormat chart="5" format="16" series="1">
      <pivotArea type="data" outline="0" fieldPosition="0">
        <references count="2">
          <reference field="4294967294" count="1" selected="0">
            <x v="0"/>
          </reference>
          <reference field="1" count="1" selected="0">
            <x v="4"/>
          </reference>
        </references>
      </pivotArea>
    </chartFormat>
    <chartFormat chart="5"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E84:Q126" firstHeaderRow="1" firstDataRow="3" firstDataCol="1"/>
  <pivotFields count="16">
    <pivotField showAll="0"/>
    <pivotField axis="axisCol" showAll="0">
      <items count="7">
        <item x="2"/>
        <item h="1" x="4"/>
        <item h="1" x="5"/>
        <item h="1" x="0"/>
        <item h="1" x="3"/>
        <item h="1" x="1"/>
        <item t="default"/>
      </items>
    </pivotField>
    <pivotField axis="axisRow" showAll="0">
      <items count="9">
        <item x="5"/>
        <item x="2"/>
        <item x="7"/>
        <item x="6"/>
        <item x="4"/>
        <item x="3"/>
        <item x="1"/>
        <item x="0"/>
        <item t="default"/>
      </items>
    </pivotField>
    <pivotField axis="axisRow" showAll="0">
      <items count="5">
        <item x="2"/>
        <item x="0"/>
        <item x="3"/>
        <item x="1"/>
        <item t="default"/>
      </items>
    </pivotField>
    <pivotField showAll="0"/>
    <pivotField axis="axisCol" showAll="0">
      <items count="12">
        <item x="7"/>
        <item x="2"/>
        <item x="5"/>
        <item x="10"/>
        <item x="4"/>
        <item x="6"/>
        <item x="8"/>
        <item x="1"/>
        <item x="9"/>
        <item x="0"/>
        <item x="3"/>
        <item t="default"/>
      </items>
    </pivotField>
    <pivotField showAll="0"/>
    <pivotField showAll="0"/>
    <pivotField showAll="0"/>
    <pivotField numFmtId="164" showAll="0"/>
    <pivotField showAll="0"/>
    <pivotField showAll="0"/>
    <pivotField showAll="0"/>
    <pivotField showAll="0"/>
    <pivotField dataField="1" showAll="0"/>
    <pivotField dragToRow="0" dragToCol="0" dragToPage="0" showAll="0" defaultSubtotal="0"/>
  </pivotFields>
  <rowFields count="2">
    <field x="2"/>
    <field x="3"/>
  </rowFields>
  <rowItems count="40">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rowItems>
  <colFields count="2">
    <field x="1"/>
    <field x="5"/>
  </colFields>
  <colItems count="12">
    <i>
      <x/>
      <x/>
    </i>
    <i r="1">
      <x v="1"/>
    </i>
    <i r="1">
      <x v="2"/>
    </i>
    <i r="1">
      <x v="3"/>
    </i>
    <i r="1">
      <x v="4"/>
    </i>
    <i r="1">
      <x v="5"/>
    </i>
    <i r="1">
      <x v="6"/>
    </i>
    <i r="1">
      <x v="7"/>
    </i>
    <i r="1">
      <x v="8"/>
    </i>
    <i r="1">
      <x v="9"/>
    </i>
    <i r="1">
      <x v="10"/>
    </i>
    <i t="default">
      <x/>
    </i>
  </colItems>
  <dataFields count="1">
    <dataField name="Min of Inventory  Age" fld="14" subtotal="min" baseField="3" baseItem="0"/>
  </dataFields>
  <formats count="1">
    <format dxfId="130">
      <pivotArea type="all" dataOnly="0" outline="0" fieldPosition="0"/>
    </format>
  </formats>
  <conditionalFormats count="8">
    <conditionalFormat priority="43">
      <pivotAreas count="1">
        <pivotArea type="data" collapsedLevelsAreSubtotals="1" fieldPosition="0">
          <references count="5">
            <reference field="4294967294" count="1" selected="0">
              <x v="0"/>
            </reference>
            <reference field="1" count="1" selected="0">
              <x v="0"/>
            </reference>
            <reference field="2" count="1" selected="0">
              <x v="7"/>
            </reference>
            <reference field="3" count="4">
              <x v="0"/>
              <x v="1"/>
              <x v="2"/>
              <x v="3"/>
            </reference>
            <reference field="5" count="10" selected="0">
              <x v="0"/>
              <x v="1"/>
              <x v="2"/>
              <x v="3"/>
              <x v="4"/>
              <x v="5"/>
              <x v="6"/>
              <x v="7"/>
              <x v="8"/>
              <x v="9"/>
            </reference>
          </references>
        </pivotArea>
      </pivotAreas>
    </conditionalFormat>
    <conditionalFormat priority="44">
      <pivotAreas count="1">
        <pivotArea type="data" collapsedLevelsAreSubtotals="1" fieldPosition="0">
          <references count="5">
            <reference field="4294967294" count="1" selected="0">
              <x v="0"/>
            </reference>
            <reference field="1" count="1" selected="0">
              <x v="0"/>
            </reference>
            <reference field="2" count="1" selected="0">
              <x v="6"/>
            </reference>
            <reference field="3" count="4">
              <x v="0"/>
              <x v="1"/>
              <x v="2"/>
              <x v="3"/>
            </reference>
            <reference field="5" count="10" selected="0">
              <x v="0"/>
              <x v="1"/>
              <x v="2"/>
              <x v="3"/>
              <x v="4"/>
              <x v="5"/>
              <x v="6"/>
              <x v="7"/>
              <x v="8"/>
              <x v="9"/>
            </reference>
          </references>
        </pivotArea>
      </pivotAreas>
    </conditionalFormat>
    <conditionalFormat priority="45">
      <pivotAreas count="1">
        <pivotArea type="data" collapsedLevelsAreSubtotals="1" fieldPosition="0">
          <references count="5">
            <reference field="4294967294" count="1" selected="0">
              <x v="0"/>
            </reference>
            <reference field="1" count="1" selected="0">
              <x v="0"/>
            </reference>
            <reference field="2" count="1" selected="0">
              <x v="5"/>
            </reference>
            <reference field="3" count="4">
              <x v="0"/>
              <x v="1"/>
              <x v="2"/>
              <x v="3"/>
            </reference>
            <reference field="5" count="10" selected="0">
              <x v="0"/>
              <x v="1"/>
              <x v="2"/>
              <x v="3"/>
              <x v="4"/>
              <x v="5"/>
              <x v="6"/>
              <x v="7"/>
              <x v="8"/>
              <x v="9"/>
            </reference>
          </references>
        </pivotArea>
      </pivotAreas>
    </conditionalFormat>
    <conditionalFormat priority="46">
      <pivotAreas count="1">
        <pivotArea type="data" collapsedLevelsAreSubtotals="1" fieldPosition="0">
          <references count="5">
            <reference field="4294967294" count="1" selected="0">
              <x v="0"/>
            </reference>
            <reference field="1" count="1" selected="0">
              <x v="0"/>
            </reference>
            <reference field="2" count="1" selected="0">
              <x v="4"/>
            </reference>
            <reference field="3" count="4">
              <x v="0"/>
              <x v="1"/>
              <x v="2"/>
              <x v="3"/>
            </reference>
            <reference field="5" count="10" selected="0">
              <x v="0"/>
              <x v="1"/>
              <x v="2"/>
              <x v="3"/>
              <x v="4"/>
              <x v="5"/>
              <x v="6"/>
              <x v="7"/>
              <x v="8"/>
              <x v="9"/>
            </reference>
          </references>
        </pivotArea>
      </pivotAreas>
    </conditionalFormat>
    <conditionalFormat priority="47">
      <pivotAreas count="1">
        <pivotArea type="data" collapsedLevelsAreSubtotals="1" fieldPosition="0">
          <references count="5">
            <reference field="4294967294" count="1" selected="0">
              <x v="0"/>
            </reference>
            <reference field="1" count="1" selected="0">
              <x v="0"/>
            </reference>
            <reference field="2" count="1" selected="0">
              <x v="3"/>
            </reference>
            <reference field="3" count="4">
              <x v="0"/>
              <x v="1"/>
              <x v="2"/>
              <x v="3"/>
            </reference>
            <reference field="5" count="10" selected="0">
              <x v="0"/>
              <x v="1"/>
              <x v="2"/>
              <x v="3"/>
              <x v="4"/>
              <x v="5"/>
              <x v="6"/>
              <x v="7"/>
              <x v="8"/>
              <x v="9"/>
            </reference>
          </references>
        </pivotArea>
      </pivotAreas>
    </conditionalFormat>
    <conditionalFormat priority="48">
      <pivotAreas count="1">
        <pivotArea type="data" collapsedLevelsAreSubtotals="1" fieldPosition="0">
          <references count="5">
            <reference field="4294967294" count="1" selected="0">
              <x v="0"/>
            </reference>
            <reference field="1" count="1" selected="0">
              <x v="0"/>
            </reference>
            <reference field="2" count="1" selected="0">
              <x v="2"/>
            </reference>
            <reference field="3" count="4">
              <x v="0"/>
              <x v="1"/>
              <x v="2"/>
              <x v="3"/>
            </reference>
            <reference field="5" count="10" selected="0">
              <x v="0"/>
              <x v="1"/>
              <x v="2"/>
              <x v="3"/>
              <x v="4"/>
              <x v="5"/>
              <x v="6"/>
              <x v="7"/>
              <x v="8"/>
              <x v="9"/>
            </reference>
          </references>
        </pivotArea>
      </pivotAreas>
    </conditionalFormat>
    <conditionalFormat priority="49">
      <pivotAreas count="1">
        <pivotArea type="data" collapsedLevelsAreSubtotals="1" fieldPosition="0">
          <references count="5">
            <reference field="4294967294" count="1" selected="0">
              <x v="0"/>
            </reference>
            <reference field="1" count="1" selected="0">
              <x v="0"/>
            </reference>
            <reference field="2" count="1" selected="0">
              <x v="1"/>
            </reference>
            <reference field="3" count="4">
              <x v="0"/>
              <x v="1"/>
              <x v="2"/>
              <x v="3"/>
            </reference>
            <reference field="5" count="11" selected="0">
              <x v="0"/>
              <x v="1"/>
              <x v="2"/>
              <x v="3"/>
              <x v="4"/>
              <x v="5"/>
              <x v="6"/>
              <x v="7"/>
              <x v="8"/>
              <x v="9"/>
              <x v="10"/>
            </reference>
          </references>
        </pivotArea>
      </pivotAreas>
    </conditionalFormat>
    <conditionalFormat priority="50">
      <pivotAreas count="1">
        <pivotArea type="data" collapsedLevelsAreSubtotals="1" fieldPosition="0">
          <references count="5">
            <reference field="4294967294" count="1" selected="0">
              <x v="0"/>
            </reference>
            <reference field="1" count="1" selected="0">
              <x v="0"/>
            </reference>
            <reference field="2" count="1" selected="0">
              <x v="0"/>
            </reference>
            <reference field="3" count="4">
              <x v="0"/>
              <x v="1"/>
              <x v="2"/>
              <x v="3"/>
            </reference>
            <reference field="5" count="11" selected="0">
              <x v="0"/>
              <x v="1"/>
              <x v="2"/>
              <x v="3"/>
              <x v="4"/>
              <x v="5"/>
              <x v="6"/>
              <x v="7"/>
              <x v="8"/>
              <x v="9"/>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E45:L55"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Sum of original value" fld="15" baseField="0" baseItem="0" numFmtId="165"/>
  </dataFields>
  <formats count="3">
    <format dxfId="133">
      <pivotArea outline="0" collapsedLevelsAreSubtotals="1" fieldPosition="0"/>
    </format>
    <format dxfId="132">
      <pivotArea type="all" dataOnly="0" outline="0" fieldPosition="0"/>
    </format>
    <format dxfId="131">
      <pivotArea collapsedLevelsAreSubtotals="1" fieldPosition="0">
        <references count="2">
          <reference field="1" count="1" selected="0">
            <x v="1"/>
          </reference>
          <reference field="2" count="1">
            <x v="0"/>
          </reference>
        </references>
      </pivotArea>
    </format>
  </formats>
  <conditionalFormats count="1">
    <conditionalFormat priority="1">
      <pivotAreas count="1">
        <pivotArea type="data" collapsedLevelsAreSubtotals="1" fieldPosition="0">
          <references count="3">
            <reference field="4294967294" count="1" selected="0">
              <x v="0"/>
            </reference>
            <reference field="1" count="2" selected="0">
              <x v="1"/>
              <x v="2"/>
            </reference>
            <reference field="2" count="8">
              <x v="0"/>
              <x v="1"/>
              <x v="2"/>
              <x v="3"/>
              <x v="4"/>
              <x v="5"/>
              <x v="6"/>
              <x v="7"/>
            </reference>
          </references>
        </pivotArea>
      </pivotAreas>
    </conditionalFormat>
  </conditional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P8:Q17" firstHeaderRow="1" firstDataRow="1" firstDataCol="1"/>
  <pivotFields count="17">
    <pivotField showAll="0"/>
    <pivotField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items count="274">
        <item x="156"/>
        <item x="104"/>
        <item x="102"/>
        <item x="181"/>
        <item x="205"/>
        <item x="217"/>
        <item x="65"/>
        <item x="176"/>
        <item x="154"/>
        <item x="218"/>
        <item x="94"/>
        <item x="59"/>
        <item x="234"/>
        <item x="268"/>
        <item x="242"/>
        <item x="212"/>
        <item x="237"/>
        <item x="50"/>
        <item x="142"/>
        <item x="259"/>
        <item x="134"/>
        <item x="198"/>
        <item x="232"/>
        <item x="233"/>
        <item x="29"/>
        <item x="100"/>
        <item x="140"/>
        <item x="25"/>
        <item x="136"/>
        <item x="46"/>
        <item x="21"/>
        <item x="44"/>
        <item x="48"/>
        <item x="194"/>
        <item x="256"/>
        <item x="91"/>
        <item x="150"/>
        <item x="7"/>
        <item x="105"/>
        <item x="52"/>
        <item x="70"/>
        <item x="55"/>
        <item x="269"/>
        <item x="230"/>
        <item x="39"/>
        <item x="164"/>
        <item x="45"/>
        <item x="53"/>
        <item x="128"/>
        <item x="89"/>
        <item x="63"/>
        <item x="121"/>
        <item x="20"/>
        <item x="249"/>
        <item x="11"/>
        <item x="261"/>
        <item x="193"/>
        <item x="90"/>
        <item x="9"/>
        <item x="15"/>
        <item x="129"/>
        <item x="247"/>
        <item x="3"/>
        <item x="264"/>
        <item x="62"/>
        <item x="40"/>
        <item x="37"/>
        <item x="170"/>
        <item x="103"/>
        <item x="26"/>
        <item x="165"/>
        <item x="215"/>
        <item x="220"/>
        <item x="228"/>
        <item x="107"/>
        <item x="172"/>
        <item x="35"/>
        <item x="143"/>
        <item x="223"/>
        <item x="78"/>
        <item x="147"/>
        <item x="54"/>
        <item x="246"/>
        <item x="30"/>
        <item x="186"/>
        <item x="113"/>
        <item x="171"/>
        <item x="93"/>
        <item x="51"/>
        <item x="77"/>
        <item x="211"/>
        <item x="33"/>
        <item x="222"/>
        <item x="161"/>
        <item x="208"/>
        <item x="221"/>
        <item x="153"/>
        <item x="202"/>
        <item x="49"/>
        <item x="96"/>
        <item x="152"/>
        <item x="265"/>
        <item x="73"/>
        <item x="166"/>
        <item x="69"/>
        <item x="61"/>
        <item x="24"/>
        <item x="190"/>
        <item x="248"/>
        <item x="226"/>
        <item x="6"/>
        <item x="146"/>
        <item x="216"/>
        <item x="252"/>
        <item x="258"/>
        <item x="195"/>
        <item x="38"/>
        <item x="32"/>
        <item x="257"/>
        <item x="189"/>
        <item x="106"/>
        <item x="137"/>
        <item x="120"/>
        <item x="75"/>
        <item x="97"/>
        <item x="231"/>
        <item x="17"/>
        <item x="148"/>
        <item x="270"/>
        <item x="182"/>
        <item x="60"/>
        <item x="125"/>
        <item x="83"/>
        <item x="135"/>
        <item x="180"/>
        <item x="108"/>
        <item x="199"/>
        <item x="85"/>
        <item x="23"/>
        <item x="115"/>
        <item x="238"/>
        <item x="225"/>
        <item x="173"/>
        <item x="87"/>
        <item x="203"/>
        <item x="42"/>
        <item x="192"/>
        <item x="207"/>
        <item x="88"/>
        <item x="155"/>
        <item x="201"/>
        <item x="117"/>
        <item x="210"/>
        <item x="34"/>
        <item x="118"/>
        <item x="188"/>
        <item x="267"/>
        <item x="239"/>
        <item x="209"/>
        <item x="139"/>
        <item x="92"/>
        <item x="253"/>
        <item x="272"/>
        <item x="163"/>
        <item x="116"/>
        <item x="124"/>
        <item x="179"/>
        <item x="4"/>
        <item x="119"/>
        <item x="254"/>
        <item x="175"/>
        <item x="114"/>
        <item x="169"/>
        <item x="72"/>
        <item x="74"/>
        <item x="18"/>
        <item x="184"/>
        <item x="126"/>
        <item x="196"/>
        <item x="79"/>
        <item x="219"/>
        <item x="111"/>
        <item x="109"/>
        <item x="36"/>
        <item x="145"/>
        <item x="197"/>
        <item x="183"/>
        <item x="10"/>
        <item x="174"/>
        <item x="138"/>
        <item x="167"/>
        <item x="84"/>
        <item x="240"/>
        <item x="5"/>
        <item x="68"/>
        <item x="236"/>
        <item x="56"/>
        <item x="177"/>
        <item x="213"/>
        <item x="250"/>
        <item x="12"/>
        <item x="101"/>
        <item x="271"/>
        <item x="67"/>
        <item x="81"/>
        <item x="19"/>
        <item x="206"/>
        <item x="168"/>
        <item x="229"/>
        <item x="151"/>
        <item x="131"/>
        <item x="224"/>
        <item x="200"/>
        <item x="157"/>
        <item x="235"/>
        <item x="160"/>
        <item x="57"/>
        <item x="262"/>
        <item x="76"/>
        <item x="245"/>
        <item x="185"/>
        <item x="251"/>
        <item x="204"/>
        <item x="16"/>
        <item x="263"/>
        <item x="149"/>
        <item x="162"/>
        <item x="122"/>
        <item x="255"/>
        <item x="191"/>
        <item x="82"/>
        <item x="8"/>
        <item x="13"/>
        <item x="80"/>
        <item x="243"/>
        <item x="227"/>
        <item x="27"/>
        <item x="95"/>
        <item x="266"/>
        <item x="47"/>
        <item x="130"/>
        <item x="71"/>
        <item x="187"/>
        <item x="127"/>
        <item x="99"/>
        <item x="31"/>
        <item x="0"/>
        <item x="2"/>
        <item x="178"/>
        <item x="260"/>
        <item x="14"/>
        <item x="141"/>
        <item x="241"/>
        <item x="64"/>
        <item x="132"/>
        <item x="41"/>
        <item x="58"/>
        <item x="28"/>
        <item x="112"/>
        <item x="110"/>
        <item x="43"/>
        <item x="22"/>
        <item x="214"/>
        <item x="123"/>
        <item x="159"/>
        <item x="86"/>
        <item x="158"/>
        <item x="98"/>
        <item x="66"/>
        <item x="144"/>
        <item x="244"/>
        <item x="133"/>
        <item x="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9">
    <i>
      <x/>
    </i>
    <i>
      <x v="1"/>
    </i>
    <i>
      <x v="2"/>
    </i>
    <i>
      <x v="3"/>
    </i>
    <i>
      <x v="4"/>
    </i>
    <i>
      <x v="5"/>
    </i>
    <i>
      <x v="6"/>
    </i>
    <i>
      <x v="7"/>
    </i>
    <i t="grand">
      <x/>
    </i>
  </rowItems>
  <colItems count="1">
    <i/>
  </colItems>
  <dataFields count="1">
    <dataField name="Count of current_price" fld="8" subtotal="count" baseField="2" baseItem="3" numFmtId="3"/>
  </dataFields>
  <formats count="6">
    <format dxfId="139">
      <pivotArea collapsedLevelsAreSubtotals="1" fieldPosition="0">
        <references count="1">
          <reference field="2" count="0"/>
        </references>
      </pivotArea>
    </format>
    <format dxfId="138">
      <pivotArea outline="0" collapsedLevelsAreSubtotals="1" fieldPosition="0"/>
    </format>
    <format dxfId="137">
      <pivotArea outline="0" collapsedLevelsAreSubtotals="1" fieldPosition="0"/>
    </format>
    <format dxfId="136">
      <pivotArea outline="0" collapsedLevelsAreSubtotals="1" fieldPosition="0"/>
    </format>
    <format dxfId="135">
      <pivotArea type="all" dataOnly="0" outline="0" fieldPosition="0"/>
    </format>
    <format dxfId="13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P72:P73"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Sum of Markdown loss2" fld="16" baseField="2" baseItem="7"/>
  </dataFields>
  <formats count="2">
    <format dxfId="141">
      <pivotArea grandRow="1" grandCol="1" outline="0" collapsedLevelsAreSubtotals="1" fieldPosition="0"/>
    </format>
    <format dxfId="14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E58:L68"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Sum of Current value" fld="14" baseField="0" baseItem="0" numFmtId="165"/>
  </dataFields>
  <formats count="3">
    <format dxfId="144">
      <pivotArea outline="0" collapsedLevelsAreSubtotals="1" fieldPosition="0"/>
    </format>
    <format dxfId="143">
      <pivotArea type="all" dataOnly="0" outline="0" fieldPosition="0"/>
    </format>
    <format dxfId="142">
      <pivotArea collapsedLevelsAreSubtotals="1" fieldPosition="0">
        <references count="2">
          <reference field="1" count="1" selected="0">
            <x v="1"/>
          </reference>
          <reference field="2" count="1">
            <x v="0"/>
          </reference>
        </references>
      </pivotArea>
    </format>
  </formats>
  <conditionalFormats count="1">
    <conditionalFormat priority="2">
      <pivotAreas count="1">
        <pivotArea type="data" collapsedLevelsAreSubtotals="1" fieldPosition="0">
          <references count="3">
            <reference field="4294967294" count="1" selected="0">
              <x v="0"/>
            </reference>
            <reference field="1" count="2" selected="0">
              <x v="1"/>
              <x v="2"/>
            </reference>
            <reference field="2" count="8">
              <x v="0"/>
              <x v="1"/>
              <x v="2"/>
              <x v="3"/>
              <x v="4"/>
              <x v="5"/>
              <x v="6"/>
              <x v="7"/>
            </reference>
          </references>
        </pivotArea>
      </pivotAreas>
    </conditionalFormat>
  </conditional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E4:E5"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current_price" fld="8" baseField="0" baseItem="0"/>
  </dataFields>
  <formats count="1">
    <format dxfId="14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H51:AH52"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Items count="1">
    <i/>
  </rowItems>
  <colItems count="1">
    <i/>
  </colItems>
  <dataFields count="1">
    <dataField name="Total Original Value/Potential Revenue" fld="15" baseField="0" baseItem="0" numFmtId="167"/>
  </dataFields>
  <formats count="5">
    <format dxfId="150">
      <pivotArea grandRow="1" grandCol="1" outline="0" collapsedLevelsAreSubtotals="1" fieldPosition="0"/>
    </format>
    <format dxfId="149">
      <pivotArea type="all" dataOnly="0" outline="0" fieldPosition="0"/>
    </format>
    <format dxfId="148">
      <pivotArea outline="0" fieldPosition="0">
        <references count="1">
          <reference field="4294967294" count="1">
            <x v="0"/>
          </reference>
        </references>
      </pivotArea>
    </format>
    <format dxfId="147">
      <pivotArea type="all" dataOnly="0" outline="0" fieldPosition="0"/>
    </format>
    <format dxfId="14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P20:Q27" firstHeaderRow="1" firstDataRow="1" firstDataCol="1"/>
  <pivotFields count="17">
    <pivotField showAll="0"/>
    <pivotField axis="axisRow"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items count="274">
        <item x="156"/>
        <item x="104"/>
        <item x="102"/>
        <item x="181"/>
        <item x="205"/>
        <item x="217"/>
        <item x="65"/>
        <item x="176"/>
        <item x="154"/>
        <item x="218"/>
        <item x="94"/>
        <item x="59"/>
        <item x="234"/>
        <item x="268"/>
        <item x="242"/>
        <item x="212"/>
        <item x="237"/>
        <item x="50"/>
        <item x="142"/>
        <item x="259"/>
        <item x="134"/>
        <item x="198"/>
        <item x="232"/>
        <item x="233"/>
        <item x="29"/>
        <item x="100"/>
        <item x="140"/>
        <item x="25"/>
        <item x="136"/>
        <item x="46"/>
        <item x="21"/>
        <item x="44"/>
        <item x="48"/>
        <item x="194"/>
        <item x="256"/>
        <item x="91"/>
        <item x="150"/>
        <item x="7"/>
        <item x="105"/>
        <item x="52"/>
        <item x="70"/>
        <item x="55"/>
        <item x="269"/>
        <item x="230"/>
        <item x="39"/>
        <item x="164"/>
        <item x="45"/>
        <item x="53"/>
        <item x="128"/>
        <item x="89"/>
        <item x="63"/>
        <item x="121"/>
        <item x="20"/>
        <item x="249"/>
        <item x="11"/>
        <item x="261"/>
        <item x="193"/>
        <item x="90"/>
        <item x="9"/>
        <item x="15"/>
        <item x="129"/>
        <item x="247"/>
        <item x="3"/>
        <item x="264"/>
        <item x="62"/>
        <item x="40"/>
        <item x="37"/>
        <item x="170"/>
        <item x="103"/>
        <item x="26"/>
        <item x="165"/>
        <item x="215"/>
        <item x="220"/>
        <item x="228"/>
        <item x="107"/>
        <item x="172"/>
        <item x="35"/>
        <item x="143"/>
        <item x="223"/>
        <item x="78"/>
        <item x="147"/>
        <item x="54"/>
        <item x="246"/>
        <item x="30"/>
        <item x="186"/>
        <item x="113"/>
        <item x="171"/>
        <item x="93"/>
        <item x="51"/>
        <item x="77"/>
        <item x="211"/>
        <item x="33"/>
        <item x="222"/>
        <item x="161"/>
        <item x="208"/>
        <item x="221"/>
        <item x="153"/>
        <item x="202"/>
        <item x="49"/>
        <item x="96"/>
        <item x="152"/>
        <item x="265"/>
        <item x="73"/>
        <item x="166"/>
        <item x="69"/>
        <item x="61"/>
        <item x="24"/>
        <item x="190"/>
        <item x="248"/>
        <item x="226"/>
        <item x="6"/>
        <item x="146"/>
        <item x="216"/>
        <item x="252"/>
        <item x="258"/>
        <item x="195"/>
        <item x="38"/>
        <item x="32"/>
        <item x="257"/>
        <item x="189"/>
        <item x="106"/>
        <item x="137"/>
        <item x="120"/>
        <item x="75"/>
        <item x="97"/>
        <item x="231"/>
        <item x="17"/>
        <item x="148"/>
        <item x="270"/>
        <item x="182"/>
        <item x="60"/>
        <item x="125"/>
        <item x="83"/>
        <item x="135"/>
        <item x="180"/>
        <item x="108"/>
        <item x="199"/>
        <item x="85"/>
        <item x="23"/>
        <item x="115"/>
        <item x="238"/>
        <item x="225"/>
        <item x="173"/>
        <item x="87"/>
        <item x="203"/>
        <item x="42"/>
        <item x="192"/>
        <item x="207"/>
        <item x="88"/>
        <item x="155"/>
        <item x="201"/>
        <item x="117"/>
        <item x="210"/>
        <item x="34"/>
        <item x="118"/>
        <item x="188"/>
        <item x="267"/>
        <item x="239"/>
        <item x="209"/>
        <item x="139"/>
        <item x="92"/>
        <item x="253"/>
        <item x="272"/>
        <item x="163"/>
        <item x="116"/>
        <item x="124"/>
        <item x="179"/>
        <item x="4"/>
        <item x="119"/>
        <item x="254"/>
        <item x="175"/>
        <item x="114"/>
        <item x="169"/>
        <item x="72"/>
        <item x="74"/>
        <item x="18"/>
        <item x="184"/>
        <item x="126"/>
        <item x="196"/>
        <item x="79"/>
        <item x="219"/>
        <item x="111"/>
        <item x="109"/>
        <item x="36"/>
        <item x="145"/>
        <item x="197"/>
        <item x="183"/>
        <item x="10"/>
        <item x="174"/>
        <item x="138"/>
        <item x="167"/>
        <item x="84"/>
        <item x="240"/>
        <item x="5"/>
        <item x="68"/>
        <item x="236"/>
        <item x="56"/>
        <item x="177"/>
        <item x="213"/>
        <item x="250"/>
        <item x="12"/>
        <item x="101"/>
        <item x="271"/>
        <item x="67"/>
        <item x="81"/>
        <item x="19"/>
        <item x="206"/>
        <item x="168"/>
        <item x="229"/>
        <item x="151"/>
        <item x="131"/>
        <item x="224"/>
        <item x="200"/>
        <item x="157"/>
        <item x="235"/>
        <item x="160"/>
        <item x="57"/>
        <item x="262"/>
        <item x="76"/>
        <item x="245"/>
        <item x="185"/>
        <item x="251"/>
        <item x="204"/>
        <item x="16"/>
        <item x="263"/>
        <item x="149"/>
        <item x="162"/>
        <item x="122"/>
        <item x="255"/>
        <item x="191"/>
        <item x="82"/>
        <item x="8"/>
        <item x="13"/>
        <item x="80"/>
        <item x="243"/>
        <item x="227"/>
        <item x="27"/>
        <item x="95"/>
        <item x="266"/>
        <item x="47"/>
        <item x="130"/>
        <item x="71"/>
        <item x="187"/>
        <item x="127"/>
        <item x="99"/>
        <item x="31"/>
        <item x="0"/>
        <item x="2"/>
        <item x="178"/>
        <item x="260"/>
        <item x="14"/>
        <item x="141"/>
        <item x="241"/>
        <item x="64"/>
        <item x="132"/>
        <item x="41"/>
        <item x="58"/>
        <item x="28"/>
        <item x="112"/>
        <item x="110"/>
        <item x="43"/>
        <item x="22"/>
        <item x="214"/>
        <item x="123"/>
        <item x="159"/>
        <item x="86"/>
        <item x="158"/>
        <item x="98"/>
        <item x="66"/>
        <item x="144"/>
        <item x="244"/>
        <item x="133"/>
        <item x="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7">
    <i>
      <x/>
    </i>
    <i>
      <x v="1"/>
    </i>
    <i>
      <x v="2"/>
    </i>
    <i>
      <x v="3"/>
    </i>
    <i>
      <x v="4"/>
    </i>
    <i>
      <x v="5"/>
    </i>
    <i t="grand">
      <x/>
    </i>
  </rowItems>
  <colItems count="1">
    <i/>
  </colItems>
  <dataFields count="1">
    <dataField name="Count of current_price" fld="8" subtotal="count" baseField="2" baseItem="3" numFmtId="3"/>
  </dataFields>
  <formats count="5">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type="all" dataOnly="0" outline="0" fieldPosition="0"/>
    </format>
    <format dxfId="151">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E8:F17" firstHeaderRow="1" firstDataRow="1" firstDataCol="1"/>
  <pivotFields count="17">
    <pivotField showAll="0"/>
    <pivotField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items count="274">
        <item x="156"/>
        <item x="104"/>
        <item x="102"/>
        <item x="181"/>
        <item x="205"/>
        <item x="217"/>
        <item x="65"/>
        <item x="176"/>
        <item x="154"/>
        <item x="218"/>
        <item x="94"/>
        <item x="59"/>
        <item x="234"/>
        <item x="268"/>
        <item x="242"/>
        <item x="212"/>
        <item x="237"/>
        <item x="50"/>
        <item x="142"/>
        <item x="259"/>
        <item x="134"/>
        <item x="198"/>
        <item x="232"/>
        <item x="233"/>
        <item x="29"/>
        <item x="100"/>
        <item x="140"/>
        <item x="25"/>
        <item x="136"/>
        <item x="46"/>
        <item x="21"/>
        <item x="44"/>
        <item x="48"/>
        <item x="194"/>
        <item x="256"/>
        <item x="91"/>
        <item x="150"/>
        <item x="7"/>
        <item x="105"/>
        <item x="52"/>
        <item x="70"/>
        <item x="55"/>
        <item x="269"/>
        <item x="230"/>
        <item x="39"/>
        <item x="164"/>
        <item x="45"/>
        <item x="53"/>
        <item x="128"/>
        <item x="89"/>
        <item x="63"/>
        <item x="121"/>
        <item x="20"/>
        <item x="249"/>
        <item x="11"/>
        <item x="261"/>
        <item x="193"/>
        <item x="90"/>
        <item x="9"/>
        <item x="15"/>
        <item x="129"/>
        <item x="247"/>
        <item x="3"/>
        <item x="264"/>
        <item x="62"/>
        <item x="40"/>
        <item x="37"/>
        <item x="170"/>
        <item x="103"/>
        <item x="26"/>
        <item x="165"/>
        <item x="215"/>
        <item x="220"/>
        <item x="228"/>
        <item x="107"/>
        <item x="172"/>
        <item x="35"/>
        <item x="143"/>
        <item x="223"/>
        <item x="78"/>
        <item x="147"/>
        <item x="54"/>
        <item x="246"/>
        <item x="30"/>
        <item x="186"/>
        <item x="113"/>
        <item x="171"/>
        <item x="93"/>
        <item x="51"/>
        <item x="77"/>
        <item x="211"/>
        <item x="33"/>
        <item x="222"/>
        <item x="161"/>
        <item x="208"/>
        <item x="221"/>
        <item x="153"/>
        <item x="202"/>
        <item x="49"/>
        <item x="96"/>
        <item x="152"/>
        <item x="265"/>
        <item x="73"/>
        <item x="166"/>
        <item x="69"/>
        <item x="61"/>
        <item x="24"/>
        <item x="190"/>
        <item x="248"/>
        <item x="226"/>
        <item x="6"/>
        <item x="146"/>
        <item x="216"/>
        <item x="252"/>
        <item x="258"/>
        <item x="195"/>
        <item x="38"/>
        <item x="32"/>
        <item x="257"/>
        <item x="189"/>
        <item x="106"/>
        <item x="137"/>
        <item x="120"/>
        <item x="75"/>
        <item x="97"/>
        <item x="231"/>
        <item x="17"/>
        <item x="148"/>
        <item x="270"/>
        <item x="182"/>
        <item x="60"/>
        <item x="125"/>
        <item x="83"/>
        <item x="135"/>
        <item x="180"/>
        <item x="108"/>
        <item x="199"/>
        <item x="85"/>
        <item x="23"/>
        <item x="115"/>
        <item x="238"/>
        <item x="225"/>
        <item x="173"/>
        <item x="87"/>
        <item x="203"/>
        <item x="42"/>
        <item x="192"/>
        <item x="207"/>
        <item x="88"/>
        <item x="155"/>
        <item x="201"/>
        <item x="117"/>
        <item x="210"/>
        <item x="34"/>
        <item x="118"/>
        <item x="188"/>
        <item x="267"/>
        <item x="239"/>
        <item x="209"/>
        <item x="139"/>
        <item x="92"/>
        <item x="253"/>
        <item x="272"/>
        <item x="163"/>
        <item x="116"/>
        <item x="124"/>
        <item x="179"/>
        <item x="4"/>
        <item x="119"/>
        <item x="254"/>
        <item x="175"/>
        <item x="114"/>
        <item x="169"/>
        <item x="72"/>
        <item x="74"/>
        <item x="18"/>
        <item x="184"/>
        <item x="126"/>
        <item x="196"/>
        <item x="79"/>
        <item x="219"/>
        <item x="111"/>
        <item x="109"/>
        <item x="36"/>
        <item x="145"/>
        <item x="197"/>
        <item x="183"/>
        <item x="10"/>
        <item x="174"/>
        <item x="138"/>
        <item x="167"/>
        <item x="84"/>
        <item x="240"/>
        <item x="5"/>
        <item x="68"/>
        <item x="236"/>
        <item x="56"/>
        <item x="177"/>
        <item x="213"/>
        <item x="250"/>
        <item x="12"/>
        <item x="101"/>
        <item x="271"/>
        <item x="67"/>
        <item x="81"/>
        <item x="19"/>
        <item x="206"/>
        <item x="168"/>
        <item x="229"/>
        <item x="151"/>
        <item x="131"/>
        <item x="224"/>
        <item x="200"/>
        <item x="157"/>
        <item x="235"/>
        <item x="160"/>
        <item x="57"/>
        <item x="262"/>
        <item x="76"/>
        <item x="245"/>
        <item x="185"/>
        <item x="251"/>
        <item x="204"/>
        <item x="16"/>
        <item x="263"/>
        <item x="149"/>
        <item x="162"/>
        <item x="122"/>
        <item x="255"/>
        <item x="191"/>
        <item x="82"/>
        <item x="8"/>
        <item x="13"/>
        <item x="80"/>
        <item x="243"/>
        <item x="227"/>
        <item x="27"/>
        <item x="95"/>
        <item x="266"/>
        <item x="47"/>
        <item x="130"/>
        <item x="71"/>
        <item x="187"/>
        <item x="127"/>
        <item x="99"/>
        <item x="31"/>
        <item x="0"/>
        <item x="2"/>
        <item x="178"/>
        <item x="260"/>
        <item x="14"/>
        <item x="141"/>
        <item x="241"/>
        <item x="64"/>
        <item x="132"/>
        <item x="41"/>
        <item x="58"/>
        <item x="28"/>
        <item x="112"/>
        <item x="110"/>
        <item x="43"/>
        <item x="22"/>
        <item x="214"/>
        <item x="123"/>
        <item x="159"/>
        <item x="86"/>
        <item x="158"/>
        <item x="98"/>
        <item x="66"/>
        <item x="144"/>
        <item x="244"/>
        <item x="133"/>
        <item x="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9">
    <i>
      <x/>
    </i>
    <i>
      <x v="1"/>
    </i>
    <i>
      <x v="2"/>
    </i>
    <i>
      <x v="3"/>
    </i>
    <i>
      <x v="4"/>
    </i>
    <i>
      <x v="5"/>
    </i>
    <i>
      <x v="6"/>
    </i>
    <i>
      <x v="7"/>
    </i>
    <i t="grand">
      <x/>
    </i>
  </rowItems>
  <colItems count="1">
    <i/>
  </colItems>
  <dataFields count="1">
    <dataField name="Sum of current_price" fld="8" baseField="2" baseItem="4" numFmtId="167"/>
  </dataFields>
  <formats count="6">
    <format dxfId="161">
      <pivotArea collapsedLevelsAreSubtotals="1" fieldPosition="0">
        <references count="1">
          <reference field="2" count="0"/>
        </references>
      </pivotArea>
    </format>
    <format dxfId="160">
      <pivotArea outline="0" collapsedLevelsAreSubtotals="1" fieldPosition="0"/>
    </format>
    <format dxfId="159">
      <pivotArea outline="0" collapsedLevelsAreSubtotals="1" fieldPosition="0"/>
    </format>
    <format dxfId="158">
      <pivotArea outline="0" collapsedLevelsAreSubtotals="1" fieldPosition="0"/>
    </format>
    <format dxfId="157">
      <pivotArea type="all" dataOnly="0" outline="0" fieldPosition="0"/>
    </format>
    <format dxfId="156">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D129:BL377" firstHeaderRow="1" firstDataRow="3" firstDataCol="1"/>
  <pivotFields count="16">
    <pivotField showAll="0"/>
    <pivotField axis="axisCol" showAll="0">
      <items count="7">
        <item h="1" x="2"/>
        <item x="4"/>
        <item x="5"/>
        <item x="0"/>
        <item x="3"/>
        <item x="1"/>
        <item t="default"/>
      </items>
    </pivotField>
    <pivotField axis="axisRow" showAll="0">
      <items count="9">
        <item x="5"/>
        <item x="2"/>
        <item x="7"/>
        <item x="6"/>
        <item x="4"/>
        <item x="3"/>
        <item x="1"/>
        <item x="0"/>
        <item t="default"/>
      </items>
    </pivotField>
    <pivotField axis="axisRow" showAll="0">
      <items count="5">
        <item x="2"/>
        <item x="0"/>
        <item x="3"/>
        <item x="1"/>
        <item t="default"/>
      </items>
    </pivotField>
    <pivotField axis="axisRow" showAll="0">
      <items count="8">
        <item x="1"/>
        <item x="6"/>
        <item x="3"/>
        <item x="0"/>
        <item x="5"/>
        <item x="4"/>
        <item h="1" x="2"/>
        <item t="default"/>
      </items>
    </pivotField>
    <pivotField axis="axisCol" showAll="0">
      <items count="12">
        <item x="7"/>
        <item x="2"/>
        <item x="5"/>
        <item x="10"/>
        <item x="4"/>
        <item x="6"/>
        <item x="8"/>
        <item x="1"/>
        <item x="9"/>
        <item x="0"/>
        <item x="3"/>
        <item t="default"/>
      </items>
    </pivotField>
    <pivotField showAll="0"/>
    <pivotField showAll="0"/>
    <pivotField showAll="0"/>
    <pivotField numFmtId="164" showAll="0"/>
    <pivotField showAll="0"/>
    <pivotField showAll="0"/>
    <pivotField showAll="0"/>
    <pivotField showAll="0"/>
    <pivotField dataField="1" showAll="0"/>
    <pivotField dragToRow="0" dragToCol="0" dragToPage="0" showAll="0" defaultSubtotal="0"/>
  </pivotFields>
  <rowFields count="3">
    <field x="4"/>
    <field x="2"/>
    <field x="3"/>
  </rowFields>
  <rowItems count="246">
    <i>
      <x/>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i>
      <x v="1"/>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i>
      <x v="2"/>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i>
      <x v="3"/>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i>
      <x v="4"/>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i>
      <x v="5"/>
    </i>
    <i r="1">
      <x/>
    </i>
    <i r="2">
      <x/>
    </i>
    <i r="2">
      <x v="1"/>
    </i>
    <i r="2">
      <x v="2"/>
    </i>
    <i r="2">
      <x v="3"/>
    </i>
    <i r="1">
      <x v="1"/>
    </i>
    <i r="2">
      <x/>
    </i>
    <i r="2">
      <x v="1"/>
    </i>
    <i r="2">
      <x v="2"/>
    </i>
    <i r="2">
      <x v="3"/>
    </i>
    <i r="1">
      <x v="2"/>
    </i>
    <i r="2">
      <x/>
    </i>
    <i r="2">
      <x v="1"/>
    </i>
    <i r="2">
      <x v="2"/>
    </i>
    <i r="2">
      <x v="3"/>
    </i>
    <i r="1">
      <x v="3"/>
    </i>
    <i r="2">
      <x/>
    </i>
    <i r="2">
      <x v="1"/>
    </i>
    <i r="2">
      <x v="2"/>
    </i>
    <i r="2">
      <x v="3"/>
    </i>
    <i r="1">
      <x v="4"/>
    </i>
    <i r="2">
      <x/>
    </i>
    <i r="2">
      <x v="1"/>
    </i>
    <i r="2">
      <x v="2"/>
    </i>
    <i r="2">
      <x v="3"/>
    </i>
    <i r="1">
      <x v="5"/>
    </i>
    <i r="2">
      <x/>
    </i>
    <i r="2">
      <x v="1"/>
    </i>
    <i r="2">
      <x v="2"/>
    </i>
    <i r="2">
      <x v="3"/>
    </i>
    <i r="1">
      <x v="6"/>
    </i>
    <i r="2">
      <x/>
    </i>
    <i r="2">
      <x v="1"/>
    </i>
    <i r="2">
      <x v="2"/>
    </i>
    <i r="2">
      <x v="3"/>
    </i>
    <i r="1">
      <x v="7"/>
    </i>
    <i r="2">
      <x/>
    </i>
    <i r="2">
      <x v="1"/>
    </i>
    <i r="2">
      <x v="2"/>
    </i>
    <i r="2">
      <x v="3"/>
    </i>
  </rowItems>
  <colFields count="2">
    <field x="1"/>
    <field x="5"/>
  </colFields>
  <colItems count="60">
    <i>
      <x v="1"/>
      <x/>
    </i>
    <i r="1">
      <x v="1"/>
    </i>
    <i r="1">
      <x v="2"/>
    </i>
    <i r="1">
      <x v="3"/>
    </i>
    <i r="1">
      <x v="4"/>
    </i>
    <i r="1">
      <x v="5"/>
    </i>
    <i r="1">
      <x v="6"/>
    </i>
    <i r="1">
      <x v="7"/>
    </i>
    <i r="1">
      <x v="8"/>
    </i>
    <i r="1">
      <x v="9"/>
    </i>
    <i r="1">
      <x v="10"/>
    </i>
    <i t="default">
      <x v="1"/>
    </i>
    <i>
      <x v="2"/>
      <x/>
    </i>
    <i r="1">
      <x v="1"/>
    </i>
    <i r="1">
      <x v="2"/>
    </i>
    <i r="1">
      <x v="3"/>
    </i>
    <i r="1">
      <x v="4"/>
    </i>
    <i r="1">
      <x v="5"/>
    </i>
    <i r="1">
      <x v="6"/>
    </i>
    <i r="1">
      <x v="7"/>
    </i>
    <i r="1">
      <x v="8"/>
    </i>
    <i r="1">
      <x v="9"/>
    </i>
    <i r="1">
      <x v="10"/>
    </i>
    <i t="default">
      <x v="2"/>
    </i>
    <i>
      <x v="3"/>
      <x/>
    </i>
    <i r="1">
      <x v="1"/>
    </i>
    <i r="1">
      <x v="2"/>
    </i>
    <i r="1">
      <x v="3"/>
    </i>
    <i r="1">
      <x v="4"/>
    </i>
    <i r="1">
      <x v="5"/>
    </i>
    <i r="1">
      <x v="6"/>
    </i>
    <i r="1">
      <x v="7"/>
    </i>
    <i r="1">
      <x v="8"/>
    </i>
    <i r="1">
      <x v="9"/>
    </i>
    <i r="1">
      <x v="10"/>
    </i>
    <i t="default">
      <x v="3"/>
    </i>
    <i>
      <x v="4"/>
      <x/>
    </i>
    <i r="1">
      <x v="1"/>
    </i>
    <i r="1">
      <x v="2"/>
    </i>
    <i r="1">
      <x v="3"/>
    </i>
    <i r="1">
      <x v="4"/>
    </i>
    <i r="1">
      <x v="5"/>
    </i>
    <i r="1">
      <x v="6"/>
    </i>
    <i r="1">
      <x v="7"/>
    </i>
    <i r="1">
      <x v="8"/>
    </i>
    <i r="1">
      <x v="9"/>
    </i>
    <i r="1">
      <x v="10"/>
    </i>
    <i t="default">
      <x v="4"/>
    </i>
    <i>
      <x v="5"/>
      <x/>
    </i>
    <i r="1">
      <x v="1"/>
    </i>
    <i r="1">
      <x v="2"/>
    </i>
    <i r="1">
      <x v="3"/>
    </i>
    <i r="1">
      <x v="4"/>
    </i>
    <i r="1">
      <x v="5"/>
    </i>
    <i r="1">
      <x v="6"/>
    </i>
    <i r="1">
      <x v="7"/>
    </i>
    <i r="1">
      <x v="8"/>
    </i>
    <i r="1">
      <x v="9"/>
    </i>
    <i r="1">
      <x v="10"/>
    </i>
    <i t="default">
      <x v="5"/>
    </i>
  </colItems>
  <dataFields count="1">
    <dataField name="Min of Inventory  Age" fld="14" subtotal="min" baseField="4" baseItem="0"/>
  </dataFields>
  <formats count="1">
    <format dxfId="162">
      <pivotArea type="all" dataOnly="0" outline="0" fieldPosition="0"/>
    </format>
  </formats>
  <conditionalFormats count="32">
    <conditionalFormat priority="4">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5"/>
            </reference>
            <reference field="5" count="11" selected="0">
              <x v="0"/>
              <x v="1"/>
              <x v="2"/>
              <x v="3"/>
              <x v="4"/>
              <x v="5"/>
              <x v="6"/>
              <x v="7"/>
              <x v="8"/>
              <x v="9"/>
              <x v="10"/>
            </reference>
          </references>
        </pivotArea>
      </pivotAreas>
    </conditionalFormat>
    <conditionalFormat priority="5">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4"/>
            </reference>
            <reference field="5" count="11" selected="0">
              <x v="0"/>
              <x v="1"/>
              <x v="2"/>
              <x v="3"/>
              <x v="4"/>
              <x v="5"/>
              <x v="6"/>
              <x v="7"/>
              <x v="8"/>
              <x v="9"/>
              <x v="10"/>
            </reference>
          </references>
        </pivotArea>
      </pivotAreas>
    </conditionalFormat>
    <conditionalFormat priority="6">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3"/>
            </reference>
            <reference field="5" count="11" selected="0">
              <x v="0"/>
              <x v="1"/>
              <x v="2"/>
              <x v="3"/>
              <x v="4"/>
              <x v="5"/>
              <x v="6"/>
              <x v="7"/>
              <x v="8"/>
              <x v="9"/>
              <x v="10"/>
            </reference>
          </references>
        </pivotArea>
      </pivotAreas>
    </conditionalFormat>
    <conditionalFormat priority="7">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2"/>
            </reference>
            <reference field="5" count="11" selected="0">
              <x v="0"/>
              <x v="1"/>
              <x v="2"/>
              <x v="3"/>
              <x v="4"/>
              <x v="5"/>
              <x v="6"/>
              <x v="7"/>
              <x v="8"/>
              <x v="9"/>
              <x v="10"/>
            </reference>
          </references>
        </pivotArea>
      </pivotAreas>
    </conditionalFormat>
    <conditionalFormat priority="8">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1"/>
            </reference>
            <reference field="5" count="11" selected="0">
              <x v="0"/>
              <x v="1"/>
              <x v="2"/>
              <x v="3"/>
              <x v="4"/>
              <x v="5"/>
              <x v="6"/>
              <x v="7"/>
              <x v="8"/>
              <x v="9"/>
              <x v="10"/>
            </reference>
          </references>
        </pivotArea>
      </pivotAreas>
    </conditionalFormat>
    <conditionalFormat priority="9">
      <pivotAreas count="8">
        <pivotArea type="data" collapsedLevelsAreSubtotals="1" fieldPosition="0">
          <references count="5">
            <reference field="4294967294" count="1" selected="0">
              <x v="0"/>
            </reference>
            <reference field="1" count="1" selected="0">
              <x v="5"/>
            </reference>
            <reference field="2" count="1">
              <x v="0"/>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1"/>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2"/>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3"/>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4"/>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5"/>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6"/>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5"/>
            </reference>
            <reference field="2" count="1">
              <x v="7"/>
            </reference>
            <reference field="4" count="1" selected="0">
              <x v="0"/>
            </reference>
            <reference field="5" count="11" selected="0">
              <x v="0"/>
              <x v="1"/>
              <x v="2"/>
              <x v="3"/>
              <x v="4"/>
              <x v="5"/>
              <x v="6"/>
              <x v="7"/>
              <x v="8"/>
              <x v="9"/>
              <x v="10"/>
            </reference>
          </references>
        </pivotArea>
      </pivotAreas>
    </conditionalFormat>
    <conditionalFormat priority="10">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5"/>
            </reference>
            <reference field="5" count="11" selected="0">
              <x v="0"/>
              <x v="1"/>
              <x v="2"/>
              <x v="3"/>
              <x v="4"/>
              <x v="5"/>
              <x v="6"/>
              <x v="7"/>
              <x v="8"/>
              <x v="9"/>
              <x v="10"/>
            </reference>
          </references>
        </pivotArea>
      </pivotAreas>
    </conditionalFormat>
    <conditionalFormat priority="11">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4"/>
            </reference>
            <reference field="5" count="11" selected="0">
              <x v="0"/>
              <x v="1"/>
              <x v="2"/>
              <x v="3"/>
              <x v="4"/>
              <x v="5"/>
              <x v="6"/>
              <x v="7"/>
              <x v="8"/>
              <x v="9"/>
              <x v="10"/>
            </reference>
          </references>
        </pivotArea>
      </pivotAreas>
    </conditionalFormat>
    <conditionalFormat priority="12">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3"/>
            </reference>
            <reference field="5" count="11" selected="0">
              <x v="0"/>
              <x v="1"/>
              <x v="2"/>
              <x v="3"/>
              <x v="4"/>
              <x v="5"/>
              <x v="6"/>
              <x v="7"/>
              <x v="8"/>
              <x v="9"/>
              <x v="10"/>
            </reference>
          </references>
        </pivotArea>
      </pivotAreas>
    </conditionalFormat>
    <conditionalFormat priority="13">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2"/>
            </reference>
            <reference field="5" count="11" selected="0">
              <x v="0"/>
              <x v="1"/>
              <x v="2"/>
              <x v="3"/>
              <x v="4"/>
              <x v="5"/>
              <x v="6"/>
              <x v="7"/>
              <x v="8"/>
              <x v="9"/>
              <x v="10"/>
            </reference>
          </references>
        </pivotArea>
      </pivotAreas>
    </conditionalFormat>
    <conditionalFormat priority="14">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1"/>
            </reference>
            <reference field="5" count="11" selected="0">
              <x v="0"/>
              <x v="1"/>
              <x v="2"/>
              <x v="3"/>
              <x v="4"/>
              <x v="5"/>
              <x v="6"/>
              <x v="7"/>
              <x v="8"/>
              <x v="9"/>
              <x v="10"/>
            </reference>
          </references>
        </pivotArea>
      </pivotAreas>
    </conditionalFormat>
    <conditionalFormat priority="15">
      <pivotAreas count="8">
        <pivotArea type="data" collapsedLevelsAreSubtotals="1" fieldPosition="0">
          <references count="5">
            <reference field="4294967294" count="1" selected="0">
              <x v="0"/>
            </reference>
            <reference field="1" count="1" selected="0">
              <x v="3"/>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7"/>
            </reference>
            <reference field="4" count="1" selected="0">
              <x v="1"/>
            </reference>
            <reference field="5" count="11" selected="0">
              <x v="0"/>
              <x v="1"/>
              <x v="2"/>
              <x v="3"/>
              <x v="4"/>
              <x v="5"/>
              <x v="6"/>
              <x v="7"/>
              <x v="8"/>
              <x v="9"/>
              <x v="10"/>
            </reference>
          </references>
        </pivotArea>
      </pivotAreas>
    </conditionalFormat>
    <conditionalFormat priority="16">
      <pivotAreas count="8">
        <pivotArea type="data" collapsedLevelsAreSubtotals="1" fieldPosition="0">
          <references count="5">
            <reference field="4294967294" count="1" selected="0">
              <x v="0"/>
            </reference>
            <reference field="1" count="1" selected="0">
              <x v="4"/>
            </reference>
            <reference field="2" count="1">
              <x v="0"/>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1"/>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2"/>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3"/>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4"/>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5"/>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6"/>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4"/>
            </reference>
            <reference field="2" count="1">
              <x v="7"/>
            </reference>
            <reference field="4" count="1" selected="0">
              <x v="0"/>
            </reference>
            <reference field="5" count="11" selected="0">
              <x v="0"/>
              <x v="1"/>
              <x v="2"/>
              <x v="3"/>
              <x v="4"/>
              <x v="5"/>
              <x v="6"/>
              <x v="7"/>
              <x v="8"/>
              <x v="9"/>
              <x v="10"/>
            </reference>
          </references>
        </pivotArea>
      </pivotAreas>
    </conditionalFormat>
    <conditionalFormat priority="17">
      <pivotAreas count="7">
        <pivotArea type="data" collapsedLevelsAreSubtotals="1" fieldPosition="0">
          <references count="5">
            <reference field="4294967294" count="1" selected="0">
              <x v="0"/>
            </reference>
            <reference field="1" count="1" selected="0">
              <x v="3"/>
            </reference>
            <reference field="2" count="1">
              <x v="0"/>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5"/>
            </reference>
            <reference field="5" count="11" selected="0">
              <x v="0"/>
              <x v="1"/>
              <x v="2"/>
              <x v="3"/>
              <x v="4"/>
              <x v="5"/>
              <x v="6"/>
              <x v="7"/>
              <x v="8"/>
              <x v="9"/>
              <x v="10"/>
            </reference>
          </references>
        </pivotArea>
      </pivotAreas>
    </conditionalFormat>
    <conditionalFormat priority="18">
      <pivotAreas count="8">
        <pivotArea type="data" collapsedLevelsAreSubtotals="1" fieldPosition="0">
          <references count="5">
            <reference field="4294967294" count="1" selected="0">
              <x v="0"/>
            </reference>
            <reference field="1" count="1" selected="0">
              <x v="3"/>
            </reference>
            <reference field="2" count="1">
              <x v="0"/>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7"/>
            </reference>
            <reference field="4" count="1" selected="0">
              <x v="4"/>
            </reference>
            <reference field="5" count="11" selected="0">
              <x v="0"/>
              <x v="1"/>
              <x v="2"/>
              <x v="3"/>
              <x v="4"/>
              <x v="5"/>
              <x v="6"/>
              <x v="7"/>
              <x v="8"/>
              <x v="9"/>
              <x v="10"/>
            </reference>
          </references>
        </pivotArea>
      </pivotAreas>
    </conditionalFormat>
    <conditionalFormat priority="19">
      <pivotAreas count="8">
        <pivotArea type="data" collapsedLevelsAreSubtotals="1" fieldPosition="0">
          <references count="5">
            <reference field="4294967294" count="1" selected="0">
              <x v="0"/>
            </reference>
            <reference field="1" count="1" selected="0">
              <x v="3"/>
            </reference>
            <reference field="2" count="1">
              <x v="0"/>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7"/>
            </reference>
            <reference field="4" count="1" selected="0">
              <x v="3"/>
            </reference>
            <reference field="5" count="11" selected="0">
              <x v="0"/>
              <x v="1"/>
              <x v="2"/>
              <x v="3"/>
              <x v="4"/>
              <x v="5"/>
              <x v="6"/>
              <x v="7"/>
              <x v="8"/>
              <x v="9"/>
              <x v="10"/>
            </reference>
          </references>
        </pivotArea>
      </pivotAreas>
    </conditionalFormat>
    <conditionalFormat priority="20">
      <pivotAreas count="8">
        <pivotArea type="data" collapsedLevelsAreSubtotals="1" fieldPosition="0">
          <references count="5">
            <reference field="4294967294" count="1" selected="0">
              <x v="0"/>
            </reference>
            <reference field="1" count="1" selected="0">
              <x v="3"/>
            </reference>
            <reference field="2" count="1">
              <x v="0"/>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7"/>
            </reference>
            <reference field="4" count="1" selected="0">
              <x v="2"/>
            </reference>
            <reference field="5" count="11" selected="0">
              <x v="0"/>
              <x v="1"/>
              <x v="2"/>
              <x v="3"/>
              <x v="4"/>
              <x v="5"/>
              <x v="6"/>
              <x v="7"/>
              <x v="8"/>
              <x v="9"/>
              <x v="10"/>
            </reference>
          </references>
        </pivotArea>
      </pivotAreas>
    </conditionalFormat>
    <conditionalFormat priority="21">
      <pivotAreas count="7">
        <pivotArea type="data" collapsedLevelsAreSubtotals="1" fieldPosition="0">
          <references count="5">
            <reference field="4294967294" count="1" selected="0">
              <x v="0"/>
            </reference>
            <reference field="1" count="1" selected="0">
              <x v="3"/>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1"/>
            </reference>
            <reference field="5" count="11" selected="0">
              <x v="0"/>
              <x v="1"/>
              <x v="2"/>
              <x v="3"/>
              <x v="4"/>
              <x v="5"/>
              <x v="6"/>
              <x v="7"/>
              <x v="8"/>
              <x v="9"/>
              <x v="10"/>
            </reference>
          </references>
        </pivotArea>
      </pivotAreas>
    </conditionalFormat>
    <conditionalFormat priority="22">
      <pivotAreas count="8">
        <pivotArea type="data" collapsedLevelsAreSubtotals="1" fieldPosition="0">
          <references count="5">
            <reference field="4294967294" count="1" selected="0">
              <x v="0"/>
            </reference>
            <reference field="1" count="1" selected="0">
              <x v="3"/>
            </reference>
            <reference field="2" count="1">
              <x v="0"/>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1"/>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2"/>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3"/>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4"/>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5"/>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6"/>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3"/>
            </reference>
            <reference field="2" count="1">
              <x v="7"/>
            </reference>
            <reference field="4" count="1" selected="0">
              <x v="0"/>
            </reference>
            <reference field="5" count="11" selected="0">
              <x v="0"/>
              <x v="1"/>
              <x v="2"/>
              <x v="3"/>
              <x v="4"/>
              <x v="5"/>
              <x v="6"/>
              <x v="7"/>
              <x v="8"/>
              <x v="9"/>
              <x v="10"/>
            </reference>
          </references>
        </pivotArea>
      </pivotAreas>
    </conditionalFormat>
    <conditionalFormat priority="23">
      <pivotAreas count="7">
        <pivotArea type="data" collapsedLevelsAreSubtotals="1" fieldPosition="0">
          <references count="5">
            <reference field="4294967294" count="1" selected="0">
              <x v="0"/>
            </reference>
            <reference field="1" count="1" selected="0">
              <x v="2"/>
            </reference>
            <reference field="2" count="1">
              <x v="0"/>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5"/>
            </reference>
            <reference field="5" count="11" selected="0">
              <x v="0"/>
              <x v="1"/>
              <x v="2"/>
              <x v="3"/>
              <x v="4"/>
              <x v="5"/>
              <x v="6"/>
              <x v="7"/>
              <x v="8"/>
              <x v="9"/>
              <x v="10"/>
            </reference>
          </references>
        </pivotArea>
      </pivotAreas>
    </conditionalFormat>
    <conditionalFormat priority="24">
      <pivotAreas count="8">
        <pivotArea type="data" collapsedLevelsAreSubtotals="1" fieldPosition="0">
          <references count="5">
            <reference field="4294967294" count="1" selected="0">
              <x v="0"/>
            </reference>
            <reference field="1" count="1" selected="0">
              <x v="2"/>
            </reference>
            <reference field="2" count="1">
              <x v="0"/>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7"/>
            </reference>
            <reference field="4" count="1" selected="0">
              <x v="4"/>
            </reference>
            <reference field="5" count="11" selected="0">
              <x v="0"/>
              <x v="1"/>
              <x v="2"/>
              <x v="3"/>
              <x v="4"/>
              <x v="5"/>
              <x v="6"/>
              <x v="7"/>
              <x v="8"/>
              <x v="9"/>
              <x v="10"/>
            </reference>
          </references>
        </pivotArea>
      </pivotAreas>
    </conditionalFormat>
    <conditionalFormat priority="25">
      <pivotAreas count="8">
        <pivotArea type="data" collapsedLevelsAreSubtotals="1" fieldPosition="0">
          <references count="5">
            <reference field="4294967294" count="1" selected="0">
              <x v="0"/>
            </reference>
            <reference field="1" count="1" selected="0">
              <x v="2"/>
            </reference>
            <reference field="2" count="1">
              <x v="0"/>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7"/>
            </reference>
            <reference field="4" count="1" selected="0">
              <x v="3"/>
            </reference>
            <reference field="5" count="11" selected="0">
              <x v="0"/>
              <x v="1"/>
              <x v="2"/>
              <x v="3"/>
              <x v="4"/>
              <x v="5"/>
              <x v="6"/>
              <x v="7"/>
              <x v="8"/>
              <x v="9"/>
              <x v="10"/>
            </reference>
          </references>
        </pivotArea>
      </pivotAreas>
    </conditionalFormat>
    <conditionalFormat priority="26">
      <pivotAreas count="8">
        <pivotArea type="data" collapsedLevelsAreSubtotals="1" fieldPosition="0">
          <references count="5">
            <reference field="4294967294" count="1" selected="0">
              <x v="0"/>
            </reference>
            <reference field="1" count="1" selected="0">
              <x v="2"/>
            </reference>
            <reference field="2" count="1">
              <x v="0"/>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7"/>
            </reference>
            <reference field="4" count="1" selected="0">
              <x v="2"/>
            </reference>
            <reference field="5" count="11" selected="0">
              <x v="0"/>
              <x v="1"/>
              <x v="2"/>
              <x v="3"/>
              <x v="4"/>
              <x v="5"/>
              <x v="6"/>
              <x v="7"/>
              <x v="8"/>
              <x v="9"/>
              <x v="10"/>
            </reference>
          </references>
        </pivotArea>
      </pivotAreas>
    </conditionalFormat>
    <conditionalFormat priority="27">
      <pivotAreas count="8">
        <pivotArea type="data" collapsedLevelsAreSubtotals="1" fieldPosition="0">
          <references count="5">
            <reference field="4294967294" count="1" selected="0">
              <x v="0"/>
            </reference>
            <reference field="1" count="1" selected="0">
              <x v="2"/>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7"/>
            </reference>
            <reference field="4" count="1" selected="0">
              <x v="1"/>
            </reference>
            <reference field="5" count="11" selected="0">
              <x v="0"/>
              <x v="1"/>
              <x v="2"/>
              <x v="3"/>
              <x v="4"/>
              <x v="5"/>
              <x v="6"/>
              <x v="7"/>
              <x v="8"/>
              <x v="9"/>
              <x v="10"/>
            </reference>
          </references>
        </pivotArea>
      </pivotAreas>
    </conditionalFormat>
    <conditionalFormat priority="28">
      <pivotAreas count="8">
        <pivotArea type="data" collapsedLevelsAreSubtotals="1" fieldPosition="0">
          <references count="5">
            <reference field="4294967294" count="1" selected="0">
              <x v="0"/>
            </reference>
            <reference field="1" count="1" selected="0">
              <x v="2"/>
            </reference>
            <reference field="2" count="1">
              <x v="0"/>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1"/>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2"/>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3"/>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4"/>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5"/>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6"/>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2"/>
            </reference>
            <reference field="2" count="1">
              <x v="7"/>
            </reference>
            <reference field="4" count="1" selected="0">
              <x v="0"/>
            </reference>
            <reference field="5" count="11" selected="0">
              <x v="0"/>
              <x v="1"/>
              <x v="2"/>
              <x v="3"/>
              <x v="4"/>
              <x v="5"/>
              <x v="6"/>
              <x v="7"/>
              <x v="8"/>
              <x v="9"/>
              <x v="10"/>
            </reference>
          </references>
        </pivotArea>
      </pivotAreas>
    </conditionalFormat>
    <conditionalFormat priority="29">
      <pivotAreas count="7">
        <pivotArea type="data" collapsedLevelsAreSubtotals="1" fieldPosition="0">
          <references count="5">
            <reference field="4294967294" count="1" selected="0">
              <x v="0"/>
            </reference>
            <reference field="1" count="1" selected="0">
              <x v="1"/>
            </reference>
            <reference field="2" count="1">
              <x v="0"/>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5"/>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5"/>
            </reference>
            <reference field="5" count="11" selected="0">
              <x v="0"/>
              <x v="1"/>
              <x v="2"/>
              <x v="3"/>
              <x v="4"/>
              <x v="5"/>
              <x v="6"/>
              <x v="7"/>
              <x v="8"/>
              <x v="9"/>
              <x v="10"/>
            </reference>
          </references>
        </pivotArea>
      </pivotAreas>
    </conditionalFormat>
    <conditionalFormat priority="30">
      <pivotAreas count="8">
        <pivotArea type="data" collapsedLevelsAreSubtotals="1" fieldPosition="0">
          <references count="5">
            <reference field="4294967294" count="1" selected="0">
              <x v="0"/>
            </reference>
            <reference field="1" count="1" selected="0">
              <x v="1"/>
            </reference>
            <reference field="2" count="1">
              <x v="0"/>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4"/>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7"/>
            </reference>
            <reference field="4" count="1" selected="0">
              <x v="4"/>
            </reference>
            <reference field="5" count="11" selected="0">
              <x v="0"/>
              <x v="1"/>
              <x v="2"/>
              <x v="3"/>
              <x v="4"/>
              <x v="5"/>
              <x v="6"/>
              <x v="7"/>
              <x v="8"/>
              <x v="9"/>
              <x v="10"/>
            </reference>
          </references>
        </pivotArea>
      </pivotAreas>
    </conditionalFormat>
    <conditionalFormat priority="31">
      <pivotAreas count="8">
        <pivotArea type="data" collapsedLevelsAreSubtotals="1" fieldPosition="0">
          <references count="5">
            <reference field="4294967294" count="1" selected="0">
              <x v="0"/>
            </reference>
            <reference field="1" count="1" selected="0">
              <x v="1"/>
            </reference>
            <reference field="2" count="1">
              <x v="0"/>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3"/>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7"/>
            </reference>
            <reference field="4" count="1" selected="0">
              <x v="3"/>
            </reference>
            <reference field="5" count="11" selected="0">
              <x v="0"/>
              <x v="1"/>
              <x v="2"/>
              <x v="3"/>
              <x v="4"/>
              <x v="5"/>
              <x v="6"/>
              <x v="7"/>
              <x v="8"/>
              <x v="9"/>
              <x v="10"/>
            </reference>
          </references>
        </pivotArea>
      </pivotAreas>
    </conditionalFormat>
    <conditionalFormat priority="32">
      <pivotAreas count="8">
        <pivotArea type="data" collapsedLevelsAreSubtotals="1" fieldPosition="0">
          <references count="5">
            <reference field="4294967294" count="1" selected="0">
              <x v="0"/>
            </reference>
            <reference field="1" count="1" selected="0">
              <x v="1"/>
            </reference>
            <reference field="2" count="1">
              <x v="0"/>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2"/>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7"/>
            </reference>
            <reference field="4" count="1" selected="0">
              <x v="2"/>
            </reference>
            <reference field="5" count="11" selected="0">
              <x v="0"/>
              <x v="1"/>
              <x v="2"/>
              <x v="3"/>
              <x v="4"/>
              <x v="5"/>
              <x v="6"/>
              <x v="7"/>
              <x v="8"/>
              <x v="9"/>
              <x v="10"/>
            </reference>
          </references>
        </pivotArea>
      </pivotAreas>
    </conditionalFormat>
    <conditionalFormat priority="33">
      <pivotAreas count="8">
        <pivotArea type="data" collapsedLevelsAreSubtotals="1" fieldPosition="0">
          <references count="5">
            <reference field="4294967294" count="1" selected="0">
              <x v="0"/>
            </reference>
            <reference field="1" count="1" selected="0">
              <x v="1"/>
            </reference>
            <reference field="2" count="1">
              <x v="0"/>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1"/>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7"/>
            </reference>
            <reference field="4" count="1" selected="0">
              <x v="1"/>
            </reference>
            <reference field="5" count="11" selected="0">
              <x v="0"/>
              <x v="1"/>
              <x v="2"/>
              <x v="3"/>
              <x v="4"/>
              <x v="5"/>
              <x v="6"/>
              <x v="7"/>
              <x v="8"/>
              <x v="9"/>
              <x v="10"/>
            </reference>
          </references>
        </pivotArea>
      </pivotAreas>
    </conditionalFormat>
    <conditionalFormat priority="34">
      <pivotAreas count="8">
        <pivotArea type="data" collapsedLevelsAreSubtotals="1" fieldPosition="0">
          <references count="5">
            <reference field="4294967294" count="1" selected="0">
              <x v="0"/>
            </reference>
            <reference field="1" count="1" selected="0">
              <x v="1"/>
            </reference>
            <reference field="2" count="1">
              <x v="0"/>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1"/>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2"/>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3"/>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4"/>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5"/>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6"/>
            </reference>
            <reference field="4" count="1" selected="0">
              <x v="0"/>
            </reference>
            <reference field="5" count="11" selected="0">
              <x v="0"/>
              <x v="1"/>
              <x v="2"/>
              <x v="3"/>
              <x v="4"/>
              <x v="5"/>
              <x v="6"/>
              <x v="7"/>
              <x v="8"/>
              <x v="9"/>
              <x v="10"/>
            </reference>
          </references>
        </pivotArea>
        <pivotArea type="data" collapsedLevelsAreSubtotals="1" fieldPosition="0">
          <references count="5">
            <reference field="4294967294" count="1" selected="0">
              <x v="0"/>
            </reference>
            <reference field="1" count="1" selected="0">
              <x v="1"/>
            </reference>
            <reference field="2" count="1">
              <x v="7"/>
            </reference>
            <reference field="4" count="1" selected="0">
              <x v="0"/>
            </reference>
            <reference field="5" count="11" selected="0">
              <x v="0"/>
              <x v="1"/>
              <x v="2"/>
              <x v="3"/>
              <x v="4"/>
              <x v="5"/>
              <x v="6"/>
              <x v="7"/>
              <x v="8"/>
              <x v="9"/>
              <x v="10"/>
            </reference>
          </references>
        </pivotArea>
      </pivotAreas>
    </conditionalFormat>
    <conditionalFormat priority="4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4:G5"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current_price" fld="8" subtotal="count" baseField="0" baseItem="0"/>
  </dataFields>
  <formats count="2">
    <format dxfId="164">
      <pivotArea type="all" dataOnly="0" outline="0" fieldPosition="0"/>
    </format>
    <format dxfId="1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E20:F27" firstHeaderRow="1" firstDataRow="1" firstDataCol="1"/>
  <pivotFields count="17">
    <pivotField showAll="0"/>
    <pivotField axis="axisRow"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7">
    <i>
      <x/>
    </i>
    <i>
      <x v="1"/>
    </i>
    <i>
      <x v="2"/>
    </i>
    <i>
      <x v="3"/>
    </i>
    <i>
      <x v="4"/>
    </i>
    <i>
      <x v="5"/>
    </i>
    <i t="grand">
      <x/>
    </i>
  </rowItems>
  <colItems count="1">
    <i/>
  </colItems>
  <dataFields count="1">
    <dataField name="Sum of current_price" fld="8" baseField="0" baseItem="0" numFmtId="168"/>
  </dataFields>
  <formats count="4">
    <format dxfId="168">
      <pivotArea outline="0" collapsedLevelsAreSubtotals="1" fieldPosition="0"/>
    </format>
    <format dxfId="167">
      <pivotArea outline="0" fieldPosition="0">
        <references count="1">
          <reference field="4294967294" count="1">
            <x v="0"/>
          </reference>
        </references>
      </pivotArea>
    </format>
    <format dxfId="166">
      <pivotArea outline="0" collapsedLevelsAreSubtotals="1" fieldPosition="0"/>
    </format>
    <format dxfId="165">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E71:L81"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Sum of Markdown loss2" fld="16" baseField="2" baseItem="7" numFmtId="167"/>
  </dataFields>
  <formats count="4">
    <format dxfId="172">
      <pivotArea collapsedLevelsAreSubtotals="1" fieldPosition="0">
        <references count="2">
          <reference field="1" count="0" selected="0"/>
          <reference field="2" count="0"/>
        </references>
      </pivotArea>
    </format>
    <format dxfId="171">
      <pivotArea grandRow="1" grandCol="1" outline="0" collapsedLevelsAreSubtotals="1" fieldPosition="0"/>
    </format>
    <format dxfId="170">
      <pivotArea type="all" dataOnly="0" outline="0" fieldPosition="0"/>
    </format>
    <format dxfId="169">
      <pivotArea outline="0" fieldPosition="0">
        <references count="1">
          <reference field="4294967294" count="1">
            <x v="0"/>
          </reference>
        </references>
      </pivotArea>
    </format>
  </formats>
  <conditionalFormats count="1">
    <conditionalFormat priority="36">
      <pivotAreas count="1">
        <pivotArea type="data" collapsedLevelsAreSubtotals="1" fieldPosition="0">
          <references count="3">
            <reference field="4294967294" count="1" selected="0">
              <x v="0"/>
            </reference>
            <reference field="1" count="6" selected="0">
              <x v="0"/>
              <x v="1"/>
              <x v="2"/>
              <x v="3"/>
              <x v="4"/>
              <x v="5"/>
            </reference>
            <reference field="2" count="8">
              <x v="0"/>
              <x v="1"/>
              <x v="2"/>
              <x v="3"/>
              <x v="4"/>
              <x v="5"/>
              <x v="6"/>
              <x v="7"/>
            </reference>
          </references>
        </pivotArea>
      </pivotAreas>
    </conditionalFormat>
  </conditionalFormat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series="1">
      <pivotArea type="data" outline="0" fieldPosition="0">
        <references count="2">
          <reference field="4294967294" count="1" selected="0">
            <x v="0"/>
          </reference>
          <reference field="1" count="1" selected="0">
            <x v="2"/>
          </reference>
        </references>
      </pivotArea>
    </chartFormat>
    <chartFormat chart="4" format="15"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4"/>
          </reference>
        </references>
      </pivotArea>
    </chartFormat>
    <chartFormat chart="4"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5"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C23:C24"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Items count="1">
    <i/>
  </rowItems>
  <colItems count="1">
    <i/>
  </colItems>
  <dataFields count="1">
    <dataField name="Total Original Value" fld="15" baseField="0" baseItem="0" numFmtId="167"/>
  </dataFields>
  <formats count="5">
    <format dxfId="120">
      <pivotArea grandRow="1" grandCol="1" outline="0" collapsedLevelsAreSubtotals="1" fieldPosition="0"/>
    </format>
    <format dxfId="119">
      <pivotArea type="all" dataOnly="0" outline="0" fieldPosition="0"/>
    </format>
    <format dxfId="118">
      <pivotArea outline="0" fieldPosition="0">
        <references count="1">
          <reference field="4294967294" count="1">
            <x v="0"/>
          </reference>
        </references>
      </pivotArea>
    </format>
    <format dxfId="117">
      <pivotArea type="all" dataOnly="0" outline="0" fieldPosition="0"/>
    </format>
    <format dxfId="11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15:H22" firstHeaderRow="1" firstDataRow="1" firstDataCol="1"/>
  <pivotFields count="19">
    <pivotField showAll="0"/>
    <pivotField axis="axisRow" showAll="0">
      <items count="7">
        <item x="2"/>
        <item x="4"/>
        <item x="5"/>
        <item x="0"/>
        <item x="3"/>
        <item x="1"/>
        <item t="default"/>
      </items>
    </pivotField>
    <pivotField showAll="0"/>
    <pivotField showAll="0"/>
    <pivotField showAll="0"/>
    <pivotField showAll="0"/>
    <pivotField showAll="0"/>
    <pivotField dataField="1" showAll="0"/>
    <pivotField showAll="0"/>
    <pivotField numFmtId="164" showAll="0"/>
    <pivotField showAll="0"/>
    <pivotField numFmtId="1" showAll="0"/>
    <pivotField showAll="0"/>
    <pivotField showAll="0"/>
    <pivotField showAll="0"/>
    <pivotField showAll="0"/>
    <pivotField showAll="0"/>
    <pivotField showAll="0"/>
    <pivotField showAll="0" defaultSubtotal="0"/>
  </pivotFields>
  <rowFields count="1">
    <field x="1"/>
  </rowFields>
  <rowItems count="7">
    <i>
      <x/>
    </i>
    <i>
      <x v="1"/>
    </i>
    <i>
      <x v="2"/>
    </i>
    <i>
      <x v="3"/>
    </i>
    <i>
      <x v="4"/>
    </i>
    <i>
      <x v="5"/>
    </i>
    <i t="grand">
      <x/>
    </i>
  </rowItems>
  <colItems count="1">
    <i/>
  </colItems>
  <dataFields count="1">
    <dataField name="Max of markdown_percentage" fld="7" subtotal="max" baseField="0" baseItem="199192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6"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108:N118"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items count="3">
        <item x="0"/>
        <item x="1"/>
        <item t="default"/>
      </items>
    </pivotField>
    <pivotField showAll="0"/>
    <pivotField showAll="0"/>
    <pivotField showAll="0"/>
    <pivotField showAll="0"/>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Count of current_price" fld="8" subtotal="count" baseField="2" baseItem="0"/>
  </dataFields>
  <formats count="1">
    <format dxfId="75">
      <pivotArea type="all" dataOnly="0" outline="0" fieldPosition="0"/>
    </format>
  </formats>
  <conditionalFormats count="1">
    <conditionalFormat priority="4">
      <pivotAreas count="1">
        <pivotArea type="data" collapsedLevelsAreSubtotals="1" fieldPosition="0">
          <references count="3">
            <reference field="4294967294" count="1" selected="0">
              <x v="0"/>
            </reference>
            <reference field="1" count="6" selected="0">
              <x v="0"/>
              <x v="1"/>
              <x v="2"/>
              <x v="3"/>
              <x v="4"/>
              <x v="5"/>
            </reference>
            <reference field="2" count="8">
              <x v="0"/>
              <x v="1"/>
              <x v="2"/>
              <x v="3"/>
              <x v="4"/>
              <x v="5"/>
              <x v="6"/>
              <x v="7"/>
            </reference>
          </references>
        </pivotArea>
      </pivotAreas>
    </conditionalFormat>
  </conditional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G77:N95" firstHeaderRow="1" firstDataRow="2" firstDataCol="1"/>
  <pivotFields count="17">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axis="axisRow" dataField="1" showAll="0">
      <items count="3">
        <item h="1" x="0"/>
        <item x="1"/>
        <item t="default"/>
      </items>
    </pivotField>
    <pivotField showAll="0"/>
    <pivotField showAll="0"/>
    <pivotField showAll="0"/>
    <pivotField showAll="0"/>
  </pivotFields>
  <rowFields count="2">
    <field x="2"/>
    <field x="12"/>
  </rowFields>
  <rowItems count="17">
    <i>
      <x/>
    </i>
    <i r="1">
      <x v="1"/>
    </i>
    <i>
      <x v="1"/>
    </i>
    <i r="1">
      <x v="1"/>
    </i>
    <i>
      <x v="2"/>
    </i>
    <i r="1">
      <x v="1"/>
    </i>
    <i>
      <x v="3"/>
    </i>
    <i r="1">
      <x v="1"/>
    </i>
    <i>
      <x v="4"/>
    </i>
    <i r="1">
      <x v="1"/>
    </i>
    <i>
      <x v="5"/>
    </i>
    <i r="1">
      <x v="1"/>
    </i>
    <i>
      <x v="6"/>
    </i>
    <i r="1">
      <x v="1"/>
    </i>
    <i>
      <x v="7"/>
    </i>
    <i r="1">
      <x v="1"/>
    </i>
    <i t="grand">
      <x/>
    </i>
  </rowItems>
  <colFields count="1">
    <field x="1"/>
  </colFields>
  <colItems count="7">
    <i>
      <x/>
    </i>
    <i>
      <x v="1"/>
    </i>
    <i>
      <x v="2"/>
    </i>
    <i>
      <x v="3"/>
    </i>
    <i>
      <x v="4"/>
    </i>
    <i>
      <x v="5"/>
    </i>
    <i t="grand">
      <x/>
    </i>
  </colItems>
  <dataFields count="1">
    <dataField name="Count of is_returned" fld="12" subtotal="count" baseField="0" baseItem="0"/>
  </dataFields>
  <formats count="6">
    <format dxfId="81">
      <pivotArea collapsedLevelsAreSubtotals="1" fieldPosition="0">
        <references count="3">
          <reference field="1" count="1" selected="0">
            <x v="0"/>
          </reference>
          <reference field="2" count="1" selected="0">
            <x v="2"/>
          </reference>
          <reference field="12" count="1">
            <x v="1"/>
          </reference>
        </references>
      </pivotArea>
    </format>
    <format dxfId="80">
      <pivotArea collapsedLevelsAreSubtotals="1" fieldPosition="0">
        <references count="3">
          <reference field="1" count="1" selected="0">
            <x v="0"/>
          </reference>
          <reference field="2" count="1" selected="0">
            <x v="7"/>
          </reference>
          <reference field="12" count="1">
            <x v="1"/>
          </reference>
        </references>
      </pivotArea>
    </format>
    <format dxfId="79">
      <pivotArea collapsedLevelsAreSubtotals="1" fieldPosition="0">
        <references count="3">
          <reference field="1" count="1" selected="0">
            <x v="1"/>
          </reference>
          <reference field="2" count="1" selected="0">
            <x v="4"/>
          </reference>
          <reference field="12" count="1">
            <x v="1"/>
          </reference>
        </references>
      </pivotArea>
    </format>
    <format dxfId="78">
      <pivotArea collapsedLevelsAreSubtotals="1" fieldPosition="0">
        <references count="3">
          <reference field="1" count="1" selected="0">
            <x v="0"/>
          </reference>
          <reference field="2" count="1" selected="0">
            <x v="2"/>
          </reference>
          <reference field="12" count="1">
            <x v="1"/>
          </reference>
        </references>
      </pivotArea>
    </format>
    <format dxfId="77">
      <pivotArea collapsedLevelsAreSubtotals="1" fieldPosition="0">
        <references count="3">
          <reference field="1" count="1" selected="0">
            <x v="5"/>
          </reference>
          <reference field="2" count="1" selected="0">
            <x v="3"/>
          </reference>
          <reference field="12" count="1">
            <x v="1"/>
          </reference>
        </references>
      </pivotArea>
    </format>
    <format dxfId="76">
      <pivotArea type="all" dataOnly="0" outline="0" fieldPosition="0"/>
    </format>
  </formats>
  <conditionalFormats count="3">
    <conditionalFormat priority="11">
      <pivotAreas count="1">
        <pivotArea type="data" collapsedLevelsAreSubtotals="1" fieldPosition="0">
          <references count="4">
            <reference field="4294967294" count="1" selected="0">
              <x v="0"/>
            </reference>
            <reference field="1" count="6" selected="0">
              <x v="0"/>
              <x v="1"/>
              <x v="2"/>
              <x v="3"/>
              <x v="4"/>
              <x v="5"/>
            </reference>
            <reference field="2" count="1" selected="0">
              <x v="0"/>
            </reference>
            <reference field="12" count="1">
              <x v="1"/>
            </reference>
          </references>
        </pivotArea>
      </pivotAreas>
    </conditionalFormat>
    <conditionalFormat priority="10">
      <pivotAreas count="1">
        <pivotArea type="data" collapsedLevelsAreSubtotals="1" fieldPosition="0">
          <references count="4">
            <reference field="4294967294" count="1" selected="0">
              <x v="0"/>
            </reference>
            <reference field="1" count="6" selected="0">
              <x v="0"/>
              <x v="1"/>
              <x v="2"/>
              <x v="3"/>
              <x v="4"/>
              <x v="5"/>
            </reference>
            <reference field="2" count="1" selected="0">
              <x v="7"/>
            </reference>
            <reference field="12" count="1">
              <x v="1"/>
            </reference>
          </references>
        </pivotArea>
      </pivotAreas>
    </conditionalFormat>
    <conditionalFormat priority="9">
      <pivotAreas count="1">
        <pivotArea type="data" collapsedLevelsAreSubtotals="1" fieldPosition="0">
          <references count="4">
            <reference field="4294967294" count="1" selected="0">
              <x v="0"/>
            </reference>
            <reference field="1" count="6" selected="0">
              <x v="0"/>
              <x v="1"/>
              <x v="2"/>
              <x v="3"/>
              <x v="4"/>
              <x v="5"/>
            </reference>
            <reference field="2" count="1" selected="0">
              <x v="1"/>
            </reference>
            <reference field="12" count="1">
              <x v="1"/>
            </reference>
          </references>
        </pivotArea>
      </pivotAreas>
    </conditionalFormat>
  </conditional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1"/>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 chart="3" format="15" series="1">
      <pivotArea type="data" outline="0" fieldPosition="0">
        <references count="2">
          <reference field="4294967294" count="1" selected="0">
            <x v="0"/>
          </reference>
          <reference field="1" count="1" selected="0">
            <x v="3"/>
          </reference>
        </references>
      </pivotArea>
    </chartFormat>
    <chartFormat chart="3" format="16" series="1">
      <pivotArea type="data" outline="0" fieldPosition="0">
        <references count="2">
          <reference field="4294967294" count="1" selected="0">
            <x v="0"/>
          </reference>
          <reference field="1" count="1" selected="0">
            <x v="4"/>
          </reference>
        </references>
      </pivotArea>
    </chartFormat>
    <chartFormat chart="3"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1"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G151:H154" firstHeaderRow="1" firstDataRow="1" firstDataCol="1"/>
  <pivotFields count="19">
    <pivotField showAll="0"/>
    <pivotField showAll="0">
      <items count="7">
        <item x="2"/>
        <item x="4"/>
        <item x="5"/>
        <item x="0"/>
        <item x="3"/>
        <item x="1"/>
        <item t="default"/>
      </items>
    </pivotField>
    <pivotField dataField="1" showAll="0">
      <items count="9">
        <item x="5"/>
        <item x="2"/>
        <item x="7"/>
        <item x="6"/>
        <item x="4"/>
        <item x="3"/>
        <item x="1"/>
        <item x="0"/>
        <item t="default"/>
      </items>
    </pivotField>
    <pivotField showAll="0">
      <items count="5">
        <item x="2"/>
        <item x="0"/>
        <item x="3"/>
        <item x="1"/>
        <item t="default"/>
      </items>
    </pivotField>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axis="axisRow" showAll="0">
      <items count="3">
        <item x="1"/>
        <item x="0"/>
        <item t="default"/>
      </items>
    </pivotField>
    <pivotField showAll="0" defaultSubtotal="0">
      <items count="4">
        <item x="0"/>
        <item x="1"/>
        <item x="2"/>
        <item x="3"/>
      </items>
    </pivotField>
  </pivotFields>
  <rowFields count="1">
    <field x="17"/>
  </rowFields>
  <rowItems count="3">
    <i>
      <x/>
    </i>
    <i>
      <x v="1"/>
    </i>
    <i t="grand">
      <x/>
    </i>
  </rowItems>
  <colItems count="1">
    <i/>
  </colItems>
  <dataFields count="1">
    <dataField name="Count of brand" fld="2" subtotal="count" baseField="0" baseItem="0"/>
  </dataFields>
  <formats count="1">
    <format dxfId="82">
      <pivotArea type="all" dataOnly="0" outline="0"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G133:N139" firstHeaderRow="1" firstDataRow="2" firstDataCol="1"/>
  <pivotFields count="19">
    <pivotField showAll="0"/>
    <pivotField axis="axisCol" showAll="0">
      <items count="7">
        <item x="2"/>
        <item x="4"/>
        <item x="5"/>
        <item x="0"/>
        <item x="3"/>
        <item x="1"/>
        <item t="default"/>
      </items>
    </pivotField>
    <pivotField dataField="1" showAll="0">
      <items count="9">
        <item x="5"/>
        <item x="2"/>
        <item x="7"/>
        <item x="6"/>
        <item x="4"/>
        <item x="3"/>
        <item x="1"/>
        <item x="0"/>
        <item t="default"/>
      </items>
    </pivotField>
    <pivotField axis="axisRow" showAll="0">
      <items count="5">
        <item x="2"/>
        <item x="0"/>
        <item x="3"/>
        <item x="1"/>
        <item t="default"/>
      </items>
    </pivotField>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showAll="0">
      <items count="3">
        <item x="1"/>
        <item x="0"/>
        <item t="default"/>
      </items>
    </pivotField>
    <pivotField showAll="0" defaultSubtotal="0">
      <items count="4">
        <item x="0"/>
        <item x="1"/>
        <item x="2"/>
        <item x="3"/>
      </items>
    </pivotField>
  </pivotFields>
  <rowFields count="1">
    <field x="3"/>
  </rowFields>
  <rowItems count="5">
    <i>
      <x/>
    </i>
    <i>
      <x v="1"/>
    </i>
    <i>
      <x v="2"/>
    </i>
    <i>
      <x v="3"/>
    </i>
    <i t="grand">
      <x/>
    </i>
  </rowItems>
  <colFields count="1">
    <field x="1"/>
  </colFields>
  <colItems count="7">
    <i>
      <x/>
    </i>
    <i>
      <x v="1"/>
    </i>
    <i>
      <x v="2"/>
    </i>
    <i>
      <x v="3"/>
    </i>
    <i>
      <x v="4"/>
    </i>
    <i>
      <x v="5"/>
    </i>
    <i t="grand">
      <x/>
    </i>
  </colItems>
  <dataFields count="1">
    <dataField name="Count of brand" fld="2" subtotal="count" baseField="0" baseItem="0"/>
  </dataFields>
  <formats count="1">
    <format dxfId="83">
      <pivotArea type="all" dataOnly="0" outline="0" fieldPosition="0"/>
    </format>
  </formats>
  <chartFormats count="2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2"/>
          </reference>
        </references>
      </pivotArea>
    </chartFormat>
    <chartFormat chart="0" format="7" series="1">
      <pivotArea type="data" outline="0" fieldPosition="0">
        <references count="2">
          <reference field="4294967294" count="1" selected="0">
            <x v="0"/>
          </reference>
          <reference field="1" count="1" selected="0">
            <x v="3"/>
          </reference>
        </references>
      </pivotArea>
    </chartFormat>
    <chartFormat chart="0" format="8" series="1">
      <pivotArea type="data" outline="0" fieldPosition="0">
        <references count="2">
          <reference field="4294967294" count="1" selected="0">
            <x v="0"/>
          </reference>
          <reference field="1" count="1" selected="0">
            <x v="4"/>
          </reference>
        </references>
      </pivotArea>
    </chartFormat>
    <chartFormat chart="0" format="9" series="1">
      <pivotArea type="data" outline="0" fieldPosition="0">
        <references count="2">
          <reference field="4294967294" count="1" selected="0">
            <x v="0"/>
          </reference>
          <reference field="1" count="1" selected="0">
            <x v="5"/>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series="1">
      <pivotArea type="data" outline="0" fieldPosition="0">
        <references count="2">
          <reference field="4294967294" count="1" selected="0">
            <x v="0"/>
          </reference>
          <reference field="1" count="1" selected="0">
            <x v="2"/>
          </reference>
        </references>
      </pivotArea>
    </chartFormat>
    <chartFormat chart="4" format="15"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4"/>
          </reference>
        </references>
      </pivotArea>
    </chartFormat>
    <chartFormat chart="4" format="17" series="1">
      <pivotArea type="data" outline="0" fieldPosition="0">
        <references count="2">
          <reference field="4294967294" count="1" selected="0">
            <x v="0"/>
          </reference>
          <reference field="1" count="1" selected="0">
            <x v="5"/>
          </reference>
        </references>
      </pivotArea>
    </chartFormat>
    <chartFormat chart="2" format="22" series="1">
      <pivotArea type="data" outline="0" fieldPosition="0">
        <references count="2">
          <reference field="4294967294" count="1" selected="0">
            <x v="0"/>
          </reference>
          <reference field="1" count="1" selected="0">
            <x v="0"/>
          </reference>
        </references>
      </pivotArea>
    </chartFormat>
    <chartFormat chart="2" format="23" series="1">
      <pivotArea type="data" outline="0" fieldPosition="0">
        <references count="2">
          <reference field="4294967294" count="1" selected="0">
            <x v="0"/>
          </reference>
          <reference field="1" count="1" selected="0">
            <x v="1"/>
          </reference>
        </references>
      </pivotArea>
    </chartFormat>
    <chartFormat chart="2" format="24" series="1">
      <pivotArea type="data" outline="0" fieldPosition="0">
        <references count="2">
          <reference field="4294967294" count="1" selected="0">
            <x v="0"/>
          </reference>
          <reference field="1" count="1" selected="0">
            <x v="2"/>
          </reference>
        </references>
      </pivotArea>
    </chartFormat>
    <chartFormat chart="2" format="25" series="1">
      <pivotArea type="data" outline="0" fieldPosition="0">
        <references count="2">
          <reference field="4294967294" count="1" selected="0">
            <x v="0"/>
          </reference>
          <reference field="1" count="1" selected="0">
            <x v="3"/>
          </reference>
        </references>
      </pivotArea>
    </chartFormat>
    <chartFormat chart="2" format="26" series="1">
      <pivotArea type="data" outline="0" fieldPosition="0">
        <references count="2">
          <reference field="4294967294" count="1" selected="0">
            <x v="0"/>
          </reference>
          <reference field="1" count="1" selected="0">
            <x v="4"/>
          </reference>
        </references>
      </pivotArea>
    </chartFormat>
    <chartFormat chart="2" format="2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G64:N74" firstHeaderRow="1" firstDataRow="2" firstDataCol="1"/>
  <pivotFields count="17">
    <pivotField showAll="0"/>
    <pivotField axis="axisCol" showAll="0">
      <items count="7">
        <item x="2"/>
        <item x="4"/>
        <item x="5"/>
        <item x="0"/>
        <item x="3"/>
        <item x="1"/>
        <item t="default"/>
      </items>
    </pivotField>
    <pivotField axis="axisRow" showAll="0">
      <items count="9">
        <item sd="0" x="5"/>
        <item sd="0" x="2"/>
        <item sd="0" x="7"/>
        <item sd="0" x="6"/>
        <item sd="0" x="4"/>
        <item sd="0" x="3"/>
        <item sd="0" x="1"/>
        <item sd="0" x="0"/>
        <item t="default"/>
      </items>
    </pivotField>
    <pivotField axis="axisRow" showAll="0">
      <items count="5">
        <item x="2"/>
        <item x="0"/>
        <item x="3"/>
        <item x="1"/>
        <item t="default"/>
      </items>
    </pivotField>
    <pivotField showAll="0"/>
    <pivotField showAll="0">
      <items count="12">
        <item x="7"/>
        <item x="2"/>
        <item x="5"/>
        <item x="10"/>
        <item x="4"/>
        <item x="6"/>
        <item x="8"/>
        <item x="1"/>
        <item x="9"/>
        <item x="0"/>
        <item x="3"/>
        <item t="default"/>
      </items>
    </pivotField>
    <pivotField showAll="0"/>
    <pivotField showAll="0"/>
    <pivotField showAll="0"/>
    <pivotField numFmtId="164" showAll="0"/>
    <pivotField showAll="0"/>
    <pivotField dataField="1" showAll="0">
      <items count="90">
        <item x="50"/>
        <item x="21"/>
        <item x="19"/>
        <item x="49"/>
        <item x="40"/>
        <item x="25"/>
        <item x="6"/>
        <item x="12"/>
        <item x="34"/>
        <item x="42"/>
        <item x="66"/>
        <item x="54"/>
        <item x="81"/>
        <item x="39"/>
        <item x="13"/>
        <item x="45"/>
        <item x="1"/>
        <item x="72"/>
        <item x="3"/>
        <item x="86"/>
        <item x="67"/>
        <item x="59"/>
        <item x="73"/>
        <item x="32"/>
        <item x="18"/>
        <item x="57"/>
        <item x="88"/>
        <item x="85"/>
        <item x="33"/>
        <item x="5"/>
        <item x="82"/>
        <item x="37"/>
        <item x="24"/>
        <item x="23"/>
        <item x="78"/>
        <item x="27"/>
        <item x="69"/>
        <item x="65"/>
        <item x="8"/>
        <item x="4"/>
        <item x="43"/>
        <item x="84"/>
        <item x="61"/>
        <item x="60"/>
        <item x="41"/>
        <item x="70"/>
        <item x="68"/>
        <item x="0"/>
        <item x="44"/>
        <item x="79"/>
        <item x="46"/>
        <item x="28"/>
        <item x="75"/>
        <item x="11"/>
        <item x="48"/>
        <item x="56"/>
        <item x="47"/>
        <item x="77"/>
        <item x="87"/>
        <item x="55"/>
        <item x="7"/>
        <item x="83"/>
        <item x="58"/>
        <item x="62"/>
        <item x="74"/>
        <item x="53"/>
        <item x="63"/>
        <item x="80"/>
        <item x="71"/>
        <item x="31"/>
        <item x="76"/>
        <item x="29"/>
        <item x="10"/>
        <item x="15"/>
        <item x="20"/>
        <item x="17"/>
        <item x="22"/>
        <item x="38"/>
        <item x="30"/>
        <item x="16"/>
        <item x="36"/>
        <item x="2"/>
        <item x="9"/>
        <item x="35"/>
        <item x="14"/>
        <item x="52"/>
        <item x="51"/>
        <item x="26"/>
        <item x="64"/>
        <item t="default"/>
      </items>
    </pivotField>
    <pivotField showAll="0"/>
    <pivotField showAll="0"/>
    <pivotField showAll="0"/>
    <pivotField showAll="0"/>
    <pivotField showAll="0"/>
  </pivotFields>
  <rowFields count="2">
    <field x="2"/>
    <field x="3"/>
  </rowFields>
  <rowItems count="9">
    <i>
      <x/>
    </i>
    <i>
      <x v="1"/>
    </i>
    <i>
      <x v="2"/>
    </i>
    <i>
      <x v="3"/>
    </i>
    <i>
      <x v="4"/>
    </i>
    <i>
      <x v="5"/>
    </i>
    <i>
      <x v="6"/>
    </i>
    <i>
      <x v="7"/>
    </i>
    <i t="grand">
      <x/>
    </i>
  </rowItems>
  <colFields count="1">
    <field x="1"/>
  </colFields>
  <colItems count="7">
    <i>
      <x/>
    </i>
    <i>
      <x v="1"/>
    </i>
    <i>
      <x v="2"/>
    </i>
    <i>
      <x v="3"/>
    </i>
    <i>
      <x v="4"/>
    </i>
    <i>
      <x v="5"/>
    </i>
    <i t="grand">
      <x/>
    </i>
  </colItems>
  <dataFields count="1">
    <dataField name="Average of customer_rating_fix" fld="11" subtotal="average" baseField="2" baseItem="0" numFmtId="166"/>
  </dataFields>
  <formats count="2">
    <format dxfId="85">
      <pivotArea outline="0" collapsedLevelsAreSubtotals="1" fieldPosition="0"/>
    </format>
    <format dxfId="84">
      <pivotArea type="all" dataOnly="0" outline="0" fieldPosition="0"/>
    </format>
  </formats>
  <conditionalFormats count="1">
    <conditionalFormat priority="8">
      <pivotAreas count="8">
        <pivotArea type="data" collapsedLevelsAreSubtotals="1" fieldPosition="0">
          <references count="3">
            <reference field="4294967294" count="1" selected="0">
              <x v="0"/>
            </reference>
            <reference field="1" count="6" selected="0">
              <x v="0"/>
              <x v="1"/>
              <x v="2"/>
              <x v="3"/>
              <x v="4"/>
              <x v="5"/>
            </reference>
            <reference field="2" count="1">
              <x v="0"/>
            </reference>
          </references>
        </pivotArea>
        <pivotArea type="data" collapsedLevelsAreSubtotals="1" fieldPosition="0">
          <references count="3">
            <reference field="4294967294" count="1" selected="0">
              <x v="0"/>
            </reference>
            <reference field="1" count="6" selected="0">
              <x v="0"/>
              <x v="1"/>
              <x v="2"/>
              <x v="3"/>
              <x v="4"/>
              <x v="5"/>
            </reference>
            <reference field="2" count="1">
              <x v="1"/>
            </reference>
          </references>
        </pivotArea>
        <pivotArea type="data" collapsedLevelsAreSubtotals="1" fieldPosition="0">
          <references count="3">
            <reference field="4294967294" count="1" selected="0">
              <x v="0"/>
            </reference>
            <reference field="1" count="6" selected="0">
              <x v="0"/>
              <x v="1"/>
              <x v="2"/>
              <x v="3"/>
              <x v="4"/>
              <x v="5"/>
            </reference>
            <reference field="2" count="1">
              <x v="2"/>
            </reference>
          </references>
        </pivotArea>
        <pivotArea type="data" collapsedLevelsAreSubtotals="1" fieldPosition="0">
          <references count="3">
            <reference field="4294967294" count="1" selected="0">
              <x v="0"/>
            </reference>
            <reference field="1" count="6" selected="0">
              <x v="0"/>
              <x v="1"/>
              <x v="2"/>
              <x v="3"/>
              <x v="4"/>
              <x v="5"/>
            </reference>
            <reference field="2" count="1">
              <x v="3"/>
            </reference>
          </references>
        </pivotArea>
        <pivotArea type="data" collapsedLevelsAreSubtotals="1" fieldPosition="0">
          <references count="3">
            <reference field="4294967294" count="1" selected="0">
              <x v="0"/>
            </reference>
            <reference field="1" count="6" selected="0">
              <x v="0"/>
              <x v="1"/>
              <x v="2"/>
              <x v="3"/>
              <x v="4"/>
              <x v="5"/>
            </reference>
            <reference field="2" count="1">
              <x v="4"/>
            </reference>
          </references>
        </pivotArea>
        <pivotArea type="data" collapsedLevelsAreSubtotals="1" fieldPosition="0">
          <references count="3">
            <reference field="4294967294" count="1" selected="0">
              <x v="0"/>
            </reference>
            <reference field="1" count="6" selected="0">
              <x v="0"/>
              <x v="1"/>
              <x v="2"/>
              <x v="3"/>
              <x v="4"/>
              <x v="5"/>
            </reference>
            <reference field="2" count="1">
              <x v="5"/>
            </reference>
          </references>
        </pivotArea>
        <pivotArea type="data" collapsedLevelsAreSubtotals="1" fieldPosition="0">
          <references count="3">
            <reference field="4294967294" count="1" selected="0">
              <x v="0"/>
            </reference>
            <reference field="1" count="6" selected="0">
              <x v="0"/>
              <x v="1"/>
              <x v="2"/>
              <x v="3"/>
              <x v="4"/>
              <x v="5"/>
            </reference>
            <reference field="2" count="1">
              <x v="6"/>
            </reference>
          </references>
        </pivotArea>
        <pivotArea type="data" collapsedLevelsAreSubtotals="1" fieldPosition="0">
          <references count="3">
            <reference field="4294967294" count="1" selected="0">
              <x v="0"/>
            </reference>
            <reference field="1" count="6" selected="0">
              <x v="0"/>
              <x v="1"/>
              <x v="2"/>
              <x v="3"/>
              <x v="4"/>
              <x v="5"/>
            </reference>
            <reference field="2" count="1">
              <x v="7"/>
            </reference>
          </references>
        </pivotArea>
      </pivotAreas>
    </conditionalFormat>
  </conditional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5">
  <location ref="T105:AB110" firstHeaderRow="1" firstDataRow="3" firstDataCol="1"/>
  <pivotFields count="17">
    <pivotField showAll="0"/>
    <pivotField axis="axisCol" showAll="0">
      <items count="7">
        <item h="1" x="2"/>
        <item h="1" x="4"/>
        <item h="1" x="5"/>
        <item x="0"/>
        <item h="1" x="3"/>
        <item h="1" x="1"/>
        <item t="default"/>
      </items>
    </pivotField>
    <pivotField axis="axisRow" dataField="1" showAll="0">
      <items count="9">
        <item x="5"/>
        <item h="1" x="2"/>
        <item h="1" x="7"/>
        <item h="1" x="6"/>
        <item h="1" x="4"/>
        <item h="1" x="3"/>
        <item h="1" x="1"/>
        <item h="1" x="0"/>
        <item t="default"/>
      </items>
    </pivotField>
    <pivotField showAll="0"/>
    <pivotField showAll="0"/>
    <pivotField showAll="0"/>
    <pivotField showAll="0"/>
    <pivotField showAll="0"/>
    <pivotField showAll="0"/>
    <pivotField numFmtId="164" showAll="0"/>
    <pivotField showAll="0"/>
    <pivotField showAll="0"/>
    <pivotField axis="axisRow" showAll="0">
      <items count="3">
        <item h="1" x="0"/>
        <item x="1"/>
        <item t="default"/>
      </items>
    </pivotField>
    <pivotField axis="axisCol" showAll="0">
      <items count="8">
        <item x="5"/>
        <item x="1"/>
        <item x="3"/>
        <item x="4"/>
        <item x="2"/>
        <item x="6"/>
        <item x="0"/>
        <item t="default"/>
      </items>
    </pivotField>
    <pivotField showAll="0"/>
    <pivotField showAll="0"/>
    <pivotField showAll="0"/>
  </pivotFields>
  <rowFields count="2">
    <field x="2"/>
    <field x="12"/>
  </rowFields>
  <rowItems count="3">
    <i>
      <x/>
    </i>
    <i r="1">
      <x v="1"/>
    </i>
    <i t="grand">
      <x/>
    </i>
  </rowItems>
  <colFields count="2">
    <field x="1"/>
    <field x="13"/>
  </colFields>
  <colItems count="8">
    <i>
      <x v="3"/>
      <x/>
    </i>
    <i r="1">
      <x v="1"/>
    </i>
    <i r="1">
      <x v="2"/>
    </i>
    <i r="1">
      <x v="3"/>
    </i>
    <i r="1">
      <x v="4"/>
    </i>
    <i r="1">
      <x v="5"/>
    </i>
    <i t="default">
      <x v="3"/>
    </i>
    <i t="grand">
      <x/>
    </i>
  </colItems>
  <dataFields count="1">
    <dataField name="Count of brand" fld="2" subtotal="count" baseField="0" baseItem="0"/>
  </dataFields>
  <formats count="6">
    <format dxfId="91">
      <pivotArea collapsedLevelsAreSubtotals="1" fieldPosition="0">
        <references count="3">
          <reference field="1" count="1" selected="0">
            <x v="0"/>
          </reference>
          <reference field="2" count="1" selected="0">
            <x v="2"/>
          </reference>
          <reference field="12" count="1">
            <x v="1"/>
          </reference>
        </references>
      </pivotArea>
    </format>
    <format dxfId="90">
      <pivotArea collapsedLevelsAreSubtotals="1" fieldPosition="0">
        <references count="3">
          <reference field="1" count="1" selected="0">
            <x v="0"/>
          </reference>
          <reference field="2" count="1" selected="0">
            <x v="7"/>
          </reference>
          <reference field="12" count="1">
            <x v="1"/>
          </reference>
        </references>
      </pivotArea>
    </format>
    <format dxfId="89">
      <pivotArea collapsedLevelsAreSubtotals="1" fieldPosition="0">
        <references count="3">
          <reference field="1" count="1" selected="0">
            <x v="1"/>
          </reference>
          <reference field="2" count="1" selected="0">
            <x v="4"/>
          </reference>
          <reference field="12" count="1">
            <x v="1"/>
          </reference>
        </references>
      </pivotArea>
    </format>
    <format dxfId="88">
      <pivotArea collapsedLevelsAreSubtotals="1" fieldPosition="0">
        <references count="3">
          <reference field="1" count="1" selected="0">
            <x v="0"/>
          </reference>
          <reference field="2" count="1" selected="0">
            <x v="2"/>
          </reference>
          <reference field="12" count="1">
            <x v="1"/>
          </reference>
        </references>
      </pivotArea>
    </format>
    <format dxfId="87">
      <pivotArea collapsedLevelsAreSubtotals="1" fieldPosition="0">
        <references count="3">
          <reference field="1" count="1" selected="0">
            <x v="5"/>
          </reference>
          <reference field="2" count="1" selected="0">
            <x v="3"/>
          </reference>
          <reference field="12" count="1">
            <x v="1"/>
          </reference>
        </references>
      </pivotArea>
    </format>
    <format dxfId="86">
      <pivotArea type="all" dataOnly="0" outline="0" fieldPosition="0"/>
    </format>
  </formats>
  <chartFormats count="60">
    <chartFormat chart="4" format="0" series="1">
      <pivotArea type="data" outline="0" fieldPosition="0">
        <references count="3">
          <reference field="4294967294" count="1" selected="0">
            <x v="0"/>
          </reference>
          <reference field="1" count="1" selected="0">
            <x v="0"/>
          </reference>
          <reference field="13" count="1" selected="0">
            <x v="0"/>
          </reference>
        </references>
      </pivotArea>
    </chartFormat>
    <chartFormat chart="4" format="1" series="1">
      <pivotArea type="data" outline="0" fieldPosition="0">
        <references count="3">
          <reference field="4294967294" count="1" selected="0">
            <x v="0"/>
          </reference>
          <reference field="1" count="1" selected="0">
            <x v="0"/>
          </reference>
          <reference field="13" count="1" selected="0">
            <x v="1"/>
          </reference>
        </references>
      </pivotArea>
    </chartFormat>
    <chartFormat chart="4" format="2" series="1">
      <pivotArea type="data" outline="0" fieldPosition="0">
        <references count="3">
          <reference field="4294967294" count="1" selected="0">
            <x v="0"/>
          </reference>
          <reference field="1" count="1" selected="0">
            <x v="0"/>
          </reference>
          <reference field="13" count="1" selected="0">
            <x v="2"/>
          </reference>
        </references>
      </pivotArea>
    </chartFormat>
    <chartFormat chart="4" format="3" series="1">
      <pivotArea type="data" outline="0" fieldPosition="0">
        <references count="3">
          <reference field="4294967294" count="1" selected="0">
            <x v="0"/>
          </reference>
          <reference field="1" count="1" selected="0">
            <x v="0"/>
          </reference>
          <reference field="13" count="1" selected="0">
            <x v="3"/>
          </reference>
        </references>
      </pivotArea>
    </chartFormat>
    <chartFormat chart="4" format="4" series="1">
      <pivotArea type="data" outline="0" fieldPosition="0">
        <references count="3">
          <reference field="4294967294" count="1" selected="0">
            <x v="0"/>
          </reference>
          <reference field="1" count="1" selected="0">
            <x v="0"/>
          </reference>
          <reference field="13" count="1" selected="0">
            <x v="4"/>
          </reference>
        </references>
      </pivotArea>
    </chartFormat>
    <chartFormat chart="4" format="5" series="1">
      <pivotArea type="data" outline="0" fieldPosition="0">
        <references count="3">
          <reference field="4294967294" count="1" selected="0">
            <x v="0"/>
          </reference>
          <reference field="1" count="1" selected="0">
            <x v="0"/>
          </reference>
          <reference field="13" count="1" selected="0">
            <x v="5"/>
          </reference>
        </references>
      </pivotArea>
    </chartFormat>
    <chartFormat chart="4" format="6" series="1">
      <pivotArea type="data" outline="0" fieldPosition="0">
        <references count="3">
          <reference field="4294967294" count="1" selected="0">
            <x v="0"/>
          </reference>
          <reference field="1" count="1" selected="0">
            <x v="1"/>
          </reference>
          <reference field="13" count="1" selected="0">
            <x v="0"/>
          </reference>
        </references>
      </pivotArea>
    </chartFormat>
    <chartFormat chart="4" format="7" series="1">
      <pivotArea type="data" outline="0" fieldPosition="0">
        <references count="3">
          <reference field="4294967294" count="1" selected="0">
            <x v="0"/>
          </reference>
          <reference field="1" count="1" selected="0">
            <x v="1"/>
          </reference>
          <reference field="13" count="1" selected="0">
            <x v="1"/>
          </reference>
        </references>
      </pivotArea>
    </chartFormat>
    <chartFormat chart="4" format="8" series="1">
      <pivotArea type="data" outline="0" fieldPosition="0">
        <references count="3">
          <reference field="4294967294" count="1" selected="0">
            <x v="0"/>
          </reference>
          <reference field="1" count="1" selected="0">
            <x v="1"/>
          </reference>
          <reference field="13" count="1" selected="0">
            <x v="2"/>
          </reference>
        </references>
      </pivotArea>
    </chartFormat>
    <chartFormat chart="4" format="9" series="1">
      <pivotArea type="data" outline="0" fieldPosition="0">
        <references count="3">
          <reference field="4294967294" count="1" selected="0">
            <x v="0"/>
          </reference>
          <reference field="1" count="1" selected="0">
            <x v="1"/>
          </reference>
          <reference field="13" count="1" selected="0">
            <x v="3"/>
          </reference>
        </references>
      </pivotArea>
    </chartFormat>
    <chartFormat chart="4" format="10" series="1">
      <pivotArea type="data" outline="0" fieldPosition="0">
        <references count="3">
          <reference field="4294967294" count="1" selected="0">
            <x v="0"/>
          </reference>
          <reference field="1" count="1" selected="0">
            <x v="1"/>
          </reference>
          <reference field="13" count="1" selected="0">
            <x v="4"/>
          </reference>
        </references>
      </pivotArea>
    </chartFormat>
    <chartFormat chart="4" format="11" series="1">
      <pivotArea type="data" outline="0" fieldPosition="0">
        <references count="3">
          <reference field="4294967294" count="1" selected="0">
            <x v="0"/>
          </reference>
          <reference field="1" count="1" selected="0">
            <x v="1"/>
          </reference>
          <reference field="13" count="1" selected="0">
            <x v="5"/>
          </reference>
        </references>
      </pivotArea>
    </chartFormat>
    <chartFormat chart="4" format="12" series="1">
      <pivotArea type="data" outline="0" fieldPosition="0">
        <references count="3">
          <reference field="4294967294" count="1" selected="0">
            <x v="0"/>
          </reference>
          <reference field="1" count="1" selected="0">
            <x v="2"/>
          </reference>
          <reference field="13" count="1" selected="0">
            <x v="0"/>
          </reference>
        </references>
      </pivotArea>
    </chartFormat>
    <chartFormat chart="4" format="13" series="1">
      <pivotArea type="data" outline="0" fieldPosition="0">
        <references count="3">
          <reference field="4294967294" count="1" selected="0">
            <x v="0"/>
          </reference>
          <reference field="1" count="1" selected="0">
            <x v="2"/>
          </reference>
          <reference field="13" count="1" selected="0">
            <x v="1"/>
          </reference>
        </references>
      </pivotArea>
    </chartFormat>
    <chartFormat chart="4" format="14" series="1">
      <pivotArea type="data" outline="0" fieldPosition="0">
        <references count="3">
          <reference field="4294967294" count="1" selected="0">
            <x v="0"/>
          </reference>
          <reference field="1" count="1" selected="0">
            <x v="2"/>
          </reference>
          <reference field="13" count="1" selected="0">
            <x v="2"/>
          </reference>
        </references>
      </pivotArea>
    </chartFormat>
    <chartFormat chart="4" format="15" series="1">
      <pivotArea type="data" outline="0" fieldPosition="0">
        <references count="3">
          <reference field="4294967294" count="1" selected="0">
            <x v="0"/>
          </reference>
          <reference field="1" count="1" selected="0">
            <x v="2"/>
          </reference>
          <reference field="13" count="1" selected="0">
            <x v="3"/>
          </reference>
        </references>
      </pivotArea>
    </chartFormat>
    <chartFormat chart="4" format="16" series="1">
      <pivotArea type="data" outline="0" fieldPosition="0">
        <references count="3">
          <reference field="4294967294" count="1" selected="0">
            <x v="0"/>
          </reference>
          <reference field="1" count="1" selected="0">
            <x v="2"/>
          </reference>
          <reference field="13" count="1" selected="0">
            <x v="4"/>
          </reference>
        </references>
      </pivotArea>
    </chartFormat>
    <chartFormat chart="4" format="17" series="1">
      <pivotArea type="data" outline="0" fieldPosition="0">
        <references count="3">
          <reference field="4294967294" count="1" selected="0">
            <x v="0"/>
          </reference>
          <reference field="1" count="1" selected="0">
            <x v="2"/>
          </reference>
          <reference field="13" count="1" selected="0">
            <x v="5"/>
          </reference>
        </references>
      </pivotArea>
    </chartFormat>
    <chartFormat chart="4" format="18" series="1">
      <pivotArea type="data" outline="0" fieldPosition="0">
        <references count="3">
          <reference field="4294967294" count="1" selected="0">
            <x v="0"/>
          </reference>
          <reference field="1" count="1" selected="0">
            <x v="3"/>
          </reference>
          <reference field="13" count="1" selected="0">
            <x v="0"/>
          </reference>
        </references>
      </pivotArea>
    </chartFormat>
    <chartFormat chart="4" format="19" series="1">
      <pivotArea type="data" outline="0" fieldPosition="0">
        <references count="3">
          <reference field="4294967294" count="1" selected="0">
            <x v="0"/>
          </reference>
          <reference field="1" count="1" selected="0">
            <x v="3"/>
          </reference>
          <reference field="13" count="1" selected="0">
            <x v="1"/>
          </reference>
        </references>
      </pivotArea>
    </chartFormat>
    <chartFormat chart="4" format="20" series="1">
      <pivotArea type="data" outline="0" fieldPosition="0">
        <references count="3">
          <reference field="4294967294" count="1" selected="0">
            <x v="0"/>
          </reference>
          <reference field="1" count="1" selected="0">
            <x v="3"/>
          </reference>
          <reference field="13" count="1" selected="0">
            <x v="2"/>
          </reference>
        </references>
      </pivotArea>
    </chartFormat>
    <chartFormat chart="4" format="21" series="1">
      <pivotArea type="data" outline="0" fieldPosition="0">
        <references count="3">
          <reference field="4294967294" count="1" selected="0">
            <x v="0"/>
          </reference>
          <reference field="1" count="1" selected="0">
            <x v="3"/>
          </reference>
          <reference field="13" count="1" selected="0">
            <x v="3"/>
          </reference>
        </references>
      </pivotArea>
    </chartFormat>
    <chartFormat chart="4" format="22" series="1">
      <pivotArea type="data" outline="0" fieldPosition="0">
        <references count="3">
          <reference field="4294967294" count="1" selected="0">
            <x v="0"/>
          </reference>
          <reference field="1" count="1" selected="0">
            <x v="3"/>
          </reference>
          <reference field="13" count="1" selected="0">
            <x v="4"/>
          </reference>
        </references>
      </pivotArea>
    </chartFormat>
    <chartFormat chart="4" format="23" series="1">
      <pivotArea type="data" outline="0" fieldPosition="0">
        <references count="3">
          <reference field="4294967294" count="1" selected="0">
            <x v="0"/>
          </reference>
          <reference field="1" count="1" selected="0">
            <x v="3"/>
          </reference>
          <reference field="13" count="1" selected="0">
            <x v="5"/>
          </reference>
        </references>
      </pivotArea>
    </chartFormat>
    <chartFormat chart="4" format="24" series="1">
      <pivotArea type="data" outline="0" fieldPosition="0">
        <references count="3">
          <reference field="4294967294" count="1" selected="0">
            <x v="0"/>
          </reference>
          <reference field="1" count="1" selected="0">
            <x v="4"/>
          </reference>
          <reference field="13" count="1" selected="0">
            <x v="0"/>
          </reference>
        </references>
      </pivotArea>
    </chartFormat>
    <chartFormat chart="4" format="25" series="1">
      <pivotArea type="data" outline="0" fieldPosition="0">
        <references count="3">
          <reference field="4294967294" count="1" selected="0">
            <x v="0"/>
          </reference>
          <reference field="1" count="1" selected="0">
            <x v="4"/>
          </reference>
          <reference field="13" count="1" selected="0">
            <x v="1"/>
          </reference>
        </references>
      </pivotArea>
    </chartFormat>
    <chartFormat chart="4" format="26" series="1">
      <pivotArea type="data" outline="0" fieldPosition="0">
        <references count="3">
          <reference field="4294967294" count="1" selected="0">
            <x v="0"/>
          </reference>
          <reference field="1" count="1" selected="0">
            <x v="4"/>
          </reference>
          <reference field="13" count="1" selected="0">
            <x v="2"/>
          </reference>
        </references>
      </pivotArea>
    </chartFormat>
    <chartFormat chart="4" format="27" series="1">
      <pivotArea type="data" outline="0" fieldPosition="0">
        <references count="3">
          <reference field="4294967294" count="1" selected="0">
            <x v="0"/>
          </reference>
          <reference field="1" count="1" selected="0">
            <x v="4"/>
          </reference>
          <reference field="13" count="1" selected="0">
            <x v="3"/>
          </reference>
        </references>
      </pivotArea>
    </chartFormat>
    <chartFormat chart="4" format="28" series="1">
      <pivotArea type="data" outline="0" fieldPosition="0">
        <references count="3">
          <reference field="4294967294" count="1" selected="0">
            <x v="0"/>
          </reference>
          <reference field="1" count="1" selected="0">
            <x v="4"/>
          </reference>
          <reference field="13" count="1" selected="0">
            <x v="4"/>
          </reference>
        </references>
      </pivotArea>
    </chartFormat>
    <chartFormat chart="4" format="29" series="1">
      <pivotArea type="data" outline="0" fieldPosition="0">
        <references count="3">
          <reference field="4294967294" count="1" selected="0">
            <x v="0"/>
          </reference>
          <reference field="1" count="1" selected="0">
            <x v="4"/>
          </reference>
          <reference field="13" count="1" selected="0">
            <x v="5"/>
          </reference>
        </references>
      </pivotArea>
    </chartFormat>
    <chartFormat chart="4" format="30" series="1">
      <pivotArea type="data" outline="0" fieldPosition="0">
        <references count="3">
          <reference field="4294967294" count="1" selected="0">
            <x v="0"/>
          </reference>
          <reference field="1" count="1" selected="0">
            <x v="5"/>
          </reference>
          <reference field="13" count="1" selected="0">
            <x v="0"/>
          </reference>
        </references>
      </pivotArea>
    </chartFormat>
    <chartFormat chart="4" format="31" series="1">
      <pivotArea type="data" outline="0" fieldPosition="0">
        <references count="3">
          <reference field="4294967294" count="1" selected="0">
            <x v="0"/>
          </reference>
          <reference field="1" count="1" selected="0">
            <x v="5"/>
          </reference>
          <reference field="13" count="1" selected="0">
            <x v="1"/>
          </reference>
        </references>
      </pivotArea>
    </chartFormat>
    <chartFormat chart="4" format="32" series="1">
      <pivotArea type="data" outline="0" fieldPosition="0">
        <references count="3">
          <reference field="4294967294" count="1" selected="0">
            <x v="0"/>
          </reference>
          <reference field="1" count="1" selected="0">
            <x v="5"/>
          </reference>
          <reference field="13" count="1" selected="0">
            <x v="2"/>
          </reference>
        </references>
      </pivotArea>
    </chartFormat>
    <chartFormat chart="4" format="33" series="1">
      <pivotArea type="data" outline="0" fieldPosition="0">
        <references count="3">
          <reference field="4294967294" count="1" selected="0">
            <x v="0"/>
          </reference>
          <reference field="1" count="1" selected="0">
            <x v="5"/>
          </reference>
          <reference field="13" count="1" selected="0">
            <x v="3"/>
          </reference>
        </references>
      </pivotArea>
    </chartFormat>
    <chartFormat chart="4" format="34" series="1">
      <pivotArea type="data" outline="0" fieldPosition="0">
        <references count="3">
          <reference field="4294967294" count="1" selected="0">
            <x v="0"/>
          </reference>
          <reference field="1" count="1" selected="0">
            <x v="5"/>
          </reference>
          <reference field="13" count="1" selected="0">
            <x v="4"/>
          </reference>
        </references>
      </pivotArea>
    </chartFormat>
    <chartFormat chart="4" format="35" series="1">
      <pivotArea type="data" outline="0" fieldPosition="0">
        <references count="3">
          <reference field="4294967294" count="1" selected="0">
            <x v="0"/>
          </reference>
          <reference field="1" count="1" selected="0">
            <x v="5"/>
          </reference>
          <reference field="13" count="1" selected="0">
            <x v="5"/>
          </reference>
        </references>
      </pivotArea>
    </chartFormat>
    <chartFormat chart="8" format="42" series="1">
      <pivotArea type="data" outline="0" fieldPosition="0">
        <references count="3">
          <reference field="4294967294" count="1" selected="0">
            <x v="0"/>
          </reference>
          <reference field="1" count="1" selected="0">
            <x v="2"/>
          </reference>
          <reference field="13" count="1" selected="0">
            <x v="0"/>
          </reference>
        </references>
      </pivotArea>
    </chartFormat>
    <chartFormat chart="8" format="43" series="1">
      <pivotArea type="data" outline="0" fieldPosition="0">
        <references count="3">
          <reference field="4294967294" count="1" selected="0">
            <x v="0"/>
          </reference>
          <reference field="1" count="1" selected="0">
            <x v="2"/>
          </reference>
          <reference field="13" count="1" selected="0">
            <x v="1"/>
          </reference>
        </references>
      </pivotArea>
    </chartFormat>
    <chartFormat chart="8" format="44" series="1">
      <pivotArea type="data" outline="0" fieldPosition="0">
        <references count="3">
          <reference field="4294967294" count="1" selected="0">
            <x v="0"/>
          </reference>
          <reference field="1" count="1" selected="0">
            <x v="2"/>
          </reference>
          <reference field="13" count="1" selected="0">
            <x v="2"/>
          </reference>
        </references>
      </pivotArea>
    </chartFormat>
    <chartFormat chart="8" format="45" series="1">
      <pivotArea type="data" outline="0" fieldPosition="0">
        <references count="3">
          <reference field="4294967294" count="1" selected="0">
            <x v="0"/>
          </reference>
          <reference field="1" count="1" selected="0">
            <x v="2"/>
          </reference>
          <reference field="13" count="1" selected="0">
            <x v="3"/>
          </reference>
        </references>
      </pivotArea>
    </chartFormat>
    <chartFormat chart="8" format="46" series="1">
      <pivotArea type="data" outline="0" fieldPosition="0">
        <references count="3">
          <reference field="4294967294" count="1" selected="0">
            <x v="0"/>
          </reference>
          <reference field="1" count="1" selected="0">
            <x v="2"/>
          </reference>
          <reference field="13" count="1" selected="0">
            <x v="4"/>
          </reference>
        </references>
      </pivotArea>
    </chartFormat>
    <chartFormat chart="8" format="47" series="1">
      <pivotArea type="data" outline="0" fieldPosition="0">
        <references count="3">
          <reference field="4294967294" count="1" selected="0">
            <x v="0"/>
          </reference>
          <reference field="1" count="1" selected="0">
            <x v="2"/>
          </reference>
          <reference field="13" count="1" selected="0">
            <x v="5"/>
          </reference>
        </references>
      </pivotArea>
    </chartFormat>
    <chartFormat chart="8" format="48" series="1">
      <pivotArea type="data" outline="0" fieldPosition="0">
        <references count="3">
          <reference field="4294967294" count="1" selected="0">
            <x v="0"/>
          </reference>
          <reference field="1" count="1" selected="0">
            <x v="3"/>
          </reference>
          <reference field="13" count="1" selected="0">
            <x v="0"/>
          </reference>
        </references>
      </pivotArea>
    </chartFormat>
    <chartFormat chart="8" format="49" series="1">
      <pivotArea type="data" outline="0" fieldPosition="0">
        <references count="3">
          <reference field="4294967294" count="1" selected="0">
            <x v="0"/>
          </reference>
          <reference field="1" count="1" selected="0">
            <x v="3"/>
          </reference>
          <reference field="13" count="1" selected="0">
            <x v="1"/>
          </reference>
        </references>
      </pivotArea>
    </chartFormat>
    <chartFormat chart="8" format="50" series="1">
      <pivotArea type="data" outline="0" fieldPosition="0">
        <references count="3">
          <reference field="4294967294" count="1" selected="0">
            <x v="0"/>
          </reference>
          <reference field="1" count="1" selected="0">
            <x v="3"/>
          </reference>
          <reference field="13" count="1" selected="0">
            <x v="2"/>
          </reference>
        </references>
      </pivotArea>
    </chartFormat>
    <chartFormat chart="8" format="51" series="1">
      <pivotArea type="data" outline="0" fieldPosition="0">
        <references count="3">
          <reference field="4294967294" count="1" selected="0">
            <x v="0"/>
          </reference>
          <reference field="1" count="1" selected="0">
            <x v="3"/>
          </reference>
          <reference field="13" count="1" selected="0">
            <x v="3"/>
          </reference>
        </references>
      </pivotArea>
    </chartFormat>
    <chartFormat chart="8" format="52" series="1">
      <pivotArea type="data" outline="0" fieldPosition="0">
        <references count="3">
          <reference field="4294967294" count="1" selected="0">
            <x v="0"/>
          </reference>
          <reference field="1" count="1" selected="0">
            <x v="3"/>
          </reference>
          <reference field="13" count="1" selected="0">
            <x v="4"/>
          </reference>
        </references>
      </pivotArea>
    </chartFormat>
    <chartFormat chart="8" format="53" series="1">
      <pivotArea type="data" outline="0" fieldPosition="0">
        <references count="3">
          <reference field="4294967294" count="1" selected="0">
            <x v="0"/>
          </reference>
          <reference field="1" count="1" selected="0">
            <x v="3"/>
          </reference>
          <reference field="13" count="1" selected="0">
            <x v="5"/>
          </reference>
        </references>
      </pivotArea>
    </chartFormat>
    <chartFormat chart="8" format="54" series="1">
      <pivotArea type="data" outline="0" fieldPosition="0">
        <references count="3">
          <reference field="4294967294" count="1" selected="0">
            <x v="0"/>
          </reference>
          <reference field="1" count="1" selected="0">
            <x v="5"/>
          </reference>
          <reference field="13" count="1" selected="0">
            <x v="0"/>
          </reference>
        </references>
      </pivotArea>
    </chartFormat>
    <chartFormat chart="8" format="55" series="1">
      <pivotArea type="data" outline="0" fieldPosition="0">
        <references count="3">
          <reference field="4294967294" count="1" selected="0">
            <x v="0"/>
          </reference>
          <reference field="1" count="1" selected="0">
            <x v="5"/>
          </reference>
          <reference field="13" count="1" selected="0">
            <x v="1"/>
          </reference>
        </references>
      </pivotArea>
    </chartFormat>
    <chartFormat chart="8" format="56" series="1">
      <pivotArea type="data" outline="0" fieldPosition="0">
        <references count="3">
          <reference field="4294967294" count="1" selected="0">
            <x v="0"/>
          </reference>
          <reference field="1" count="1" selected="0">
            <x v="5"/>
          </reference>
          <reference field="13" count="1" selected="0">
            <x v="2"/>
          </reference>
        </references>
      </pivotArea>
    </chartFormat>
    <chartFormat chart="8" format="57" series="1">
      <pivotArea type="data" outline="0" fieldPosition="0">
        <references count="3">
          <reference field="4294967294" count="1" selected="0">
            <x v="0"/>
          </reference>
          <reference field="1" count="1" selected="0">
            <x v="5"/>
          </reference>
          <reference field="13" count="1" selected="0">
            <x v="3"/>
          </reference>
        </references>
      </pivotArea>
    </chartFormat>
    <chartFormat chart="8" format="58" series="1">
      <pivotArea type="data" outline="0" fieldPosition="0">
        <references count="3">
          <reference field="4294967294" count="1" selected="0">
            <x v="0"/>
          </reference>
          <reference field="1" count="1" selected="0">
            <x v="5"/>
          </reference>
          <reference field="13" count="1" selected="0">
            <x v="4"/>
          </reference>
        </references>
      </pivotArea>
    </chartFormat>
    <chartFormat chart="8" format="59" series="1">
      <pivotArea type="data" outline="0" fieldPosition="0">
        <references count="3">
          <reference field="4294967294" count="1" selected="0">
            <x v="0"/>
          </reference>
          <reference field="1" count="1" selected="0">
            <x v="5"/>
          </reference>
          <reference field="13" count="1" selected="0">
            <x v="5"/>
          </reference>
        </references>
      </pivotArea>
    </chartFormat>
    <chartFormat chart="8" format="60" series="1">
      <pivotArea type="data" outline="0" fieldPosition="0">
        <references count="3">
          <reference field="4294967294" count="1" selected="0">
            <x v="0"/>
          </reference>
          <reference field="1" count="1" selected="0">
            <x v="0"/>
          </reference>
          <reference field="13" count="1" selected="0">
            <x v="0"/>
          </reference>
        </references>
      </pivotArea>
    </chartFormat>
    <chartFormat chart="8" format="61" series="1">
      <pivotArea type="data" outline="0" fieldPosition="0">
        <references count="3">
          <reference field="4294967294" count="1" selected="0">
            <x v="0"/>
          </reference>
          <reference field="1" count="1" selected="0">
            <x v="0"/>
          </reference>
          <reference field="13" count="1" selected="0">
            <x v="1"/>
          </reference>
        </references>
      </pivotArea>
    </chartFormat>
    <chartFormat chart="8" format="62" series="1">
      <pivotArea type="data" outline="0" fieldPosition="0">
        <references count="3">
          <reference field="4294967294" count="1" selected="0">
            <x v="0"/>
          </reference>
          <reference field="1" count="1" selected="0">
            <x v="0"/>
          </reference>
          <reference field="13" count="1" selected="0">
            <x v="2"/>
          </reference>
        </references>
      </pivotArea>
    </chartFormat>
    <chartFormat chart="8" format="63" series="1">
      <pivotArea type="data" outline="0" fieldPosition="0">
        <references count="3">
          <reference field="4294967294" count="1" selected="0">
            <x v="0"/>
          </reference>
          <reference field="1" count="1" selected="0">
            <x v="0"/>
          </reference>
          <reference field="13" count="1" selected="0">
            <x v="3"/>
          </reference>
        </references>
      </pivotArea>
    </chartFormat>
    <chartFormat chart="8" format="64" series="1">
      <pivotArea type="data" outline="0" fieldPosition="0">
        <references count="3">
          <reference field="4294967294" count="1" selected="0">
            <x v="0"/>
          </reference>
          <reference field="1" count="1" selected="0">
            <x v="0"/>
          </reference>
          <reference field="13" count="1" selected="0">
            <x v="4"/>
          </reference>
        </references>
      </pivotArea>
    </chartFormat>
    <chartFormat chart="8" format="65" series="1">
      <pivotArea type="data" outline="0" fieldPosition="0">
        <references count="3">
          <reference field="4294967294" count="1" selected="0">
            <x v="0"/>
          </reference>
          <reference field="1"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4"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4">
  <location ref="G175:N185" firstHeaderRow="1" firstDataRow="2" firstDataCol="1"/>
  <pivotFields count="19">
    <pivotField showAll="0"/>
    <pivotField axis="axisCol" showAll="0">
      <items count="7">
        <item x="2"/>
        <item x="4"/>
        <item x="5"/>
        <item x="0"/>
        <item x="3"/>
        <item x="1"/>
        <item t="default"/>
      </items>
    </pivotField>
    <pivotField axis="axisRow" showAll="0">
      <items count="9">
        <item x="5"/>
        <item x="2"/>
        <item x="7"/>
        <item x="6"/>
        <item x="4"/>
        <item x="3"/>
        <item x="1"/>
        <item x="0"/>
        <item t="default"/>
      </items>
    </pivotField>
    <pivotField showAll="0">
      <items count="5">
        <item x="2"/>
        <item x="0"/>
        <item x="3"/>
        <item x="1"/>
        <item t="default"/>
      </items>
    </pivotField>
    <pivotField showAll="0"/>
    <pivotField showAll="0"/>
    <pivotField showAll="0"/>
    <pivotField showAll="0"/>
    <pivotField showAll="0"/>
    <pivotField dataField="1"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showAll="0">
      <items count="3">
        <item x="1"/>
        <item x="0"/>
        <item t="default"/>
      </items>
    </pivotField>
    <pivotField showAll="0" defaultSubtotal="0">
      <items count="4">
        <item x="0"/>
        <item x="1"/>
        <item x="2"/>
        <item x="3"/>
      </items>
    </pivotField>
  </pivotFields>
  <rowFields count="1">
    <field x="2"/>
  </rowFields>
  <rowItems count="9">
    <i>
      <x/>
    </i>
    <i>
      <x v="1"/>
    </i>
    <i>
      <x v="2"/>
    </i>
    <i>
      <x v="3"/>
    </i>
    <i>
      <x v="4"/>
    </i>
    <i>
      <x v="5"/>
    </i>
    <i>
      <x v="6"/>
    </i>
    <i>
      <x v="7"/>
    </i>
    <i t="grand">
      <x/>
    </i>
  </rowItems>
  <colFields count="1">
    <field x="1"/>
  </colFields>
  <colItems count="7">
    <i>
      <x/>
    </i>
    <i>
      <x v="1"/>
    </i>
    <i>
      <x v="2"/>
    </i>
    <i>
      <x v="3"/>
    </i>
    <i>
      <x v="4"/>
    </i>
    <i>
      <x v="5"/>
    </i>
    <i t="grand">
      <x/>
    </i>
  </colItems>
  <dataFields count="1">
    <dataField name="Count of purchase_date" fld="9" subtotal="count" baseField="0" baseItem="0"/>
  </dataFields>
  <formats count="1">
    <format dxfId="92">
      <pivotArea type="all" dataOnly="0" outline="0" fieldPosition="0"/>
    </format>
  </formats>
  <chartFormats count="12">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3" series="1">
      <pivotArea type="data" outline="0" fieldPosition="0">
        <references count="2">
          <reference field="4294967294" count="1" selected="0">
            <x v="0"/>
          </reference>
          <reference field="1" count="1" selected="0">
            <x v="3"/>
          </reference>
        </references>
      </pivotArea>
    </chartFormat>
    <chartFormat chart="5" format="4" series="1">
      <pivotArea type="data" outline="0" fieldPosition="0">
        <references count="2">
          <reference field="4294967294" count="1" selected="0">
            <x v="0"/>
          </reference>
          <reference field="1" count="1" selected="0">
            <x v="4"/>
          </reference>
        </references>
      </pivotArea>
    </chartFormat>
    <chartFormat chart="5" format="5" series="1">
      <pivotArea type="data" outline="0" fieldPosition="0">
        <references count="2">
          <reference field="4294967294" count="1" selected="0">
            <x v="0"/>
          </reference>
          <reference field="1" count="1" selected="0">
            <x v="5"/>
          </reference>
        </references>
      </pivotArea>
    </chartFormat>
    <chartFormat chart="7" format="12" series="1">
      <pivotArea type="data" outline="0" fieldPosition="0">
        <references count="2">
          <reference field="4294967294" count="1" selected="0">
            <x v="0"/>
          </reference>
          <reference field="1" count="1" selected="0">
            <x v="0"/>
          </reference>
        </references>
      </pivotArea>
    </chartFormat>
    <chartFormat chart="7" format="13" series="1">
      <pivotArea type="data" outline="0" fieldPosition="0">
        <references count="2">
          <reference field="4294967294" count="1" selected="0">
            <x v="0"/>
          </reference>
          <reference field="1" count="1" selected="0">
            <x v="1"/>
          </reference>
        </references>
      </pivotArea>
    </chartFormat>
    <chartFormat chart="7" format="14" series="1">
      <pivotArea type="data" outline="0" fieldPosition="0">
        <references count="2">
          <reference field="4294967294" count="1" selected="0">
            <x v="0"/>
          </reference>
          <reference field="1" count="1" selected="0">
            <x v="2"/>
          </reference>
        </references>
      </pivotArea>
    </chartFormat>
    <chartFormat chart="7" format="15" series="1">
      <pivotArea type="data" outline="0" fieldPosition="0">
        <references count="2">
          <reference field="4294967294" count="1" selected="0">
            <x v="0"/>
          </reference>
          <reference field="1" count="1" selected="0">
            <x v="3"/>
          </reference>
        </references>
      </pivotArea>
    </chartFormat>
    <chartFormat chart="7" format="16" series="1">
      <pivotArea type="data" outline="0" fieldPosition="0">
        <references count="2">
          <reference field="4294967294" count="1" selected="0">
            <x v="0"/>
          </reference>
          <reference field="1" count="1" selected="0">
            <x v="4"/>
          </reference>
        </references>
      </pivotArea>
    </chartFormat>
    <chartFormat chart="7"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G120:J130" firstHeaderRow="1" firstDataRow="2" firstDataCol="1"/>
  <pivotFields count="19">
    <pivotField showAll="0"/>
    <pivotField dataField="1" showAll="0">
      <items count="7">
        <item x="2"/>
        <item x="4"/>
        <item x="5"/>
        <item x="0"/>
        <item x="3"/>
        <item x="1"/>
        <item t="default"/>
      </items>
    </pivotField>
    <pivotField axis="axisRow" showAll="0">
      <items count="9">
        <item x="5"/>
        <item x="2"/>
        <item x="7"/>
        <item x="6"/>
        <item x="4"/>
        <item x="3"/>
        <item x="1"/>
        <item x="0"/>
        <item t="default"/>
      </items>
    </pivotField>
    <pivotField showAll="0"/>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axis="axisCol" showAll="0">
      <items count="3">
        <item x="1"/>
        <item x="0"/>
        <item t="default"/>
      </items>
    </pivotField>
    <pivotField showAll="0" defaultSubtotal="0">
      <items count="4">
        <item x="0"/>
        <item x="1"/>
        <item x="2"/>
        <item x="3"/>
      </items>
    </pivotField>
  </pivotFields>
  <rowFields count="1">
    <field x="2"/>
  </rowFields>
  <rowItems count="9">
    <i>
      <x/>
    </i>
    <i>
      <x v="1"/>
    </i>
    <i>
      <x v="2"/>
    </i>
    <i>
      <x v="3"/>
    </i>
    <i>
      <x v="4"/>
    </i>
    <i>
      <x v="5"/>
    </i>
    <i>
      <x v="6"/>
    </i>
    <i>
      <x v="7"/>
    </i>
    <i t="grand">
      <x/>
    </i>
  </rowItems>
  <colFields count="1">
    <field x="17"/>
  </colFields>
  <colItems count="3">
    <i>
      <x/>
    </i>
    <i>
      <x v="1"/>
    </i>
    <i t="grand">
      <x/>
    </i>
  </colItems>
  <dataFields count="1">
    <dataField name="Count of category" fld="1" subtotal="count" baseField="0" baseItem="0"/>
  </dataFields>
  <formats count="1">
    <format dxfId="93">
      <pivotArea type="all" dataOnly="0" outline="0" fieldPosition="0"/>
    </format>
  </format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2" format="4" series="1">
      <pivotArea type="data" outline="0" fieldPosition="0">
        <references count="2">
          <reference field="4294967294" count="1" selected="0">
            <x v="0"/>
          </reference>
          <reference field="17" count="1" selected="0">
            <x v="0"/>
          </reference>
        </references>
      </pivotArea>
    </chartFormat>
    <chartFormat chart="2"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G143:H148" firstHeaderRow="1" firstDataRow="1" firstDataCol="1"/>
  <pivotFields count="19">
    <pivotField showAll="0"/>
    <pivotField showAll="0">
      <items count="7">
        <item x="2"/>
        <item x="4"/>
        <item x="5"/>
        <item x="0"/>
        <item x="3"/>
        <item x="1"/>
        <item t="default"/>
      </items>
    </pivotField>
    <pivotField dataField="1" showAll="0">
      <items count="9">
        <item x="5"/>
        <item x="2"/>
        <item x="7"/>
        <item x="6"/>
        <item x="4"/>
        <item x="3"/>
        <item x="1"/>
        <item x="0"/>
        <item t="default"/>
      </items>
    </pivotField>
    <pivotField axis="axisRow" showAll="0">
      <items count="5">
        <item x="2"/>
        <item x="0"/>
        <item x="3"/>
        <item x="1"/>
        <item t="default"/>
      </items>
    </pivotField>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showAll="0">
      <items count="3">
        <item x="1"/>
        <item x="0"/>
        <item t="default"/>
      </items>
    </pivotField>
    <pivotField showAll="0" defaultSubtotal="0">
      <items count="4">
        <item x="0"/>
        <item x="1"/>
        <item x="2"/>
        <item x="3"/>
      </items>
    </pivotField>
  </pivotFields>
  <rowFields count="1">
    <field x="3"/>
  </rowFields>
  <rowItems count="5">
    <i>
      <x/>
    </i>
    <i>
      <x v="1"/>
    </i>
    <i>
      <x v="2"/>
    </i>
    <i>
      <x v="3"/>
    </i>
    <i t="grand">
      <x/>
    </i>
  </rowItems>
  <colItems count="1">
    <i/>
  </colItems>
  <dataFields count="1">
    <dataField name="Count of brand" fld="2" subtotal="count" baseField="0" baseItem="0"/>
  </dataFields>
  <formats count="1">
    <format dxfId="94">
      <pivotArea type="all" dataOnly="0" outline="0"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3" cacheId="2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4">
  <location ref="G157:H173" firstHeaderRow="1" firstDataRow="1" firstDataCol="1"/>
  <pivotFields count="19">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items count="5">
        <item x="2"/>
        <item x="0"/>
        <item x="3"/>
        <item x="1"/>
        <item t="default"/>
      </items>
    </pivotField>
    <pivotField showAll="0"/>
    <pivotField showAll="0"/>
    <pivotField showAll="0"/>
    <pivotField showAll="0"/>
    <pivotField showAll="0"/>
    <pivotField axis="axisRow" dataField="1"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showAll="0"/>
    <pivotField showAll="0"/>
    <pivotField showAll="0">
      <items count="3">
        <item x="1"/>
        <item x="0"/>
        <item t="default"/>
      </items>
    </pivotField>
    <pivotField axis="axisRow" showAll="0" defaultSubtotal="0">
      <items count="4">
        <item x="0"/>
        <item x="1"/>
        <item x="2"/>
        <item x="3"/>
      </items>
    </pivotField>
  </pivotFields>
  <rowFields count="2">
    <field x="18"/>
    <field x="9"/>
  </rowFields>
  <rowItems count="16">
    <i>
      <x v="1"/>
    </i>
    <i r="1">
      <x v="8"/>
    </i>
    <i r="1">
      <x v="9"/>
    </i>
    <i r="1">
      <x v="10"/>
    </i>
    <i r="1">
      <x v="11"/>
    </i>
    <i r="1">
      <x v="12"/>
    </i>
    <i>
      <x v="2"/>
    </i>
    <i r="1">
      <x v="1"/>
    </i>
    <i r="1">
      <x v="2"/>
    </i>
    <i r="1">
      <x v="3"/>
    </i>
    <i r="1">
      <x v="4"/>
    </i>
    <i r="1">
      <x v="5"/>
    </i>
    <i r="1">
      <x v="6"/>
    </i>
    <i r="1">
      <x v="7"/>
    </i>
    <i r="1">
      <x v="8"/>
    </i>
    <i t="grand">
      <x/>
    </i>
  </rowItems>
  <colItems count="1">
    <i/>
  </colItems>
  <dataFields count="1">
    <dataField name="Count of purchase_date" fld="9" subtotal="count" baseField="0" baseItem="0"/>
  </dataFields>
  <formats count="1">
    <format dxfId="95">
      <pivotArea type="all" dataOnly="0" outline="0" fieldPosition="0"/>
    </format>
  </formats>
  <chartFormats count="3">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3">
          <reference field="4294967294" count="1" selected="0">
            <x v="0"/>
          </reference>
          <reference field="9" count="1" selected="0">
            <x v="8"/>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8:B9"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Sales" fld="8" subtotal="count" baseField="0" baseItem="0" numFmtId="3"/>
  </dataFields>
  <formats count="9">
    <format dxfId="8">
      <pivotArea outline="0" collapsedLevelsAreSubtotals="1" fieldPosition="0"/>
    </format>
    <format dxfId="7">
      <pivotArea type="all" dataOnly="0" outline="0" fieldPosition="0"/>
    </format>
    <format dxfId="6">
      <pivotArea type="all" dataOnly="0" outline="0"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fieldPosition="0">
        <references count="1">
          <reference field="4294967294" count="1">
            <x v="0"/>
          </reference>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A53:AA54"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showAll="0"/>
    <pivotField numFmtId="164"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Total Markdown Loss" fld="16" baseField="2" baseItem="7" numFmtId="167"/>
  </dataFields>
  <formats count="8">
    <format dxfId="16">
      <pivotArea grandRow="1" grandCol="1" outline="0" collapsedLevelsAreSubtotals="1" fieldPosition="0"/>
    </format>
    <format dxfId="15">
      <pivotArea outline="0" collapsedLevelsAreSubtotals="1" fieldPosition="0"/>
    </format>
    <format dxfId="14">
      <pivotArea dataOnly="0" labelOnly="1" outline="0" axis="axisValues" fieldPosition="0"/>
    </format>
    <format dxfId="13">
      <pivotArea outline="0" collapsedLevelsAreSubtotals="1" fieldPosition="0"/>
    </format>
    <format dxfId="12">
      <pivotArea dataOnly="0" labelOnly="1" outline="0" axis="axisValues" fieldPosition="0"/>
    </format>
    <format dxfId="11">
      <pivotArea outline="0" fieldPosition="0">
        <references count="1">
          <reference field="4294967294" count="1">
            <x v="0"/>
          </reference>
        </references>
      </pivotArea>
    </format>
    <format dxfId="10">
      <pivotArea type="all" dataOnly="0" outline="0"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2"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5:B6" firstHeaderRow="1" firstDataRow="1" firstDataCol="0"/>
  <pivotFields count="17">
    <pivotField showAll="0"/>
    <pivotField showAll="0">
      <items count="7">
        <item x="2"/>
        <item x="4"/>
        <item x="5"/>
        <item x="0"/>
        <item x="3"/>
        <item x="1"/>
        <item t="default"/>
      </items>
    </pivotField>
    <pivotField showAll="0">
      <items count="9">
        <item x="5"/>
        <item x="2"/>
        <item x="7"/>
        <item x="6"/>
        <item x="4"/>
        <item x="3"/>
        <item x="1"/>
        <item x="0"/>
        <item t="default"/>
      </items>
    </pivotField>
    <pivotField showAll="0"/>
    <pivotField showAll="0"/>
    <pivotField showAll="0"/>
    <pivotField showAll="0"/>
    <pivotField showAll="0"/>
    <pivotField dataField="1" showAll="0"/>
    <pivotField numFmtId="16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Revenue" fld="8" baseField="0" baseItem="0" numFmtId="167"/>
  </dataFields>
  <formats count="9">
    <format dxfId="25">
      <pivotArea outline="0" collapsedLevelsAreSubtotals="1" fieldPosition="0"/>
    </format>
    <format dxfId="24">
      <pivotArea type="all" dataOnly="0" outline="0" fieldPosition="0"/>
    </format>
    <format dxfId="23">
      <pivotArea type="all" dataOnly="0" outline="0"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fieldPosition="0">
        <references count="1">
          <reference field="4294967294" count="1">
            <x v="0"/>
          </reference>
        </references>
      </pivotArea>
    </format>
    <format dxfId="17">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 tabId="9" name="PivotTable12"/>
    <pivotTable tabId="4" name="PivotTable1"/>
    <pivotTable tabId="4" name="PivotTable3"/>
    <pivotTable tabId="4" name="PivotTable4"/>
    <pivotTable tabId="4" name="PivotTable6"/>
    <pivotTable tabId="4" name="PivotTable7"/>
    <pivotTable tabId="4" name="PivotTable8"/>
    <pivotTable tabId="4" name="PivotTable15"/>
    <pivotTable tabId="9" name="PivotTable1"/>
    <pivotTable tabId="4" name="PivotTable5"/>
    <pivotTable tabId="9" name="PivotTable6"/>
    <pivotTable tabId="4" name="PivotTable12"/>
    <pivotTable tabId="4" name="PivotTable13"/>
    <pivotTable tabId="4" name="PivotTable14"/>
    <pivotTable tabId="12" name="PivotTable15"/>
  </pivotTables>
  <data>
    <tabular pivotCacheId="1">
      <items count="6">
        <i x="2" s="1"/>
        <i x="4" s="1"/>
        <i x="5"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rand" sourceName="brand">
  <pivotTables>
    <pivotTable tabId="4" name="PivotTable2"/>
    <pivotTable tabId="9" name="PivotTable12"/>
    <pivotTable tabId="4" name="PivotTable1"/>
    <pivotTable tabId="4" name="PivotTable3"/>
    <pivotTable tabId="4" name="PivotTable4"/>
    <pivotTable tabId="4" name="PivotTable6"/>
    <pivotTable tabId="4" name="PivotTable7"/>
    <pivotTable tabId="4" name="PivotTable8"/>
    <pivotTable tabId="4" name="PivotTable15"/>
    <pivotTable tabId="9" name="PivotTable1"/>
    <pivotTable tabId="4" name="PivotTable5"/>
    <pivotTable tabId="9" name="PivotTable6"/>
    <pivotTable tabId="4" name="PivotTable12"/>
    <pivotTable tabId="4" name="PivotTable13"/>
    <pivotTable tabId="4" name="PivotTable14"/>
    <pivotTable tabId="12" name="PivotTable15"/>
  </pivotTables>
  <data>
    <tabular pivotCacheId="1">
      <items count="8">
        <i x="5" s="1"/>
        <i x="2" s="1"/>
        <i x="7" s="1"/>
        <i x="6"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category 1" cache="Slicer_category" caption="category" rowHeight="241300"/>
  <slicer name="brand" cache="Slicer_brand" caption="brand" rowHeight="241300"/>
</slicers>
</file>

<file path=xl/tables/table1.xml><?xml version="1.0" encoding="utf-8"?>
<table xmlns="http://schemas.openxmlformats.org/spreadsheetml/2006/main" id="3" name="Table3" displayName="Table3" ref="A1:R2177" totalsRowShown="0" headerRowDxfId="192" dataDxfId="191">
  <autoFilter ref="A1:R2177"/>
  <tableColumns count="18">
    <tableColumn id="1" name="product_id" dataDxfId="190"/>
    <tableColumn id="2" name="category" dataDxfId="189"/>
    <tableColumn id="3" name="brand" dataDxfId="188"/>
    <tableColumn id="4" name="season" dataDxfId="187"/>
    <tableColumn id="5" name="size" dataDxfId="186"/>
    <tableColumn id="6" name="color" dataDxfId="185"/>
    <tableColumn id="7" name="original_price" dataDxfId="184"/>
    <tableColumn id="8" name="markdown_percentage" dataDxfId="183"/>
    <tableColumn id="9" name="current_price" dataDxfId="182"/>
    <tableColumn id="10" name="purchase_date" dataDxfId="181"/>
    <tableColumn id="11" name="stock_quantity" dataDxfId="180"/>
    <tableColumn id="12" name="customer_rating_fix" dataDxfId="179"/>
    <tableColumn id="13" name="is_returned" dataDxfId="178"/>
    <tableColumn id="14" name="return_reason" dataDxfId="177"/>
    <tableColumn id="15" name="Inventory  Age" dataDxfId="176">
      <calculatedColumnFormula>DATE(2025,9,2)-J2</calculatedColumnFormula>
    </tableColumn>
    <tableColumn id="16" name="diskon x stock" dataDxfId="175">
      <calculatedColumnFormula>H2*K2</calculatedColumnFormula>
    </tableColumn>
    <tableColumn id="17" name="Is returned (0/1)" dataDxfId="174">
      <calculatedColumnFormula>IF(M2=FALSE,"",1)</calculatedColumnFormula>
    </tableColumn>
    <tableColumn id="18" name="Diskon dan tanpa diskon" dataDxfId="173">
      <calculatedColumnFormula>IF(H2=0,"Non diskon","Diskon")</calculatedColumnFormula>
    </tableColumn>
  </tableColumns>
  <tableStyleInfo showFirstColumn="0" showLastColumn="0" showRowStripes="1" showColumnStripes="0"/>
</table>
</file>

<file path=xl/tables/table2.xml><?xml version="1.0" encoding="utf-8"?>
<table xmlns="http://schemas.openxmlformats.org/spreadsheetml/2006/main" id="5" name="Table5" displayName="Table5" ref="T85:Y91" totalsRowShown="0" headerRowDxfId="128" dataDxfId="127">
  <autoFilter ref="T85:Y91"/>
  <sortState ref="T86:Y91">
    <sortCondition descending="1" ref="Y133:Y139"/>
  </sortState>
  <tableColumns count="6">
    <tableColumn id="1" name="Category" dataDxfId="126"/>
    <tableColumn id="2" name="Brand" dataDxfId="125"/>
    <tableColumn id="3" name="Size" dataDxfId="124"/>
    <tableColumn id="4" name="Season" dataDxfId="123"/>
    <tableColumn id="5" name="Color" dataDxfId="122"/>
    <tableColumn id="6" name="Age of Inventory" dataDxfId="121"/>
  </tableColumns>
  <tableStyleInfo name="TableStyleMedium9" showFirstColumn="0" showLastColumn="0" showRowStripes="1" showColumnStripes="0"/>
</table>
</file>

<file path=xl/tables/table3.xml><?xml version="1.0" encoding="utf-8"?>
<table xmlns="http://schemas.openxmlformats.org/spreadsheetml/2006/main" id="4" name="Table4" displayName="Table4" ref="C4:I10" totalsRowShown="0" headerRowDxfId="115" dataDxfId="114">
  <autoFilter ref="C4:I10"/>
  <tableColumns count="7">
    <tableColumn id="1" name="Category" dataDxfId="113"/>
    <tableColumn id="2" name="Brand" dataDxfId="112"/>
    <tableColumn id="3" name="Size" dataDxfId="111"/>
    <tableColumn id="4" name="Season" dataDxfId="110"/>
    <tableColumn id="5" name="Color" dataDxfId="109"/>
    <tableColumn id="6" name="Age of Inventory" dataDxfId="108"/>
    <tableColumn id="7" name="Stock Inventory" dataDxfId="107">
      <calculatedColumnFormula>SUMIFS('raw data'!$K$2:$K$2177,'raw data'!$B$2:$B$2177,C5,'raw data'!$C$2:$C$2177,D5,'raw data'!$E$2:$E$2177,'Pivot Tabel 1'!E5,'raw data'!$D$2:$D$2177,'Pivot Tabel 1'!F5,'raw data'!$F$2:$F$2177,'Pivot Tabel 1'!G5)</calculatedColumnFormula>
    </tableColumn>
  </tableColumns>
  <tableStyleInfo name="TableStyleMedium9" showFirstColumn="0" showLastColumn="0" showRowStripes="1" showColumnStripes="0"/>
</table>
</file>

<file path=xl/tables/table4.xml><?xml version="1.0" encoding="utf-8"?>
<table xmlns="http://schemas.openxmlformats.org/spreadsheetml/2006/main" id="12" name="Table12" displayName="Table12" ref="R3:R4" totalsRowShown="0" headerRowDxfId="106" headerRowBorderDxfId="105" tableBorderDxfId="104" totalsRowBorderDxfId="103">
  <autoFilter ref="R3:R4"/>
  <tableColumns count="1">
    <tableColumn id="1" name="Maximal Stock " dataDxfId="102">
      <calculatedColumnFormula>MAX('raw data'!K2:K2177)</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14" name="Table14" displayName="Table14" ref="C39:D42" totalsRowShown="0" headerRowDxfId="101" headerRowBorderDxfId="100" tableBorderDxfId="99" totalsRowBorderDxfId="98">
  <autoFilter ref="C39:D42"/>
  <tableColumns count="2">
    <tableColumn id="1" name="Markdown Persentage" dataDxfId="97"/>
    <tableColumn id="2" name="Percentage of is return discount product" dataDxfId="96"/>
  </tableColumns>
  <tableStyleInfo name="TableStyleMedium9" showFirstColumn="0" showLastColumn="0" showRowStripes="1" showColumnStripes="0"/>
</table>
</file>

<file path=xl/tables/table6.xml><?xml version="1.0" encoding="utf-8"?>
<table xmlns="http://schemas.openxmlformats.org/spreadsheetml/2006/main" id="8" name="Table8" displayName="Table8" ref="I30:M50" totalsRowShown="0" headerRowDxfId="74" dataDxfId="72" headerRowBorderDxfId="73" tableBorderDxfId="71" totalsRowBorderDxfId="70">
  <autoFilter ref="I30:M50"/>
  <tableColumns count="5">
    <tableColumn id="1" name="Rating" dataDxfId="69"/>
    <tableColumn id="2" name="Sum of Return" dataDxfId="68"/>
    <tableColumn id="3" name="Average of MP" dataDxfId="67"/>
    <tableColumn id="4" name="Reason of Return" dataDxfId="66"/>
    <tableColumn id="5" name="Frequency of return reason" dataDxfId="65"/>
  </tableColumns>
  <tableStyleInfo showFirstColumn="0" showLastColumn="0" showRowStripes="1" showColumnStripes="0"/>
</table>
</file>

<file path=xl/tables/table7.xml><?xml version="1.0" encoding="utf-8"?>
<table xmlns="http://schemas.openxmlformats.org/spreadsheetml/2006/main" id="9" name="Table9" displayName="Table9" ref="G53:H57" totalsRowShown="0" headerRowDxfId="64" dataDxfId="62" headerRowBorderDxfId="63" tableBorderDxfId="61" totalsRowBorderDxfId="60">
  <autoFilter ref="G53:H57"/>
  <tableColumns count="2">
    <tableColumn id="1" name="Markdown Precentage" dataDxfId="59"/>
    <tableColumn id="2" name="Average of Customer Rating" dataDxfId="58"/>
  </tableColumns>
  <tableStyleInfo showFirstColumn="0" showLastColumn="0" showRowStripes="1" showColumnStripes="0"/>
</table>
</file>

<file path=xl/tables/table8.xml><?xml version="1.0" encoding="utf-8"?>
<table xmlns="http://schemas.openxmlformats.org/spreadsheetml/2006/main" id="10" name="Table10" displayName="Table10" ref="J53:K59" totalsRowShown="0" headerRowDxfId="57" dataDxfId="56" tableBorderDxfId="55">
  <autoFilter ref="J53:K59"/>
  <tableColumns count="2">
    <tableColumn id="1" name="The Reason of Return" dataDxfId="54"/>
    <tableColumn id="2" name="Frequency" dataDxfId="53"/>
  </tableColumns>
  <tableStyleInfo name="TableStyleMedium9" showFirstColumn="0" showLastColumn="0" showRowStripes="1" showColumnStripes="0"/>
</table>
</file>

<file path=xl/tables/table9.xml><?xml version="1.0" encoding="utf-8"?>
<table xmlns="http://schemas.openxmlformats.org/spreadsheetml/2006/main" id="11" name="Table11" displayName="Table11" ref="P78:S89" totalsRowShown="0" headerRowDxfId="52" dataDxfId="50" headerRowBorderDxfId="51" tableBorderDxfId="49" totalsRowBorderDxfId="48">
  <autoFilter ref="P78:S89"/>
  <tableColumns count="4">
    <tableColumn id="1" name="Kategory dan brand spesifik yang paling banyak direturn adalah" dataDxfId="47"/>
    <tableColumn id="2" name="Jumlah" dataDxfId="46"/>
    <tableColumn id="3" name="alasan " dataDxfId="45"/>
    <tableColumn id="4" name="Frequency" dataDxfId="44"/>
  </tableColumns>
  <tableStyleInfo name="TableStyleMedium9" showFirstColumn="0" showLastColumn="0" showRowStripes="1" showColumnStripes="0"/>
</table>
</file>

<file path=xl/tables/table10.xml><?xml version="1.0" encoding="utf-8"?>
<table xmlns="http://schemas.openxmlformats.org/spreadsheetml/2006/main" id="6" name="Table6" displayName="Table6" ref="J16:M22" totalsRowShown="0" headerRowDxfId="43" dataDxfId="42">
  <autoFilter ref="J16:M22"/>
  <tableColumns count="4">
    <tableColumn id="1" name="Category" dataDxfId="41"/>
    <tableColumn id="2" name="Max of Markdown Precentage" dataDxfId="40"/>
    <tableColumn id="3" name="Stock Quantity" dataDxfId="39"/>
    <tableColumn id="4" name="Total Sales" dataDxfId="38">
      <calculatedColumnFormula>COUNTIFS('raw data'!$B$2:$B$2177,Table6[[#This Row],[Category]],'raw data'!$H$2:$H$2177,Table6[[#This Row],[Max of Markdown Precentage]])</calculatedColumnFormula>
    </tableColumn>
  </tableColumns>
  <tableStyleInfo name="TableStyleMedium9" showFirstColumn="0" showLastColumn="0" showRowStripes="1" showColumnStripes="0"/>
</table>
</file>

<file path=xl/tables/table11.xml><?xml version="1.0" encoding="utf-8"?>
<table xmlns="http://schemas.openxmlformats.org/spreadsheetml/2006/main" id="1" name="Table1" displayName="Table1" ref="G97:H105" totalsRowShown="0" headerRowDxfId="37" dataDxfId="36">
  <autoFilter ref="G97:H105"/>
  <tableColumns count="2">
    <tableColumn id="1" name="Brand" dataDxfId="35"/>
    <tableColumn id="2" name="Frequency Return" dataDxfId="34">
      <calculatedColumnFormula>COUNTIFS('raw data'!$C$2:$C$2177,G98,'raw data'!$M$2:$M$2177,"TRUE")</calculatedColumnFormula>
    </tableColumn>
  </tableColumns>
  <tableStyleInfo name="TableStyleMedium9" showFirstColumn="0" showLastColumn="0" showRowStripes="1" showColumnStripes="0"/>
</table>
</file>

<file path=xl/tables/table12.xml><?xml version="1.0" encoding="utf-8"?>
<table xmlns="http://schemas.openxmlformats.org/spreadsheetml/2006/main" id="7" name="Table7" displayName="Table7" ref="R5:V7" totalsRowShown="0" headerRowDxfId="33">
  <autoFilter ref="R5:V7"/>
  <tableColumns count="5">
    <tableColumn id="1" name="Markdown Percentage"/>
    <tableColumn id="2" name="% of Total Sales" dataDxfId="32" dataCellStyle="Percent">
      <calculatedColumnFormula>(COUNTIF('raw data'!$H$2:$H$2177,"&lt;12")/COUNT('raw data'!$K$2:$K$2177))</calculatedColumnFormula>
    </tableColumn>
    <tableColumn id="3" name="Stock Quantity" dataDxfId="31">
      <calculatedColumnFormula>SUMIFS('raw data'!$K$2:$K$2177,'raw data'!$H$2:$H$2177,"&lt;12")</calculatedColumnFormula>
    </tableColumn>
    <tableColumn id="4" name="%of Total Stock" dataDxfId="30"/>
    <tableColumn id="5" name="%of Total Stock2">
      <calculatedColumnFormula>(SUMIFS('raw data'!$K$2:$K$2177,'raw data'!$H$2:$H$2177,"&lt;12",'raw data'!$H$2:$H$2177,"&gt;0")/SUM('raw data'!$K$2:$K$2177))*100</calculatedColumnFormula>
    </tableColumn>
  </tableColumns>
  <tableStyleInfo name="TableStyleMedium9" showFirstColumn="0" showLastColumn="0" showRowStripes="1" showColumnStripes="0"/>
</table>
</file>

<file path=xl/tables/table13.xml><?xml version="1.0" encoding="utf-8"?>
<table xmlns="http://schemas.openxmlformats.org/spreadsheetml/2006/main" id="13" name="Table714" displayName="Table714" ref="W9:AA12" totalsRowShown="0" headerRowDxfId="29">
  <autoFilter ref="W9:AA12"/>
  <tableColumns count="5">
    <tableColumn id="1" name="Markdown Percentage"/>
    <tableColumn id="2" name="% of Total Sales" dataDxfId="28" dataCellStyle="Percent">
      <calculatedColumnFormula>(COUNTIF('raw data'!$H$2:$H$2177,"&lt;12")/COUNT('raw data'!$K$2:$K$2177))</calculatedColumnFormula>
    </tableColumn>
    <tableColumn id="3" name="Stock Quantity" dataDxfId="27">
      <calculatedColumnFormula>SUMIFS('raw data'!$K$2:$K$2177,'raw data'!$H$2:$H$2177,"&lt;12")</calculatedColumnFormula>
    </tableColumn>
    <tableColumn id="4" name="%of Total Stock" dataDxfId="26"/>
    <tableColumn id="5" name="Avg Quantity Stock">
      <calculatedColumnFormula>(SUMIFS('raw data'!$K$2:$K$2177,'raw data'!$H$2:$H$2177,"&lt;12",'raw data'!$H$2:$H$2177,"&gt;0")/SUM('raw data'!$K$2:$K$2177))*100</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ustin">
  <a:themeElements>
    <a:clrScheme name="Opulent">
      <a:dk1>
        <a:sysClr val="windowText" lastClr="000000"/>
      </a:dk1>
      <a:lt1>
        <a:sysClr val="window" lastClr="FFFFFF"/>
      </a:lt1>
      <a:dk2>
        <a:srgbClr val="B13F9A"/>
      </a:dk2>
      <a:lt2>
        <a:srgbClr val="F4E7ED"/>
      </a:lt2>
      <a:accent1>
        <a:srgbClr val="B83D68"/>
      </a:accent1>
      <a:accent2>
        <a:srgbClr val="AC66BB"/>
      </a:accent2>
      <a:accent3>
        <a:srgbClr val="DE6C36"/>
      </a:accent3>
      <a:accent4>
        <a:srgbClr val="F9B639"/>
      </a:accent4>
      <a:accent5>
        <a:srgbClr val="CF6DA4"/>
      </a:accent5>
      <a:accent6>
        <a:srgbClr val="FA8D3D"/>
      </a:accent6>
      <a:hlink>
        <a:srgbClr val="FFDE66"/>
      </a:hlink>
      <a:folHlink>
        <a:srgbClr val="D490C5"/>
      </a:folHlink>
    </a:clrScheme>
    <a:fontScheme name="Austin">
      <a:maj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Austin">
      <a:fillStyleLst>
        <a:solidFill>
          <a:schemeClr val="phClr"/>
        </a:solidFill>
        <a:gradFill rotWithShape="1">
          <a:gsLst>
            <a:gs pos="0">
              <a:schemeClr val="phClr">
                <a:tint val="20000"/>
                <a:satMod val="180000"/>
                <a:lumMod val="98000"/>
              </a:schemeClr>
            </a:gs>
            <a:gs pos="40000">
              <a:schemeClr val="phClr">
                <a:tint val="30000"/>
                <a:satMod val="260000"/>
                <a:lumMod val="84000"/>
              </a:schemeClr>
            </a:gs>
            <a:gs pos="100000">
              <a:schemeClr val="phClr">
                <a:tint val="100000"/>
                <a:satMod val="110000"/>
                <a:lumMod val="100000"/>
              </a:schemeClr>
            </a:gs>
          </a:gsLst>
          <a:lin ang="5040000" scaled="1"/>
        </a:gradFill>
        <a:gradFill rotWithShape="1">
          <a:gsLst>
            <a:gs pos="0">
              <a:schemeClr val="phClr"/>
            </a:gs>
            <a:gs pos="100000">
              <a:schemeClr val="phClr">
                <a:shade val="75000"/>
                <a:satMod val="120000"/>
                <a:lumMod val="9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scene3d>
            <a:camera prst="orthographicFront">
              <a:rot lat="0" lon="0" rev="0"/>
            </a:camera>
            <a:lightRig rig="threePt" dir="tl">
              <a:rot lat="0" lon="0" rev="20400000"/>
            </a:lightRig>
          </a:scene3d>
          <a:sp3d>
            <a:bevelT w="50800" h="12700" prst="softRound"/>
          </a:sp3d>
        </a:effectStyle>
        <a:effectStyle>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prstMaterial="metal">
            <a:bevelT w="101600" h="25400" prst="softRound"/>
            <a:contourClr>
              <a:schemeClr val="phClr">
                <a:shade val="30000"/>
              </a:schemeClr>
            </a:contourClr>
          </a:sp3d>
        </a:effectStyle>
      </a:effectStyleLst>
      <a:bgFillStyleLst>
        <a:solidFill>
          <a:schemeClr val="phClr"/>
        </a:solidFill>
        <a:gradFill rotWithShape="1">
          <a:gsLst>
            <a:gs pos="0">
              <a:schemeClr val="phClr">
                <a:shade val="94000"/>
                <a:satMod val="114000"/>
                <a:lumMod val="96000"/>
              </a:schemeClr>
            </a:gs>
            <a:gs pos="62000">
              <a:schemeClr val="phClr">
                <a:tint val="92000"/>
                <a:shade val="66000"/>
                <a:satMod val="110000"/>
                <a:lumMod val="80000"/>
              </a:schemeClr>
            </a:gs>
            <a:gs pos="100000">
              <a:schemeClr val="phClr">
                <a:tint val="89000"/>
                <a:shade val="62000"/>
                <a:satMod val="110000"/>
                <a:lumMod val="72000"/>
              </a:schemeClr>
            </a:gs>
          </a:gsLst>
          <a:lin ang="5400000" scaled="0"/>
        </a:gradFill>
        <a:blipFill rotWithShape="1">
          <a:blip xmlns:r="http://schemas.openxmlformats.org/officeDocument/2006/relationships" r:embed="rId1">
            <a:duotone>
              <a:schemeClr val="phClr">
                <a:tint val="80000"/>
                <a:shade val="58000"/>
              </a:schemeClr>
              <a:schemeClr val="phClr">
                <a:tint val="73000"/>
                <a:shade val="68000"/>
                <a:satMod val="150000"/>
              </a:schemeClr>
            </a:duotone>
          </a:blip>
          <a:tile tx="0" ty="0" sx="100000" sy="100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4.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15.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drawing" Target="../drawings/drawing3.xml"/><Relationship Id="rId18" Type="http://schemas.openxmlformats.org/officeDocument/2006/relationships/table" Target="../tables/table10.xml"/><Relationship Id="rId3" Type="http://schemas.openxmlformats.org/officeDocument/2006/relationships/pivotTable" Target="../pivotTables/pivotTable18.xml"/><Relationship Id="rId21" Type="http://schemas.openxmlformats.org/officeDocument/2006/relationships/table" Target="../tables/table13.xml"/><Relationship Id="rId7" Type="http://schemas.openxmlformats.org/officeDocument/2006/relationships/pivotTable" Target="../pivotTables/pivotTable22.xml"/><Relationship Id="rId12" Type="http://schemas.openxmlformats.org/officeDocument/2006/relationships/printerSettings" Target="../printerSettings/printerSettings6.bin"/><Relationship Id="rId17" Type="http://schemas.openxmlformats.org/officeDocument/2006/relationships/table" Target="../tables/table9.xml"/><Relationship Id="rId2" Type="http://schemas.openxmlformats.org/officeDocument/2006/relationships/pivotTable" Target="../pivotTables/pivotTable17.xml"/><Relationship Id="rId16" Type="http://schemas.openxmlformats.org/officeDocument/2006/relationships/table" Target="../tables/table8.xml"/><Relationship Id="rId20" Type="http://schemas.openxmlformats.org/officeDocument/2006/relationships/table" Target="../tables/table12.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5" Type="http://schemas.openxmlformats.org/officeDocument/2006/relationships/table" Target="../tables/table7.xml"/><Relationship Id="rId10" Type="http://schemas.openxmlformats.org/officeDocument/2006/relationships/pivotTable" Target="../pivotTables/pivotTable25.xml"/><Relationship Id="rId19" Type="http://schemas.openxmlformats.org/officeDocument/2006/relationships/table" Target="../tables/table11.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77"/>
  <sheetViews>
    <sheetView zoomScale="85" zoomScaleNormal="85" workbookViewId="0">
      <selection activeCell="D15" sqref="D15"/>
    </sheetView>
  </sheetViews>
  <sheetFormatPr defaultColWidth="17" defaultRowHeight="15" x14ac:dyDescent="0.25"/>
  <cols>
    <col min="1" max="16384" width="17" style="13"/>
  </cols>
  <sheetData>
    <row r="1" spans="1:15" x14ac:dyDescent="0.25">
      <c r="A1" s="22" t="s">
        <v>0</v>
      </c>
      <c r="B1" s="22" t="s">
        <v>1</v>
      </c>
      <c r="C1" s="22" t="s">
        <v>2</v>
      </c>
      <c r="D1" s="22" t="s">
        <v>3</v>
      </c>
      <c r="E1" s="22" t="s">
        <v>4</v>
      </c>
      <c r="F1" s="22" t="s">
        <v>5</v>
      </c>
      <c r="G1" s="22" t="s">
        <v>6</v>
      </c>
      <c r="H1" s="22" t="s">
        <v>7</v>
      </c>
      <c r="I1" s="22" t="s">
        <v>8</v>
      </c>
      <c r="J1" s="22" t="s">
        <v>9</v>
      </c>
      <c r="K1" s="22" t="s">
        <v>10</v>
      </c>
      <c r="L1" s="22" t="s">
        <v>11</v>
      </c>
      <c r="M1" s="22" t="s">
        <v>12</v>
      </c>
      <c r="N1" s="22" t="s">
        <v>13</v>
      </c>
    </row>
    <row r="2" spans="1:15" x14ac:dyDescent="0.25">
      <c r="A2" s="13" t="s">
        <v>14</v>
      </c>
      <c r="B2" s="13" t="s">
        <v>2190</v>
      </c>
      <c r="C2" s="13" t="s">
        <v>2196</v>
      </c>
      <c r="D2" s="13" t="s">
        <v>2204</v>
      </c>
      <c r="E2" s="13" t="s">
        <v>2208</v>
      </c>
      <c r="F2" s="13" t="s">
        <v>2214</v>
      </c>
      <c r="G2" s="13">
        <v>196.01</v>
      </c>
      <c r="H2" s="13">
        <v>0</v>
      </c>
      <c r="I2" s="13">
        <v>196.01</v>
      </c>
      <c r="J2" s="24">
        <v>45843</v>
      </c>
      <c r="K2" s="13">
        <v>37</v>
      </c>
      <c r="L2" s="13">
        <v>3</v>
      </c>
      <c r="M2" s="13" t="b">
        <v>0</v>
      </c>
      <c r="O2" s="13">
        <f>IF(L2="",AVERAGEIFS($L$2:$L$2177,$B$2:$B$2177,B2,$C$2:$C$2177,C2),L2)</f>
        <v>3</v>
      </c>
    </row>
    <row r="3" spans="1:15" x14ac:dyDescent="0.25">
      <c r="A3" s="13" t="s">
        <v>15</v>
      </c>
      <c r="B3" s="13" t="s">
        <v>2191</v>
      </c>
      <c r="C3" s="13" t="s">
        <v>2197</v>
      </c>
      <c r="D3" s="13" t="s">
        <v>2205</v>
      </c>
      <c r="E3" s="13" t="s">
        <v>2209</v>
      </c>
      <c r="F3" s="13" t="s">
        <v>2215</v>
      </c>
      <c r="G3" s="13">
        <v>119.64</v>
      </c>
      <c r="H3" s="13">
        <v>0</v>
      </c>
      <c r="I3" s="13">
        <v>119.64</v>
      </c>
      <c r="J3" s="24">
        <v>45875</v>
      </c>
      <c r="K3" s="13">
        <v>2</v>
      </c>
      <c r="L3" s="13">
        <v>2.5</v>
      </c>
      <c r="M3" s="13" t="b">
        <v>0</v>
      </c>
      <c r="O3" s="13">
        <f t="shared" ref="O3:O66" si="0">IF(L3="",AVERAGEIFS($L$2:$L$2177,$B$2:$B$2177,B3,$C$2:$C$2177,C3),L3)</f>
        <v>2.5</v>
      </c>
    </row>
    <row r="4" spans="1:15" x14ac:dyDescent="0.25">
      <c r="A4" s="13" t="s">
        <v>16</v>
      </c>
      <c r="B4" s="13" t="s">
        <v>2192</v>
      </c>
      <c r="C4" s="13" t="s">
        <v>2197</v>
      </c>
      <c r="D4" s="13" t="s">
        <v>2205</v>
      </c>
      <c r="F4" s="13" t="s">
        <v>2216</v>
      </c>
      <c r="G4" s="13">
        <v>33.799999999999997</v>
      </c>
      <c r="H4" s="13">
        <v>0</v>
      </c>
      <c r="I4" s="13">
        <v>33.799999999999997</v>
      </c>
      <c r="J4" s="24">
        <v>45875</v>
      </c>
      <c r="K4" s="13">
        <v>22</v>
      </c>
      <c r="L4" s="13">
        <v>4.3</v>
      </c>
      <c r="M4" s="13" t="b">
        <v>0</v>
      </c>
      <c r="O4" s="13">
        <f t="shared" si="0"/>
        <v>4.3</v>
      </c>
    </row>
    <row r="5" spans="1:15" x14ac:dyDescent="0.25">
      <c r="A5" s="13" t="s">
        <v>17</v>
      </c>
      <c r="B5" s="13" t="s">
        <v>2193</v>
      </c>
      <c r="C5" s="13" t="s">
        <v>2197</v>
      </c>
      <c r="D5" s="13" t="s">
        <v>2204</v>
      </c>
      <c r="E5" s="13" t="s">
        <v>2208</v>
      </c>
      <c r="F5" s="13" t="s">
        <v>2216</v>
      </c>
      <c r="G5" s="13">
        <v>75.36</v>
      </c>
      <c r="H5" s="13">
        <v>0</v>
      </c>
      <c r="I5" s="13">
        <v>75.36</v>
      </c>
      <c r="J5" s="24">
        <v>45845</v>
      </c>
      <c r="K5" s="13">
        <v>48</v>
      </c>
      <c r="L5" s="13">
        <v>2.6</v>
      </c>
      <c r="M5" s="13" t="b">
        <v>0</v>
      </c>
      <c r="O5" s="13">
        <f t="shared" si="0"/>
        <v>2.6</v>
      </c>
    </row>
    <row r="6" spans="1:15" x14ac:dyDescent="0.25">
      <c r="A6" s="13" t="s">
        <v>18</v>
      </c>
      <c r="B6" s="13" t="s">
        <v>2191</v>
      </c>
      <c r="C6" s="13" t="s">
        <v>2198</v>
      </c>
      <c r="D6" s="13" t="s">
        <v>2205</v>
      </c>
      <c r="E6" s="13" t="s">
        <v>2208</v>
      </c>
      <c r="F6" s="13" t="s">
        <v>2216</v>
      </c>
      <c r="G6" s="13">
        <v>105.02</v>
      </c>
      <c r="H6" s="13">
        <v>0</v>
      </c>
      <c r="I6" s="13">
        <v>105.02</v>
      </c>
      <c r="J6" s="24">
        <v>45875</v>
      </c>
      <c r="K6" s="13">
        <v>10</v>
      </c>
      <c r="M6" s="13" t="b">
        <v>0</v>
      </c>
      <c r="O6" s="13">
        <f t="shared" si="0"/>
        <v>2.953125</v>
      </c>
    </row>
    <row r="7" spans="1:15" x14ac:dyDescent="0.25">
      <c r="A7" s="13" t="s">
        <v>19</v>
      </c>
      <c r="B7" s="13" t="s">
        <v>2192</v>
      </c>
      <c r="C7" s="13" t="s">
        <v>2196</v>
      </c>
      <c r="D7" s="13" t="s">
        <v>2206</v>
      </c>
      <c r="F7" s="13" t="s">
        <v>2217</v>
      </c>
      <c r="G7" s="13">
        <v>35.03</v>
      </c>
      <c r="H7" s="13">
        <v>35.4</v>
      </c>
      <c r="I7" s="13">
        <v>22.63</v>
      </c>
      <c r="J7" s="24">
        <v>45875</v>
      </c>
      <c r="K7" s="13">
        <v>38</v>
      </c>
      <c r="L7" s="13">
        <v>2.9</v>
      </c>
      <c r="M7" s="13" t="b">
        <v>1</v>
      </c>
      <c r="N7" s="13" t="s">
        <v>2225</v>
      </c>
      <c r="O7" s="13">
        <f t="shared" si="0"/>
        <v>2.9</v>
      </c>
    </row>
    <row r="8" spans="1:15" x14ac:dyDescent="0.25">
      <c r="A8" s="13" t="s">
        <v>20</v>
      </c>
      <c r="B8" s="13" t="s">
        <v>2194</v>
      </c>
      <c r="C8" s="13" t="s">
        <v>2196</v>
      </c>
      <c r="D8" s="13" t="s">
        <v>2204</v>
      </c>
      <c r="E8" s="13" t="s">
        <v>2210</v>
      </c>
      <c r="F8" s="13" t="s">
        <v>2218</v>
      </c>
      <c r="G8" s="13">
        <v>53.83</v>
      </c>
      <c r="H8" s="13">
        <v>54.5</v>
      </c>
      <c r="I8" s="13">
        <v>24.49</v>
      </c>
      <c r="J8" s="24">
        <v>45594</v>
      </c>
      <c r="K8" s="13">
        <v>38</v>
      </c>
      <c r="L8" s="13">
        <v>2.6</v>
      </c>
      <c r="M8" s="13" t="b">
        <v>0</v>
      </c>
      <c r="O8" s="13">
        <f t="shared" si="0"/>
        <v>2.6</v>
      </c>
    </row>
    <row r="9" spans="1:15" x14ac:dyDescent="0.25">
      <c r="A9" s="13" t="s">
        <v>21</v>
      </c>
      <c r="B9" s="13" t="s">
        <v>2195</v>
      </c>
      <c r="C9" s="13" t="s">
        <v>2199</v>
      </c>
      <c r="D9" s="13" t="s">
        <v>2205</v>
      </c>
      <c r="E9" s="13" t="s">
        <v>2208</v>
      </c>
      <c r="F9" s="13" t="s">
        <v>2219</v>
      </c>
      <c r="G9" s="13">
        <v>91.55</v>
      </c>
      <c r="H9" s="13">
        <v>22.1</v>
      </c>
      <c r="I9" s="13">
        <v>71.319999999999993</v>
      </c>
      <c r="J9" s="24">
        <v>45875</v>
      </c>
      <c r="K9" s="13">
        <v>47</v>
      </c>
      <c r="L9" s="13">
        <v>1.6</v>
      </c>
      <c r="M9" s="13" t="b">
        <v>0</v>
      </c>
      <c r="O9" s="13">
        <f t="shared" si="0"/>
        <v>1.6</v>
      </c>
    </row>
    <row r="10" spans="1:15" x14ac:dyDescent="0.25">
      <c r="A10" s="13" t="s">
        <v>22</v>
      </c>
      <c r="B10" s="13" t="s">
        <v>2190</v>
      </c>
      <c r="C10" s="13" t="s">
        <v>2197</v>
      </c>
      <c r="D10" s="13" t="s">
        <v>2204</v>
      </c>
      <c r="E10" s="13" t="s">
        <v>2208</v>
      </c>
      <c r="F10" s="13" t="s">
        <v>2220</v>
      </c>
      <c r="G10" s="13">
        <v>227.73</v>
      </c>
      <c r="H10" s="13">
        <v>12.8</v>
      </c>
      <c r="I10" s="13">
        <v>198.58</v>
      </c>
      <c r="J10" s="24">
        <v>45740</v>
      </c>
      <c r="K10" s="13">
        <v>14</v>
      </c>
      <c r="M10" s="13" t="b">
        <v>0</v>
      </c>
      <c r="O10" s="13">
        <f t="shared" si="0"/>
        <v>3.15</v>
      </c>
    </row>
    <row r="11" spans="1:15" x14ac:dyDescent="0.25">
      <c r="A11" s="13" t="s">
        <v>23</v>
      </c>
      <c r="B11" s="13" t="s">
        <v>2190</v>
      </c>
      <c r="C11" s="13" t="s">
        <v>2200</v>
      </c>
      <c r="D11" s="13" t="s">
        <v>2206</v>
      </c>
      <c r="E11" s="13" t="s">
        <v>2211</v>
      </c>
      <c r="F11" s="13" t="s">
        <v>2215</v>
      </c>
      <c r="G11" s="13">
        <v>248.41</v>
      </c>
      <c r="H11" s="13">
        <v>10.9</v>
      </c>
      <c r="I11" s="13">
        <v>221.33</v>
      </c>
      <c r="J11" s="24">
        <v>45875</v>
      </c>
      <c r="K11" s="13">
        <v>37</v>
      </c>
      <c r="M11" s="13" t="b">
        <v>0</v>
      </c>
      <c r="O11" s="13">
        <f t="shared" si="0"/>
        <v>2.9228571428571426</v>
      </c>
    </row>
    <row r="12" spans="1:15" x14ac:dyDescent="0.25">
      <c r="A12" s="13" t="s">
        <v>24</v>
      </c>
      <c r="B12" s="13" t="s">
        <v>2191</v>
      </c>
      <c r="C12" s="13" t="s">
        <v>2199</v>
      </c>
      <c r="D12" s="13" t="s">
        <v>2204</v>
      </c>
      <c r="E12" s="13" t="s">
        <v>2209</v>
      </c>
      <c r="F12" s="13" t="s">
        <v>2216</v>
      </c>
      <c r="G12" s="13">
        <v>116.84</v>
      </c>
      <c r="H12" s="13">
        <v>0</v>
      </c>
      <c r="I12" s="13">
        <v>116.84</v>
      </c>
      <c r="J12" s="24">
        <v>45772</v>
      </c>
      <c r="K12" s="13">
        <v>3</v>
      </c>
      <c r="L12" s="13">
        <v>4.4000000000000004</v>
      </c>
      <c r="M12" s="13" t="b">
        <v>0</v>
      </c>
      <c r="O12" s="13">
        <f t="shared" si="0"/>
        <v>4.4000000000000004</v>
      </c>
    </row>
    <row r="13" spans="1:15" x14ac:dyDescent="0.25">
      <c r="A13" s="13" t="s">
        <v>25</v>
      </c>
      <c r="B13" s="13" t="s">
        <v>2193</v>
      </c>
      <c r="C13" s="13" t="s">
        <v>2197</v>
      </c>
      <c r="D13" s="13" t="s">
        <v>2205</v>
      </c>
      <c r="E13" s="13" t="s">
        <v>2210</v>
      </c>
      <c r="F13" s="13" t="s">
        <v>2219</v>
      </c>
      <c r="G13" s="13">
        <v>146.97999999999999</v>
      </c>
      <c r="H13" s="13">
        <v>0</v>
      </c>
      <c r="I13" s="13">
        <v>146.97999999999999</v>
      </c>
      <c r="J13" s="24">
        <v>45875</v>
      </c>
      <c r="K13" s="13">
        <v>2</v>
      </c>
      <c r="L13" s="13">
        <v>3.4</v>
      </c>
      <c r="M13" s="13" t="b">
        <v>0</v>
      </c>
      <c r="O13" s="13">
        <f t="shared" si="0"/>
        <v>3.4</v>
      </c>
    </row>
    <row r="14" spans="1:15" x14ac:dyDescent="0.25">
      <c r="A14" s="13" t="s">
        <v>26</v>
      </c>
      <c r="B14" s="13" t="s">
        <v>2194</v>
      </c>
      <c r="C14" s="13" t="s">
        <v>2201</v>
      </c>
      <c r="D14" s="13" t="s">
        <v>2204</v>
      </c>
      <c r="E14" s="13" t="s">
        <v>2210</v>
      </c>
      <c r="F14" s="13" t="s">
        <v>2217</v>
      </c>
      <c r="G14" s="13">
        <v>37.51</v>
      </c>
      <c r="H14" s="13">
        <v>0</v>
      </c>
      <c r="I14" s="13">
        <v>37.51</v>
      </c>
      <c r="J14" s="24">
        <v>45661</v>
      </c>
      <c r="K14" s="13">
        <v>43</v>
      </c>
      <c r="M14" s="13" t="b">
        <v>0</v>
      </c>
      <c r="O14" s="13">
        <f t="shared" si="0"/>
        <v>3.0575757575757576</v>
      </c>
    </row>
    <row r="15" spans="1:15" x14ac:dyDescent="0.25">
      <c r="A15" s="13" t="s">
        <v>27</v>
      </c>
      <c r="B15" s="13" t="s">
        <v>2195</v>
      </c>
      <c r="C15" s="13" t="s">
        <v>2197</v>
      </c>
      <c r="D15" s="13" t="s">
        <v>2206</v>
      </c>
      <c r="E15" s="13" t="s">
        <v>2212</v>
      </c>
      <c r="F15" s="13" t="s">
        <v>2221</v>
      </c>
      <c r="G15" s="13">
        <v>48.15</v>
      </c>
      <c r="H15" s="13">
        <v>0</v>
      </c>
      <c r="I15" s="13">
        <v>48.15</v>
      </c>
      <c r="J15" s="24">
        <v>45875</v>
      </c>
      <c r="K15" s="13">
        <v>39</v>
      </c>
      <c r="L15" s="13">
        <v>1.6</v>
      </c>
      <c r="M15" s="13" t="b">
        <v>0</v>
      </c>
      <c r="O15" s="13">
        <f t="shared" si="0"/>
        <v>1.6</v>
      </c>
    </row>
    <row r="16" spans="1:15" x14ac:dyDescent="0.25">
      <c r="A16" s="13" t="s">
        <v>28</v>
      </c>
      <c r="B16" s="13" t="s">
        <v>2191</v>
      </c>
      <c r="C16" s="13" t="s">
        <v>2199</v>
      </c>
      <c r="D16" s="13" t="s">
        <v>2205</v>
      </c>
      <c r="E16" s="13" t="s">
        <v>2213</v>
      </c>
      <c r="F16" s="13" t="s">
        <v>2221</v>
      </c>
      <c r="G16" s="13">
        <v>79.66</v>
      </c>
      <c r="H16" s="13">
        <v>0</v>
      </c>
      <c r="I16" s="13">
        <v>79.66</v>
      </c>
      <c r="J16" s="24">
        <v>45875</v>
      </c>
      <c r="K16" s="13">
        <v>7</v>
      </c>
      <c r="L16" s="13">
        <v>1.7</v>
      </c>
      <c r="M16" s="13" t="b">
        <v>0</v>
      </c>
      <c r="O16" s="13">
        <f t="shared" si="0"/>
        <v>1.7</v>
      </c>
    </row>
    <row r="17" spans="1:15" x14ac:dyDescent="0.25">
      <c r="A17" s="13" t="s">
        <v>29</v>
      </c>
      <c r="B17" s="13" t="s">
        <v>2192</v>
      </c>
      <c r="C17" s="13" t="s">
        <v>2199</v>
      </c>
      <c r="D17" s="13" t="s">
        <v>2205</v>
      </c>
      <c r="F17" s="13" t="s">
        <v>2220</v>
      </c>
      <c r="G17" s="13">
        <v>67.569999999999993</v>
      </c>
      <c r="H17" s="13">
        <v>0</v>
      </c>
      <c r="I17" s="13">
        <v>67.569999999999993</v>
      </c>
      <c r="J17" s="24">
        <v>45875</v>
      </c>
      <c r="K17" s="13">
        <v>17</v>
      </c>
      <c r="L17" s="13">
        <v>2.4</v>
      </c>
      <c r="M17" s="13" t="b">
        <v>0</v>
      </c>
      <c r="O17" s="13">
        <f t="shared" si="0"/>
        <v>2.4</v>
      </c>
    </row>
    <row r="18" spans="1:15" x14ac:dyDescent="0.25">
      <c r="A18" s="13" t="s">
        <v>30</v>
      </c>
      <c r="B18" s="13" t="s">
        <v>2193</v>
      </c>
      <c r="C18" s="13" t="s">
        <v>2202</v>
      </c>
      <c r="D18" s="13" t="s">
        <v>2207</v>
      </c>
      <c r="E18" s="13" t="s">
        <v>2210</v>
      </c>
      <c r="F18" s="13" t="s">
        <v>2221</v>
      </c>
      <c r="G18" s="13">
        <v>123.53</v>
      </c>
      <c r="H18" s="13">
        <v>0</v>
      </c>
      <c r="I18" s="13">
        <v>123.53</v>
      </c>
      <c r="J18" s="24">
        <v>45875</v>
      </c>
      <c r="K18" s="13">
        <v>14</v>
      </c>
      <c r="L18" s="13">
        <v>4.5999999999999996</v>
      </c>
      <c r="M18" s="13" t="b">
        <v>0</v>
      </c>
      <c r="O18" s="13">
        <f t="shared" si="0"/>
        <v>4.5999999999999996</v>
      </c>
    </row>
    <row r="19" spans="1:15" x14ac:dyDescent="0.25">
      <c r="A19" s="13" t="s">
        <v>31</v>
      </c>
      <c r="B19" s="13" t="s">
        <v>2191</v>
      </c>
      <c r="C19" s="13" t="s">
        <v>2201</v>
      </c>
      <c r="D19" s="13" t="s">
        <v>2205</v>
      </c>
      <c r="E19" s="13" t="s">
        <v>2209</v>
      </c>
      <c r="F19" s="13" t="s">
        <v>2222</v>
      </c>
      <c r="G19" s="13">
        <v>102.35</v>
      </c>
      <c r="H19" s="13">
        <v>0</v>
      </c>
      <c r="I19" s="13">
        <v>102.35</v>
      </c>
      <c r="J19" s="24">
        <v>45875</v>
      </c>
      <c r="K19" s="13">
        <v>14</v>
      </c>
      <c r="L19" s="13">
        <v>3.5</v>
      </c>
      <c r="M19" s="13" t="b">
        <v>0</v>
      </c>
      <c r="O19" s="13">
        <f t="shared" si="0"/>
        <v>3.5</v>
      </c>
    </row>
    <row r="20" spans="1:15" x14ac:dyDescent="0.25">
      <c r="A20" s="13" t="s">
        <v>32</v>
      </c>
      <c r="B20" s="13" t="s">
        <v>2190</v>
      </c>
      <c r="C20" s="13" t="s">
        <v>2199</v>
      </c>
      <c r="D20" s="13" t="s">
        <v>2207</v>
      </c>
      <c r="E20" s="13" t="s">
        <v>2213</v>
      </c>
      <c r="F20" s="13" t="s">
        <v>2223</v>
      </c>
      <c r="G20" s="13">
        <v>137.94999999999999</v>
      </c>
      <c r="H20" s="13">
        <v>58.5</v>
      </c>
      <c r="I20" s="13">
        <v>57.25</v>
      </c>
      <c r="J20" s="24">
        <v>45875</v>
      </c>
      <c r="K20" s="13">
        <v>16</v>
      </c>
      <c r="L20" s="13">
        <v>4.0999999999999996</v>
      </c>
      <c r="M20" s="13" t="b">
        <v>0</v>
      </c>
      <c r="O20" s="13">
        <f t="shared" si="0"/>
        <v>4.0999999999999996</v>
      </c>
    </row>
    <row r="21" spans="1:15" x14ac:dyDescent="0.25">
      <c r="A21" s="13" t="s">
        <v>33</v>
      </c>
      <c r="B21" s="13" t="s">
        <v>2190</v>
      </c>
      <c r="C21" s="13" t="s">
        <v>2198</v>
      </c>
      <c r="D21" s="13" t="s">
        <v>2207</v>
      </c>
      <c r="E21" s="13" t="s">
        <v>2211</v>
      </c>
      <c r="F21" s="13" t="s">
        <v>2218</v>
      </c>
      <c r="G21" s="13">
        <v>142.59</v>
      </c>
      <c r="H21" s="13">
        <v>0</v>
      </c>
      <c r="I21" s="13">
        <v>142.59</v>
      </c>
      <c r="J21" s="24">
        <v>45875</v>
      </c>
      <c r="K21" s="13">
        <v>1</v>
      </c>
      <c r="L21" s="13">
        <v>3.7</v>
      </c>
      <c r="M21" s="13" t="b">
        <v>0</v>
      </c>
      <c r="O21" s="13">
        <f t="shared" si="0"/>
        <v>3.7</v>
      </c>
    </row>
    <row r="22" spans="1:15" x14ac:dyDescent="0.25">
      <c r="A22" s="13" t="s">
        <v>34</v>
      </c>
      <c r="B22" s="13" t="s">
        <v>2194</v>
      </c>
      <c r="C22" s="13" t="s">
        <v>2199</v>
      </c>
      <c r="D22" s="13" t="s">
        <v>2206</v>
      </c>
      <c r="E22" s="13" t="s">
        <v>2209</v>
      </c>
      <c r="F22" s="13" t="s">
        <v>2221</v>
      </c>
      <c r="G22" s="13">
        <v>33.33</v>
      </c>
      <c r="H22" s="13">
        <v>21.8</v>
      </c>
      <c r="I22" s="13">
        <v>26.06</v>
      </c>
      <c r="J22" s="24">
        <v>45875</v>
      </c>
      <c r="K22" s="13">
        <v>42</v>
      </c>
      <c r="M22" s="13" t="b">
        <v>0</v>
      </c>
      <c r="O22" s="13">
        <f t="shared" si="0"/>
        <v>2.8142857142857149</v>
      </c>
    </row>
    <row r="23" spans="1:15" x14ac:dyDescent="0.25">
      <c r="A23" s="13" t="s">
        <v>35</v>
      </c>
      <c r="B23" s="13" t="s">
        <v>2192</v>
      </c>
      <c r="C23" s="13" t="s">
        <v>2196</v>
      </c>
      <c r="D23" s="13" t="s">
        <v>2204</v>
      </c>
      <c r="F23" s="13" t="s">
        <v>2224</v>
      </c>
      <c r="G23" s="13">
        <v>62.3</v>
      </c>
      <c r="H23" s="13">
        <v>0</v>
      </c>
      <c r="I23" s="13">
        <v>62.3</v>
      </c>
      <c r="J23" s="24">
        <v>45559</v>
      </c>
      <c r="K23" s="13">
        <v>10</v>
      </c>
      <c r="L23" s="13">
        <v>2.5</v>
      </c>
      <c r="M23" s="13" t="b">
        <v>0</v>
      </c>
      <c r="O23" s="13">
        <f t="shared" si="0"/>
        <v>2.5</v>
      </c>
    </row>
    <row r="24" spans="1:15" x14ac:dyDescent="0.25">
      <c r="A24" s="13" t="s">
        <v>36</v>
      </c>
      <c r="B24" s="13" t="s">
        <v>2192</v>
      </c>
      <c r="C24" s="13" t="s">
        <v>2196</v>
      </c>
      <c r="D24" s="13" t="s">
        <v>2205</v>
      </c>
      <c r="F24" s="13" t="s">
        <v>2215</v>
      </c>
      <c r="G24" s="13">
        <v>38.479999999999997</v>
      </c>
      <c r="H24" s="13">
        <v>0</v>
      </c>
      <c r="I24" s="13">
        <v>38.479999999999997</v>
      </c>
      <c r="J24" s="24">
        <v>45875</v>
      </c>
      <c r="K24" s="13">
        <v>46</v>
      </c>
      <c r="L24" s="13">
        <v>1.2</v>
      </c>
      <c r="M24" s="13" t="b">
        <v>0</v>
      </c>
      <c r="O24" s="13">
        <f t="shared" si="0"/>
        <v>1.2</v>
      </c>
    </row>
    <row r="25" spans="1:15" x14ac:dyDescent="0.25">
      <c r="A25" s="13" t="s">
        <v>37</v>
      </c>
      <c r="B25" s="13" t="s">
        <v>2195</v>
      </c>
      <c r="C25" s="13" t="s">
        <v>2198</v>
      </c>
      <c r="D25" s="13" t="s">
        <v>2207</v>
      </c>
      <c r="E25" s="13" t="s">
        <v>2208</v>
      </c>
      <c r="F25" s="13" t="s">
        <v>2220</v>
      </c>
      <c r="G25" s="13">
        <v>91.36</v>
      </c>
      <c r="H25" s="13">
        <v>0</v>
      </c>
      <c r="I25" s="13">
        <v>91.36</v>
      </c>
      <c r="J25" s="24">
        <v>45875</v>
      </c>
      <c r="K25" s="13">
        <v>37</v>
      </c>
      <c r="L25" s="13">
        <v>1.2</v>
      </c>
      <c r="M25" s="13" t="b">
        <v>1</v>
      </c>
      <c r="N25" s="13" t="s">
        <v>2226</v>
      </c>
      <c r="O25" s="13">
        <f t="shared" si="0"/>
        <v>1.2</v>
      </c>
    </row>
    <row r="26" spans="1:15" x14ac:dyDescent="0.25">
      <c r="A26" s="13" t="s">
        <v>38</v>
      </c>
      <c r="B26" s="13" t="s">
        <v>2191</v>
      </c>
      <c r="C26" s="13" t="s">
        <v>2203</v>
      </c>
      <c r="D26" s="13" t="s">
        <v>2206</v>
      </c>
      <c r="E26" s="13" t="s">
        <v>2212</v>
      </c>
      <c r="F26" s="13" t="s">
        <v>2219</v>
      </c>
      <c r="G26" s="13">
        <v>80.47</v>
      </c>
      <c r="H26" s="13">
        <v>29.1</v>
      </c>
      <c r="I26" s="13">
        <v>57.05</v>
      </c>
      <c r="J26" s="24">
        <v>45875</v>
      </c>
      <c r="K26" s="13">
        <v>38</v>
      </c>
      <c r="L26" s="13">
        <v>3.6</v>
      </c>
      <c r="M26" s="13" t="b">
        <v>0</v>
      </c>
      <c r="O26" s="13">
        <f t="shared" si="0"/>
        <v>3.6</v>
      </c>
    </row>
    <row r="27" spans="1:15" x14ac:dyDescent="0.25">
      <c r="A27" s="13" t="s">
        <v>39</v>
      </c>
      <c r="B27" s="13" t="s">
        <v>2194</v>
      </c>
      <c r="C27" s="13" t="s">
        <v>2197</v>
      </c>
      <c r="D27" s="13" t="s">
        <v>2204</v>
      </c>
      <c r="E27" s="13" t="s">
        <v>2213</v>
      </c>
      <c r="F27" s="13" t="s">
        <v>2214</v>
      </c>
      <c r="G27" s="13">
        <v>40.89</v>
      </c>
      <c r="H27" s="13">
        <v>34</v>
      </c>
      <c r="I27" s="13">
        <v>26.99</v>
      </c>
      <c r="J27" s="24">
        <v>45819</v>
      </c>
      <c r="K27" s="13">
        <v>16</v>
      </c>
      <c r="L27" s="13">
        <v>3.7</v>
      </c>
      <c r="M27" s="13" t="b">
        <v>0</v>
      </c>
      <c r="O27" s="13">
        <f t="shared" si="0"/>
        <v>3.7</v>
      </c>
    </row>
    <row r="28" spans="1:15" x14ac:dyDescent="0.25">
      <c r="A28" s="13" t="s">
        <v>40</v>
      </c>
      <c r="B28" s="13" t="s">
        <v>2194</v>
      </c>
      <c r="C28" s="13" t="s">
        <v>2198</v>
      </c>
      <c r="D28" s="13" t="s">
        <v>2207</v>
      </c>
      <c r="E28" s="13" t="s">
        <v>2209</v>
      </c>
      <c r="F28" s="13" t="s">
        <v>2214</v>
      </c>
      <c r="G28" s="13">
        <v>47.04</v>
      </c>
      <c r="H28" s="13">
        <v>36</v>
      </c>
      <c r="I28" s="13">
        <v>30.11</v>
      </c>
      <c r="J28" s="24">
        <v>45875</v>
      </c>
      <c r="K28" s="13">
        <v>25</v>
      </c>
      <c r="L28" s="13">
        <v>1.1000000000000001</v>
      </c>
      <c r="M28" s="13" t="b">
        <v>1</v>
      </c>
      <c r="N28" s="13" t="s">
        <v>2227</v>
      </c>
      <c r="O28" s="13">
        <f t="shared" si="0"/>
        <v>1.1000000000000001</v>
      </c>
    </row>
    <row r="29" spans="1:15" x14ac:dyDescent="0.25">
      <c r="A29" s="13" t="s">
        <v>41</v>
      </c>
      <c r="B29" s="13" t="s">
        <v>2194</v>
      </c>
      <c r="C29" s="13" t="s">
        <v>2202</v>
      </c>
      <c r="D29" s="13" t="s">
        <v>2207</v>
      </c>
      <c r="E29" s="13" t="s">
        <v>2213</v>
      </c>
      <c r="F29" s="13" t="s">
        <v>2219</v>
      </c>
      <c r="G29" s="13">
        <v>53.37</v>
      </c>
      <c r="H29" s="13">
        <v>0</v>
      </c>
      <c r="I29" s="13">
        <v>53.37</v>
      </c>
      <c r="J29" s="24">
        <v>45875</v>
      </c>
      <c r="K29" s="13">
        <v>28</v>
      </c>
      <c r="L29" s="13">
        <v>3.8</v>
      </c>
      <c r="M29" s="13" t="b">
        <v>0</v>
      </c>
      <c r="O29" s="13">
        <f t="shared" si="0"/>
        <v>3.8</v>
      </c>
    </row>
    <row r="30" spans="1:15" x14ac:dyDescent="0.25">
      <c r="A30" s="13" t="s">
        <v>42</v>
      </c>
      <c r="B30" s="13" t="s">
        <v>2195</v>
      </c>
      <c r="C30" s="13" t="s">
        <v>2201</v>
      </c>
      <c r="D30" s="13" t="s">
        <v>2207</v>
      </c>
      <c r="E30" s="13" t="s">
        <v>2209</v>
      </c>
      <c r="F30" s="13" t="s">
        <v>2217</v>
      </c>
      <c r="G30" s="13">
        <v>114.35</v>
      </c>
      <c r="H30" s="13">
        <v>0</v>
      </c>
      <c r="I30" s="13">
        <v>114.35</v>
      </c>
      <c r="J30" s="24">
        <v>45875</v>
      </c>
      <c r="K30" s="13">
        <v>6</v>
      </c>
      <c r="L30" s="13">
        <v>1.2</v>
      </c>
      <c r="M30" s="13" t="b">
        <v>0</v>
      </c>
      <c r="O30" s="13">
        <f t="shared" si="0"/>
        <v>1.2</v>
      </c>
    </row>
    <row r="31" spans="1:15" x14ac:dyDescent="0.25">
      <c r="A31" s="13" t="s">
        <v>43</v>
      </c>
      <c r="B31" s="13" t="s">
        <v>2193</v>
      </c>
      <c r="C31" s="13" t="s">
        <v>2202</v>
      </c>
      <c r="D31" s="13" t="s">
        <v>2204</v>
      </c>
      <c r="E31" s="13" t="s">
        <v>2208</v>
      </c>
      <c r="F31" s="13" t="s">
        <v>2214</v>
      </c>
      <c r="G31" s="13">
        <v>77.63</v>
      </c>
      <c r="H31" s="13">
        <v>0</v>
      </c>
      <c r="I31" s="13">
        <v>77.63</v>
      </c>
      <c r="J31" s="24">
        <v>45589</v>
      </c>
      <c r="K31" s="13">
        <v>1</v>
      </c>
      <c r="M31" s="13" t="b">
        <v>0</v>
      </c>
      <c r="O31" s="13">
        <f t="shared" si="0"/>
        <v>2.9083333333333328</v>
      </c>
    </row>
    <row r="32" spans="1:15" x14ac:dyDescent="0.25">
      <c r="A32" s="13" t="s">
        <v>44</v>
      </c>
      <c r="B32" s="13" t="s">
        <v>2193</v>
      </c>
      <c r="C32" s="13" t="s">
        <v>2197</v>
      </c>
      <c r="D32" s="13" t="s">
        <v>2207</v>
      </c>
      <c r="E32" s="13" t="s">
        <v>2210</v>
      </c>
      <c r="F32" s="13" t="s">
        <v>2214</v>
      </c>
      <c r="G32" s="13">
        <v>71.290000000000006</v>
      </c>
      <c r="H32" s="13">
        <v>0</v>
      </c>
      <c r="I32" s="13">
        <v>71.290000000000006</v>
      </c>
      <c r="J32" s="24">
        <v>45875</v>
      </c>
      <c r="K32" s="13">
        <v>37</v>
      </c>
      <c r="L32" s="13">
        <v>4.0999999999999996</v>
      </c>
      <c r="M32" s="13" t="b">
        <v>1</v>
      </c>
      <c r="N32" s="13" t="s">
        <v>2228</v>
      </c>
      <c r="O32" s="13">
        <f t="shared" si="0"/>
        <v>4.0999999999999996</v>
      </c>
    </row>
    <row r="33" spans="1:15" x14ac:dyDescent="0.25">
      <c r="A33" s="13" t="s">
        <v>45</v>
      </c>
      <c r="B33" s="13" t="s">
        <v>2191</v>
      </c>
      <c r="C33" s="13" t="s">
        <v>2202</v>
      </c>
      <c r="D33" s="13" t="s">
        <v>2204</v>
      </c>
      <c r="E33" s="13" t="s">
        <v>2209</v>
      </c>
      <c r="F33" s="13" t="s">
        <v>2223</v>
      </c>
      <c r="G33" s="13">
        <v>37.43</v>
      </c>
      <c r="H33" s="13">
        <v>24.4</v>
      </c>
      <c r="I33" s="13">
        <v>28.3</v>
      </c>
      <c r="J33" s="24">
        <v>45763</v>
      </c>
      <c r="K33" s="13">
        <v>5</v>
      </c>
      <c r="M33" s="13" t="b">
        <v>0</v>
      </c>
      <c r="O33" s="13">
        <f t="shared" si="0"/>
        <v>2.9074999999999998</v>
      </c>
    </row>
    <row r="34" spans="1:15" x14ac:dyDescent="0.25">
      <c r="A34" s="13" t="s">
        <v>46</v>
      </c>
      <c r="B34" s="13" t="s">
        <v>2193</v>
      </c>
      <c r="C34" s="13" t="s">
        <v>2196</v>
      </c>
      <c r="D34" s="13" t="s">
        <v>2204</v>
      </c>
      <c r="E34" s="13" t="s">
        <v>2208</v>
      </c>
      <c r="F34" s="13" t="s">
        <v>2223</v>
      </c>
      <c r="G34" s="13">
        <v>143.78</v>
      </c>
      <c r="H34" s="13">
        <v>0</v>
      </c>
      <c r="I34" s="13">
        <v>143.78</v>
      </c>
      <c r="J34" s="24">
        <v>45581</v>
      </c>
      <c r="K34" s="13">
        <v>43</v>
      </c>
      <c r="L34" s="13">
        <v>1.1000000000000001</v>
      </c>
      <c r="M34" s="13" t="b">
        <v>0</v>
      </c>
      <c r="O34" s="13">
        <f t="shared" si="0"/>
        <v>1.1000000000000001</v>
      </c>
    </row>
    <row r="35" spans="1:15" x14ac:dyDescent="0.25">
      <c r="A35" s="13" t="s">
        <v>47</v>
      </c>
      <c r="B35" s="13" t="s">
        <v>2191</v>
      </c>
      <c r="C35" s="13" t="s">
        <v>2198</v>
      </c>
      <c r="D35" s="13" t="s">
        <v>2207</v>
      </c>
      <c r="E35" s="13" t="s">
        <v>2208</v>
      </c>
      <c r="F35" s="13" t="s">
        <v>2218</v>
      </c>
      <c r="G35" s="13">
        <v>88.23</v>
      </c>
      <c r="H35" s="13">
        <v>0</v>
      </c>
      <c r="I35" s="13">
        <v>88.23</v>
      </c>
      <c r="J35" s="24">
        <v>45875</v>
      </c>
      <c r="K35" s="13">
        <v>44</v>
      </c>
      <c r="L35" s="13">
        <v>1.6</v>
      </c>
      <c r="M35" s="13" t="b">
        <v>0</v>
      </c>
      <c r="O35" s="13">
        <f t="shared" si="0"/>
        <v>1.6</v>
      </c>
    </row>
    <row r="36" spans="1:15" x14ac:dyDescent="0.25">
      <c r="A36" s="13" t="s">
        <v>48</v>
      </c>
      <c r="B36" s="13" t="s">
        <v>2192</v>
      </c>
      <c r="C36" s="13" t="s">
        <v>2203</v>
      </c>
      <c r="D36" s="13" t="s">
        <v>2206</v>
      </c>
      <c r="F36" s="13" t="s">
        <v>2222</v>
      </c>
      <c r="G36" s="13">
        <v>58.57</v>
      </c>
      <c r="H36" s="13">
        <v>0</v>
      </c>
      <c r="I36" s="13">
        <v>58.57</v>
      </c>
      <c r="J36" s="24">
        <v>45875</v>
      </c>
      <c r="K36" s="13">
        <v>38</v>
      </c>
      <c r="L36" s="13">
        <v>1.5</v>
      </c>
      <c r="M36" s="13" t="b">
        <v>0</v>
      </c>
      <c r="O36" s="13">
        <f t="shared" si="0"/>
        <v>1.5</v>
      </c>
    </row>
    <row r="37" spans="1:15" x14ac:dyDescent="0.25">
      <c r="A37" s="13" t="s">
        <v>49</v>
      </c>
      <c r="B37" s="13" t="s">
        <v>2191</v>
      </c>
      <c r="C37" s="13" t="s">
        <v>2197</v>
      </c>
      <c r="D37" s="13" t="s">
        <v>2205</v>
      </c>
      <c r="E37" s="13" t="s">
        <v>2211</v>
      </c>
      <c r="F37" s="13" t="s">
        <v>2217</v>
      </c>
      <c r="G37" s="13">
        <v>119.7</v>
      </c>
      <c r="H37" s="13">
        <v>5.7</v>
      </c>
      <c r="I37" s="13">
        <v>112.88</v>
      </c>
      <c r="J37" s="24">
        <v>45875</v>
      </c>
      <c r="K37" s="13">
        <v>37</v>
      </c>
      <c r="L37" s="13">
        <v>4.9000000000000004</v>
      </c>
      <c r="M37" s="13" t="b">
        <v>0</v>
      </c>
      <c r="O37" s="13">
        <f t="shared" si="0"/>
        <v>4.9000000000000004</v>
      </c>
    </row>
    <row r="38" spans="1:15" x14ac:dyDescent="0.25">
      <c r="A38" s="13" t="s">
        <v>50</v>
      </c>
      <c r="B38" s="13" t="s">
        <v>2194</v>
      </c>
      <c r="C38" s="13" t="s">
        <v>2198</v>
      </c>
      <c r="D38" s="13" t="s">
        <v>2206</v>
      </c>
      <c r="E38" s="13" t="s">
        <v>2211</v>
      </c>
      <c r="F38" s="13" t="s">
        <v>2220</v>
      </c>
      <c r="G38" s="13">
        <v>97.06</v>
      </c>
      <c r="H38" s="13">
        <v>47.8</v>
      </c>
      <c r="I38" s="13">
        <v>50.67</v>
      </c>
      <c r="J38" s="24">
        <v>45875</v>
      </c>
      <c r="K38" s="13">
        <v>31</v>
      </c>
      <c r="L38" s="13">
        <v>4.0999999999999996</v>
      </c>
      <c r="M38" s="13" t="b">
        <v>0</v>
      </c>
      <c r="O38" s="13">
        <f t="shared" si="0"/>
        <v>4.0999999999999996</v>
      </c>
    </row>
    <row r="39" spans="1:15" x14ac:dyDescent="0.25">
      <c r="A39" s="13" t="s">
        <v>51</v>
      </c>
      <c r="B39" s="13" t="s">
        <v>2195</v>
      </c>
      <c r="C39" s="13" t="s">
        <v>2198</v>
      </c>
      <c r="D39" s="13" t="s">
        <v>2207</v>
      </c>
      <c r="E39" s="13" t="s">
        <v>2209</v>
      </c>
      <c r="F39" s="13" t="s">
        <v>2217</v>
      </c>
      <c r="G39" s="13">
        <v>110.09</v>
      </c>
      <c r="H39" s="13">
        <v>0</v>
      </c>
      <c r="I39" s="13">
        <v>110.09</v>
      </c>
      <c r="J39" s="24">
        <v>45875</v>
      </c>
      <c r="K39" s="13">
        <v>32</v>
      </c>
      <c r="L39" s="13">
        <v>3.4</v>
      </c>
      <c r="M39" s="13" t="b">
        <v>0</v>
      </c>
      <c r="O39" s="13">
        <f t="shared" si="0"/>
        <v>3.4</v>
      </c>
    </row>
    <row r="40" spans="1:15" x14ac:dyDescent="0.25">
      <c r="A40" s="13" t="s">
        <v>52</v>
      </c>
      <c r="B40" s="13" t="s">
        <v>2193</v>
      </c>
      <c r="C40" s="13" t="s">
        <v>2196</v>
      </c>
      <c r="D40" s="13" t="s">
        <v>2205</v>
      </c>
      <c r="E40" s="13" t="s">
        <v>2212</v>
      </c>
      <c r="F40" s="13" t="s">
        <v>2220</v>
      </c>
      <c r="G40" s="13">
        <v>198.42</v>
      </c>
      <c r="H40" s="13">
        <v>14.2</v>
      </c>
      <c r="I40" s="13">
        <v>170.24</v>
      </c>
      <c r="J40" s="24">
        <v>45875</v>
      </c>
      <c r="K40" s="13">
        <v>10</v>
      </c>
      <c r="M40" s="13" t="b">
        <v>0</v>
      </c>
      <c r="O40" s="13">
        <f t="shared" si="0"/>
        <v>2.9153846153846157</v>
      </c>
    </row>
    <row r="41" spans="1:15" x14ac:dyDescent="0.25">
      <c r="A41" s="13" t="s">
        <v>53</v>
      </c>
      <c r="B41" s="13" t="s">
        <v>2194</v>
      </c>
      <c r="C41" s="13" t="s">
        <v>2198</v>
      </c>
      <c r="D41" s="13" t="s">
        <v>2205</v>
      </c>
      <c r="F41" s="13" t="s">
        <v>2223</v>
      </c>
      <c r="G41" s="13">
        <v>101.72</v>
      </c>
      <c r="H41" s="13">
        <v>0</v>
      </c>
      <c r="I41" s="13">
        <v>101.72</v>
      </c>
      <c r="J41" s="24">
        <v>45875</v>
      </c>
      <c r="K41" s="13">
        <v>40</v>
      </c>
      <c r="M41" s="13" t="b">
        <v>0</v>
      </c>
      <c r="O41" s="13">
        <f t="shared" si="0"/>
        <v>3.0384615384615379</v>
      </c>
    </row>
    <row r="42" spans="1:15" x14ac:dyDescent="0.25">
      <c r="A42" s="13" t="s">
        <v>54</v>
      </c>
      <c r="B42" s="13" t="s">
        <v>2191</v>
      </c>
      <c r="C42" s="13" t="s">
        <v>2197</v>
      </c>
      <c r="D42" s="13" t="s">
        <v>2207</v>
      </c>
      <c r="E42" s="13" t="s">
        <v>2210</v>
      </c>
      <c r="F42" s="13" t="s">
        <v>2217</v>
      </c>
      <c r="G42" s="13">
        <v>117.86</v>
      </c>
      <c r="H42" s="13">
        <v>0</v>
      </c>
      <c r="I42" s="13">
        <v>117.86</v>
      </c>
      <c r="J42" s="24">
        <v>45875</v>
      </c>
      <c r="K42" s="13">
        <v>6</v>
      </c>
      <c r="M42" s="13" t="b">
        <v>0</v>
      </c>
      <c r="O42" s="13">
        <f t="shared" si="0"/>
        <v>3.34</v>
      </c>
    </row>
    <row r="43" spans="1:15" x14ac:dyDescent="0.25">
      <c r="A43" s="13" t="s">
        <v>55</v>
      </c>
      <c r="B43" s="13" t="s">
        <v>2191</v>
      </c>
      <c r="C43" s="13" t="s">
        <v>2201</v>
      </c>
      <c r="D43" s="13" t="s">
        <v>2207</v>
      </c>
      <c r="E43" s="13" t="s">
        <v>2213</v>
      </c>
      <c r="F43" s="13" t="s">
        <v>2220</v>
      </c>
      <c r="G43" s="13">
        <v>78.86</v>
      </c>
      <c r="H43" s="13">
        <v>0</v>
      </c>
      <c r="I43" s="13">
        <v>78.86</v>
      </c>
      <c r="J43" s="24">
        <v>45875</v>
      </c>
      <c r="K43" s="13">
        <v>22</v>
      </c>
      <c r="L43" s="13">
        <v>4.3</v>
      </c>
      <c r="M43" s="13" t="b">
        <v>0</v>
      </c>
      <c r="O43" s="13">
        <f t="shared" si="0"/>
        <v>4.3</v>
      </c>
    </row>
    <row r="44" spans="1:15" x14ac:dyDescent="0.25">
      <c r="A44" s="13" t="s">
        <v>56</v>
      </c>
      <c r="B44" s="13" t="s">
        <v>2190</v>
      </c>
      <c r="C44" s="13" t="s">
        <v>2196</v>
      </c>
      <c r="D44" s="13" t="s">
        <v>2205</v>
      </c>
      <c r="E44" s="13" t="s">
        <v>2212</v>
      </c>
      <c r="F44" s="13" t="s">
        <v>2222</v>
      </c>
      <c r="G44" s="13">
        <v>216.16</v>
      </c>
      <c r="H44" s="13">
        <v>51.4</v>
      </c>
      <c r="I44" s="13">
        <v>105.05</v>
      </c>
      <c r="J44" s="24">
        <v>45875</v>
      </c>
      <c r="K44" s="13">
        <v>36</v>
      </c>
      <c r="L44" s="13">
        <v>4</v>
      </c>
      <c r="M44" s="13" t="b">
        <v>0</v>
      </c>
      <c r="O44" s="13">
        <f t="shared" si="0"/>
        <v>4</v>
      </c>
    </row>
    <row r="45" spans="1:15" x14ac:dyDescent="0.25">
      <c r="A45" s="13" t="s">
        <v>57</v>
      </c>
      <c r="B45" s="13" t="s">
        <v>2193</v>
      </c>
      <c r="C45" s="13" t="s">
        <v>2196</v>
      </c>
      <c r="D45" s="13" t="s">
        <v>2204</v>
      </c>
      <c r="E45" s="13" t="s">
        <v>2208</v>
      </c>
      <c r="F45" s="13" t="s">
        <v>2215</v>
      </c>
      <c r="G45" s="13">
        <v>129.85</v>
      </c>
      <c r="H45" s="13">
        <v>0</v>
      </c>
      <c r="I45" s="13">
        <v>129.85</v>
      </c>
      <c r="J45" s="24">
        <v>45772</v>
      </c>
      <c r="K45" s="13">
        <v>36</v>
      </c>
      <c r="L45" s="13">
        <v>3.3</v>
      </c>
      <c r="M45" s="13" t="b">
        <v>0</v>
      </c>
      <c r="O45" s="13">
        <f t="shared" si="0"/>
        <v>3.3</v>
      </c>
    </row>
    <row r="46" spans="1:15" x14ac:dyDescent="0.25">
      <c r="A46" s="13" t="s">
        <v>58</v>
      </c>
      <c r="B46" s="13" t="s">
        <v>2191</v>
      </c>
      <c r="C46" s="13" t="s">
        <v>2198</v>
      </c>
      <c r="D46" s="13" t="s">
        <v>2205</v>
      </c>
      <c r="E46" s="13" t="s">
        <v>2211</v>
      </c>
      <c r="F46" s="13" t="s">
        <v>2220</v>
      </c>
      <c r="G46" s="13">
        <v>111.3</v>
      </c>
      <c r="H46" s="13">
        <v>0</v>
      </c>
      <c r="I46" s="13">
        <v>111.3</v>
      </c>
      <c r="J46" s="24">
        <v>45875</v>
      </c>
      <c r="K46" s="13">
        <v>11</v>
      </c>
      <c r="L46" s="13">
        <v>1.7</v>
      </c>
      <c r="M46" s="13" t="b">
        <v>0</v>
      </c>
      <c r="O46" s="13">
        <f t="shared" si="0"/>
        <v>1.7</v>
      </c>
    </row>
    <row r="47" spans="1:15" x14ac:dyDescent="0.25">
      <c r="A47" s="13" t="s">
        <v>59</v>
      </c>
      <c r="B47" s="13" t="s">
        <v>2195</v>
      </c>
      <c r="C47" s="13" t="s">
        <v>2197</v>
      </c>
      <c r="D47" s="13" t="s">
        <v>2207</v>
      </c>
      <c r="E47" s="13" t="s">
        <v>2208</v>
      </c>
      <c r="F47" s="13" t="s">
        <v>2224</v>
      </c>
      <c r="G47" s="13">
        <v>73.650000000000006</v>
      </c>
      <c r="H47" s="13">
        <v>0</v>
      </c>
      <c r="I47" s="13">
        <v>73.650000000000006</v>
      </c>
      <c r="J47" s="24">
        <v>45875</v>
      </c>
      <c r="K47" s="13">
        <v>33</v>
      </c>
      <c r="L47" s="13">
        <v>3.6</v>
      </c>
      <c r="M47" s="13" t="b">
        <v>0</v>
      </c>
      <c r="O47" s="13">
        <f t="shared" si="0"/>
        <v>3.6</v>
      </c>
    </row>
    <row r="48" spans="1:15" x14ac:dyDescent="0.25">
      <c r="A48" s="13" t="s">
        <v>60</v>
      </c>
      <c r="B48" s="13" t="s">
        <v>2193</v>
      </c>
      <c r="C48" s="13" t="s">
        <v>2199</v>
      </c>
      <c r="D48" s="13" t="s">
        <v>2207</v>
      </c>
      <c r="E48" s="13" t="s">
        <v>2209</v>
      </c>
      <c r="F48" s="13" t="s">
        <v>2215</v>
      </c>
      <c r="G48" s="13">
        <v>147.13</v>
      </c>
      <c r="H48" s="13">
        <v>30.3</v>
      </c>
      <c r="I48" s="13">
        <v>102.55</v>
      </c>
      <c r="J48" s="24">
        <v>45875</v>
      </c>
      <c r="K48" s="13">
        <v>13</v>
      </c>
      <c r="L48" s="13">
        <v>4.4000000000000004</v>
      </c>
      <c r="M48" s="13" t="b">
        <v>0</v>
      </c>
      <c r="O48" s="13">
        <f t="shared" si="0"/>
        <v>4.4000000000000004</v>
      </c>
    </row>
    <row r="49" spans="1:15" x14ac:dyDescent="0.25">
      <c r="A49" s="13" t="s">
        <v>61</v>
      </c>
      <c r="B49" s="13" t="s">
        <v>2192</v>
      </c>
      <c r="C49" s="13" t="s">
        <v>2201</v>
      </c>
      <c r="D49" s="13" t="s">
        <v>2205</v>
      </c>
      <c r="F49" s="13" t="s">
        <v>2220</v>
      </c>
      <c r="G49" s="13">
        <v>44.6</v>
      </c>
      <c r="H49" s="13">
        <v>53.9</v>
      </c>
      <c r="I49" s="13">
        <v>20.56</v>
      </c>
      <c r="J49" s="24">
        <v>45875</v>
      </c>
      <c r="K49" s="13">
        <v>42</v>
      </c>
      <c r="L49" s="13">
        <v>2.4</v>
      </c>
      <c r="M49" s="13" t="b">
        <v>0</v>
      </c>
      <c r="O49" s="13">
        <f t="shared" si="0"/>
        <v>2.4</v>
      </c>
    </row>
    <row r="50" spans="1:15" x14ac:dyDescent="0.25">
      <c r="A50" s="13" t="s">
        <v>62</v>
      </c>
      <c r="B50" s="13" t="s">
        <v>2194</v>
      </c>
      <c r="C50" s="13" t="s">
        <v>2203</v>
      </c>
      <c r="D50" s="13" t="s">
        <v>2207</v>
      </c>
      <c r="E50" s="13" t="s">
        <v>2208</v>
      </c>
      <c r="F50" s="13" t="s">
        <v>2217</v>
      </c>
      <c r="G50" s="13">
        <v>101.8</v>
      </c>
      <c r="H50" s="13">
        <v>0</v>
      </c>
      <c r="I50" s="13">
        <v>101.8</v>
      </c>
      <c r="J50" s="24">
        <v>45875</v>
      </c>
      <c r="K50" s="13">
        <v>7</v>
      </c>
      <c r="L50" s="13">
        <v>2.8</v>
      </c>
      <c r="M50" s="13" t="b">
        <v>0</v>
      </c>
      <c r="O50" s="13">
        <f t="shared" si="0"/>
        <v>2.8</v>
      </c>
    </row>
    <row r="51" spans="1:15" x14ac:dyDescent="0.25">
      <c r="A51" s="13" t="s">
        <v>63</v>
      </c>
      <c r="B51" s="13" t="s">
        <v>2192</v>
      </c>
      <c r="C51" s="13" t="s">
        <v>2198</v>
      </c>
      <c r="D51" s="13" t="s">
        <v>2207</v>
      </c>
      <c r="F51" s="13" t="s">
        <v>2224</v>
      </c>
      <c r="G51" s="13">
        <v>16.52</v>
      </c>
      <c r="H51" s="13">
        <v>55.9</v>
      </c>
      <c r="I51" s="13">
        <v>7.29</v>
      </c>
      <c r="J51" s="24">
        <v>45875</v>
      </c>
      <c r="K51" s="13">
        <v>43</v>
      </c>
      <c r="M51" s="13" t="b">
        <v>0</v>
      </c>
      <c r="O51" s="13">
        <f t="shared" si="0"/>
        <v>2.8694444444444449</v>
      </c>
    </row>
    <row r="52" spans="1:15" x14ac:dyDescent="0.25">
      <c r="A52" s="13" t="s">
        <v>64</v>
      </c>
      <c r="B52" s="13" t="s">
        <v>2194</v>
      </c>
      <c r="C52" s="13" t="s">
        <v>2200</v>
      </c>
      <c r="D52" s="13" t="s">
        <v>2206</v>
      </c>
      <c r="E52" s="13" t="s">
        <v>2213</v>
      </c>
      <c r="F52" s="13" t="s">
        <v>2221</v>
      </c>
      <c r="G52" s="13">
        <v>50.91</v>
      </c>
      <c r="H52" s="13">
        <v>0</v>
      </c>
      <c r="I52" s="13">
        <v>50.91</v>
      </c>
      <c r="J52" s="24">
        <v>45875</v>
      </c>
      <c r="K52" s="13">
        <v>3</v>
      </c>
      <c r="L52" s="13">
        <v>1.8</v>
      </c>
      <c r="M52" s="13" t="b">
        <v>0</v>
      </c>
      <c r="O52" s="13">
        <f t="shared" si="0"/>
        <v>1.8</v>
      </c>
    </row>
    <row r="53" spans="1:15" x14ac:dyDescent="0.25">
      <c r="A53" s="13" t="s">
        <v>65</v>
      </c>
      <c r="B53" s="13" t="s">
        <v>2190</v>
      </c>
      <c r="C53" s="13" t="s">
        <v>2203</v>
      </c>
      <c r="D53" s="13" t="s">
        <v>2204</v>
      </c>
      <c r="E53" s="13" t="s">
        <v>2210</v>
      </c>
      <c r="F53" s="13" t="s">
        <v>2217</v>
      </c>
      <c r="G53" s="13">
        <v>222.26</v>
      </c>
      <c r="H53" s="13">
        <v>0</v>
      </c>
      <c r="I53" s="13">
        <v>222.26</v>
      </c>
      <c r="J53" s="24">
        <v>45780</v>
      </c>
      <c r="K53" s="13">
        <v>50</v>
      </c>
      <c r="L53" s="13">
        <v>4.5</v>
      </c>
      <c r="M53" s="13" t="b">
        <v>0</v>
      </c>
      <c r="O53" s="13">
        <f t="shared" si="0"/>
        <v>4.5</v>
      </c>
    </row>
    <row r="54" spans="1:15" x14ac:dyDescent="0.25">
      <c r="A54" s="13" t="s">
        <v>66</v>
      </c>
      <c r="B54" s="13" t="s">
        <v>2193</v>
      </c>
      <c r="C54" s="13" t="s">
        <v>2202</v>
      </c>
      <c r="D54" s="13" t="s">
        <v>2207</v>
      </c>
      <c r="E54" s="13" t="s">
        <v>2210</v>
      </c>
      <c r="F54" s="13" t="s">
        <v>2222</v>
      </c>
      <c r="G54" s="13">
        <v>104.14</v>
      </c>
      <c r="H54" s="13">
        <v>57.1</v>
      </c>
      <c r="I54" s="13">
        <v>44.68</v>
      </c>
      <c r="J54" s="24">
        <v>45875</v>
      </c>
      <c r="K54" s="13">
        <v>14</v>
      </c>
      <c r="L54" s="13">
        <v>1.8</v>
      </c>
      <c r="M54" s="13" t="b">
        <v>0</v>
      </c>
      <c r="O54" s="13">
        <f t="shared" si="0"/>
        <v>1.8</v>
      </c>
    </row>
    <row r="55" spans="1:15" x14ac:dyDescent="0.25">
      <c r="A55" s="13" t="s">
        <v>67</v>
      </c>
      <c r="B55" s="13" t="s">
        <v>2190</v>
      </c>
      <c r="C55" s="13" t="s">
        <v>2196</v>
      </c>
      <c r="D55" s="13" t="s">
        <v>2204</v>
      </c>
      <c r="E55" s="13" t="s">
        <v>2210</v>
      </c>
      <c r="F55" s="13" t="s">
        <v>2217</v>
      </c>
      <c r="G55" s="13">
        <v>166.76</v>
      </c>
      <c r="H55" s="13">
        <v>0</v>
      </c>
      <c r="I55" s="13">
        <v>166.76</v>
      </c>
      <c r="J55" s="24">
        <v>45820</v>
      </c>
      <c r="K55" s="13">
        <v>21</v>
      </c>
      <c r="L55" s="13">
        <v>4.2</v>
      </c>
      <c r="M55" s="13" t="b">
        <v>0</v>
      </c>
      <c r="O55" s="13">
        <f t="shared" si="0"/>
        <v>4.2</v>
      </c>
    </row>
    <row r="56" spans="1:15" x14ac:dyDescent="0.25">
      <c r="A56" s="13" t="s">
        <v>68</v>
      </c>
      <c r="B56" s="13" t="s">
        <v>2192</v>
      </c>
      <c r="C56" s="13" t="s">
        <v>2198</v>
      </c>
      <c r="D56" s="13" t="s">
        <v>2206</v>
      </c>
      <c r="F56" s="13" t="s">
        <v>2216</v>
      </c>
      <c r="G56" s="13">
        <v>44.13</v>
      </c>
      <c r="H56" s="13">
        <v>50.9</v>
      </c>
      <c r="I56" s="13">
        <v>21.67</v>
      </c>
      <c r="J56" s="24">
        <v>45875</v>
      </c>
      <c r="K56" s="13">
        <v>21</v>
      </c>
      <c r="L56" s="13">
        <v>3</v>
      </c>
      <c r="M56" s="13" t="b">
        <v>0</v>
      </c>
      <c r="O56" s="13">
        <f t="shared" si="0"/>
        <v>3</v>
      </c>
    </row>
    <row r="57" spans="1:15" x14ac:dyDescent="0.25">
      <c r="A57" s="13" t="s">
        <v>69</v>
      </c>
      <c r="B57" s="13" t="s">
        <v>2190</v>
      </c>
      <c r="C57" s="13" t="s">
        <v>2202</v>
      </c>
      <c r="D57" s="13" t="s">
        <v>2207</v>
      </c>
      <c r="E57" s="13" t="s">
        <v>2210</v>
      </c>
      <c r="F57" s="13" t="s">
        <v>2220</v>
      </c>
      <c r="G57" s="13">
        <v>121.29</v>
      </c>
      <c r="H57" s="13">
        <v>15.2</v>
      </c>
      <c r="I57" s="13">
        <v>102.85</v>
      </c>
      <c r="J57" s="24">
        <v>45875</v>
      </c>
      <c r="K57" s="13">
        <v>42</v>
      </c>
      <c r="M57" s="13" t="b">
        <v>0</v>
      </c>
      <c r="O57" s="13">
        <f t="shared" si="0"/>
        <v>2.9034482758620692</v>
      </c>
    </row>
    <row r="58" spans="1:15" x14ac:dyDescent="0.25">
      <c r="A58" s="13" t="s">
        <v>70</v>
      </c>
      <c r="B58" s="13" t="s">
        <v>2191</v>
      </c>
      <c r="C58" s="13" t="s">
        <v>2200</v>
      </c>
      <c r="D58" s="13" t="s">
        <v>2204</v>
      </c>
      <c r="E58" s="13" t="s">
        <v>2210</v>
      </c>
      <c r="F58" s="13" t="s">
        <v>2221</v>
      </c>
      <c r="G58" s="13">
        <v>73.709999999999994</v>
      </c>
      <c r="H58" s="13">
        <v>0</v>
      </c>
      <c r="I58" s="13">
        <v>73.709999999999994</v>
      </c>
      <c r="J58" s="24">
        <v>45848</v>
      </c>
      <c r="K58" s="13">
        <v>35</v>
      </c>
      <c r="L58" s="13">
        <v>3.9</v>
      </c>
      <c r="M58" s="13" t="b">
        <v>1</v>
      </c>
      <c r="N58" s="13" t="s">
        <v>2228</v>
      </c>
      <c r="O58" s="13">
        <f t="shared" si="0"/>
        <v>3.9</v>
      </c>
    </row>
    <row r="59" spans="1:15" x14ac:dyDescent="0.25">
      <c r="A59" s="13" t="s">
        <v>71</v>
      </c>
      <c r="B59" s="13" t="s">
        <v>2194</v>
      </c>
      <c r="C59" s="13" t="s">
        <v>2196</v>
      </c>
      <c r="D59" s="13" t="s">
        <v>2204</v>
      </c>
      <c r="E59" s="13" t="s">
        <v>2208</v>
      </c>
      <c r="F59" s="13" t="s">
        <v>2224</v>
      </c>
      <c r="G59" s="13">
        <v>84.07</v>
      </c>
      <c r="H59" s="13">
        <v>26.3</v>
      </c>
      <c r="I59" s="13">
        <v>61.96</v>
      </c>
      <c r="J59" s="24">
        <v>45590</v>
      </c>
      <c r="K59" s="13">
        <v>19</v>
      </c>
      <c r="L59" s="13">
        <v>2.2999999999999998</v>
      </c>
      <c r="M59" s="13" t="b">
        <v>1</v>
      </c>
      <c r="N59" s="13" t="s">
        <v>2226</v>
      </c>
      <c r="O59" s="13">
        <f t="shared" si="0"/>
        <v>2.2999999999999998</v>
      </c>
    </row>
    <row r="60" spans="1:15" x14ac:dyDescent="0.25">
      <c r="A60" s="13" t="s">
        <v>72</v>
      </c>
      <c r="B60" s="13" t="s">
        <v>2191</v>
      </c>
      <c r="C60" s="13" t="s">
        <v>2199</v>
      </c>
      <c r="D60" s="13" t="s">
        <v>2207</v>
      </c>
      <c r="E60" s="13" t="s">
        <v>2212</v>
      </c>
      <c r="F60" s="13" t="s">
        <v>2216</v>
      </c>
      <c r="G60" s="13">
        <v>28.59</v>
      </c>
      <c r="H60" s="13">
        <v>0</v>
      </c>
      <c r="I60" s="13">
        <v>28.59</v>
      </c>
      <c r="J60" s="24">
        <v>45875</v>
      </c>
      <c r="K60" s="13">
        <v>39</v>
      </c>
      <c r="L60" s="13">
        <v>1.4</v>
      </c>
      <c r="M60" s="13" t="b">
        <v>0</v>
      </c>
      <c r="O60" s="13">
        <f t="shared" si="0"/>
        <v>1.4</v>
      </c>
    </row>
    <row r="61" spans="1:15" x14ac:dyDescent="0.25">
      <c r="A61" s="13" t="s">
        <v>73</v>
      </c>
      <c r="B61" s="13" t="s">
        <v>2193</v>
      </c>
      <c r="C61" s="13" t="s">
        <v>2199</v>
      </c>
      <c r="D61" s="13" t="s">
        <v>2205</v>
      </c>
      <c r="E61" s="13" t="s">
        <v>2211</v>
      </c>
      <c r="F61" s="13" t="s">
        <v>2219</v>
      </c>
      <c r="G61" s="13">
        <v>166.49</v>
      </c>
      <c r="H61" s="13">
        <v>2.6</v>
      </c>
      <c r="I61" s="13">
        <v>162.16</v>
      </c>
      <c r="J61" s="24">
        <v>45875</v>
      </c>
      <c r="K61" s="13">
        <v>27</v>
      </c>
      <c r="M61" s="13" t="b">
        <v>0</v>
      </c>
      <c r="O61" s="13">
        <f t="shared" si="0"/>
        <v>2.9804347826086954</v>
      </c>
    </row>
    <row r="62" spans="1:15" x14ac:dyDescent="0.25">
      <c r="A62" s="13" t="s">
        <v>74</v>
      </c>
      <c r="B62" s="13" t="s">
        <v>2193</v>
      </c>
      <c r="C62" s="13" t="s">
        <v>2201</v>
      </c>
      <c r="D62" s="13" t="s">
        <v>2207</v>
      </c>
      <c r="E62" s="13" t="s">
        <v>2213</v>
      </c>
      <c r="F62" s="13" t="s">
        <v>2217</v>
      </c>
      <c r="G62" s="13">
        <v>145.94999999999999</v>
      </c>
      <c r="H62" s="13">
        <v>6.6</v>
      </c>
      <c r="I62" s="13">
        <v>136.32</v>
      </c>
      <c r="J62" s="24">
        <v>45875</v>
      </c>
      <c r="K62" s="13">
        <v>15</v>
      </c>
      <c r="L62" s="13">
        <v>4</v>
      </c>
      <c r="M62" s="13" t="b">
        <v>0</v>
      </c>
      <c r="O62" s="13">
        <f t="shared" si="0"/>
        <v>4</v>
      </c>
    </row>
    <row r="63" spans="1:15" x14ac:dyDescent="0.25">
      <c r="A63" s="13" t="s">
        <v>75</v>
      </c>
      <c r="B63" s="13" t="s">
        <v>2190</v>
      </c>
      <c r="C63" s="13" t="s">
        <v>2202</v>
      </c>
      <c r="D63" s="13" t="s">
        <v>2206</v>
      </c>
      <c r="E63" s="13" t="s">
        <v>2213</v>
      </c>
      <c r="F63" s="13" t="s">
        <v>2223</v>
      </c>
      <c r="G63" s="13">
        <v>218.42</v>
      </c>
      <c r="H63" s="13">
        <v>0</v>
      </c>
      <c r="I63" s="13">
        <v>218.42</v>
      </c>
      <c r="J63" s="24">
        <v>45875</v>
      </c>
      <c r="K63" s="13">
        <v>33</v>
      </c>
      <c r="L63" s="13">
        <v>4.4000000000000004</v>
      </c>
      <c r="M63" s="13" t="b">
        <v>1</v>
      </c>
      <c r="N63" s="13" t="s">
        <v>2229</v>
      </c>
      <c r="O63" s="13">
        <f t="shared" si="0"/>
        <v>4.4000000000000004</v>
      </c>
    </row>
    <row r="64" spans="1:15" x14ac:dyDescent="0.25">
      <c r="A64" s="13" t="s">
        <v>76</v>
      </c>
      <c r="B64" s="13" t="s">
        <v>2192</v>
      </c>
      <c r="C64" s="13" t="s">
        <v>2203</v>
      </c>
      <c r="D64" s="13" t="s">
        <v>2205</v>
      </c>
      <c r="F64" s="13" t="s">
        <v>2217</v>
      </c>
      <c r="G64" s="13">
        <v>46.17</v>
      </c>
      <c r="H64" s="13">
        <v>1.1000000000000001</v>
      </c>
      <c r="I64" s="13">
        <v>45.66</v>
      </c>
      <c r="J64" s="24">
        <v>45875</v>
      </c>
      <c r="K64" s="13">
        <v>30</v>
      </c>
      <c r="L64" s="13">
        <v>1.9</v>
      </c>
      <c r="M64" s="13" t="b">
        <v>0</v>
      </c>
      <c r="O64" s="13">
        <f t="shared" si="0"/>
        <v>1.9</v>
      </c>
    </row>
    <row r="65" spans="1:15" x14ac:dyDescent="0.25">
      <c r="A65" s="13" t="s">
        <v>77</v>
      </c>
      <c r="B65" s="13" t="s">
        <v>2193</v>
      </c>
      <c r="C65" s="13" t="s">
        <v>2200</v>
      </c>
      <c r="D65" s="13" t="s">
        <v>2207</v>
      </c>
      <c r="F65" s="13" t="s">
        <v>2220</v>
      </c>
      <c r="G65" s="13">
        <v>106.18</v>
      </c>
      <c r="H65" s="13">
        <v>18</v>
      </c>
      <c r="I65" s="13">
        <v>87.07</v>
      </c>
      <c r="J65" s="24">
        <v>45875</v>
      </c>
      <c r="K65" s="13">
        <v>11</v>
      </c>
      <c r="L65" s="13">
        <v>4.5</v>
      </c>
      <c r="M65" s="13" t="b">
        <v>0</v>
      </c>
      <c r="O65" s="13">
        <f t="shared" si="0"/>
        <v>4.5</v>
      </c>
    </row>
    <row r="66" spans="1:15" x14ac:dyDescent="0.25">
      <c r="A66" s="13" t="s">
        <v>78</v>
      </c>
      <c r="B66" s="13" t="s">
        <v>2191</v>
      </c>
      <c r="C66" s="13" t="s">
        <v>2196</v>
      </c>
      <c r="D66" s="13" t="s">
        <v>2205</v>
      </c>
      <c r="E66" s="13" t="s">
        <v>2212</v>
      </c>
      <c r="F66" s="13" t="s">
        <v>2218</v>
      </c>
      <c r="G66" s="13">
        <v>93.33</v>
      </c>
      <c r="H66" s="13">
        <v>2.4</v>
      </c>
      <c r="I66" s="13">
        <v>91.09</v>
      </c>
      <c r="J66" s="24">
        <v>45875</v>
      </c>
      <c r="K66" s="13">
        <v>20</v>
      </c>
      <c r="L66" s="13">
        <v>4.2</v>
      </c>
      <c r="M66" s="13" t="b">
        <v>0</v>
      </c>
      <c r="O66" s="13">
        <f t="shared" si="0"/>
        <v>4.2</v>
      </c>
    </row>
    <row r="67" spans="1:15" x14ac:dyDescent="0.25">
      <c r="A67" s="13" t="s">
        <v>79</v>
      </c>
      <c r="B67" s="13" t="s">
        <v>2194</v>
      </c>
      <c r="C67" s="13" t="s">
        <v>2199</v>
      </c>
      <c r="D67" s="13" t="s">
        <v>2204</v>
      </c>
      <c r="E67" s="13" t="s">
        <v>2212</v>
      </c>
      <c r="F67" s="13" t="s">
        <v>2217</v>
      </c>
      <c r="G67" s="13">
        <v>86.54</v>
      </c>
      <c r="H67" s="13">
        <v>21.7</v>
      </c>
      <c r="I67" s="13">
        <v>67.760000000000005</v>
      </c>
      <c r="J67" s="24">
        <v>45809</v>
      </c>
      <c r="K67" s="13">
        <v>21</v>
      </c>
      <c r="L67" s="13">
        <v>3.6</v>
      </c>
      <c r="M67" s="13" t="b">
        <v>1</v>
      </c>
      <c r="N67" s="13" t="s">
        <v>2229</v>
      </c>
      <c r="O67" s="13">
        <f t="shared" ref="O67:O130" si="1">IF(L67="",AVERAGEIFS($L$2:$L$2177,$B$2:$B$2177,B67,$C$2:$C$2177,C67),L67)</f>
        <v>3.6</v>
      </c>
    </row>
    <row r="68" spans="1:15" x14ac:dyDescent="0.25">
      <c r="A68" s="13" t="s">
        <v>80</v>
      </c>
      <c r="B68" s="13" t="s">
        <v>2192</v>
      </c>
      <c r="C68" s="13" t="s">
        <v>2201</v>
      </c>
      <c r="D68" s="13" t="s">
        <v>2207</v>
      </c>
      <c r="F68" s="13" t="s">
        <v>2220</v>
      </c>
      <c r="G68" s="13">
        <v>55.57</v>
      </c>
      <c r="H68" s="13">
        <v>0</v>
      </c>
      <c r="I68" s="13">
        <v>55.57</v>
      </c>
      <c r="J68" s="24">
        <v>45875</v>
      </c>
      <c r="K68" s="13">
        <v>44</v>
      </c>
      <c r="L68" s="13">
        <v>3.8</v>
      </c>
      <c r="M68" s="13" t="b">
        <v>0</v>
      </c>
      <c r="O68" s="13">
        <f t="shared" si="1"/>
        <v>3.8</v>
      </c>
    </row>
    <row r="69" spans="1:15" x14ac:dyDescent="0.25">
      <c r="A69" s="13" t="s">
        <v>81</v>
      </c>
      <c r="B69" s="13" t="s">
        <v>2191</v>
      </c>
      <c r="C69" s="13" t="s">
        <v>2203</v>
      </c>
      <c r="D69" s="13" t="s">
        <v>2204</v>
      </c>
      <c r="E69" s="13" t="s">
        <v>2208</v>
      </c>
      <c r="F69" s="13" t="s">
        <v>2216</v>
      </c>
      <c r="G69" s="13">
        <v>76.5</v>
      </c>
      <c r="H69" s="13">
        <v>0</v>
      </c>
      <c r="I69" s="13">
        <v>76.5</v>
      </c>
      <c r="J69" s="24">
        <v>45683</v>
      </c>
      <c r="K69" s="13">
        <v>17</v>
      </c>
      <c r="L69" s="13">
        <v>4.5999999999999996</v>
      </c>
      <c r="M69" s="13" t="b">
        <v>0</v>
      </c>
      <c r="O69" s="13">
        <f t="shared" si="1"/>
        <v>4.5999999999999996</v>
      </c>
    </row>
    <row r="70" spans="1:15" x14ac:dyDescent="0.25">
      <c r="A70" s="13" t="s">
        <v>82</v>
      </c>
      <c r="B70" s="13" t="s">
        <v>2195</v>
      </c>
      <c r="C70" s="13" t="s">
        <v>2203</v>
      </c>
      <c r="D70" s="13" t="s">
        <v>2204</v>
      </c>
      <c r="E70" s="13" t="s">
        <v>2212</v>
      </c>
      <c r="F70" s="13" t="s">
        <v>2220</v>
      </c>
      <c r="G70" s="13">
        <v>137.19</v>
      </c>
      <c r="H70" s="13">
        <v>9.5</v>
      </c>
      <c r="I70" s="13">
        <v>124.16</v>
      </c>
      <c r="J70" s="24">
        <v>45748</v>
      </c>
      <c r="K70" s="13">
        <v>17</v>
      </c>
      <c r="M70" s="13" t="b">
        <v>0</v>
      </c>
      <c r="O70" s="13">
        <f t="shared" si="1"/>
        <v>2.9636363636363638</v>
      </c>
    </row>
    <row r="71" spans="1:15" x14ac:dyDescent="0.25">
      <c r="A71" s="13" t="s">
        <v>83</v>
      </c>
      <c r="B71" s="13" t="s">
        <v>2191</v>
      </c>
      <c r="C71" s="13" t="s">
        <v>2196</v>
      </c>
      <c r="D71" s="13" t="s">
        <v>2207</v>
      </c>
      <c r="E71" s="13" t="s">
        <v>2208</v>
      </c>
      <c r="F71" s="13" t="s">
        <v>2223</v>
      </c>
      <c r="G71" s="13">
        <v>48.92</v>
      </c>
      <c r="H71" s="13">
        <v>19.8</v>
      </c>
      <c r="I71" s="13">
        <v>39.229999999999997</v>
      </c>
      <c r="J71" s="24">
        <v>45875</v>
      </c>
      <c r="K71" s="13">
        <v>17</v>
      </c>
      <c r="L71" s="13">
        <v>2.6</v>
      </c>
      <c r="M71" s="13" t="b">
        <v>0</v>
      </c>
      <c r="O71" s="13">
        <f t="shared" si="1"/>
        <v>2.6</v>
      </c>
    </row>
    <row r="72" spans="1:15" x14ac:dyDescent="0.25">
      <c r="A72" s="13" t="s">
        <v>84</v>
      </c>
      <c r="B72" s="13" t="s">
        <v>2193</v>
      </c>
      <c r="C72" s="13" t="s">
        <v>2201</v>
      </c>
      <c r="D72" s="13" t="s">
        <v>2205</v>
      </c>
      <c r="E72" s="13" t="s">
        <v>2208</v>
      </c>
      <c r="F72" s="13" t="s">
        <v>2217</v>
      </c>
      <c r="G72" s="13">
        <v>69.819999999999993</v>
      </c>
      <c r="H72" s="13">
        <v>0</v>
      </c>
      <c r="I72" s="13">
        <v>69.819999999999993</v>
      </c>
      <c r="J72" s="24">
        <v>45875</v>
      </c>
      <c r="K72" s="13">
        <v>46</v>
      </c>
      <c r="M72" s="13" t="b">
        <v>1</v>
      </c>
      <c r="N72" s="13" t="s">
        <v>2230</v>
      </c>
      <c r="O72" s="13">
        <f t="shared" si="1"/>
        <v>3.0068965517241386</v>
      </c>
    </row>
    <row r="73" spans="1:15" x14ac:dyDescent="0.25">
      <c r="A73" s="13" t="s">
        <v>85</v>
      </c>
      <c r="B73" s="13" t="s">
        <v>2190</v>
      </c>
      <c r="C73" s="13" t="s">
        <v>2199</v>
      </c>
      <c r="D73" s="13" t="s">
        <v>2207</v>
      </c>
      <c r="E73" s="13" t="s">
        <v>2211</v>
      </c>
      <c r="F73" s="13" t="s">
        <v>2214</v>
      </c>
      <c r="G73" s="13">
        <v>199.39</v>
      </c>
      <c r="H73" s="13">
        <v>7.4</v>
      </c>
      <c r="I73" s="13">
        <v>184.64</v>
      </c>
      <c r="J73" s="24">
        <v>45875</v>
      </c>
      <c r="K73" s="13">
        <v>49</v>
      </c>
      <c r="M73" s="13" t="b">
        <v>0</v>
      </c>
      <c r="O73" s="13">
        <f t="shared" si="1"/>
        <v>2.4137931034482762</v>
      </c>
    </row>
    <row r="74" spans="1:15" x14ac:dyDescent="0.25">
      <c r="A74" s="13" t="s">
        <v>86</v>
      </c>
      <c r="B74" s="13" t="s">
        <v>2190</v>
      </c>
      <c r="C74" s="13" t="s">
        <v>2198</v>
      </c>
      <c r="D74" s="13" t="s">
        <v>2207</v>
      </c>
      <c r="E74" s="13" t="s">
        <v>2213</v>
      </c>
      <c r="F74" s="13" t="s">
        <v>2217</v>
      </c>
      <c r="G74" s="13">
        <v>222.09</v>
      </c>
      <c r="H74" s="13">
        <v>55.2</v>
      </c>
      <c r="I74" s="13">
        <v>99.5</v>
      </c>
      <c r="J74" s="24">
        <v>45875</v>
      </c>
      <c r="K74" s="13">
        <v>21</v>
      </c>
      <c r="L74" s="13">
        <v>4.5</v>
      </c>
      <c r="M74" s="13" t="b">
        <v>0</v>
      </c>
      <c r="O74" s="13">
        <f t="shared" si="1"/>
        <v>4.5</v>
      </c>
    </row>
    <row r="75" spans="1:15" x14ac:dyDescent="0.25">
      <c r="A75" s="13" t="s">
        <v>87</v>
      </c>
      <c r="B75" s="13" t="s">
        <v>2191</v>
      </c>
      <c r="C75" s="13" t="s">
        <v>2199</v>
      </c>
      <c r="D75" s="13" t="s">
        <v>2206</v>
      </c>
      <c r="E75" s="13" t="s">
        <v>2212</v>
      </c>
      <c r="F75" s="13" t="s">
        <v>2214</v>
      </c>
      <c r="G75" s="13">
        <v>112.86</v>
      </c>
      <c r="H75" s="13">
        <v>0</v>
      </c>
      <c r="I75" s="13">
        <v>112.86</v>
      </c>
      <c r="J75" s="24">
        <v>45875</v>
      </c>
      <c r="K75" s="13">
        <v>8</v>
      </c>
      <c r="L75" s="13">
        <v>2.9</v>
      </c>
      <c r="M75" s="13" t="b">
        <v>0</v>
      </c>
      <c r="O75" s="13">
        <f t="shared" si="1"/>
        <v>2.9</v>
      </c>
    </row>
    <row r="76" spans="1:15" x14ac:dyDescent="0.25">
      <c r="A76" s="13" t="s">
        <v>88</v>
      </c>
      <c r="B76" s="13" t="s">
        <v>2195</v>
      </c>
      <c r="C76" s="13" t="s">
        <v>2199</v>
      </c>
      <c r="D76" s="13" t="s">
        <v>2204</v>
      </c>
      <c r="E76" s="13" t="s">
        <v>2212</v>
      </c>
      <c r="F76" s="13" t="s">
        <v>2220</v>
      </c>
      <c r="G76" s="13">
        <v>100.96</v>
      </c>
      <c r="H76" s="13">
        <v>0</v>
      </c>
      <c r="I76" s="13">
        <v>100.96</v>
      </c>
      <c r="J76" s="24">
        <v>45787</v>
      </c>
      <c r="K76" s="13">
        <v>32</v>
      </c>
      <c r="L76" s="13">
        <v>3.3</v>
      </c>
      <c r="M76" s="13" t="b">
        <v>0</v>
      </c>
      <c r="O76" s="13">
        <f t="shared" si="1"/>
        <v>3.3</v>
      </c>
    </row>
    <row r="77" spans="1:15" x14ac:dyDescent="0.25">
      <c r="A77" s="13" t="s">
        <v>89</v>
      </c>
      <c r="B77" s="13" t="s">
        <v>2190</v>
      </c>
      <c r="C77" s="13" t="s">
        <v>2202</v>
      </c>
      <c r="D77" s="13" t="s">
        <v>2204</v>
      </c>
      <c r="E77" s="13" t="s">
        <v>2208</v>
      </c>
      <c r="F77" s="13" t="s">
        <v>2220</v>
      </c>
      <c r="G77" s="13">
        <v>243.56</v>
      </c>
      <c r="H77" s="13">
        <v>48</v>
      </c>
      <c r="I77" s="13">
        <v>126.65</v>
      </c>
      <c r="J77" s="24">
        <v>45579</v>
      </c>
      <c r="K77" s="13">
        <v>22</v>
      </c>
      <c r="L77" s="13">
        <v>4.4000000000000004</v>
      </c>
      <c r="M77" s="13" t="b">
        <v>1</v>
      </c>
      <c r="N77" s="13" t="s">
        <v>2229</v>
      </c>
      <c r="O77" s="13">
        <f t="shared" si="1"/>
        <v>4.4000000000000004</v>
      </c>
    </row>
    <row r="78" spans="1:15" x14ac:dyDescent="0.25">
      <c r="A78" s="13" t="s">
        <v>90</v>
      </c>
      <c r="B78" s="13" t="s">
        <v>2195</v>
      </c>
      <c r="C78" s="13" t="s">
        <v>2199</v>
      </c>
      <c r="D78" s="13" t="s">
        <v>2204</v>
      </c>
      <c r="E78" s="13" t="s">
        <v>2211</v>
      </c>
      <c r="F78" s="13" t="s">
        <v>2214</v>
      </c>
      <c r="G78" s="13">
        <v>153.32</v>
      </c>
      <c r="H78" s="13">
        <v>0</v>
      </c>
      <c r="I78" s="13">
        <v>153.32</v>
      </c>
      <c r="J78" s="24">
        <v>45548</v>
      </c>
      <c r="K78" s="13">
        <v>43</v>
      </c>
      <c r="L78" s="13">
        <v>2.9</v>
      </c>
      <c r="M78" s="13" t="b">
        <v>0</v>
      </c>
      <c r="O78" s="13">
        <f t="shared" si="1"/>
        <v>2.9</v>
      </c>
    </row>
    <row r="79" spans="1:15" x14ac:dyDescent="0.25">
      <c r="A79" s="13" t="s">
        <v>91</v>
      </c>
      <c r="B79" s="13" t="s">
        <v>2192</v>
      </c>
      <c r="C79" s="13" t="s">
        <v>2197</v>
      </c>
      <c r="D79" s="13" t="s">
        <v>2206</v>
      </c>
      <c r="F79" s="13" t="s">
        <v>2223</v>
      </c>
      <c r="G79" s="13">
        <v>42.95</v>
      </c>
      <c r="H79" s="13">
        <v>22.5</v>
      </c>
      <c r="I79" s="13">
        <v>33.29</v>
      </c>
      <c r="J79" s="24">
        <v>45875</v>
      </c>
      <c r="K79" s="13">
        <v>7</v>
      </c>
      <c r="L79" s="13">
        <v>1.9</v>
      </c>
      <c r="M79" s="13" t="b">
        <v>1</v>
      </c>
      <c r="N79" s="13" t="s">
        <v>2226</v>
      </c>
      <c r="O79" s="13">
        <f t="shared" si="1"/>
        <v>1.9</v>
      </c>
    </row>
    <row r="80" spans="1:15" x14ac:dyDescent="0.25">
      <c r="A80" s="13" t="s">
        <v>92</v>
      </c>
      <c r="B80" s="13" t="s">
        <v>2191</v>
      </c>
      <c r="C80" s="13" t="s">
        <v>2200</v>
      </c>
      <c r="D80" s="13" t="s">
        <v>2207</v>
      </c>
      <c r="E80" s="13" t="s">
        <v>2210</v>
      </c>
      <c r="F80" s="13" t="s">
        <v>2220</v>
      </c>
      <c r="G80" s="13">
        <v>30.79</v>
      </c>
      <c r="H80" s="13">
        <v>0</v>
      </c>
      <c r="I80" s="13">
        <v>30.79</v>
      </c>
      <c r="J80" s="24">
        <v>45875</v>
      </c>
      <c r="K80" s="13">
        <v>36</v>
      </c>
      <c r="L80" s="13">
        <v>3.4</v>
      </c>
      <c r="M80" s="13" t="b">
        <v>0</v>
      </c>
      <c r="O80" s="13">
        <f t="shared" si="1"/>
        <v>3.4</v>
      </c>
    </row>
    <row r="81" spans="1:15" x14ac:dyDescent="0.25">
      <c r="A81" s="13" t="s">
        <v>93</v>
      </c>
      <c r="B81" s="13" t="s">
        <v>2192</v>
      </c>
      <c r="C81" s="13" t="s">
        <v>2197</v>
      </c>
      <c r="D81" s="13" t="s">
        <v>2206</v>
      </c>
      <c r="F81" s="13" t="s">
        <v>2224</v>
      </c>
      <c r="G81" s="13">
        <v>59.85</v>
      </c>
      <c r="H81" s="13">
        <v>0</v>
      </c>
      <c r="I81" s="13">
        <v>59.85</v>
      </c>
      <c r="J81" s="24">
        <v>45875</v>
      </c>
      <c r="K81" s="13">
        <v>38</v>
      </c>
      <c r="L81" s="13">
        <v>4</v>
      </c>
      <c r="M81" s="13" t="b">
        <v>0</v>
      </c>
      <c r="O81" s="13">
        <f t="shared" si="1"/>
        <v>4</v>
      </c>
    </row>
    <row r="82" spans="1:15" x14ac:dyDescent="0.25">
      <c r="A82" s="13" t="s">
        <v>94</v>
      </c>
      <c r="B82" s="13" t="s">
        <v>2191</v>
      </c>
      <c r="C82" s="13" t="s">
        <v>2198</v>
      </c>
      <c r="D82" s="13" t="s">
        <v>2204</v>
      </c>
      <c r="E82" s="13" t="s">
        <v>2210</v>
      </c>
      <c r="F82" s="13" t="s">
        <v>2222</v>
      </c>
      <c r="G82" s="13">
        <v>78.16</v>
      </c>
      <c r="H82" s="13">
        <v>19.100000000000001</v>
      </c>
      <c r="I82" s="13">
        <v>63.23</v>
      </c>
      <c r="J82" s="24">
        <v>45863</v>
      </c>
      <c r="K82" s="13">
        <v>23</v>
      </c>
      <c r="M82" s="13" t="b">
        <v>0</v>
      </c>
      <c r="O82" s="13">
        <f t="shared" si="1"/>
        <v>2.953125</v>
      </c>
    </row>
    <row r="83" spans="1:15" x14ac:dyDescent="0.25">
      <c r="A83" s="13" t="s">
        <v>95</v>
      </c>
      <c r="B83" s="13" t="s">
        <v>2191</v>
      </c>
      <c r="C83" s="13" t="s">
        <v>2201</v>
      </c>
      <c r="D83" s="13" t="s">
        <v>2206</v>
      </c>
      <c r="E83" s="13" t="s">
        <v>2213</v>
      </c>
      <c r="F83" s="13" t="s">
        <v>2217</v>
      </c>
      <c r="G83" s="13">
        <v>113.17</v>
      </c>
      <c r="H83" s="13">
        <v>19.100000000000001</v>
      </c>
      <c r="I83" s="13">
        <v>91.55</v>
      </c>
      <c r="J83" s="24">
        <v>45875</v>
      </c>
      <c r="K83" s="13">
        <v>15</v>
      </c>
      <c r="L83" s="13">
        <v>4.9000000000000004</v>
      </c>
      <c r="M83" s="13" t="b">
        <v>0</v>
      </c>
      <c r="O83" s="13">
        <f t="shared" si="1"/>
        <v>4.9000000000000004</v>
      </c>
    </row>
    <row r="84" spans="1:15" x14ac:dyDescent="0.25">
      <c r="A84" s="13" t="s">
        <v>96</v>
      </c>
      <c r="B84" s="13" t="s">
        <v>2195</v>
      </c>
      <c r="C84" s="13" t="s">
        <v>2201</v>
      </c>
      <c r="D84" s="13" t="s">
        <v>2205</v>
      </c>
      <c r="E84" s="13" t="s">
        <v>2210</v>
      </c>
      <c r="F84" s="13" t="s">
        <v>2219</v>
      </c>
      <c r="G84" s="13">
        <v>174.13</v>
      </c>
      <c r="H84" s="13">
        <v>0</v>
      </c>
      <c r="I84" s="13">
        <v>174.13</v>
      </c>
      <c r="J84" s="24">
        <v>45875</v>
      </c>
      <c r="K84" s="13">
        <v>34</v>
      </c>
      <c r="L84" s="13">
        <v>3.7</v>
      </c>
      <c r="M84" s="13" t="b">
        <v>0</v>
      </c>
      <c r="O84" s="13">
        <f t="shared" si="1"/>
        <v>3.7</v>
      </c>
    </row>
    <row r="85" spans="1:15" x14ac:dyDescent="0.25">
      <c r="A85" s="13" t="s">
        <v>97</v>
      </c>
      <c r="B85" s="13" t="s">
        <v>2193</v>
      </c>
      <c r="C85" s="13" t="s">
        <v>2196</v>
      </c>
      <c r="D85" s="13" t="s">
        <v>2207</v>
      </c>
      <c r="E85" s="13" t="s">
        <v>2212</v>
      </c>
      <c r="F85" s="13" t="s">
        <v>2223</v>
      </c>
      <c r="G85" s="13">
        <v>191.96</v>
      </c>
      <c r="H85" s="13">
        <v>0</v>
      </c>
      <c r="I85" s="13">
        <v>191.96</v>
      </c>
      <c r="J85" s="24">
        <v>45875</v>
      </c>
      <c r="K85" s="13">
        <v>50</v>
      </c>
      <c r="M85" s="13" t="b">
        <v>0</v>
      </c>
      <c r="O85" s="13">
        <f t="shared" si="1"/>
        <v>2.9153846153846157</v>
      </c>
    </row>
    <row r="86" spans="1:15" x14ac:dyDescent="0.25">
      <c r="A86" s="13" t="s">
        <v>98</v>
      </c>
      <c r="B86" s="13" t="s">
        <v>2190</v>
      </c>
      <c r="C86" s="13" t="s">
        <v>2201</v>
      </c>
      <c r="D86" s="13" t="s">
        <v>2204</v>
      </c>
      <c r="E86" s="13" t="s">
        <v>2208</v>
      </c>
      <c r="F86" s="13" t="s">
        <v>2221</v>
      </c>
      <c r="G86" s="13">
        <v>222.55</v>
      </c>
      <c r="H86" s="13">
        <v>22.6</v>
      </c>
      <c r="I86" s="13">
        <v>172.25</v>
      </c>
      <c r="J86" s="24">
        <v>45698</v>
      </c>
      <c r="K86" s="13">
        <v>50</v>
      </c>
      <c r="M86" s="13" t="b">
        <v>0</v>
      </c>
      <c r="O86" s="13">
        <f t="shared" si="1"/>
        <v>3.0305555555555546</v>
      </c>
    </row>
    <row r="87" spans="1:15" x14ac:dyDescent="0.25">
      <c r="A87" s="13" t="s">
        <v>99</v>
      </c>
      <c r="B87" s="13" t="s">
        <v>2194</v>
      </c>
      <c r="C87" s="13" t="s">
        <v>2203</v>
      </c>
      <c r="D87" s="13" t="s">
        <v>2205</v>
      </c>
      <c r="E87" s="13" t="s">
        <v>2212</v>
      </c>
      <c r="F87" s="13" t="s">
        <v>2216</v>
      </c>
      <c r="G87" s="13">
        <v>37.85</v>
      </c>
      <c r="H87" s="13">
        <v>11.9</v>
      </c>
      <c r="I87" s="13">
        <v>33.35</v>
      </c>
      <c r="J87" s="24">
        <v>45875</v>
      </c>
      <c r="K87" s="13">
        <v>45</v>
      </c>
      <c r="L87" s="13">
        <v>3.4</v>
      </c>
      <c r="M87" s="13" t="b">
        <v>1</v>
      </c>
      <c r="N87" s="13" t="s">
        <v>2229</v>
      </c>
      <c r="O87" s="13">
        <f t="shared" si="1"/>
        <v>3.4</v>
      </c>
    </row>
    <row r="88" spans="1:15" x14ac:dyDescent="0.25">
      <c r="A88" s="13" t="s">
        <v>100</v>
      </c>
      <c r="B88" s="13" t="s">
        <v>2190</v>
      </c>
      <c r="C88" s="13" t="s">
        <v>2197</v>
      </c>
      <c r="D88" s="13" t="s">
        <v>2207</v>
      </c>
      <c r="E88" s="13" t="s">
        <v>2213</v>
      </c>
      <c r="F88" s="13" t="s">
        <v>2218</v>
      </c>
      <c r="G88" s="13">
        <v>241.09</v>
      </c>
      <c r="H88" s="13">
        <v>0</v>
      </c>
      <c r="I88" s="13">
        <v>241.09</v>
      </c>
      <c r="J88" s="24">
        <v>45875</v>
      </c>
      <c r="K88" s="13">
        <v>26</v>
      </c>
      <c r="M88" s="13" t="b">
        <v>0</v>
      </c>
      <c r="O88" s="13">
        <f t="shared" si="1"/>
        <v>3.15</v>
      </c>
    </row>
    <row r="89" spans="1:15" x14ac:dyDescent="0.25">
      <c r="A89" s="13" t="s">
        <v>101</v>
      </c>
      <c r="B89" s="13" t="s">
        <v>2195</v>
      </c>
      <c r="C89" s="13" t="s">
        <v>2198</v>
      </c>
      <c r="D89" s="13" t="s">
        <v>2204</v>
      </c>
      <c r="E89" s="13" t="s">
        <v>2210</v>
      </c>
      <c r="F89" s="13" t="s">
        <v>2222</v>
      </c>
      <c r="G89" s="13">
        <v>136.97</v>
      </c>
      <c r="H89" s="13">
        <v>0</v>
      </c>
      <c r="I89" s="13">
        <v>136.97</v>
      </c>
      <c r="J89" s="24">
        <v>45590</v>
      </c>
      <c r="K89" s="13">
        <v>17</v>
      </c>
      <c r="L89" s="13">
        <v>4.4000000000000004</v>
      </c>
      <c r="M89" s="13" t="b">
        <v>1</v>
      </c>
      <c r="N89" s="13" t="s">
        <v>2228</v>
      </c>
      <c r="O89" s="13">
        <f t="shared" si="1"/>
        <v>4.4000000000000004</v>
      </c>
    </row>
    <row r="90" spans="1:15" x14ac:dyDescent="0.25">
      <c r="A90" s="13" t="s">
        <v>102</v>
      </c>
      <c r="B90" s="13" t="s">
        <v>2193</v>
      </c>
      <c r="C90" s="13" t="s">
        <v>2200</v>
      </c>
      <c r="D90" s="13" t="s">
        <v>2204</v>
      </c>
      <c r="E90" s="13" t="s">
        <v>2213</v>
      </c>
      <c r="F90" s="13" t="s">
        <v>2219</v>
      </c>
      <c r="G90" s="13">
        <v>113.79</v>
      </c>
      <c r="H90" s="13">
        <v>55.3</v>
      </c>
      <c r="I90" s="13">
        <v>50.86</v>
      </c>
      <c r="J90" s="24">
        <v>45655</v>
      </c>
      <c r="K90" s="13">
        <v>47</v>
      </c>
      <c r="L90" s="13">
        <v>4.0999999999999996</v>
      </c>
      <c r="M90" s="13" t="b">
        <v>0</v>
      </c>
      <c r="O90" s="13">
        <f t="shared" si="1"/>
        <v>4.0999999999999996</v>
      </c>
    </row>
    <row r="91" spans="1:15" x14ac:dyDescent="0.25">
      <c r="A91" s="13" t="s">
        <v>103</v>
      </c>
      <c r="B91" s="13" t="s">
        <v>2194</v>
      </c>
      <c r="C91" s="13" t="s">
        <v>2200</v>
      </c>
      <c r="D91" s="13" t="s">
        <v>2207</v>
      </c>
      <c r="E91" s="13" t="s">
        <v>2211</v>
      </c>
      <c r="F91" s="13" t="s">
        <v>2217</v>
      </c>
      <c r="G91" s="13">
        <v>93.23</v>
      </c>
      <c r="H91" s="13">
        <v>40</v>
      </c>
      <c r="I91" s="13">
        <v>55.94</v>
      </c>
      <c r="J91" s="24">
        <v>45875</v>
      </c>
      <c r="K91" s="13">
        <v>46</v>
      </c>
      <c r="L91" s="13">
        <v>1.9</v>
      </c>
      <c r="M91" s="13" t="b">
        <v>0</v>
      </c>
      <c r="O91" s="13">
        <f t="shared" si="1"/>
        <v>1.9</v>
      </c>
    </row>
    <row r="92" spans="1:15" x14ac:dyDescent="0.25">
      <c r="A92" s="13" t="s">
        <v>104</v>
      </c>
      <c r="B92" s="13" t="s">
        <v>2193</v>
      </c>
      <c r="C92" s="13" t="s">
        <v>2197</v>
      </c>
      <c r="D92" s="13" t="s">
        <v>2204</v>
      </c>
      <c r="E92" s="13" t="s">
        <v>2210</v>
      </c>
      <c r="F92" s="13" t="s">
        <v>2222</v>
      </c>
      <c r="G92" s="13">
        <v>106.24</v>
      </c>
      <c r="H92" s="13">
        <v>6.4</v>
      </c>
      <c r="I92" s="13">
        <v>99.44</v>
      </c>
      <c r="J92" s="24">
        <v>45544</v>
      </c>
      <c r="K92" s="13">
        <v>50</v>
      </c>
      <c r="L92" s="13">
        <v>1.5</v>
      </c>
      <c r="M92" s="13" t="b">
        <v>0</v>
      </c>
      <c r="O92" s="13">
        <f t="shared" si="1"/>
        <v>1.5</v>
      </c>
    </row>
    <row r="93" spans="1:15" x14ac:dyDescent="0.25">
      <c r="A93" s="13" t="s">
        <v>105</v>
      </c>
      <c r="B93" s="13" t="s">
        <v>2192</v>
      </c>
      <c r="C93" s="13" t="s">
        <v>2196</v>
      </c>
      <c r="D93" s="13" t="s">
        <v>2205</v>
      </c>
      <c r="F93" s="13" t="s">
        <v>2224</v>
      </c>
      <c r="G93" s="13">
        <v>30.95</v>
      </c>
      <c r="H93" s="13">
        <v>0</v>
      </c>
      <c r="I93" s="13">
        <v>30.95</v>
      </c>
      <c r="J93" s="24">
        <v>45875</v>
      </c>
      <c r="K93" s="13">
        <v>27</v>
      </c>
      <c r="L93" s="13">
        <v>3.1</v>
      </c>
      <c r="M93" s="13" t="b">
        <v>1</v>
      </c>
      <c r="N93" s="13" t="s">
        <v>2229</v>
      </c>
      <c r="O93" s="13">
        <f t="shared" si="1"/>
        <v>3.1</v>
      </c>
    </row>
    <row r="94" spans="1:15" x14ac:dyDescent="0.25">
      <c r="A94" s="13" t="s">
        <v>106</v>
      </c>
      <c r="B94" s="13" t="s">
        <v>2193</v>
      </c>
      <c r="C94" s="13" t="s">
        <v>2196</v>
      </c>
      <c r="D94" s="13" t="s">
        <v>2207</v>
      </c>
      <c r="E94" s="13" t="s">
        <v>2210</v>
      </c>
      <c r="F94" s="13" t="s">
        <v>2216</v>
      </c>
      <c r="G94" s="13">
        <v>76.92</v>
      </c>
      <c r="H94" s="13">
        <v>49.5</v>
      </c>
      <c r="I94" s="13">
        <v>38.840000000000003</v>
      </c>
      <c r="J94" s="24">
        <v>45875</v>
      </c>
      <c r="K94" s="13">
        <v>7</v>
      </c>
      <c r="L94" s="13">
        <v>1.1000000000000001</v>
      </c>
      <c r="M94" s="13" t="b">
        <v>0</v>
      </c>
      <c r="O94" s="13">
        <f t="shared" si="1"/>
        <v>1.1000000000000001</v>
      </c>
    </row>
    <row r="95" spans="1:15" x14ac:dyDescent="0.25">
      <c r="A95" s="13" t="s">
        <v>107</v>
      </c>
      <c r="B95" s="13" t="s">
        <v>2194</v>
      </c>
      <c r="C95" s="13" t="s">
        <v>2200</v>
      </c>
      <c r="D95" s="13" t="s">
        <v>2206</v>
      </c>
      <c r="E95" s="13" t="s">
        <v>2212</v>
      </c>
      <c r="F95" s="13" t="s">
        <v>2221</v>
      </c>
      <c r="G95" s="13">
        <v>80.64</v>
      </c>
      <c r="H95" s="13">
        <v>0</v>
      </c>
      <c r="I95" s="13">
        <v>80.64</v>
      </c>
      <c r="J95" s="24">
        <v>45875</v>
      </c>
      <c r="K95" s="13">
        <v>26</v>
      </c>
      <c r="M95" s="13" t="b">
        <v>0</v>
      </c>
      <c r="O95" s="13">
        <f t="shared" si="1"/>
        <v>3.0659090909090896</v>
      </c>
    </row>
    <row r="96" spans="1:15" x14ac:dyDescent="0.25">
      <c r="A96" s="13" t="s">
        <v>108</v>
      </c>
      <c r="B96" s="13" t="s">
        <v>2194</v>
      </c>
      <c r="C96" s="13" t="s">
        <v>2196</v>
      </c>
      <c r="D96" s="13" t="s">
        <v>2206</v>
      </c>
      <c r="E96" s="13" t="s">
        <v>2212</v>
      </c>
      <c r="F96" s="13" t="s">
        <v>2221</v>
      </c>
      <c r="G96" s="13">
        <v>32.46</v>
      </c>
      <c r="H96" s="13">
        <v>52.4</v>
      </c>
      <c r="I96" s="13">
        <v>15.45</v>
      </c>
      <c r="J96" s="24">
        <v>45875</v>
      </c>
      <c r="K96" s="13">
        <v>14</v>
      </c>
      <c r="L96" s="13">
        <v>3.9</v>
      </c>
      <c r="M96" s="13" t="b">
        <v>0</v>
      </c>
      <c r="O96" s="13">
        <f t="shared" si="1"/>
        <v>3.9</v>
      </c>
    </row>
    <row r="97" spans="1:15" x14ac:dyDescent="0.25">
      <c r="A97" s="13" t="s">
        <v>109</v>
      </c>
      <c r="B97" s="13" t="s">
        <v>2192</v>
      </c>
      <c r="C97" s="13" t="s">
        <v>2202</v>
      </c>
      <c r="D97" s="13" t="s">
        <v>2207</v>
      </c>
      <c r="F97" s="13" t="s">
        <v>2216</v>
      </c>
      <c r="G97" s="13">
        <v>54.79</v>
      </c>
      <c r="H97" s="13">
        <v>0</v>
      </c>
      <c r="I97" s="13">
        <v>54.79</v>
      </c>
      <c r="J97" s="24">
        <v>45875</v>
      </c>
      <c r="K97" s="13">
        <v>12</v>
      </c>
      <c r="L97" s="13">
        <v>4.5</v>
      </c>
      <c r="M97" s="13" t="b">
        <v>0</v>
      </c>
      <c r="O97" s="13">
        <f t="shared" si="1"/>
        <v>4.5</v>
      </c>
    </row>
    <row r="98" spans="1:15" x14ac:dyDescent="0.25">
      <c r="A98" s="13" t="s">
        <v>110</v>
      </c>
      <c r="B98" s="13" t="s">
        <v>2194</v>
      </c>
      <c r="C98" s="13" t="s">
        <v>2200</v>
      </c>
      <c r="D98" s="13" t="s">
        <v>2205</v>
      </c>
      <c r="E98" s="13" t="s">
        <v>2213</v>
      </c>
      <c r="F98" s="13" t="s">
        <v>2215</v>
      </c>
      <c r="G98" s="13">
        <v>71.14</v>
      </c>
      <c r="H98" s="13">
        <v>56.4</v>
      </c>
      <c r="I98" s="13">
        <v>31.02</v>
      </c>
      <c r="J98" s="24">
        <v>45875</v>
      </c>
      <c r="K98" s="13">
        <v>12</v>
      </c>
      <c r="L98" s="13">
        <v>3.4</v>
      </c>
      <c r="M98" s="13" t="b">
        <v>0</v>
      </c>
      <c r="O98" s="13">
        <f t="shared" si="1"/>
        <v>3.4</v>
      </c>
    </row>
    <row r="99" spans="1:15" x14ac:dyDescent="0.25">
      <c r="A99" s="13" t="s">
        <v>111</v>
      </c>
      <c r="B99" s="13" t="s">
        <v>2194</v>
      </c>
      <c r="C99" s="13" t="s">
        <v>2201</v>
      </c>
      <c r="D99" s="13" t="s">
        <v>2207</v>
      </c>
      <c r="E99" s="13" t="s">
        <v>2211</v>
      </c>
      <c r="F99" s="13" t="s">
        <v>2222</v>
      </c>
      <c r="G99" s="13">
        <v>57.85</v>
      </c>
      <c r="H99" s="13">
        <v>0</v>
      </c>
      <c r="I99" s="13">
        <v>57.85</v>
      </c>
      <c r="J99" s="24">
        <v>45875</v>
      </c>
      <c r="K99" s="13">
        <v>36</v>
      </c>
      <c r="L99" s="13">
        <v>3.5</v>
      </c>
      <c r="M99" s="13" t="b">
        <v>0</v>
      </c>
      <c r="O99" s="13">
        <f t="shared" si="1"/>
        <v>3.5</v>
      </c>
    </row>
    <row r="100" spans="1:15" x14ac:dyDescent="0.25">
      <c r="A100" s="13" t="s">
        <v>112</v>
      </c>
      <c r="B100" s="13" t="s">
        <v>2194</v>
      </c>
      <c r="C100" s="13" t="s">
        <v>2196</v>
      </c>
      <c r="D100" s="13" t="s">
        <v>2207</v>
      </c>
      <c r="E100" s="13" t="s">
        <v>2212</v>
      </c>
      <c r="F100" s="13" t="s">
        <v>2220</v>
      </c>
      <c r="G100" s="13">
        <v>33.369999999999997</v>
      </c>
      <c r="H100" s="13">
        <v>3</v>
      </c>
      <c r="I100" s="13">
        <v>32.369999999999997</v>
      </c>
      <c r="J100" s="24">
        <v>45875</v>
      </c>
      <c r="K100" s="13">
        <v>40</v>
      </c>
      <c r="L100" s="13">
        <v>1.3</v>
      </c>
      <c r="M100" s="13" t="b">
        <v>0</v>
      </c>
      <c r="O100" s="13">
        <f t="shared" si="1"/>
        <v>1.3</v>
      </c>
    </row>
    <row r="101" spans="1:15" x14ac:dyDescent="0.25">
      <c r="A101" s="13" t="s">
        <v>113</v>
      </c>
      <c r="B101" s="13" t="s">
        <v>2191</v>
      </c>
      <c r="C101" s="13" t="s">
        <v>2202</v>
      </c>
      <c r="D101" s="13" t="s">
        <v>2207</v>
      </c>
      <c r="E101" s="13" t="s">
        <v>2209</v>
      </c>
      <c r="F101" s="13" t="s">
        <v>2216</v>
      </c>
      <c r="G101" s="13">
        <v>91.83</v>
      </c>
      <c r="H101" s="13">
        <v>0</v>
      </c>
      <c r="I101" s="13">
        <v>91.83</v>
      </c>
      <c r="J101" s="24">
        <v>45875</v>
      </c>
      <c r="K101" s="13">
        <v>39</v>
      </c>
      <c r="L101" s="13">
        <v>4.9000000000000004</v>
      </c>
      <c r="M101" s="13" t="b">
        <v>0</v>
      </c>
      <c r="O101" s="13">
        <f t="shared" si="1"/>
        <v>4.9000000000000004</v>
      </c>
    </row>
    <row r="102" spans="1:15" x14ac:dyDescent="0.25">
      <c r="A102" s="13" t="s">
        <v>114</v>
      </c>
      <c r="B102" s="13" t="s">
        <v>2194</v>
      </c>
      <c r="C102" s="13" t="s">
        <v>2196</v>
      </c>
      <c r="D102" s="13" t="s">
        <v>2206</v>
      </c>
      <c r="E102" s="13" t="s">
        <v>2209</v>
      </c>
      <c r="F102" s="13" t="s">
        <v>2217</v>
      </c>
      <c r="G102" s="13">
        <v>60.12</v>
      </c>
      <c r="H102" s="13">
        <v>19.5</v>
      </c>
      <c r="I102" s="13">
        <v>48.4</v>
      </c>
      <c r="J102" s="24">
        <v>45875</v>
      </c>
      <c r="K102" s="13">
        <v>42</v>
      </c>
      <c r="L102" s="13">
        <v>1</v>
      </c>
      <c r="M102" s="13" t="b">
        <v>0</v>
      </c>
      <c r="O102" s="13">
        <f t="shared" si="1"/>
        <v>1</v>
      </c>
    </row>
    <row r="103" spans="1:15" x14ac:dyDescent="0.25">
      <c r="A103" s="13" t="s">
        <v>115</v>
      </c>
      <c r="B103" s="13" t="s">
        <v>2195</v>
      </c>
      <c r="C103" s="13" t="s">
        <v>2198</v>
      </c>
      <c r="D103" s="13" t="s">
        <v>2205</v>
      </c>
      <c r="E103" s="13" t="s">
        <v>2210</v>
      </c>
      <c r="F103" s="13" t="s">
        <v>2217</v>
      </c>
      <c r="G103" s="13">
        <v>163.5</v>
      </c>
      <c r="H103" s="13">
        <v>0</v>
      </c>
      <c r="I103" s="13">
        <v>163.5</v>
      </c>
      <c r="J103" s="24">
        <v>45875</v>
      </c>
      <c r="K103" s="13">
        <v>34</v>
      </c>
      <c r="L103" s="13">
        <v>4.9000000000000004</v>
      </c>
      <c r="M103" s="13" t="b">
        <v>0</v>
      </c>
      <c r="O103" s="13">
        <f t="shared" si="1"/>
        <v>4.9000000000000004</v>
      </c>
    </row>
    <row r="104" spans="1:15" x14ac:dyDescent="0.25">
      <c r="A104" s="13" t="s">
        <v>116</v>
      </c>
      <c r="B104" s="13" t="s">
        <v>2195</v>
      </c>
      <c r="C104" s="13" t="s">
        <v>2197</v>
      </c>
      <c r="D104" s="13" t="s">
        <v>2204</v>
      </c>
      <c r="E104" s="13" t="s">
        <v>2210</v>
      </c>
      <c r="F104" s="13" t="s">
        <v>2221</v>
      </c>
      <c r="G104" s="13">
        <v>126.37</v>
      </c>
      <c r="H104" s="13">
        <v>0</v>
      </c>
      <c r="I104" s="13">
        <v>126.37</v>
      </c>
      <c r="J104" s="24">
        <v>45604</v>
      </c>
      <c r="K104" s="13">
        <v>25</v>
      </c>
      <c r="L104" s="13">
        <v>1.8</v>
      </c>
      <c r="M104" s="13" t="b">
        <v>0</v>
      </c>
      <c r="O104" s="13">
        <f t="shared" si="1"/>
        <v>1.8</v>
      </c>
    </row>
    <row r="105" spans="1:15" x14ac:dyDescent="0.25">
      <c r="A105" s="13" t="s">
        <v>117</v>
      </c>
      <c r="B105" s="13" t="s">
        <v>2194</v>
      </c>
      <c r="C105" s="13" t="s">
        <v>2197</v>
      </c>
      <c r="D105" s="13" t="s">
        <v>2205</v>
      </c>
      <c r="E105" s="13" t="s">
        <v>2209</v>
      </c>
      <c r="F105" s="13" t="s">
        <v>2222</v>
      </c>
      <c r="G105" s="13">
        <v>50.01</v>
      </c>
      <c r="H105" s="13">
        <v>58.2</v>
      </c>
      <c r="I105" s="13">
        <v>20.9</v>
      </c>
      <c r="J105" s="24">
        <v>45875</v>
      </c>
      <c r="K105" s="13">
        <v>32</v>
      </c>
      <c r="L105" s="13">
        <v>4.8</v>
      </c>
      <c r="M105" s="13" t="b">
        <v>0</v>
      </c>
      <c r="O105" s="13">
        <f t="shared" si="1"/>
        <v>4.8</v>
      </c>
    </row>
    <row r="106" spans="1:15" x14ac:dyDescent="0.25">
      <c r="A106" s="13" t="s">
        <v>118</v>
      </c>
      <c r="B106" s="13" t="s">
        <v>2193</v>
      </c>
      <c r="C106" s="13" t="s">
        <v>2200</v>
      </c>
      <c r="D106" s="13" t="s">
        <v>2205</v>
      </c>
      <c r="E106" s="13" t="s">
        <v>2210</v>
      </c>
      <c r="F106" s="13" t="s">
        <v>2214</v>
      </c>
      <c r="G106" s="13">
        <v>84.31</v>
      </c>
      <c r="H106" s="13">
        <v>0</v>
      </c>
      <c r="I106" s="13">
        <v>84.31</v>
      </c>
      <c r="J106" s="24">
        <v>45875</v>
      </c>
      <c r="K106" s="13">
        <v>10</v>
      </c>
      <c r="L106" s="13">
        <v>3.9</v>
      </c>
      <c r="M106" s="13" t="b">
        <v>0</v>
      </c>
      <c r="O106" s="13">
        <f t="shared" si="1"/>
        <v>3.9</v>
      </c>
    </row>
    <row r="107" spans="1:15" x14ac:dyDescent="0.25">
      <c r="A107" s="13" t="s">
        <v>119</v>
      </c>
      <c r="B107" s="13" t="s">
        <v>2194</v>
      </c>
      <c r="C107" s="13" t="s">
        <v>2198</v>
      </c>
      <c r="D107" s="13" t="s">
        <v>2204</v>
      </c>
      <c r="E107" s="13" t="s">
        <v>2208</v>
      </c>
      <c r="F107" s="13" t="s">
        <v>2221</v>
      </c>
      <c r="G107" s="13">
        <v>100.98</v>
      </c>
      <c r="H107" s="13">
        <v>0</v>
      </c>
      <c r="I107" s="13">
        <v>100.98</v>
      </c>
      <c r="J107" s="24">
        <v>45825</v>
      </c>
      <c r="K107" s="13">
        <v>21</v>
      </c>
      <c r="L107" s="13">
        <v>2.8</v>
      </c>
      <c r="M107" s="13" t="b">
        <v>0</v>
      </c>
      <c r="O107" s="13">
        <f t="shared" si="1"/>
        <v>2.8</v>
      </c>
    </row>
    <row r="108" spans="1:15" x14ac:dyDescent="0.25">
      <c r="A108" s="13" t="s">
        <v>120</v>
      </c>
      <c r="B108" s="13" t="s">
        <v>2194</v>
      </c>
      <c r="C108" s="13" t="s">
        <v>2198</v>
      </c>
      <c r="D108" s="13" t="s">
        <v>2207</v>
      </c>
      <c r="E108" s="13" t="s">
        <v>2213</v>
      </c>
      <c r="F108" s="13" t="s">
        <v>2221</v>
      </c>
      <c r="G108" s="13">
        <v>38.020000000000003</v>
      </c>
      <c r="H108" s="13">
        <v>0</v>
      </c>
      <c r="I108" s="13">
        <v>38.020000000000003</v>
      </c>
      <c r="J108" s="24">
        <v>45875</v>
      </c>
      <c r="K108" s="13">
        <v>44</v>
      </c>
      <c r="L108" s="13">
        <v>4.7</v>
      </c>
      <c r="M108" s="13" t="b">
        <v>0</v>
      </c>
      <c r="O108" s="13">
        <f t="shared" si="1"/>
        <v>4.7</v>
      </c>
    </row>
    <row r="109" spans="1:15" x14ac:dyDescent="0.25">
      <c r="A109" s="13" t="s">
        <v>121</v>
      </c>
      <c r="B109" s="13" t="s">
        <v>2194</v>
      </c>
      <c r="C109" s="13" t="s">
        <v>2200</v>
      </c>
      <c r="D109" s="13" t="s">
        <v>2206</v>
      </c>
      <c r="E109" s="13" t="s">
        <v>2208</v>
      </c>
      <c r="F109" s="13" t="s">
        <v>2219</v>
      </c>
      <c r="G109" s="13">
        <v>63.85</v>
      </c>
      <c r="H109" s="13">
        <v>0</v>
      </c>
      <c r="I109" s="13">
        <v>63.85</v>
      </c>
      <c r="J109" s="24">
        <v>45875</v>
      </c>
      <c r="K109" s="13">
        <v>41</v>
      </c>
      <c r="M109" s="13" t="b">
        <v>0</v>
      </c>
      <c r="O109" s="13">
        <f t="shared" si="1"/>
        <v>3.0659090909090896</v>
      </c>
    </row>
    <row r="110" spans="1:15" x14ac:dyDescent="0.25">
      <c r="A110" s="13" t="s">
        <v>122</v>
      </c>
      <c r="B110" s="13" t="s">
        <v>2193</v>
      </c>
      <c r="C110" s="13" t="s">
        <v>2200</v>
      </c>
      <c r="D110" s="13" t="s">
        <v>2206</v>
      </c>
      <c r="E110" s="13" t="s">
        <v>2212</v>
      </c>
      <c r="F110" s="13" t="s">
        <v>2222</v>
      </c>
      <c r="G110" s="13">
        <v>183.15</v>
      </c>
      <c r="H110" s="13">
        <v>0</v>
      </c>
      <c r="I110" s="13">
        <v>183.15</v>
      </c>
      <c r="J110" s="24">
        <v>45875</v>
      </c>
      <c r="K110" s="13">
        <v>23</v>
      </c>
      <c r="L110" s="13">
        <v>4.0999999999999996</v>
      </c>
      <c r="M110" s="13" t="b">
        <v>0</v>
      </c>
      <c r="O110" s="13">
        <f t="shared" si="1"/>
        <v>4.0999999999999996</v>
      </c>
    </row>
    <row r="111" spans="1:15" x14ac:dyDescent="0.25">
      <c r="A111" s="13" t="s">
        <v>123</v>
      </c>
      <c r="B111" s="13" t="s">
        <v>2195</v>
      </c>
      <c r="C111" s="13" t="s">
        <v>2196</v>
      </c>
      <c r="D111" s="13" t="s">
        <v>2205</v>
      </c>
      <c r="E111" s="13" t="s">
        <v>2210</v>
      </c>
      <c r="F111" s="13" t="s">
        <v>2218</v>
      </c>
      <c r="G111" s="13">
        <v>91</v>
      </c>
      <c r="H111" s="13">
        <v>59.5</v>
      </c>
      <c r="I111" s="13">
        <v>36.86</v>
      </c>
      <c r="J111" s="24">
        <v>45875</v>
      </c>
      <c r="K111" s="13">
        <v>5</v>
      </c>
      <c r="L111" s="13">
        <v>3.9</v>
      </c>
      <c r="M111" s="13" t="b">
        <v>0</v>
      </c>
      <c r="O111" s="13">
        <f t="shared" si="1"/>
        <v>3.9</v>
      </c>
    </row>
    <row r="112" spans="1:15" x14ac:dyDescent="0.25">
      <c r="A112" s="13" t="s">
        <v>124</v>
      </c>
      <c r="B112" s="13" t="s">
        <v>2190</v>
      </c>
      <c r="C112" s="13" t="s">
        <v>2197</v>
      </c>
      <c r="D112" s="13" t="s">
        <v>2204</v>
      </c>
      <c r="E112" s="13" t="s">
        <v>2209</v>
      </c>
      <c r="F112" s="13" t="s">
        <v>2216</v>
      </c>
      <c r="G112" s="13">
        <v>92.83</v>
      </c>
      <c r="H112" s="13">
        <v>0</v>
      </c>
      <c r="I112" s="13">
        <v>92.83</v>
      </c>
      <c r="J112" s="24">
        <v>45858</v>
      </c>
      <c r="K112" s="13">
        <v>9</v>
      </c>
      <c r="L112" s="13">
        <v>1.2</v>
      </c>
      <c r="M112" s="13" t="b">
        <v>0</v>
      </c>
      <c r="O112" s="13">
        <f t="shared" si="1"/>
        <v>1.2</v>
      </c>
    </row>
    <row r="113" spans="1:15" x14ac:dyDescent="0.25">
      <c r="A113" s="13" t="s">
        <v>125</v>
      </c>
      <c r="B113" s="13" t="s">
        <v>2192</v>
      </c>
      <c r="C113" s="13" t="s">
        <v>2198</v>
      </c>
      <c r="D113" s="13" t="s">
        <v>2205</v>
      </c>
      <c r="F113" s="13" t="s">
        <v>2224</v>
      </c>
      <c r="G113" s="13">
        <v>34.450000000000003</v>
      </c>
      <c r="H113" s="13">
        <v>0</v>
      </c>
      <c r="I113" s="13">
        <v>34.450000000000003</v>
      </c>
      <c r="J113" s="24">
        <v>45875</v>
      </c>
      <c r="K113" s="13">
        <v>4</v>
      </c>
      <c r="L113" s="13">
        <v>4.5</v>
      </c>
      <c r="M113" s="13" t="b">
        <v>0</v>
      </c>
      <c r="O113" s="13">
        <f t="shared" si="1"/>
        <v>4.5</v>
      </c>
    </row>
    <row r="114" spans="1:15" x14ac:dyDescent="0.25">
      <c r="A114" s="13" t="s">
        <v>126</v>
      </c>
      <c r="B114" s="13" t="s">
        <v>2195</v>
      </c>
      <c r="C114" s="13" t="s">
        <v>2200</v>
      </c>
      <c r="D114" s="13" t="s">
        <v>2206</v>
      </c>
      <c r="E114" s="13" t="s">
        <v>2210</v>
      </c>
      <c r="F114" s="13" t="s">
        <v>2223</v>
      </c>
      <c r="G114" s="13">
        <v>128.15</v>
      </c>
      <c r="H114" s="13">
        <v>50</v>
      </c>
      <c r="I114" s="13">
        <v>64.08</v>
      </c>
      <c r="J114" s="24">
        <v>45875</v>
      </c>
      <c r="K114" s="13">
        <v>28</v>
      </c>
      <c r="L114" s="13">
        <v>3.2</v>
      </c>
      <c r="M114" s="13" t="b">
        <v>0</v>
      </c>
      <c r="O114" s="13">
        <f t="shared" si="1"/>
        <v>3.2</v>
      </c>
    </row>
    <row r="115" spans="1:15" x14ac:dyDescent="0.25">
      <c r="A115" s="13" t="s">
        <v>127</v>
      </c>
      <c r="B115" s="13" t="s">
        <v>2191</v>
      </c>
      <c r="C115" s="13" t="s">
        <v>2199</v>
      </c>
      <c r="D115" s="13" t="s">
        <v>2207</v>
      </c>
      <c r="E115" s="13" t="s">
        <v>2211</v>
      </c>
      <c r="F115" s="13" t="s">
        <v>2214</v>
      </c>
      <c r="G115" s="13">
        <v>99.62</v>
      </c>
      <c r="H115" s="13">
        <v>33.799999999999997</v>
      </c>
      <c r="I115" s="13">
        <v>65.95</v>
      </c>
      <c r="J115" s="24">
        <v>45875</v>
      </c>
      <c r="K115" s="13">
        <v>27</v>
      </c>
      <c r="L115" s="13">
        <v>2.1</v>
      </c>
      <c r="M115" s="13" t="b">
        <v>0</v>
      </c>
      <c r="O115" s="13">
        <f t="shared" si="1"/>
        <v>2.1</v>
      </c>
    </row>
    <row r="116" spans="1:15" x14ac:dyDescent="0.25">
      <c r="A116" s="13" t="s">
        <v>128</v>
      </c>
      <c r="B116" s="13" t="s">
        <v>2194</v>
      </c>
      <c r="C116" s="13" t="s">
        <v>2203</v>
      </c>
      <c r="D116" s="13" t="s">
        <v>2205</v>
      </c>
      <c r="E116" s="13" t="s">
        <v>2210</v>
      </c>
      <c r="F116" s="13" t="s">
        <v>2215</v>
      </c>
      <c r="G116" s="13">
        <v>87.39</v>
      </c>
      <c r="H116" s="13">
        <v>25.5</v>
      </c>
      <c r="I116" s="13">
        <v>65.11</v>
      </c>
      <c r="J116" s="24">
        <v>45875</v>
      </c>
      <c r="K116" s="13">
        <v>8</v>
      </c>
      <c r="L116" s="13">
        <v>2.2999999999999998</v>
      </c>
      <c r="M116" s="13" t="b">
        <v>0</v>
      </c>
      <c r="O116" s="13">
        <f t="shared" si="1"/>
        <v>2.2999999999999998</v>
      </c>
    </row>
    <row r="117" spans="1:15" x14ac:dyDescent="0.25">
      <c r="A117" s="13" t="s">
        <v>129</v>
      </c>
      <c r="B117" s="13" t="s">
        <v>2191</v>
      </c>
      <c r="C117" s="13" t="s">
        <v>2196</v>
      </c>
      <c r="D117" s="13" t="s">
        <v>2204</v>
      </c>
      <c r="E117" s="13" t="s">
        <v>2211</v>
      </c>
      <c r="F117" s="13" t="s">
        <v>2224</v>
      </c>
      <c r="G117" s="13">
        <v>49.67</v>
      </c>
      <c r="H117" s="13">
        <v>0</v>
      </c>
      <c r="I117" s="13">
        <v>49.67</v>
      </c>
      <c r="J117" s="24">
        <v>45541</v>
      </c>
      <c r="K117" s="13">
        <v>37</v>
      </c>
      <c r="L117" s="13">
        <v>2.2999999999999998</v>
      </c>
      <c r="M117" s="13" t="b">
        <v>0</v>
      </c>
      <c r="O117" s="13">
        <f t="shared" si="1"/>
        <v>2.2999999999999998</v>
      </c>
    </row>
    <row r="118" spans="1:15" x14ac:dyDescent="0.25">
      <c r="A118" s="13" t="s">
        <v>130</v>
      </c>
      <c r="B118" s="13" t="s">
        <v>2192</v>
      </c>
      <c r="C118" s="13" t="s">
        <v>2197</v>
      </c>
      <c r="D118" s="13" t="s">
        <v>2206</v>
      </c>
      <c r="F118" s="13" t="s">
        <v>2224</v>
      </c>
      <c r="G118" s="13">
        <v>72.040000000000006</v>
      </c>
      <c r="H118" s="13">
        <v>0</v>
      </c>
      <c r="I118" s="13">
        <v>72.040000000000006</v>
      </c>
      <c r="J118" s="24">
        <v>45875</v>
      </c>
      <c r="K118" s="13">
        <v>48</v>
      </c>
      <c r="M118" s="13" t="b">
        <v>1</v>
      </c>
      <c r="N118" s="13" t="s">
        <v>2230</v>
      </c>
      <c r="O118" s="13">
        <f t="shared" si="1"/>
        <v>3.1288461538461547</v>
      </c>
    </row>
    <row r="119" spans="1:15" x14ac:dyDescent="0.25">
      <c r="A119" s="13" t="s">
        <v>131</v>
      </c>
      <c r="B119" s="13" t="s">
        <v>2195</v>
      </c>
      <c r="C119" s="13" t="s">
        <v>2196</v>
      </c>
      <c r="D119" s="13" t="s">
        <v>2204</v>
      </c>
      <c r="E119" s="13" t="s">
        <v>2213</v>
      </c>
      <c r="F119" s="13" t="s">
        <v>2222</v>
      </c>
      <c r="G119" s="13">
        <v>133.82</v>
      </c>
      <c r="H119" s="13">
        <v>0</v>
      </c>
      <c r="I119" s="13">
        <v>133.82</v>
      </c>
      <c r="J119" s="24">
        <v>45621</v>
      </c>
      <c r="K119" s="13">
        <v>12</v>
      </c>
      <c r="L119" s="13">
        <v>1.7</v>
      </c>
      <c r="M119" s="13" t="b">
        <v>0</v>
      </c>
      <c r="O119" s="13">
        <f t="shared" si="1"/>
        <v>1.7</v>
      </c>
    </row>
    <row r="120" spans="1:15" x14ac:dyDescent="0.25">
      <c r="A120" s="13" t="s">
        <v>132</v>
      </c>
      <c r="B120" s="13" t="s">
        <v>2194</v>
      </c>
      <c r="C120" s="13" t="s">
        <v>2197</v>
      </c>
      <c r="D120" s="13" t="s">
        <v>2205</v>
      </c>
      <c r="E120" s="13" t="s">
        <v>2210</v>
      </c>
      <c r="F120" s="13" t="s">
        <v>2216</v>
      </c>
      <c r="G120" s="13">
        <v>62.93</v>
      </c>
      <c r="H120" s="13">
        <v>0</v>
      </c>
      <c r="I120" s="13">
        <v>62.93</v>
      </c>
      <c r="J120" s="24">
        <v>45875</v>
      </c>
      <c r="K120" s="13">
        <v>49</v>
      </c>
      <c r="M120" s="13" t="b">
        <v>0</v>
      </c>
      <c r="O120" s="13">
        <f t="shared" si="1"/>
        <v>3.0846153846153843</v>
      </c>
    </row>
    <row r="121" spans="1:15" x14ac:dyDescent="0.25">
      <c r="A121" s="13" t="s">
        <v>133</v>
      </c>
      <c r="B121" s="13" t="s">
        <v>2190</v>
      </c>
      <c r="C121" s="13" t="s">
        <v>2196</v>
      </c>
      <c r="D121" s="13" t="s">
        <v>2204</v>
      </c>
      <c r="E121" s="13" t="s">
        <v>2209</v>
      </c>
      <c r="F121" s="13" t="s">
        <v>2214</v>
      </c>
      <c r="G121" s="13">
        <v>248.58</v>
      </c>
      <c r="H121" s="13">
        <v>0</v>
      </c>
      <c r="I121" s="13">
        <v>248.58</v>
      </c>
      <c r="J121" s="24">
        <v>45842</v>
      </c>
      <c r="K121" s="13">
        <v>27</v>
      </c>
      <c r="L121" s="13">
        <v>1.5</v>
      </c>
      <c r="M121" s="13" t="b">
        <v>0</v>
      </c>
      <c r="O121" s="13">
        <f t="shared" si="1"/>
        <v>1.5</v>
      </c>
    </row>
    <row r="122" spans="1:15" x14ac:dyDescent="0.25">
      <c r="A122" s="13" t="s">
        <v>134</v>
      </c>
      <c r="B122" s="13" t="s">
        <v>2193</v>
      </c>
      <c r="C122" s="13" t="s">
        <v>2197</v>
      </c>
      <c r="D122" s="13" t="s">
        <v>2206</v>
      </c>
      <c r="E122" s="13" t="s">
        <v>2211</v>
      </c>
      <c r="F122" s="13" t="s">
        <v>2222</v>
      </c>
      <c r="G122" s="13">
        <v>61.08</v>
      </c>
      <c r="H122" s="13">
        <v>0</v>
      </c>
      <c r="I122" s="13">
        <v>61.08</v>
      </c>
      <c r="J122" s="24">
        <v>45875</v>
      </c>
      <c r="K122" s="13">
        <v>27</v>
      </c>
      <c r="M122" s="13" t="b">
        <v>1</v>
      </c>
      <c r="N122" s="13" t="s">
        <v>2229</v>
      </c>
      <c r="O122" s="13">
        <f t="shared" si="1"/>
        <v>2.8205128205128198</v>
      </c>
    </row>
    <row r="123" spans="1:15" x14ac:dyDescent="0.25">
      <c r="A123" s="13" t="s">
        <v>135</v>
      </c>
      <c r="B123" s="13" t="s">
        <v>2194</v>
      </c>
      <c r="C123" s="13" t="s">
        <v>2202</v>
      </c>
      <c r="D123" s="13" t="s">
        <v>2205</v>
      </c>
      <c r="E123" s="13" t="s">
        <v>2210</v>
      </c>
      <c r="F123" s="13" t="s">
        <v>2214</v>
      </c>
      <c r="G123" s="13">
        <v>109.12</v>
      </c>
      <c r="H123" s="13">
        <v>0</v>
      </c>
      <c r="I123" s="13">
        <v>109.12</v>
      </c>
      <c r="J123" s="24">
        <v>45875</v>
      </c>
      <c r="K123" s="13">
        <v>34</v>
      </c>
      <c r="M123" s="13" t="b">
        <v>0</v>
      </c>
      <c r="O123" s="13">
        <f t="shared" si="1"/>
        <v>3.1799999999999997</v>
      </c>
    </row>
    <row r="124" spans="1:15" x14ac:dyDescent="0.25">
      <c r="A124" s="13" t="s">
        <v>136</v>
      </c>
      <c r="B124" s="13" t="s">
        <v>2190</v>
      </c>
      <c r="C124" s="13" t="s">
        <v>2196</v>
      </c>
      <c r="D124" s="13" t="s">
        <v>2205</v>
      </c>
      <c r="E124" s="13" t="s">
        <v>2211</v>
      </c>
      <c r="F124" s="13" t="s">
        <v>2223</v>
      </c>
      <c r="G124" s="13">
        <v>82.91</v>
      </c>
      <c r="H124" s="13">
        <v>45.9</v>
      </c>
      <c r="I124" s="13">
        <v>44.85</v>
      </c>
      <c r="J124" s="24">
        <v>45875</v>
      </c>
      <c r="K124" s="13">
        <v>24</v>
      </c>
      <c r="M124" s="13" t="b">
        <v>1</v>
      </c>
      <c r="N124" s="13" t="s">
        <v>2228</v>
      </c>
      <c r="O124" s="13">
        <f t="shared" si="1"/>
        <v>2.7030303030303036</v>
      </c>
    </row>
    <row r="125" spans="1:15" x14ac:dyDescent="0.25">
      <c r="A125" s="13" t="s">
        <v>137</v>
      </c>
      <c r="B125" s="13" t="s">
        <v>2193</v>
      </c>
      <c r="C125" s="13" t="s">
        <v>2200</v>
      </c>
      <c r="D125" s="13" t="s">
        <v>2207</v>
      </c>
      <c r="E125" s="13" t="s">
        <v>2212</v>
      </c>
      <c r="F125" s="13" t="s">
        <v>2223</v>
      </c>
      <c r="G125" s="13">
        <v>113.53</v>
      </c>
      <c r="H125" s="13">
        <v>10.9</v>
      </c>
      <c r="I125" s="13">
        <v>101.16</v>
      </c>
      <c r="J125" s="24">
        <v>45875</v>
      </c>
      <c r="K125" s="13">
        <v>40</v>
      </c>
      <c r="L125" s="13">
        <v>2.8</v>
      </c>
      <c r="M125" s="13" t="b">
        <v>0</v>
      </c>
      <c r="O125" s="13">
        <f t="shared" si="1"/>
        <v>2.8</v>
      </c>
    </row>
    <row r="126" spans="1:15" x14ac:dyDescent="0.25">
      <c r="A126" s="13" t="s">
        <v>138</v>
      </c>
      <c r="B126" s="13" t="s">
        <v>2192</v>
      </c>
      <c r="C126" s="13" t="s">
        <v>2197</v>
      </c>
      <c r="D126" s="13" t="s">
        <v>2205</v>
      </c>
      <c r="F126" s="13" t="s">
        <v>2224</v>
      </c>
      <c r="G126" s="13">
        <v>38.89</v>
      </c>
      <c r="H126" s="13">
        <v>51.5</v>
      </c>
      <c r="I126" s="13">
        <v>18.86</v>
      </c>
      <c r="J126" s="24">
        <v>45875</v>
      </c>
      <c r="K126" s="13">
        <v>28</v>
      </c>
      <c r="L126" s="13">
        <v>4.3</v>
      </c>
      <c r="M126" s="13" t="b">
        <v>0</v>
      </c>
      <c r="O126" s="13">
        <f t="shared" si="1"/>
        <v>4.3</v>
      </c>
    </row>
    <row r="127" spans="1:15" x14ac:dyDescent="0.25">
      <c r="A127" s="13" t="s">
        <v>139</v>
      </c>
      <c r="B127" s="13" t="s">
        <v>2195</v>
      </c>
      <c r="C127" s="13" t="s">
        <v>2202</v>
      </c>
      <c r="D127" s="13" t="s">
        <v>2204</v>
      </c>
      <c r="E127" s="13" t="s">
        <v>2211</v>
      </c>
      <c r="F127" s="13" t="s">
        <v>2216</v>
      </c>
      <c r="G127" s="13">
        <v>53.01</v>
      </c>
      <c r="H127" s="13">
        <v>45.9</v>
      </c>
      <c r="I127" s="13">
        <v>28.68</v>
      </c>
      <c r="J127" s="24">
        <v>45671</v>
      </c>
      <c r="K127" s="13">
        <v>37</v>
      </c>
      <c r="L127" s="13">
        <v>3.7</v>
      </c>
      <c r="M127" s="13" t="b">
        <v>0</v>
      </c>
      <c r="O127" s="13">
        <f t="shared" si="1"/>
        <v>3.7</v>
      </c>
    </row>
    <row r="128" spans="1:15" x14ac:dyDescent="0.25">
      <c r="A128" s="13" t="s">
        <v>140</v>
      </c>
      <c r="B128" s="13" t="s">
        <v>2193</v>
      </c>
      <c r="C128" s="13" t="s">
        <v>2201</v>
      </c>
      <c r="D128" s="13" t="s">
        <v>2204</v>
      </c>
      <c r="E128" s="13" t="s">
        <v>2211</v>
      </c>
      <c r="F128" s="13" t="s">
        <v>2219</v>
      </c>
      <c r="G128" s="13">
        <v>81.64</v>
      </c>
      <c r="H128" s="13">
        <v>0</v>
      </c>
      <c r="I128" s="13">
        <v>81.64</v>
      </c>
      <c r="J128" s="24">
        <v>45632</v>
      </c>
      <c r="K128" s="13">
        <v>50</v>
      </c>
      <c r="L128" s="13">
        <v>1.1000000000000001</v>
      </c>
      <c r="M128" s="13" t="b">
        <v>0</v>
      </c>
      <c r="O128" s="13">
        <f t="shared" si="1"/>
        <v>1.1000000000000001</v>
      </c>
    </row>
    <row r="129" spans="1:15" x14ac:dyDescent="0.25">
      <c r="A129" s="13" t="s">
        <v>141</v>
      </c>
      <c r="B129" s="13" t="s">
        <v>2193</v>
      </c>
      <c r="C129" s="13" t="s">
        <v>2201</v>
      </c>
      <c r="D129" s="13" t="s">
        <v>2204</v>
      </c>
      <c r="E129" s="13" t="s">
        <v>2211</v>
      </c>
      <c r="F129" s="13" t="s">
        <v>2217</v>
      </c>
      <c r="G129" s="13">
        <v>125.24</v>
      </c>
      <c r="H129" s="13">
        <v>21.5</v>
      </c>
      <c r="I129" s="13">
        <v>98.31</v>
      </c>
      <c r="J129" s="24">
        <v>45541</v>
      </c>
      <c r="K129" s="13">
        <v>7</v>
      </c>
      <c r="L129" s="13">
        <v>2.9</v>
      </c>
      <c r="M129" s="13" t="b">
        <v>0</v>
      </c>
      <c r="O129" s="13">
        <f t="shared" si="1"/>
        <v>2.9</v>
      </c>
    </row>
    <row r="130" spans="1:15" x14ac:dyDescent="0.25">
      <c r="A130" s="13" t="s">
        <v>142</v>
      </c>
      <c r="B130" s="13" t="s">
        <v>2190</v>
      </c>
      <c r="C130" s="13" t="s">
        <v>2201</v>
      </c>
      <c r="D130" s="13" t="s">
        <v>2204</v>
      </c>
      <c r="E130" s="13" t="s">
        <v>2212</v>
      </c>
      <c r="F130" s="13" t="s">
        <v>2215</v>
      </c>
      <c r="G130" s="13">
        <v>98.61</v>
      </c>
      <c r="H130" s="13">
        <v>0</v>
      </c>
      <c r="I130" s="13">
        <v>98.61</v>
      </c>
      <c r="J130" s="24">
        <v>45721</v>
      </c>
      <c r="K130" s="13">
        <v>1</v>
      </c>
      <c r="L130" s="13">
        <v>2.6</v>
      </c>
      <c r="M130" s="13" t="b">
        <v>0</v>
      </c>
      <c r="O130" s="13">
        <f t="shared" si="1"/>
        <v>2.6</v>
      </c>
    </row>
    <row r="131" spans="1:15" x14ac:dyDescent="0.25">
      <c r="A131" s="13" t="s">
        <v>143</v>
      </c>
      <c r="B131" s="13" t="s">
        <v>2193</v>
      </c>
      <c r="C131" s="13" t="s">
        <v>2202</v>
      </c>
      <c r="D131" s="13" t="s">
        <v>2206</v>
      </c>
      <c r="E131" s="13" t="s">
        <v>2212</v>
      </c>
      <c r="F131" s="13" t="s">
        <v>2219</v>
      </c>
      <c r="G131" s="13">
        <v>77.540000000000006</v>
      </c>
      <c r="H131" s="13">
        <v>0</v>
      </c>
      <c r="I131" s="13">
        <v>77.540000000000006</v>
      </c>
      <c r="J131" s="24">
        <v>45875</v>
      </c>
      <c r="K131" s="13">
        <v>36</v>
      </c>
      <c r="L131" s="13">
        <v>3.4</v>
      </c>
      <c r="M131" s="13" t="b">
        <v>0</v>
      </c>
      <c r="O131" s="13">
        <f t="shared" ref="O131:O194" si="2">IF(L131="",AVERAGEIFS($L$2:$L$2177,$B$2:$B$2177,B131,$C$2:$C$2177,C131),L131)</f>
        <v>3.4</v>
      </c>
    </row>
    <row r="132" spans="1:15" x14ac:dyDescent="0.25">
      <c r="A132" s="13" t="s">
        <v>144</v>
      </c>
      <c r="B132" s="13" t="s">
        <v>2195</v>
      </c>
      <c r="C132" s="13" t="s">
        <v>2198</v>
      </c>
      <c r="D132" s="13" t="s">
        <v>2204</v>
      </c>
      <c r="E132" s="13" t="s">
        <v>2208</v>
      </c>
      <c r="F132" s="13" t="s">
        <v>2223</v>
      </c>
      <c r="G132" s="13">
        <v>79.13</v>
      </c>
      <c r="H132" s="13">
        <v>0</v>
      </c>
      <c r="I132" s="13">
        <v>79.13</v>
      </c>
      <c r="J132" s="24">
        <v>45612</v>
      </c>
      <c r="K132" s="13">
        <v>11</v>
      </c>
      <c r="L132" s="13">
        <v>3.6</v>
      </c>
      <c r="M132" s="13" t="b">
        <v>0</v>
      </c>
      <c r="O132" s="13">
        <f t="shared" si="2"/>
        <v>3.6</v>
      </c>
    </row>
    <row r="133" spans="1:15" x14ac:dyDescent="0.25">
      <c r="A133" s="13" t="s">
        <v>145</v>
      </c>
      <c r="B133" s="13" t="s">
        <v>2194</v>
      </c>
      <c r="C133" s="13" t="s">
        <v>2199</v>
      </c>
      <c r="D133" s="13" t="s">
        <v>2204</v>
      </c>
      <c r="E133" s="13" t="s">
        <v>2210</v>
      </c>
      <c r="F133" s="13" t="s">
        <v>2220</v>
      </c>
      <c r="G133" s="13">
        <v>96.11</v>
      </c>
      <c r="H133" s="13">
        <v>0</v>
      </c>
      <c r="I133" s="13">
        <v>96.11</v>
      </c>
      <c r="J133" s="24">
        <v>45759</v>
      </c>
      <c r="K133" s="13">
        <v>13</v>
      </c>
      <c r="L133" s="13">
        <v>4.2</v>
      </c>
      <c r="M133" s="13" t="b">
        <v>0</v>
      </c>
      <c r="O133" s="13">
        <f t="shared" si="2"/>
        <v>4.2</v>
      </c>
    </row>
    <row r="134" spans="1:15" x14ac:dyDescent="0.25">
      <c r="A134" s="13" t="s">
        <v>146</v>
      </c>
      <c r="B134" s="13" t="s">
        <v>2191</v>
      </c>
      <c r="C134" s="13" t="s">
        <v>2199</v>
      </c>
      <c r="D134" s="13" t="s">
        <v>2204</v>
      </c>
      <c r="E134" s="13" t="s">
        <v>2208</v>
      </c>
      <c r="F134" s="13" t="s">
        <v>2217</v>
      </c>
      <c r="G134" s="13">
        <v>116.61</v>
      </c>
      <c r="H134" s="13">
        <v>0</v>
      </c>
      <c r="I134" s="13">
        <v>116.61</v>
      </c>
      <c r="J134" s="24">
        <v>45600</v>
      </c>
      <c r="K134" s="13">
        <v>31</v>
      </c>
      <c r="M134" s="13" t="b">
        <v>0</v>
      </c>
      <c r="O134" s="13">
        <f t="shared" si="2"/>
        <v>2.9742857142857138</v>
      </c>
    </row>
    <row r="135" spans="1:15" x14ac:dyDescent="0.25">
      <c r="A135" s="13" t="s">
        <v>147</v>
      </c>
      <c r="B135" s="13" t="s">
        <v>2192</v>
      </c>
      <c r="C135" s="13" t="s">
        <v>2201</v>
      </c>
      <c r="D135" s="13" t="s">
        <v>2205</v>
      </c>
      <c r="F135" s="13" t="s">
        <v>2219</v>
      </c>
      <c r="G135" s="13">
        <v>57.8</v>
      </c>
      <c r="H135" s="13">
        <v>27</v>
      </c>
      <c r="I135" s="13">
        <v>42.19</v>
      </c>
      <c r="J135" s="24">
        <v>45875</v>
      </c>
      <c r="K135" s="13">
        <v>9</v>
      </c>
      <c r="L135" s="13">
        <v>1.8</v>
      </c>
      <c r="M135" s="13" t="b">
        <v>0</v>
      </c>
      <c r="O135" s="13">
        <f t="shared" si="2"/>
        <v>1.8</v>
      </c>
    </row>
    <row r="136" spans="1:15" x14ac:dyDescent="0.25">
      <c r="A136" s="13" t="s">
        <v>148</v>
      </c>
      <c r="B136" s="13" t="s">
        <v>2191</v>
      </c>
      <c r="C136" s="13" t="s">
        <v>2200</v>
      </c>
      <c r="D136" s="13" t="s">
        <v>2204</v>
      </c>
      <c r="E136" s="13" t="s">
        <v>2210</v>
      </c>
      <c r="F136" s="13" t="s">
        <v>2217</v>
      </c>
      <c r="G136" s="13">
        <v>110.78</v>
      </c>
      <c r="H136" s="13">
        <v>0</v>
      </c>
      <c r="I136" s="13">
        <v>110.78</v>
      </c>
      <c r="J136" s="24">
        <v>45670</v>
      </c>
      <c r="K136" s="13">
        <v>9</v>
      </c>
      <c r="L136" s="13">
        <v>1.4</v>
      </c>
      <c r="M136" s="13" t="b">
        <v>0</v>
      </c>
      <c r="O136" s="13">
        <f t="shared" si="2"/>
        <v>1.4</v>
      </c>
    </row>
    <row r="137" spans="1:15" x14ac:dyDescent="0.25">
      <c r="A137" s="13" t="s">
        <v>149</v>
      </c>
      <c r="B137" s="13" t="s">
        <v>2191</v>
      </c>
      <c r="C137" s="13" t="s">
        <v>2202</v>
      </c>
      <c r="D137" s="13" t="s">
        <v>2204</v>
      </c>
      <c r="E137" s="13" t="s">
        <v>2209</v>
      </c>
      <c r="F137" s="13" t="s">
        <v>2216</v>
      </c>
      <c r="G137" s="13">
        <v>112.63</v>
      </c>
      <c r="H137" s="13">
        <v>0</v>
      </c>
      <c r="I137" s="13">
        <v>112.63</v>
      </c>
      <c r="J137" s="24">
        <v>45579</v>
      </c>
      <c r="K137" s="13">
        <v>50</v>
      </c>
      <c r="L137" s="13">
        <v>3.6</v>
      </c>
      <c r="M137" s="13" t="b">
        <v>1</v>
      </c>
      <c r="N137" s="13" t="s">
        <v>2228</v>
      </c>
      <c r="O137" s="13">
        <f t="shared" si="2"/>
        <v>3.6</v>
      </c>
    </row>
    <row r="138" spans="1:15" x14ac:dyDescent="0.25">
      <c r="A138" s="13" t="s">
        <v>150</v>
      </c>
      <c r="B138" s="13" t="s">
        <v>2191</v>
      </c>
      <c r="C138" s="13" t="s">
        <v>2200</v>
      </c>
      <c r="D138" s="13" t="s">
        <v>2207</v>
      </c>
      <c r="E138" s="13" t="s">
        <v>2212</v>
      </c>
      <c r="F138" s="13" t="s">
        <v>2223</v>
      </c>
      <c r="G138" s="13">
        <v>89.36</v>
      </c>
      <c r="H138" s="13">
        <v>0</v>
      </c>
      <c r="I138" s="13">
        <v>89.36</v>
      </c>
      <c r="J138" s="24">
        <v>45875</v>
      </c>
      <c r="K138" s="13">
        <v>24</v>
      </c>
      <c r="L138" s="13">
        <v>4.3</v>
      </c>
      <c r="M138" s="13" t="b">
        <v>1</v>
      </c>
      <c r="N138" s="13" t="s">
        <v>2227</v>
      </c>
      <c r="O138" s="13">
        <f t="shared" si="2"/>
        <v>4.3</v>
      </c>
    </row>
    <row r="139" spans="1:15" x14ac:dyDescent="0.25">
      <c r="A139" s="13" t="s">
        <v>151</v>
      </c>
      <c r="B139" s="13" t="s">
        <v>2190</v>
      </c>
      <c r="C139" s="13" t="s">
        <v>2203</v>
      </c>
      <c r="D139" s="13" t="s">
        <v>2206</v>
      </c>
      <c r="E139" s="13" t="s">
        <v>2213</v>
      </c>
      <c r="F139" s="13" t="s">
        <v>2215</v>
      </c>
      <c r="G139" s="13">
        <v>127.99</v>
      </c>
      <c r="H139" s="13">
        <v>0</v>
      </c>
      <c r="I139" s="13">
        <v>127.99</v>
      </c>
      <c r="J139" s="24">
        <v>45875</v>
      </c>
      <c r="K139" s="13">
        <v>16</v>
      </c>
      <c r="M139" s="13" t="b">
        <v>0</v>
      </c>
      <c r="O139" s="13">
        <f t="shared" si="2"/>
        <v>2.9718749999999998</v>
      </c>
    </row>
    <row r="140" spans="1:15" x14ac:dyDescent="0.25">
      <c r="A140" s="13" t="s">
        <v>152</v>
      </c>
      <c r="B140" s="13" t="s">
        <v>2194</v>
      </c>
      <c r="C140" s="13" t="s">
        <v>2196</v>
      </c>
      <c r="D140" s="13" t="s">
        <v>2205</v>
      </c>
      <c r="E140" s="13" t="s">
        <v>2211</v>
      </c>
      <c r="F140" s="13" t="s">
        <v>2221</v>
      </c>
      <c r="G140" s="13">
        <v>54.88</v>
      </c>
      <c r="H140" s="13">
        <v>58.8</v>
      </c>
      <c r="I140" s="13">
        <v>22.61</v>
      </c>
      <c r="J140" s="24">
        <v>45875</v>
      </c>
      <c r="K140" s="13">
        <v>50</v>
      </c>
      <c r="L140" s="13">
        <v>3.5</v>
      </c>
      <c r="M140" s="13" t="b">
        <v>0</v>
      </c>
      <c r="O140" s="13">
        <f t="shared" si="2"/>
        <v>3.5</v>
      </c>
    </row>
    <row r="141" spans="1:15" x14ac:dyDescent="0.25">
      <c r="A141" s="13" t="s">
        <v>153</v>
      </c>
      <c r="B141" s="13" t="s">
        <v>2193</v>
      </c>
      <c r="C141" s="13" t="s">
        <v>2197</v>
      </c>
      <c r="D141" s="13" t="s">
        <v>2204</v>
      </c>
      <c r="E141" s="13" t="s">
        <v>2209</v>
      </c>
      <c r="F141" s="13" t="s">
        <v>2217</v>
      </c>
      <c r="G141" s="13">
        <v>154.13</v>
      </c>
      <c r="H141" s="13">
        <v>0</v>
      </c>
      <c r="I141" s="13">
        <v>154.13</v>
      </c>
      <c r="J141" s="24">
        <v>45566</v>
      </c>
      <c r="K141" s="13">
        <v>31</v>
      </c>
      <c r="L141" s="13">
        <v>4.0999999999999996</v>
      </c>
      <c r="M141" s="13" t="b">
        <v>1</v>
      </c>
      <c r="N141" s="13" t="s">
        <v>2226</v>
      </c>
      <c r="O141" s="13">
        <f t="shared" si="2"/>
        <v>4.0999999999999996</v>
      </c>
    </row>
    <row r="142" spans="1:15" x14ac:dyDescent="0.25">
      <c r="A142" s="13" t="s">
        <v>154</v>
      </c>
      <c r="B142" s="13" t="s">
        <v>2195</v>
      </c>
      <c r="C142" s="13" t="s">
        <v>2201</v>
      </c>
      <c r="D142" s="13" t="s">
        <v>2204</v>
      </c>
      <c r="E142" s="13" t="s">
        <v>2212</v>
      </c>
      <c r="F142" s="13" t="s">
        <v>2218</v>
      </c>
      <c r="G142" s="13">
        <v>131.5</v>
      </c>
      <c r="H142" s="13">
        <v>0</v>
      </c>
      <c r="I142" s="13">
        <v>131.5</v>
      </c>
      <c r="J142" s="24">
        <v>45599</v>
      </c>
      <c r="K142" s="13">
        <v>5</v>
      </c>
      <c r="M142" s="13" t="b">
        <v>0</v>
      </c>
      <c r="O142" s="13">
        <f t="shared" si="2"/>
        <v>3.1874999999999991</v>
      </c>
    </row>
    <row r="143" spans="1:15" x14ac:dyDescent="0.25">
      <c r="A143" s="13" t="s">
        <v>155</v>
      </c>
      <c r="B143" s="13" t="s">
        <v>2190</v>
      </c>
      <c r="C143" s="13" t="s">
        <v>2202</v>
      </c>
      <c r="D143" s="13" t="s">
        <v>2207</v>
      </c>
      <c r="E143" s="13" t="s">
        <v>2213</v>
      </c>
      <c r="F143" s="13" t="s">
        <v>2219</v>
      </c>
      <c r="G143" s="13">
        <v>133.26</v>
      </c>
      <c r="H143" s="13">
        <v>0</v>
      </c>
      <c r="I143" s="13">
        <v>133.26</v>
      </c>
      <c r="J143" s="24">
        <v>45875</v>
      </c>
      <c r="K143" s="13">
        <v>29</v>
      </c>
      <c r="L143" s="13">
        <v>1.3</v>
      </c>
      <c r="M143" s="13" t="b">
        <v>0</v>
      </c>
      <c r="O143" s="13">
        <f t="shared" si="2"/>
        <v>1.3</v>
      </c>
    </row>
    <row r="144" spans="1:15" x14ac:dyDescent="0.25">
      <c r="A144" s="13" t="s">
        <v>156</v>
      </c>
      <c r="B144" s="13" t="s">
        <v>2193</v>
      </c>
      <c r="C144" s="13" t="s">
        <v>2203</v>
      </c>
      <c r="D144" s="13" t="s">
        <v>2205</v>
      </c>
      <c r="E144" s="13" t="s">
        <v>2208</v>
      </c>
      <c r="F144" s="13" t="s">
        <v>2214</v>
      </c>
      <c r="G144" s="13">
        <v>173.91</v>
      </c>
      <c r="H144" s="13">
        <v>0</v>
      </c>
      <c r="I144" s="13">
        <v>173.91</v>
      </c>
      <c r="J144" s="24">
        <v>45875</v>
      </c>
      <c r="K144" s="13">
        <v>21</v>
      </c>
      <c r="M144" s="13" t="b">
        <v>0</v>
      </c>
      <c r="O144" s="13">
        <f t="shared" si="2"/>
        <v>3.2576923076923077</v>
      </c>
    </row>
    <row r="145" spans="1:15" x14ac:dyDescent="0.25">
      <c r="A145" s="13" t="s">
        <v>157</v>
      </c>
      <c r="B145" s="13" t="s">
        <v>2191</v>
      </c>
      <c r="C145" s="13" t="s">
        <v>2200</v>
      </c>
      <c r="D145" s="13" t="s">
        <v>2204</v>
      </c>
      <c r="E145" s="13" t="s">
        <v>2209</v>
      </c>
      <c r="F145" s="13" t="s">
        <v>2221</v>
      </c>
      <c r="G145" s="13">
        <v>102.99</v>
      </c>
      <c r="H145" s="13">
        <v>0</v>
      </c>
      <c r="I145" s="13">
        <v>102.99</v>
      </c>
      <c r="J145" s="24">
        <v>45854</v>
      </c>
      <c r="K145" s="13">
        <v>41</v>
      </c>
      <c r="L145" s="13">
        <v>3.9</v>
      </c>
      <c r="M145" s="13" t="b">
        <v>0</v>
      </c>
      <c r="O145" s="13">
        <f t="shared" si="2"/>
        <v>3.9</v>
      </c>
    </row>
    <row r="146" spans="1:15" x14ac:dyDescent="0.25">
      <c r="A146" s="13" t="s">
        <v>158</v>
      </c>
      <c r="B146" s="13" t="s">
        <v>2190</v>
      </c>
      <c r="C146" s="13" t="s">
        <v>2196</v>
      </c>
      <c r="D146" s="13" t="s">
        <v>2204</v>
      </c>
      <c r="E146" s="13" t="s">
        <v>2209</v>
      </c>
      <c r="F146" s="13" t="s">
        <v>2221</v>
      </c>
      <c r="G146" s="13">
        <v>87.78</v>
      </c>
      <c r="H146" s="13">
        <v>45.3</v>
      </c>
      <c r="I146" s="13">
        <v>48.02</v>
      </c>
      <c r="J146" s="24">
        <v>45705</v>
      </c>
      <c r="K146" s="13">
        <v>34</v>
      </c>
      <c r="L146" s="13">
        <v>1.8</v>
      </c>
      <c r="M146" s="13" t="b">
        <v>0</v>
      </c>
      <c r="O146" s="13">
        <f t="shared" si="2"/>
        <v>1.8</v>
      </c>
    </row>
    <row r="147" spans="1:15" x14ac:dyDescent="0.25">
      <c r="A147" s="13" t="s">
        <v>159</v>
      </c>
      <c r="B147" s="13" t="s">
        <v>2191</v>
      </c>
      <c r="C147" s="13" t="s">
        <v>2197</v>
      </c>
      <c r="D147" s="13" t="s">
        <v>2205</v>
      </c>
      <c r="F147" s="13" t="s">
        <v>2221</v>
      </c>
      <c r="G147" s="13">
        <v>91.8</v>
      </c>
      <c r="H147" s="13">
        <v>15.8</v>
      </c>
      <c r="I147" s="13">
        <v>77.3</v>
      </c>
      <c r="J147" s="24">
        <v>45875</v>
      </c>
      <c r="K147" s="13">
        <v>30</v>
      </c>
      <c r="L147" s="13">
        <v>4.2</v>
      </c>
      <c r="M147" s="13" t="b">
        <v>0</v>
      </c>
      <c r="O147" s="13">
        <f t="shared" si="2"/>
        <v>4.2</v>
      </c>
    </row>
    <row r="148" spans="1:15" x14ac:dyDescent="0.25">
      <c r="A148" s="13" t="s">
        <v>160</v>
      </c>
      <c r="B148" s="13" t="s">
        <v>2191</v>
      </c>
      <c r="C148" s="13" t="s">
        <v>2196</v>
      </c>
      <c r="D148" s="13" t="s">
        <v>2205</v>
      </c>
      <c r="E148" s="13" t="s">
        <v>2209</v>
      </c>
      <c r="F148" s="13" t="s">
        <v>2217</v>
      </c>
      <c r="G148" s="13">
        <v>107.32</v>
      </c>
      <c r="H148" s="13">
        <v>25.4</v>
      </c>
      <c r="I148" s="13">
        <v>80.06</v>
      </c>
      <c r="J148" s="24">
        <v>45875</v>
      </c>
      <c r="K148" s="13">
        <v>50</v>
      </c>
      <c r="L148" s="13">
        <v>4.4000000000000004</v>
      </c>
      <c r="M148" s="13" t="b">
        <v>0</v>
      </c>
      <c r="O148" s="13">
        <f t="shared" si="2"/>
        <v>4.4000000000000004</v>
      </c>
    </row>
    <row r="149" spans="1:15" x14ac:dyDescent="0.25">
      <c r="A149" s="13" t="s">
        <v>161</v>
      </c>
      <c r="B149" s="13" t="s">
        <v>2194</v>
      </c>
      <c r="C149" s="13" t="s">
        <v>2198</v>
      </c>
      <c r="D149" s="13" t="s">
        <v>2204</v>
      </c>
      <c r="E149" s="13" t="s">
        <v>2211</v>
      </c>
      <c r="F149" s="13" t="s">
        <v>2224</v>
      </c>
      <c r="G149" s="13">
        <v>67.69</v>
      </c>
      <c r="H149" s="13">
        <v>57.3</v>
      </c>
      <c r="I149" s="13">
        <v>28.9</v>
      </c>
      <c r="J149" s="24">
        <v>45862</v>
      </c>
      <c r="K149" s="13">
        <v>50</v>
      </c>
      <c r="L149" s="13">
        <v>4.5999999999999996</v>
      </c>
      <c r="M149" s="13" t="b">
        <v>0</v>
      </c>
      <c r="O149" s="13">
        <f t="shared" si="2"/>
        <v>4.5999999999999996</v>
      </c>
    </row>
    <row r="150" spans="1:15" x14ac:dyDescent="0.25">
      <c r="A150" s="13" t="s">
        <v>162</v>
      </c>
      <c r="B150" s="13" t="s">
        <v>2191</v>
      </c>
      <c r="C150" s="13" t="s">
        <v>2201</v>
      </c>
      <c r="D150" s="13" t="s">
        <v>2207</v>
      </c>
      <c r="E150" s="13" t="s">
        <v>2213</v>
      </c>
      <c r="F150" s="13" t="s">
        <v>2221</v>
      </c>
      <c r="G150" s="13">
        <v>68.11</v>
      </c>
      <c r="H150" s="13">
        <v>46</v>
      </c>
      <c r="I150" s="13">
        <v>36.78</v>
      </c>
      <c r="J150" s="24">
        <v>45875</v>
      </c>
      <c r="K150" s="13">
        <v>3</v>
      </c>
      <c r="L150" s="13">
        <v>2.5</v>
      </c>
      <c r="M150" s="13" t="b">
        <v>0</v>
      </c>
      <c r="O150" s="13">
        <f t="shared" si="2"/>
        <v>2.5</v>
      </c>
    </row>
    <row r="151" spans="1:15" x14ac:dyDescent="0.25">
      <c r="A151" s="13" t="s">
        <v>163</v>
      </c>
      <c r="B151" s="13" t="s">
        <v>2193</v>
      </c>
      <c r="C151" s="13" t="s">
        <v>2198</v>
      </c>
      <c r="D151" s="13" t="s">
        <v>2204</v>
      </c>
      <c r="E151" s="13" t="s">
        <v>2209</v>
      </c>
      <c r="F151" s="13" t="s">
        <v>2219</v>
      </c>
      <c r="G151" s="13">
        <v>94.29</v>
      </c>
      <c r="H151" s="13">
        <v>0</v>
      </c>
      <c r="I151" s="13">
        <v>94.29</v>
      </c>
      <c r="J151" s="24">
        <v>45550</v>
      </c>
      <c r="K151" s="13">
        <v>18</v>
      </c>
      <c r="L151" s="13">
        <v>1.7</v>
      </c>
      <c r="M151" s="13" t="b">
        <v>0</v>
      </c>
      <c r="O151" s="13">
        <f t="shared" si="2"/>
        <v>1.7</v>
      </c>
    </row>
    <row r="152" spans="1:15" x14ac:dyDescent="0.25">
      <c r="A152" s="13" t="s">
        <v>164</v>
      </c>
      <c r="B152" s="13" t="s">
        <v>2191</v>
      </c>
      <c r="C152" s="13" t="s">
        <v>2201</v>
      </c>
      <c r="D152" s="13" t="s">
        <v>2205</v>
      </c>
      <c r="E152" s="13" t="s">
        <v>2208</v>
      </c>
      <c r="F152" s="13" t="s">
        <v>2218</v>
      </c>
      <c r="G152" s="13">
        <v>94.97</v>
      </c>
      <c r="H152" s="13">
        <v>0</v>
      </c>
      <c r="I152" s="13">
        <v>94.97</v>
      </c>
      <c r="J152" s="24">
        <v>45875</v>
      </c>
      <c r="K152" s="13">
        <v>46</v>
      </c>
      <c r="L152" s="13">
        <v>4.3</v>
      </c>
      <c r="M152" s="13" t="b">
        <v>0</v>
      </c>
      <c r="O152" s="13">
        <f t="shared" si="2"/>
        <v>4.3</v>
      </c>
    </row>
    <row r="153" spans="1:15" x14ac:dyDescent="0.25">
      <c r="A153" s="13" t="s">
        <v>165</v>
      </c>
      <c r="B153" s="13" t="s">
        <v>2193</v>
      </c>
      <c r="C153" s="13" t="s">
        <v>2198</v>
      </c>
      <c r="D153" s="13" t="s">
        <v>2205</v>
      </c>
      <c r="E153" s="13" t="s">
        <v>2213</v>
      </c>
      <c r="F153" s="13" t="s">
        <v>2222</v>
      </c>
      <c r="G153" s="13">
        <v>65.87</v>
      </c>
      <c r="H153" s="13">
        <v>11.4</v>
      </c>
      <c r="I153" s="13">
        <v>58.36</v>
      </c>
      <c r="J153" s="24">
        <v>45875</v>
      </c>
      <c r="K153" s="13">
        <v>15</v>
      </c>
      <c r="L153" s="13">
        <v>3.9</v>
      </c>
      <c r="M153" s="13" t="b">
        <v>0</v>
      </c>
      <c r="O153" s="13">
        <f t="shared" si="2"/>
        <v>3.9</v>
      </c>
    </row>
    <row r="154" spans="1:15" x14ac:dyDescent="0.25">
      <c r="A154" s="13" t="s">
        <v>166</v>
      </c>
      <c r="B154" s="13" t="s">
        <v>2195</v>
      </c>
      <c r="C154" s="13" t="s">
        <v>2196</v>
      </c>
      <c r="D154" s="13" t="s">
        <v>2205</v>
      </c>
      <c r="E154" s="13" t="s">
        <v>2211</v>
      </c>
      <c r="F154" s="13" t="s">
        <v>2219</v>
      </c>
      <c r="G154" s="13">
        <v>155.06</v>
      </c>
      <c r="H154" s="13">
        <v>29.4</v>
      </c>
      <c r="I154" s="13">
        <v>109.47</v>
      </c>
      <c r="J154" s="24">
        <v>45875</v>
      </c>
      <c r="K154" s="13">
        <v>5</v>
      </c>
      <c r="L154" s="13">
        <v>3.6</v>
      </c>
      <c r="M154" s="13" t="b">
        <v>0</v>
      </c>
      <c r="O154" s="13">
        <f t="shared" si="2"/>
        <v>3.6</v>
      </c>
    </row>
    <row r="155" spans="1:15" x14ac:dyDescent="0.25">
      <c r="A155" s="13" t="s">
        <v>167</v>
      </c>
      <c r="B155" s="13" t="s">
        <v>2190</v>
      </c>
      <c r="C155" s="13" t="s">
        <v>2196</v>
      </c>
      <c r="D155" s="13" t="s">
        <v>2205</v>
      </c>
      <c r="E155" s="13" t="s">
        <v>2209</v>
      </c>
      <c r="F155" s="13" t="s">
        <v>2224</v>
      </c>
      <c r="G155" s="13">
        <v>172.59</v>
      </c>
      <c r="H155" s="13">
        <v>0</v>
      </c>
      <c r="I155" s="13">
        <v>172.59</v>
      </c>
      <c r="J155" s="24">
        <v>45875</v>
      </c>
      <c r="K155" s="13">
        <v>1</v>
      </c>
      <c r="L155" s="13">
        <v>2.1</v>
      </c>
      <c r="M155" s="13" t="b">
        <v>0</v>
      </c>
      <c r="O155" s="13">
        <f t="shared" si="2"/>
        <v>2.1</v>
      </c>
    </row>
    <row r="156" spans="1:15" x14ac:dyDescent="0.25">
      <c r="A156" s="13" t="s">
        <v>168</v>
      </c>
      <c r="B156" s="13" t="s">
        <v>2195</v>
      </c>
      <c r="C156" s="13" t="s">
        <v>2200</v>
      </c>
      <c r="D156" s="13" t="s">
        <v>2207</v>
      </c>
      <c r="E156" s="13" t="s">
        <v>2213</v>
      </c>
      <c r="F156" s="13" t="s">
        <v>2219</v>
      </c>
      <c r="G156" s="13">
        <v>68.72</v>
      </c>
      <c r="H156" s="13">
        <v>0</v>
      </c>
      <c r="I156" s="13">
        <v>68.72</v>
      </c>
      <c r="J156" s="24">
        <v>45875</v>
      </c>
      <c r="K156" s="13">
        <v>28</v>
      </c>
      <c r="L156" s="13">
        <v>1.7</v>
      </c>
      <c r="M156" s="13" t="b">
        <v>1</v>
      </c>
      <c r="N156" s="13" t="s">
        <v>2228</v>
      </c>
      <c r="O156" s="13">
        <f t="shared" si="2"/>
        <v>1.7</v>
      </c>
    </row>
    <row r="157" spans="1:15" x14ac:dyDescent="0.25">
      <c r="A157" s="13" t="s">
        <v>169</v>
      </c>
      <c r="B157" s="13" t="s">
        <v>2191</v>
      </c>
      <c r="C157" s="13" t="s">
        <v>2198</v>
      </c>
      <c r="D157" s="13" t="s">
        <v>2204</v>
      </c>
      <c r="E157" s="13" t="s">
        <v>2208</v>
      </c>
      <c r="F157" s="13" t="s">
        <v>2219</v>
      </c>
      <c r="G157" s="13">
        <v>28.78</v>
      </c>
      <c r="H157" s="13">
        <v>0</v>
      </c>
      <c r="I157" s="13">
        <v>28.78</v>
      </c>
      <c r="J157" s="24">
        <v>45568</v>
      </c>
      <c r="K157" s="13">
        <v>21</v>
      </c>
      <c r="M157" s="13" t="b">
        <v>0</v>
      </c>
      <c r="O157" s="13">
        <f t="shared" si="2"/>
        <v>2.953125</v>
      </c>
    </row>
    <row r="158" spans="1:15" x14ac:dyDescent="0.25">
      <c r="A158" s="13" t="s">
        <v>170</v>
      </c>
      <c r="B158" s="13" t="s">
        <v>2190</v>
      </c>
      <c r="C158" s="13" t="s">
        <v>2200</v>
      </c>
      <c r="D158" s="13" t="s">
        <v>2205</v>
      </c>
      <c r="E158" s="13" t="s">
        <v>2211</v>
      </c>
      <c r="F158" s="13" t="s">
        <v>2216</v>
      </c>
      <c r="G158" s="13">
        <v>110.32</v>
      </c>
      <c r="H158" s="13">
        <v>28.3</v>
      </c>
      <c r="I158" s="13">
        <v>79.099999999999994</v>
      </c>
      <c r="J158" s="24">
        <v>45875</v>
      </c>
      <c r="K158" s="13">
        <v>49</v>
      </c>
      <c r="L158" s="13">
        <v>3.3</v>
      </c>
      <c r="M158" s="13" t="b">
        <v>0</v>
      </c>
      <c r="O158" s="13">
        <f t="shared" si="2"/>
        <v>3.3</v>
      </c>
    </row>
    <row r="159" spans="1:15" x14ac:dyDescent="0.25">
      <c r="A159" s="13" t="s">
        <v>171</v>
      </c>
      <c r="B159" s="13" t="s">
        <v>2193</v>
      </c>
      <c r="C159" s="13" t="s">
        <v>2199</v>
      </c>
      <c r="D159" s="13" t="s">
        <v>2207</v>
      </c>
      <c r="E159" s="13" t="s">
        <v>2211</v>
      </c>
      <c r="F159" s="13" t="s">
        <v>2216</v>
      </c>
      <c r="G159" s="13">
        <v>194.24</v>
      </c>
      <c r="H159" s="13">
        <v>0</v>
      </c>
      <c r="I159" s="13">
        <v>194.24</v>
      </c>
      <c r="J159" s="24">
        <v>45875</v>
      </c>
      <c r="K159" s="13">
        <v>17</v>
      </c>
      <c r="L159" s="13">
        <v>1.2</v>
      </c>
      <c r="M159" s="13" t="b">
        <v>1</v>
      </c>
      <c r="N159" s="13" t="s">
        <v>2229</v>
      </c>
      <c r="O159" s="13">
        <f t="shared" si="2"/>
        <v>1.2</v>
      </c>
    </row>
    <row r="160" spans="1:15" x14ac:dyDescent="0.25">
      <c r="A160" s="13" t="s">
        <v>172</v>
      </c>
      <c r="B160" s="13" t="s">
        <v>2193</v>
      </c>
      <c r="C160" s="13" t="s">
        <v>2202</v>
      </c>
      <c r="D160" s="13" t="s">
        <v>2206</v>
      </c>
      <c r="E160" s="13" t="s">
        <v>2212</v>
      </c>
      <c r="F160" s="13" t="s">
        <v>2221</v>
      </c>
      <c r="G160" s="13">
        <v>175.91</v>
      </c>
      <c r="H160" s="13">
        <v>0</v>
      </c>
      <c r="I160" s="13">
        <v>175.91</v>
      </c>
      <c r="J160" s="24">
        <v>45875</v>
      </c>
      <c r="K160" s="13">
        <v>4</v>
      </c>
      <c r="L160" s="13">
        <v>2.8</v>
      </c>
      <c r="M160" s="13" t="b">
        <v>0</v>
      </c>
      <c r="O160" s="13">
        <f t="shared" si="2"/>
        <v>2.8</v>
      </c>
    </row>
    <row r="161" spans="1:15" x14ac:dyDescent="0.25">
      <c r="A161" s="13" t="s">
        <v>173</v>
      </c>
      <c r="B161" s="13" t="s">
        <v>2194</v>
      </c>
      <c r="C161" s="13" t="s">
        <v>2199</v>
      </c>
      <c r="D161" s="13" t="s">
        <v>2205</v>
      </c>
      <c r="E161" s="13" t="s">
        <v>2211</v>
      </c>
      <c r="F161" s="13" t="s">
        <v>2218</v>
      </c>
      <c r="G161" s="13">
        <v>79.34</v>
      </c>
      <c r="H161" s="13">
        <v>0</v>
      </c>
      <c r="I161" s="13">
        <v>79.34</v>
      </c>
      <c r="J161" s="24">
        <v>45875</v>
      </c>
      <c r="K161" s="13">
        <v>30</v>
      </c>
      <c r="L161" s="13">
        <v>4.4000000000000004</v>
      </c>
      <c r="M161" s="13" t="b">
        <v>0</v>
      </c>
      <c r="O161" s="13">
        <f t="shared" si="2"/>
        <v>4.4000000000000004</v>
      </c>
    </row>
    <row r="162" spans="1:15" x14ac:dyDescent="0.25">
      <c r="A162" s="13" t="s">
        <v>174</v>
      </c>
      <c r="B162" s="13" t="s">
        <v>2194</v>
      </c>
      <c r="C162" s="13" t="s">
        <v>2200</v>
      </c>
      <c r="D162" s="13" t="s">
        <v>2207</v>
      </c>
      <c r="E162" s="13" t="s">
        <v>2213</v>
      </c>
      <c r="F162" s="13" t="s">
        <v>2220</v>
      </c>
      <c r="G162" s="13">
        <v>111.88</v>
      </c>
      <c r="H162" s="13">
        <v>0</v>
      </c>
      <c r="I162" s="13">
        <v>111.88</v>
      </c>
      <c r="J162" s="24">
        <v>45875</v>
      </c>
      <c r="K162" s="13">
        <v>41</v>
      </c>
      <c r="L162" s="13">
        <v>4.5</v>
      </c>
      <c r="M162" s="13" t="b">
        <v>0</v>
      </c>
      <c r="O162" s="13">
        <f t="shared" si="2"/>
        <v>4.5</v>
      </c>
    </row>
    <row r="163" spans="1:15" x14ac:dyDescent="0.25">
      <c r="A163" s="13" t="s">
        <v>175</v>
      </c>
      <c r="B163" s="13" t="s">
        <v>2192</v>
      </c>
      <c r="C163" s="13" t="s">
        <v>2202</v>
      </c>
      <c r="D163" s="13" t="s">
        <v>2204</v>
      </c>
      <c r="F163" s="13" t="s">
        <v>2222</v>
      </c>
      <c r="G163" s="13">
        <v>42.84</v>
      </c>
      <c r="H163" s="13">
        <v>40.6</v>
      </c>
      <c r="I163" s="13">
        <v>25.45</v>
      </c>
      <c r="J163" s="24">
        <v>45547</v>
      </c>
      <c r="K163" s="13">
        <v>18</v>
      </c>
      <c r="L163" s="13">
        <v>2.6</v>
      </c>
      <c r="M163" s="13" t="b">
        <v>0</v>
      </c>
      <c r="O163" s="13">
        <f t="shared" si="2"/>
        <v>2.6</v>
      </c>
    </row>
    <row r="164" spans="1:15" x14ac:dyDescent="0.25">
      <c r="A164" s="13" t="s">
        <v>176</v>
      </c>
      <c r="B164" s="13" t="s">
        <v>2194</v>
      </c>
      <c r="C164" s="13" t="s">
        <v>2202</v>
      </c>
      <c r="D164" s="13" t="s">
        <v>2204</v>
      </c>
      <c r="E164" s="13" t="s">
        <v>2211</v>
      </c>
      <c r="F164" s="13" t="s">
        <v>2222</v>
      </c>
      <c r="G164" s="13">
        <v>26.28</v>
      </c>
      <c r="H164" s="13">
        <v>1.1000000000000001</v>
      </c>
      <c r="I164" s="13">
        <v>25.99</v>
      </c>
      <c r="J164" s="24">
        <v>45828</v>
      </c>
      <c r="K164" s="13">
        <v>35</v>
      </c>
      <c r="L164" s="13">
        <v>5</v>
      </c>
      <c r="M164" s="13" t="b">
        <v>0</v>
      </c>
      <c r="O164" s="13">
        <f t="shared" si="2"/>
        <v>5</v>
      </c>
    </row>
    <row r="165" spans="1:15" x14ac:dyDescent="0.25">
      <c r="A165" s="13" t="s">
        <v>177</v>
      </c>
      <c r="B165" s="13" t="s">
        <v>2192</v>
      </c>
      <c r="C165" s="13" t="s">
        <v>2200</v>
      </c>
      <c r="D165" s="13" t="s">
        <v>2204</v>
      </c>
      <c r="F165" s="13" t="s">
        <v>2220</v>
      </c>
      <c r="G165" s="13">
        <v>23.11</v>
      </c>
      <c r="H165" s="13">
        <v>0</v>
      </c>
      <c r="I165" s="13">
        <v>23.11</v>
      </c>
      <c r="J165" s="24">
        <v>45552</v>
      </c>
      <c r="K165" s="13">
        <v>2</v>
      </c>
      <c r="L165" s="13">
        <v>1.4</v>
      </c>
      <c r="M165" s="13" t="b">
        <v>0</v>
      </c>
      <c r="O165" s="13">
        <f t="shared" si="2"/>
        <v>1.4</v>
      </c>
    </row>
    <row r="166" spans="1:15" x14ac:dyDescent="0.25">
      <c r="A166" s="13" t="s">
        <v>178</v>
      </c>
      <c r="B166" s="13" t="s">
        <v>2193</v>
      </c>
      <c r="C166" s="13" t="s">
        <v>2196</v>
      </c>
      <c r="D166" s="13" t="s">
        <v>2205</v>
      </c>
      <c r="E166" s="13" t="s">
        <v>2213</v>
      </c>
      <c r="F166" s="13" t="s">
        <v>2217</v>
      </c>
      <c r="G166" s="13">
        <v>168.36</v>
      </c>
      <c r="H166" s="13">
        <v>0</v>
      </c>
      <c r="I166" s="13">
        <v>168.36</v>
      </c>
      <c r="J166" s="24">
        <v>45875</v>
      </c>
      <c r="K166" s="13">
        <v>47</v>
      </c>
      <c r="M166" s="13" t="b">
        <v>1</v>
      </c>
      <c r="N166" s="13" t="s">
        <v>2227</v>
      </c>
      <c r="O166" s="13">
        <f t="shared" si="2"/>
        <v>2.9153846153846157</v>
      </c>
    </row>
    <row r="167" spans="1:15" x14ac:dyDescent="0.25">
      <c r="A167" s="13" t="s">
        <v>179</v>
      </c>
      <c r="B167" s="13" t="s">
        <v>2193</v>
      </c>
      <c r="C167" s="13" t="s">
        <v>2202</v>
      </c>
      <c r="D167" s="13" t="s">
        <v>2206</v>
      </c>
      <c r="E167" s="13" t="s">
        <v>2208</v>
      </c>
      <c r="F167" s="13" t="s">
        <v>2220</v>
      </c>
      <c r="G167" s="13">
        <v>99.26</v>
      </c>
      <c r="H167" s="13">
        <v>0</v>
      </c>
      <c r="I167" s="13">
        <v>99.26</v>
      </c>
      <c r="J167" s="24">
        <v>45875</v>
      </c>
      <c r="K167" s="13">
        <v>33</v>
      </c>
      <c r="M167" s="13" t="b">
        <v>1</v>
      </c>
      <c r="N167" s="13" t="s">
        <v>2228</v>
      </c>
      <c r="O167" s="13">
        <f t="shared" si="2"/>
        <v>2.9083333333333328</v>
      </c>
    </row>
    <row r="168" spans="1:15" x14ac:dyDescent="0.25">
      <c r="A168" s="13" t="s">
        <v>180</v>
      </c>
      <c r="B168" s="13" t="s">
        <v>2192</v>
      </c>
      <c r="C168" s="13" t="s">
        <v>2199</v>
      </c>
      <c r="D168" s="13" t="s">
        <v>2204</v>
      </c>
      <c r="F168" s="13" t="s">
        <v>2216</v>
      </c>
      <c r="G168" s="13">
        <v>53.66</v>
      </c>
      <c r="H168" s="13">
        <v>0</v>
      </c>
      <c r="I168" s="13">
        <v>53.66</v>
      </c>
      <c r="J168" s="24">
        <v>45645</v>
      </c>
      <c r="K168" s="13">
        <v>40</v>
      </c>
      <c r="L168" s="13">
        <v>2.8</v>
      </c>
      <c r="M168" s="13" t="b">
        <v>0</v>
      </c>
      <c r="O168" s="13">
        <f t="shared" si="2"/>
        <v>2.8</v>
      </c>
    </row>
    <row r="169" spans="1:15" x14ac:dyDescent="0.25">
      <c r="A169" s="13" t="s">
        <v>181</v>
      </c>
      <c r="B169" s="13" t="s">
        <v>2192</v>
      </c>
      <c r="C169" s="13" t="s">
        <v>2201</v>
      </c>
      <c r="D169" s="13" t="s">
        <v>2207</v>
      </c>
      <c r="F169" s="13" t="s">
        <v>2218</v>
      </c>
      <c r="G169" s="13">
        <v>69.709999999999994</v>
      </c>
      <c r="H169" s="13">
        <v>18</v>
      </c>
      <c r="I169" s="13">
        <v>57.16</v>
      </c>
      <c r="J169" s="24">
        <v>45875</v>
      </c>
      <c r="K169" s="13">
        <v>34</v>
      </c>
      <c r="L169" s="13">
        <v>4.2</v>
      </c>
      <c r="M169" s="13" t="b">
        <v>1</v>
      </c>
      <c r="N169" s="13" t="s">
        <v>2225</v>
      </c>
      <c r="O169" s="13">
        <f t="shared" si="2"/>
        <v>4.2</v>
      </c>
    </row>
    <row r="170" spans="1:15" x14ac:dyDescent="0.25">
      <c r="A170" s="13" t="s">
        <v>182</v>
      </c>
      <c r="B170" s="13" t="s">
        <v>2195</v>
      </c>
      <c r="C170" s="13" t="s">
        <v>2203</v>
      </c>
      <c r="D170" s="13" t="s">
        <v>2206</v>
      </c>
      <c r="E170" s="13" t="s">
        <v>2211</v>
      </c>
      <c r="F170" s="13" t="s">
        <v>2218</v>
      </c>
      <c r="G170" s="13">
        <v>60.3</v>
      </c>
      <c r="H170" s="13">
        <v>21.4</v>
      </c>
      <c r="I170" s="13">
        <v>47.4</v>
      </c>
      <c r="J170" s="24">
        <v>45875</v>
      </c>
      <c r="K170" s="13">
        <v>4</v>
      </c>
      <c r="L170" s="13">
        <v>3.6</v>
      </c>
      <c r="M170" s="13" t="b">
        <v>0</v>
      </c>
      <c r="O170" s="13">
        <f t="shared" si="2"/>
        <v>3.6</v>
      </c>
    </row>
    <row r="171" spans="1:15" x14ac:dyDescent="0.25">
      <c r="A171" s="13" t="s">
        <v>183</v>
      </c>
      <c r="B171" s="13" t="s">
        <v>2193</v>
      </c>
      <c r="C171" s="13" t="s">
        <v>2198</v>
      </c>
      <c r="D171" s="13" t="s">
        <v>2205</v>
      </c>
      <c r="E171" s="13" t="s">
        <v>2211</v>
      </c>
      <c r="F171" s="13" t="s">
        <v>2214</v>
      </c>
      <c r="G171" s="13">
        <v>113.58</v>
      </c>
      <c r="H171" s="13">
        <v>0</v>
      </c>
      <c r="I171" s="13">
        <v>113.58</v>
      </c>
      <c r="J171" s="24">
        <v>45875</v>
      </c>
      <c r="K171" s="13">
        <v>33</v>
      </c>
      <c r="L171" s="13">
        <v>4.9000000000000004</v>
      </c>
      <c r="M171" s="13" t="b">
        <v>1</v>
      </c>
      <c r="N171" s="13" t="s">
        <v>2230</v>
      </c>
      <c r="O171" s="13">
        <f t="shared" si="2"/>
        <v>4.9000000000000004</v>
      </c>
    </row>
    <row r="172" spans="1:15" x14ac:dyDescent="0.25">
      <c r="A172" s="13" t="s">
        <v>184</v>
      </c>
      <c r="B172" s="13" t="s">
        <v>2194</v>
      </c>
      <c r="C172" s="13" t="s">
        <v>2201</v>
      </c>
      <c r="D172" s="13" t="s">
        <v>2206</v>
      </c>
      <c r="E172" s="13" t="s">
        <v>2212</v>
      </c>
      <c r="F172" s="13" t="s">
        <v>2224</v>
      </c>
      <c r="G172" s="13">
        <v>54.86</v>
      </c>
      <c r="H172" s="13">
        <v>1.7</v>
      </c>
      <c r="I172" s="13">
        <v>53.93</v>
      </c>
      <c r="J172" s="24">
        <v>45875</v>
      </c>
      <c r="K172" s="13">
        <v>40</v>
      </c>
      <c r="L172" s="13">
        <v>2.5</v>
      </c>
      <c r="M172" s="13" t="b">
        <v>0</v>
      </c>
      <c r="O172" s="13">
        <f t="shared" si="2"/>
        <v>2.5</v>
      </c>
    </row>
    <row r="173" spans="1:15" x14ac:dyDescent="0.25">
      <c r="A173" s="13" t="s">
        <v>185</v>
      </c>
      <c r="B173" s="13" t="s">
        <v>2191</v>
      </c>
      <c r="C173" s="13" t="s">
        <v>2196</v>
      </c>
      <c r="D173" s="13" t="s">
        <v>2205</v>
      </c>
      <c r="E173" s="13" t="s">
        <v>2212</v>
      </c>
      <c r="F173" s="13" t="s">
        <v>2214</v>
      </c>
      <c r="G173" s="13">
        <v>92.25</v>
      </c>
      <c r="H173" s="13">
        <v>0</v>
      </c>
      <c r="I173" s="13">
        <v>92.25</v>
      </c>
      <c r="J173" s="24">
        <v>45875</v>
      </c>
      <c r="K173" s="13">
        <v>13</v>
      </c>
      <c r="L173" s="13">
        <v>2.8</v>
      </c>
      <c r="M173" s="13" t="b">
        <v>1</v>
      </c>
      <c r="N173" s="13" t="s">
        <v>2227</v>
      </c>
      <c r="O173" s="13">
        <f t="shared" si="2"/>
        <v>2.8</v>
      </c>
    </row>
    <row r="174" spans="1:15" x14ac:dyDescent="0.25">
      <c r="A174" s="13" t="s">
        <v>186</v>
      </c>
      <c r="B174" s="13" t="s">
        <v>2192</v>
      </c>
      <c r="C174" s="13" t="s">
        <v>2201</v>
      </c>
      <c r="D174" s="13" t="s">
        <v>2205</v>
      </c>
      <c r="F174" s="13" t="s">
        <v>2217</v>
      </c>
      <c r="G174" s="13">
        <v>54.07</v>
      </c>
      <c r="H174" s="13">
        <v>0</v>
      </c>
      <c r="I174" s="13">
        <v>54.07</v>
      </c>
      <c r="J174" s="24">
        <v>45875</v>
      </c>
      <c r="K174" s="13">
        <v>47</v>
      </c>
      <c r="L174" s="13">
        <v>4.5999999999999996</v>
      </c>
      <c r="M174" s="13" t="b">
        <v>0</v>
      </c>
      <c r="O174" s="13">
        <f t="shared" si="2"/>
        <v>4.5999999999999996</v>
      </c>
    </row>
    <row r="175" spans="1:15" x14ac:dyDescent="0.25">
      <c r="A175" s="13" t="s">
        <v>187</v>
      </c>
      <c r="B175" s="13" t="s">
        <v>2193</v>
      </c>
      <c r="C175" s="13" t="s">
        <v>2198</v>
      </c>
      <c r="D175" s="13" t="s">
        <v>2205</v>
      </c>
      <c r="E175" s="13" t="s">
        <v>2208</v>
      </c>
      <c r="F175" s="13" t="s">
        <v>2214</v>
      </c>
      <c r="G175" s="13">
        <v>104.4</v>
      </c>
      <c r="H175" s="13">
        <v>0</v>
      </c>
      <c r="I175" s="13">
        <v>104.4</v>
      </c>
      <c r="J175" s="24">
        <v>45875</v>
      </c>
      <c r="K175" s="13">
        <v>41</v>
      </c>
      <c r="L175" s="13">
        <v>3.4</v>
      </c>
      <c r="M175" s="13" t="b">
        <v>0</v>
      </c>
      <c r="O175" s="13">
        <f t="shared" si="2"/>
        <v>3.4</v>
      </c>
    </row>
    <row r="176" spans="1:15" x14ac:dyDescent="0.25">
      <c r="A176" s="13" t="s">
        <v>188</v>
      </c>
      <c r="B176" s="13" t="s">
        <v>2195</v>
      </c>
      <c r="C176" s="13" t="s">
        <v>2201</v>
      </c>
      <c r="D176" s="13" t="s">
        <v>2204</v>
      </c>
      <c r="E176" s="13" t="s">
        <v>2213</v>
      </c>
      <c r="F176" s="13" t="s">
        <v>2218</v>
      </c>
      <c r="G176" s="13">
        <v>45.97</v>
      </c>
      <c r="H176" s="13">
        <v>0</v>
      </c>
      <c r="I176" s="13">
        <v>45.97</v>
      </c>
      <c r="J176" s="24">
        <v>45532</v>
      </c>
      <c r="K176" s="13">
        <v>37</v>
      </c>
      <c r="L176" s="13">
        <v>3.2</v>
      </c>
      <c r="M176" s="13" t="b">
        <v>1</v>
      </c>
      <c r="N176" s="13" t="s">
        <v>2228</v>
      </c>
      <c r="O176" s="13">
        <f t="shared" si="2"/>
        <v>3.2</v>
      </c>
    </row>
    <row r="177" spans="1:15" x14ac:dyDescent="0.25">
      <c r="A177" s="13" t="s">
        <v>189</v>
      </c>
      <c r="B177" s="13" t="s">
        <v>2191</v>
      </c>
      <c r="C177" s="13" t="s">
        <v>2201</v>
      </c>
      <c r="D177" s="13" t="s">
        <v>2207</v>
      </c>
      <c r="E177" s="13" t="s">
        <v>2211</v>
      </c>
      <c r="F177" s="13" t="s">
        <v>2216</v>
      </c>
      <c r="G177" s="13">
        <v>28.79</v>
      </c>
      <c r="H177" s="13">
        <v>0</v>
      </c>
      <c r="I177" s="13">
        <v>28.79</v>
      </c>
      <c r="J177" s="24">
        <v>45875</v>
      </c>
      <c r="K177" s="13">
        <v>4</v>
      </c>
      <c r="L177" s="13">
        <v>4.4000000000000004</v>
      </c>
      <c r="M177" s="13" t="b">
        <v>0</v>
      </c>
      <c r="O177" s="13">
        <f t="shared" si="2"/>
        <v>4.4000000000000004</v>
      </c>
    </row>
    <row r="178" spans="1:15" x14ac:dyDescent="0.25">
      <c r="A178" s="13" t="s">
        <v>190</v>
      </c>
      <c r="B178" s="13" t="s">
        <v>2190</v>
      </c>
      <c r="C178" s="13" t="s">
        <v>2197</v>
      </c>
      <c r="D178" s="13" t="s">
        <v>2205</v>
      </c>
      <c r="E178" s="13" t="s">
        <v>2213</v>
      </c>
      <c r="F178" s="13" t="s">
        <v>2218</v>
      </c>
      <c r="G178" s="13">
        <v>204.21</v>
      </c>
      <c r="H178" s="13">
        <v>0</v>
      </c>
      <c r="I178" s="13">
        <v>204.21</v>
      </c>
      <c r="J178" s="24">
        <v>45875</v>
      </c>
      <c r="K178" s="13">
        <v>5</v>
      </c>
      <c r="L178" s="13">
        <v>3.3</v>
      </c>
      <c r="M178" s="13" t="b">
        <v>0</v>
      </c>
      <c r="O178" s="13">
        <f t="shared" si="2"/>
        <v>3.3</v>
      </c>
    </row>
    <row r="179" spans="1:15" x14ac:dyDescent="0.25">
      <c r="A179" s="13" t="s">
        <v>191</v>
      </c>
      <c r="B179" s="13" t="s">
        <v>2193</v>
      </c>
      <c r="C179" s="13" t="s">
        <v>2199</v>
      </c>
      <c r="D179" s="13" t="s">
        <v>2206</v>
      </c>
      <c r="E179" s="13" t="s">
        <v>2211</v>
      </c>
      <c r="F179" s="13" t="s">
        <v>2215</v>
      </c>
      <c r="G179" s="13">
        <v>190.75</v>
      </c>
      <c r="H179" s="13">
        <v>20</v>
      </c>
      <c r="I179" s="13">
        <v>152.6</v>
      </c>
      <c r="J179" s="24">
        <v>45875</v>
      </c>
      <c r="K179" s="13">
        <v>47</v>
      </c>
      <c r="M179" s="13" t="b">
        <v>0</v>
      </c>
      <c r="O179" s="13">
        <f t="shared" si="2"/>
        <v>2.9804347826086954</v>
      </c>
    </row>
    <row r="180" spans="1:15" x14ac:dyDescent="0.25">
      <c r="A180" s="13" t="s">
        <v>192</v>
      </c>
      <c r="B180" s="13" t="s">
        <v>2191</v>
      </c>
      <c r="C180" s="13" t="s">
        <v>2203</v>
      </c>
      <c r="D180" s="13" t="s">
        <v>2205</v>
      </c>
      <c r="E180" s="13" t="s">
        <v>2212</v>
      </c>
      <c r="F180" s="13" t="s">
        <v>2224</v>
      </c>
      <c r="G180" s="13">
        <v>33.01</v>
      </c>
      <c r="H180" s="13">
        <v>39.200000000000003</v>
      </c>
      <c r="I180" s="13">
        <v>20.07</v>
      </c>
      <c r="J180" s="24">
        <v>45875</v>
      </c>
      <c r="K180" s="13">
        <v>16</v>
      </c>
      <c r="L180" s="13">
        <v>3.7</v>
      </c>
      <c r="M180" s="13" t="b">
        <v>0</v>
      </c>
      <c r="O180" s="13">
        <f t="shared" si="2"/>
        <v>3.7</v>
      </c>
    </row>
    <row r="181" spans="1:15" x14ac:dyDescent="0.25">
      <c r="A181" s="13" t="s">
        <v>193</v>
      </c>
      <c r="B181" s="13" t="s">
        <v>2192</v>
      </c>
      <c r="C181" s="13" t="s">
        <v>2198</v>
      </c>
      <c r="D181" s="13" t="s">
        <v>2204</v>
      </c>
      <c r="F181" s="13" t="s">
        <v>2219</v>
      </c>
      <c r="G181" s="13">
        <v>47.61</v>
      </c>
      <c r="H181" s="13">
        <v>39.799999999999997</v>
      </c>
      <c r="I181" s="13">
        <v>28.66</v>
      </c>
      <c r="J181" s="24">
        <v>45629</v>
      </c>
      <c r="K181" s="13">
        <v>18</v>
      </c>
      <c r="L181" s="13">
        <v>1.3</v>
      </c>
      <c r="M181" s="13" t="b">
        <v>0</v>
      </c>
      <c r="O181" s="13">
        <f t="shared" si="2"/>
        <v>1.3</v>
      </c>
    </row>
    <row r="182" spans="1:15" x14ac:dyDescent="0.25">
      <c r="A182" s="13" t="s">
        <v>194</v>
      </c>
      <c r="B182" s="13" t="s">
        <v>2190</v>
      </c>
      <c r="C182" s="13" t="s">
        <v>2200</v>
      </c>
      <c r="D182" s="13" t="s">
        <v>2204</v>
      </c>
      <c r="E182" s="13" t="s">
        <v>2212</v>
      </c>
      <c r="F182" s="13" t="s">
        <v>2214</v>
      </c>
      <c r="G182" s="13">
        <v>137.16</v>
      </c>
      <c r="H182" s="13">
        <v>0</v>
      </c>
      <c r="I182" s="13">
        <v>137.16</v>
      </c>
      <c r="J182" s="24">
        <v>45561</v>
      </c>
      <c r="K182" s="13">
        <v>34</v>
      </c>
      <c r="L182" s="13">
        <v>3.2</v>
      </c>
      <c r="M182" s="13" t="b">
        <v>0</v>
      </c>
      <c r="O182" s="13">
        <f t="shared" si="2"/>
        <v>3.2</v>
      </c>
    </row>
    <row r="183" spans="1:15" x14ac:dyDescent="0.25">
      <c r="A183" s="13" t="s">
        <v>195</v>
      </c>
      <c r="B183" s="13" t="s">
        <v>2191</v>
      </c>
      <c r="C183" s="13" t="s">
        <v>2202</v>
      </c>
      <c r="D183" s="13" t="s">
        <v>2206</v>
      </c>
      <c r="E183" s="13" t="s">
        <v>2213</v>
      </c>
      <c r="F183" s="13" t="s">
        <v>2222</v>
      </c>
      <c r="G183" s="13">
        <v>108.49</v>
      </c>
      <c r="H183" s="13">
        <v>0</v>
      </c>
      <c r="I183" s="13">
        <v>108.49</v>
      </c>
      <c r="J183" s="24">
        <v>45875</v>
      </c>
      <c r="K183" s="13">
        <v>7</v>
      </c>
      <c r="L183" s="13">
        <v>3.3</v>
      </c>
      <c r="M183" s="13" t="b">
        <v>0</v>
      </c>
      <c r="O183" s="13">
        <f t="shared" si="2"/>
        <v>3.3</v>
      </c>
    </row>
    <row r="184" spans="1:15" x14ac:dyDescent="0.25">
      <c r="A184" s="13" t="s">
        <v>196</v>
      </c>
      <c r="B184" s="13" t="s">
        <v>2191</v>
      </c>
      <c r="C184" s="13" t="s">
        <v>2198</v>
      </c>
      <c r="D184" s="13" t="s">
        <v>2205</v>
      </c>
      <c r="E184" s="13" t="s">
        <v>2208</v>
      </c>
      <c r="F184" s="13" t="s">
        <v>2220</v>
      </c>
      <c r="G184" s="13">
        <v>106.49</v>
      </c>
      <c r="H184" s="13">
        <v>0</v>
      </c>
      <c r="I184" s="13">
        <v>106.49</v>
      </c>
      <c r="J184" s="24">
        <v>45875</v>
      </c>
      <c r="K184" s="13">
        <v>23</v>
      </c>
      <c r="L184" s="13">
        <v>4</v>
      </c>
      <c r="M184" s="13" t="b">
        <v>0</v>
      </c>
      <c r="O184" s="13">
        <f t="shared" si="2"/>
        <v>4</v>
      </c>
    </row>
    <row r="185" spans="1:15" x14ac:dyDescent="0.25">
      <c r="A185" s="13" t="s">
        <v>197</v>
      </c>
      <c r="B185" s="13" t="s">
        <v>2191</v>
      </c>
      <c r="C185" s="13" t="s">
        <v>2199</v>
      </c>
      <c r="D185" s="13" t="s">
        <v>2205</v>
      </c>
      <c r="E185" s="13" t="s">
        <v>2211</v>
      </c>
      <c r="F185" s="13" t="s">
        <v>2215</v>
      </c>
      <c r="G185" s="13">
        <v>114.86</v>
      </c>
      <c r="H185" s="13">
        <v>0</v>
      </c>
      <c r="I185" s="13">
        <v>114.86</v>
      </c>
      <c r="J185" s="24">
        <v>45875</v>
      </c>
      <c r="K185" s="13">
        <v>48</v>
      </c>
      <c r="L185" s="13">
        <v>1.1000000000000001</v>
      </c>
      <c r="M185" s="13" t="b">
        <v>0</v>
      </c>
      <c r="O185" s="13">
        <f t="shared" si="2"/>
        <v>1.1000000000000001</v>
      </c>
    </row>
    <row r="186" spans="1:15" x14ac:dyDescent="0.25">
      <c r="A186" s="13" t="s">
        <v>198</v>
      </c>
      <c r="B186" s="13" t="s">
        <v>2195</v>
      </c>
      <c r="C186" s="13" t="s">
        <v>2196</v>
      </c>
      <c r="D186" s="13" t="s">
        <v>2206</v>
      </c>
      <c r="E186" s="13" t="s">
        <v>2209</v>
      </c>
      <c r="F186" s="13" t="s">
        <v>2219</v>
      </c>
      <c r="G186" s="13">
        <v>121.68</v>
      </c>
      <c r="H186" s="13">
        <v>0</v>
      </c>
      <c r="I186" s="13">
        <v>121.68</v>
      </c>
      <c r="J186" s="24">
        <v>45875</v>
      </c>
      <c r="K186" s="13">
        <v>9</v>
      </c>
      <c r="L186" s="13">
        <v>1.5</v>
      </c>
      <c r="M186" s="13" t="b">
        <v>0</v>
      </c>
      <c r="O186" s="13">
        <f t="shared" si="2"/>
        <v>1.5</v>
      </c>
    </row>
    <row r="187" spans="1:15" x14ac:dyDescent="0.25">
      <c r="A187" s="13" t="s">
        <v>199</v>
      </c>
      <c r="B187" s="13" t="s">
        <v>2194</v>
      </c>
      <c r="C187" s="13" t="s">
        <v>2196</v>
      </c>
      <c r="D187" s="13" t="s">
        <v>2207</v>
      </c>
      <c r="E187" s="13" t="s">
        <v>2211</v>
      </c>
      <c r="F187" s="13" t="s">
        <v>2216</v>
      </c>
      <c r="G187" s="13">
        <v>74.08</v>
      </c>
      <c r="H187" s="13">
        <v>3.9</v>
      </c>
      <c r="I187" s="13">
        <v>71.19</v>
      </c>
      <c r="J187" s="24">
        <v>45875</v>
      </c>
      <c r="K187" s="13">
        <v>37</v>
      </c>
      <c r="L187" s="13">
        <v>1.7</v>
      </c>
      <c r="M187" s="13" t="b">
        <v>0</v>
      </c>
      <c r="O187" s="13">
        <f t="shared" si="2"/>
        <v>1.7</v>
      </c>
    </row>
    <row r="188" spans="1:15" x14ac:dyDescent="0.25">
      <c r="A188" s="13" t="s">
        <v>200</v>
      </c>
      <c r="B188" s="13" t="s">
        <v>2191</v>
      </c>
      <c r="C188" s="13" t="s">
        <v>2202</v>
      </c>
      <c r="D188" s="13" t="s">
        <v>2206</v>
      </c>
      <c r="E188" s="13" t="s">
        <v>2213</v>
      </c>
      <c r="F188" s="13" t="s">
        <v>2219</v>
      </c>
      <c r="G188" s="13">
        <v>92.37</v>
      </c>
      <c r="H188" s="13">
        <v>35.9</v>
      </c>
      <c r="I188" s="13">
        <v>59.21</v>
      </c>
      <c r="J188" s="24">
        <v>45875</v>
      </c>
      <c r="K188" s="13">
        <v>20</v>
      </c>
      <c r="M188" s="13" t="b">
        <v>0</v>
      </c>
      <c r="O188" s="13">
        <f t="shared" si="2"/>
        <v>2.9074999999999998</v>
      </c>
    </row>
    <row r="189" spans="1:15" x14ac:dyDescent="0.25">
      <c r="A189" s="13" t="s">
        <v>201</v>
      </c>
      <c r="B189" s="13" t="s">
        <v>2191</v>
      </c>
      <c r="C189" s="13" t="s">
        <v>2197</v>
      </c>
      <c r="D189" s="13" t="s">
        <v>2207</v>
      </c>
      <c r="E189" s="13" t="s">
        <v>2211</v>
      </c>
      <c r="F189" s="13" t="s">
        <v>2221</v>
      </c>
      <c r="G189" s="13">
        <v>34.06</v>
      </c>
      <c r="H189" s="13">
        <v>0</v>
      </c>
      <c r="I189" s="13">
        <v>34.06</v>
      </c>
      <c r="J189" s="24">
        <v>45875</v>
      </c>
      <c r="K189" s="13">
        <v>39</v>
      </c>
      <c r="L189" s="13">
        <v>4.5</v>
      </c>
      <c r="M189" s="13" t="b">
        <v>0</v>
      </c>
      <c r="O189" s="13">
        <f t="shared" si="2"/>
        <v>4.5</v>
      </c>
    </row>
    <row r="190" spans="1:15" x14ac:dyDescent="0.25">
      <c r="A190" s="13" t="s">
        <v>202</v>
      </c>
      <c r="B190" s="13" t="s">
        <v>2195</v>
      </c>
      <c r="C190" s="13" t="s">
        <v>2196</v>
      </c>
      <c r="D190" s="13" t="s">
        <v>2207</v>
      </c>
      <c r="E190" s="13" t="s">
        <v>2209</v>
      </c>
      <c r="F190" s="13" t="s">
        <v>2215</v>
      </c>
      <c r="G190" s="13">
        <v>173.42</v>
      </c>
      <c r="H190" s="13">
        <v>0</v>
      </c>
      <c r="I190" s="13">
        <v>173.42</v>
      </c>
      <c r="J190" s="24">
        <v>45875</v>
      </c>
      <c r="K190" s="13">
        <v>47</v>
      </c>
      <c r="L190" s="13">
        <v>4.2</v>
      </c>
      <c r="M190" s="13" t="b">
        <v>0</v>
      </c>
      <c r="O190" s="13">
        <f t="shared" si="2"/>
        <v>4.2</v>
      </c>
    </row>
    <row r="191" spans="1:15" x14ac:dyDescent="0.25">
      <c r="A191" s="13" t="s">
        <v>203</v>
      </c>
      <c r="B191" s="13" t="s">
        <v>2194</v>
      </c>
      <c r="C191" s="13" t="s">
        <v>2197</v>
      </c>
      <c r="D191" s="13" t="s">
        <v>2204</v>
      </c>
      <c r="E191" s="13" t="s">
        <v>2211</v>
      </c>
      <c r="F191" s="13" t="s">
        <v>2224</v>
      </c>
      <c r="G191" s="13">
        <v>66.510000000000005</v>
      </c>
      <c r="H191" s="13">
        <v>0</v>
      </c>
      <c r="I191" s="13">
        <v>66.510000000000005</v>
      </c>
      <c r="J191" s="24">
        <v>45569</v>
      </c>
      <c r="K191" s="13">
        <v>32</v>
      </c>
      <c r="L191" s="13">
        <v>2.1</v>
      </c>
      <c r="M191" s="13" t="b">
        <v>0</v>
      </c>
      <c r="O191" s="13">
        <f t="shared" si="2"/>
        <v>2.1</v>
      </c>
    </row>
    <row r="192" spans="1:15" x14ac:dyDescent="0.25">
      <c r="A192" s="13" t="s">
        <v>204</v>
      </c>
      <c r="B192" s="13" t="s">
        <v>2194</v>
      </c>
      <c r="C192" s="13" t="s">
        <v>2197</v>
      </c>
      <c r="D192" s="13" t="s">
        <v>2206</v>
      </c>
      <c r="E192" s="13" t="s">
        <v>2211</v>
      </c>
      <c r="F192" s="13" t="s">
        <v>2219</v>
      </c>
      <c r="G192" s="13">
        <v>72.44</v>
      </c>
      <c r="H192" s="13">
        <v>7.1</v>
      </c>
      <c r="I192" s="13">
        <v>67.3</v>
      </c>
      <c r="J192" s="24">
        <v>45875</v>
      </c>
      <c r="K192" s="13">
        <v>10</v>
      </c>
      <c r="L192" s="13">
        <v>1.8</v>
      </c>
      <c r="M192" s="13" t="b">
        <v>0</v>
      </c>
      <c r="O192" s="13">
        <f t="shared" si="2"/>
        <v>1.8</v>
      </c>
    </row>
    <row r="193" spans="1:15" x14ac:dyDescent="0.25">
      <c r="A193" s="13" t="s">
        <v>205</v>
      </c>
      <c r="B193" s="13" t="s">
        <v>2191</v>
      </c>
      <c r="C193" s="13" t="s">
        <v>2201</v>
      </c>
      <c r="D193" s="13" t="s">
        <v>2206</v>
      </c>
      <c r="E193" s="13" t="s">
        <v>2210</v>
      </c>
      <c r="F193" s="13" t="s">
        <v>2216</v>
      </c>
      <c r="G193" s="13">
        <v>81.2</v>
      </c>
      <c r="H193" s="13">
        <v>0</v>
      </c>
      <c r="I193" s="13">
        <v>81.2</v>
      </c>
      <c r="J193" s="24">
        <v>45875</v>
      </c>
      <c r="K193" s="13">
        <v>3</v>
      </c>
      <c r="L193" s="13">
        <v>1.5</v>
      </c>
      <c r="M193" s="13" t="b">
        <v>0</v>
      </c>
      <c r="O193" s="13">
        <f t="shared" si="2"/>
        <v>1.5</v>
      </c>
    </row>
    <row r="194" spans="1:15" x14ac:dyDescent="0.25">
      <c r="A194" s="13" t="s">
        <v>206</v>
      </c>
      <c r="B194" s="13" t="s">
        <v>2190</v>
      </c>
      <c r="C194" s="13" t="s">
        <v>2202</v>
      </c>
      <c r="D194" s="13" t="s">
        <v>2207</v>
      </c>
      <c r="E194" s="13" t="s">
        <v>2211</v>
      </c>
      <c r="F194" s="13" t="s">
        <v>2214</v>
      </c>
      <c r="G194" s="13">
        <v>104.5</v>
      </c>
      <c r="H194" s="13">
        <v>12.3</v>
      </c>
      <c r="I194" s="13">
        <v>91.65</v>
      </c>
      <c r="J194" s="24">
        <v>45875</v>
      </c>
      <c r="K194" s="13">
        <v>42</v>
      </c>
      <c r="M194" s="13" t="b">
        <v>0</v>
      </c>
      <c r="O194" s="13">
        <f t="shared" si="2"/>
        <v>2.9034482758620692</v>
      </c>
    </row>
    <row r="195" spans="1:15" x14ac:dyDescent="0.25">
      <c r="A195" s="13" t="s">
        <v>207</v>
      </c>
      <c r="B195" s="13" t="s">
        <v>2195</v>
      </c>
      <c r="C195" s="13" t="s">
        <v>2202</v>
      </c>
      <c r="D195" s="13" t="s">
        <v>2205</v>
      </c>
      <c r="E195" s="13" t="s">
        <v>2208</v>
      </c>
      <c r="F195" s="13" t="s">
        <v>2215</v>
      </c>
      <c r="G195" s="13">
        <v>57.53</v>
      </c>
      <c r="H195" s="13">
        <v>13</v>
      </c>
      <c r="I195" s="13">
        <v>50.05</v>
      </c>
      <c r="J195" s="24">
        <v>45875</v>
      </c>
      <c r="K195" s="13">
        <v>12</v>
      </c>
      <c r="L195" s="13">
        <v>4.0999999999999996</v>
      </c>
      <c r="M195" s="13" t="b">
        <v>0</v>
      </c>
      <c r="O195" s="13">
        <f t="shared" ref="O195:O258" si="3">IF(L195="",AVERAGEIFS($L$2:$L$2177,$B$2:$B$2177,B195,$C$2:$C$2177,C195),L195)</f>
        <v>4.0999999999999996</v>
      </c>
    </row>
    <row r="196" spans="1:15" x14ac:dyDescent="0.25">
      <c r="A196" s="13" t="s">
        <v>208</v>
      </c>
      <c r="B196" s="13" t="s">
        <v>2193</v>
      </c>
      <c r="C196" s="13" t="s">
        <v>2198</v>
      </c>
      <c r="D196" s="13" t="s">
        <v>2207</v>
      </c>
      <c r="E196" s="13" t="s">
        <v>2211</v>
      </c>
      <c r="F196" s="13" t="s">
        <v>2218</v>
      </c>
      <c r="G196" s="13">
        <v>142.58000000000001</v>
      </c>
      <c r="H196" s="13">
        <v>0</v>
      </c>
      <c r="I196" s="13">
        <v>142.58000000000001</v>
      </c>
      <c r="J196" s="24">
        <v>45875</v>
      </c>
      <c r="K196" s="13">
        <v>25</v>
      </c>
      <c r="L196" s="13">
        <v>4.8</v>
      </c>
      <c r="M196" s="13" t="b">
        <v>1</v>
      </c>
      <c r="N196" s="13" t="s">
        <v>2228</v>
      </c>
      <c r="O196" s="13">
        <f t="shared" si="3"/>
        <v>4.8</v>
      </c>
    </row>
    <row r="197" spans="1:15" x14ac:dyDescent="0.25">
      <c r="A197" s="13" t="s">
        <v>209</v>
      </c>
      <c r="B197" s="13" t="s">
        <v>2195</v>
      </c>
      <c r="C197" s="13" t="s">
        <v>2196</v>
      </c>
      <c r="D197" s="13" t="s">
        <v>2206</v>
      </c>
      <c r="E197" s="13" t="s">
        <v>2211</v>
      </c>
      <c r="F197" s="13" t="s">
        <v>2220</v>
      </c>
      <c r="G197" s="13">
        <v>162.22999999999999</v>
      </c>
      <c r="H197" s="13">
        <v>29.4</v>
      </c>
      <c r="I197" s="13">
        <v>114.53</v>
      </c>
      <c r="J197" s="24">
        <v>45875</v>
      </c>
      <c r="K197" s="13">
        <v>41</v>
      </c>
      <c r="L197" s="13">
        <v>4</v>
      </c>
      <c r="M197" s="13" t="b">
        <v>1</v>
      </c>
      <c r="N197" s="13" t="s">
        <v>2228</v>
      </c>
      <c r="O197" s="13">
        <f t="shared" si="3"/>
        <v>4</v>
      </c>
    </row>
    <row r="198" spans="1:15" x14ac:dyDescent="0.25">
      <c r="A198" s="13" t="s">
        <v>210</v>
      </c>
      <c r="B198" s="13" t="s">
        <v>2194</v>
      </c>
      <c r="C198" s="13" t="s">
        <v>2201</v>
      </c>
      <c r="D198" s="13" t="s">
        <v>2204</v>
      </c>
      <c r="E198" s="13" t="s">
        <v>2211</v>
      </c>
      <c r="F198" s="13" t="s">
        <v>2214</v>
      </c>
      <c r="G198" s="13">
        <v>32.1</v>
      </c>
      <c r="H198" s="13">
        <v>51.7</v>
      </c>
      <c r="I198" s="13">
        <v>15.5</v>
      </c>
      <c r="J198" s="24">
        <v>45619</v>
      </c>
      <c r="K198" s="13">
        <v>27</v>
      </c>
      <c r="M198" s="13" t="b">
        <v>0</v>
      </c>
      <c r="O198" s="13">
        <f t="shared" si="3"/>
        <v>3.0575757575757576</v>
      </c>
    </row>
    <row r="199" spans="1:15" x14ac:dyDescent="0.25">
      <c r="A199" s="13" t="s">
        <v>211</v>
      </c>
      <c r="B199" s="13" t="s">
        <v>2193</v>
      </c>
      <c r="C199" s="13" t="s">
        <v>2197</v>
      </c>
      <c r="D199" s="13" t="s">
        <v>2206</v>
      </c>
      <c r="E199" s="13" t="s">
        <v>2209</v>
      </c>
      <c r="F199" s="13" t="s">
        <v>2216</v>
      </c>
      <c r="G199" s="13">
        <v>162.41</v>
      </c>
      <c r="H199" s="13">
        <v>42.7</v>
      </c>
      <c r="I199" s="13">
        <v>93.06</v>
      </c>
      <c r="J199" s="24">
        <v>45875</v>
      </c>
      <c r="K199" s="13">
        <v>22</v>
      </c>
      <c r="L199" s="13">
        <v>4.8</v>
      </c>
      <c r="M199" s="13" t="b">
        <v>0</v>
      </c>
      <c r="O199" s="13">
        <f t="shared" si="3"/>
        <v>4.8</v>
      </c>
    </row>
    <row r="200" spans="1:15" x14ac:dyDescent="0.25">
      <c r="A200" s="13" t="s">
        <v>212</v>
      </c>
      <c r="B200" s="13" t="s">
        <v>2191</v>
      </c>
      <c r="C200" s="13" t="s">
        <v>2198</v>
      </c>
      <c r="D200" s="13" t="s">
        <v>2206</v>
      </c>
      <c r="E200" s="13" t="s">
        <v>2213</v>
      </c>
      <c r="F200" s="13" t="s">
        <v>2218</v>
      </c>
      <c r="G200" s="13">
        <v>77.459999999999994</v>
      </c>
      <c r="H200" s="13">
        <v>57.5</v>
      </c>
      <c r="I200" s="13">
        <v>32.92</v>
      </c>
      <c r="J200" s="24">
        <v>45875</v>
      </c>
      <c r="K200" s="13">
        <v>23</v>
      </c>
      <c r="L200" s="13">
        <v>4</v>
      </c>
      <c r="M200" s="13" t="b">
        <v>0</v>
      </c>
      <c r="O200" s="13">
        <f t="shared" si="3"/>
        <v>4</v>
      </c>
    </row>
    <row r="201" spans="1:15" x14ac:dyDescent="0.25">
      <c r="A201" s="13" t="s">
        <v>213</v>
      </c>
      <c r="B201" s="13" t="s">
        <v>2191</v>
      </c>
      <c r="C201" s="13" t="s">
        <v>2200</v>
      </c>
      <c r="D201" s="13" t="s">
        <v>2206</v>
      </c>
      <c r="E201" s="13" t="s">
        <v>2211</v>
      </c>
      <c r="F201" s="13" t="s">
        <v>2219</v>
      </c>
      <c r="G201" s="13">
        <v>103.42</v>
      </c>
      <c r="H201" s="13">
        <v>56.1</v>
      </c>
      <c r="I201" s="13">
        <v>45.4</v>
      </c>
      <c r="J201" s="24">
        <v>45875</v>
      </c>
      <c r="K201" s="13">
        <v>4</v>
      </c>
      <c r="L201" s="13">
        <v>4.7</v>
      </c>
      <c r="M201" s="13" t="b">
        <v>0</v>
      </c>
      <c r="O201" s="13">
        <f t="shared" si="3"/>
        <v>4.7</v>
      </c>
    </row>
    <row r="202" spans="1:15" x14ac:dyDescent="0.25">
      <c r="A202" s="13" t="s">
        <v>214</v>
      </c>
      <c r="B202" s="13" t="s">
        <v>2194</v>
      </c>
      <c r="C202" s="13" t="s">
        <v>2196</v>
      </c>
      <c r="D202" s="13" t="s">
        <v>2204</v>
      </c>
      <c r="E202" s="13" t="s">
        <v>2212</v>
      </c>
      <c r="F202" s="13" t="s">
        <v>2220</v>
      </c>
      <c r="G202" s="13">
        <v>42.91</v>
      </c>
      <c r="H202" s="13">
        <v>33.299999999999997</v>
      </c>
      <c r="I202" s="13">
        <v>28.62</v>
      </c>
      <c r="J202" s="24">
        <v>45619</v>
      </c>
      <c r="K202" s="13">
        <v>18</v>
      </c>
      <c r="M202" s="13" t="b">
        <v>0</v>
      </c>
      <c r="O202" s="13">
        <f t="shared" si="3"/>
        <v>2.9210526315789478</v>
      </c>
    </row>
    <row r="203" spans="1:15" x14ac:dyDescent="0.25">
      <c r="A203" s="13" t="s">
        <v>215</v>
      </c>
      <c r="B203" s="13" t="s">
        <v>2193</v>
      </c>
      <c r="C203" s="13" t="s">
        <v>2196</v>
      </c>
      <c r="D203" s="13" t="s">
        <v>2207</v>
      </c>
      <c r="E203" s="13" t="s">
        <v>2208</v>
      </c>
      <c r="F203" s="13" t="s">
        <v>2220</v>
      </c>
      <c r="G203" s="13">
        <v>144.91999999999999</v>
      </c>
      <c r="H203" s="13">
        <v>17</v>
      </c>
      <c r="I203" s="13">
        <v>120.28</v>
      </c>
      <c r="J203" s="24">
        <v>45875</v>
      </c>
      <c r="K203" s="13">
        <v>32</v>
      </c>
      <c r="L203" s="13">
        <v>2</v>
      </c>
      <c r="M203" s="13" t="b">
        <v>0</v>
      </c>
      <c r="O203" s="13">
        <f t="shared" si="3"/>
        <v>2</v>
      </c>
    </row>
    <row r="204" spans="1:15" x14ac:dyDescent="0.25">
      <c r="A204" s="13" t="s">
        <v>216</v>
      </c>
      <c r="B204" s="13" t="s">
        <v>2193</v>
      </c>
      <c r="C204" s="13" t="s">
        <v>2198</v>
      </c>
      <c r="D204" s="13" t="s">
        <v>2207</v>
      </c>
      <c r="E204" s="13" t="s">
        <v>2212</v>
      </c>
      <c r="F204" s="13" t="s">
        <v>2216</v>
      </c>
      <c r="G204" s="13">
        <v>93.07</v>
      </c>
      <c r="H204" s="13">
        <v>23.9</v>
      </c>
      <c r="I204" s="13">
        <v>70.83</v>
      </c>
      <c r="J204" s="24">
        <v>45875</v>
      </c>
      <c r="K204" s="13">
        <v>10</v>
      </c>
      <c r="L204" s="13">
        <v>3.5</v>
      </c>
      <c r="M204" s="13" t="b">
        <v>1</v>
      </c>
      <c r="N204" s="13" t="s">
        <v>2229</v>
      </c>
      <c r="O204" s="13">
        <f t="shared" si="3"/>
        <v>3.5</v>
      </c>
    </row>
    <row r="205" spans="1:15" x14ac:dyDescent="0.25">
      <c r="A205" s="13" t="s">
        <v>217</v>
      </c>
      <c r="B205" s="13" t="s">
        <v>2190</v>
      </c>
      <c r="C205" s="13" t="s">
        <v>2200</v>
      </c>
      <c r="D205" s="13" t="s">
        <v>2207</v>
      </c>
      <c r="E205" s="13" t="s">
        <v>2210</v>
      </c>
      <c r="F205" s="13" t="s">
        <v>2214</v>
      </c>
      <c r="G205" s="13">
        <v>119.96</v>
      </c>
      <c r="H205" s="13">
        <v>0</v>
      </c>
      <c r="I205" s="13">
        <v>119.96</v>
      </c>
      <c r="J205" s="24">
        <v>45875</v>
      </c>
      <c r="K205" s="13">
        <v>20</v>
      </c>
      <c r="L205" s="13">
        <v>1.1000000000000001</v>
      </c>
      <c r="M205" s="13" t="b">
        <v>0</v>
      </c>
      <c r="O205" s="13">
        <f t="shared" si="3"/>
        <v>1.1000000000000001</v>
      </c>
    </row>
    <row r="206" spans="1:15" x14ac:dyDescent="0.25">
      <c r="A206" s="13" t="s">
        <v>218</v>
      </c>
      <c r="B206" s="13" t="s">
        <v>2192</v>
      </c>
      <c r="C206" s="13" t="s">
        <v>2203</v>
      </c>
      <c r="D206" s="13" t="s">
        <v>2207</v>
      </c>
      <c r="F206" s="13" t="s">
        <v>2218</v>
      </c>
      <c r="G206" s="13">
        <v>42.04</v>
      </c>
      <c r="H206" s="13">
        <v>50.9</v>
      </c>
      <c r="I206" s="13">
        <v>20.64</v>
      </c>
      <c r="J206" s="24">
        <v>45875</v>
      </c>
      <c r="K206" s="13">
        <v>43</v>
      </c>
      <c r="L206" s="13">
        <v>2.2999999999999998</v>
      </c>
      <c r="M206" s="13" t="b">
        <v>1</v>
      </c>
      <c r="N206" s="13" t="s">
        <v>2230</v>
      </c>
      <c r="O206" s="13">
        <f t="shared" si="3"/>
        <v>2.2999999999999998</v>
      </c>
    </row>
    <row r="207" spans="1:15" x14ac:dyDescent="0.25">
      <c r="A207" s="13" t="s">
        <v>219</v>
      </c>
      <c r="B207" s="13" t="s">
        <v>2192</v>
      </c>
      <c r="C207" s="13" t="s">
        <v>2198</v>
      </c>
      <c r="D207" s="13" t="s">
        <v>2205</v>
      </c>
      <c r="F207" s="13" t="s">
        <v>2214</v>
      </c>
      <c r="G207" s="13">
        <v>54.45</v>
      </c>
      <c r="H207" s="13">
        <v>0</v>
      </c>
      <c r="I207" s="13">
        <v>54.45</v>
      </c>
      <c r="J207" s="24">
        <v>45875</v>
      </c>
      <c r="K207" s="13">
        <v>12</v>
      </c>
      <c r="L207" s="13">
        <v>2.7</v>
      </c>
      <c r="M207" s="13" t="b">
        <v>0</v>
      </c>
      <c r="O207" s="13">
        <f t="shared" si="3"/>
        <v>2.7</v>
      </c>
    </row>
    <row r="208" spans="1:15" x14ac:dyDescent="0.25">
      <c r="A208" s="13" t="s">
        <v>220</v>
      </c>
      <c r="B208" s="13" t="s">
        <v>2191</v>
      </c>
      <c r="C208" s="13" t="s">
        <v>2199</v>
      </c>
      <c r="D208" s="13" t="s">
        <v>2204</v>
      </c>
      <c r="E208" s="13" t="s">
        <v>2213</v>
      </c>
      <c r="F208" s="13" t="s">
        <v>2220</v>
      </c>
      <c r="G208" s="13">
        <v>66.95</v>
      </c>
      <c r="H208" s="13">
        <v>36.4</v>
      </c>
      <c r="I208" s="13">
        <v>42.58</v>
      </c>
      <c r="J208" s="24">
        <v>45563</v>
      </c>
      <c r="K208" s="13">
        <v>44</v>
      </c>
      <c r="L208" s="13">
        <v>1.9</v>
      </c>
      <c r="M208" s="13" t="b">
        <v>1</v>
      </c>
      <c r="N208" s="13" t="s">
        <v>2228</v>
      </c>
      <c r="O208" s="13">
        <f t="shared" si="3"/>
        <v>1.9</v>
      </c>
    </row>
    <row r="209" spans="1:15" x14ac:dyDescent="0.25">
      <c r="A209" s="13" t="s">
        <v>221</v>
      </c>
      <c r="B209" s="13" t="s">
        <v>2191</v>
      </c>
      <c r="C209" s="13" t="s">
        <v>2201</v>
      </c>
      <c r="D209" s="13" t="s">
        <v>2204</v>
      </c>
      <c r="E209" s="13" t="s">
        <v>2208</v>
      </c>
      <c r="F209" s="13" t="s">
        <v>2221</v>
      </c>
      <c r="G209" s="13">
        <v>116.96</v>
      </c>
      <c r="H209" s="13">
        <v>8.8000000000000007</v>
      </c>
      <c r="I209" s="13">
        <v>106.67</v>
      </c>
      <c r="J209" s="24">
        <v>45776</v>
      </c>
      <c r="K209" s="13">
        <v>33</v>
      </c>
      <c r="L209" s="13">
        <v>1.6</v>
      </c>
      <c r="M209" s="13" t="b">
        <v>0</v>
      </c>
      <c r="O209" s="13">
        <f t="shared" si="3"/>
        <v>1.6</v>
      </c>
    </row>
    <row r="210" spans="1:15" x14ac:dyDescent="0.25">
      <c r="A210" s="13" t="s">
        <v>222</v>
      </c>
      <c r="B210" s="13" t="s">
        <v>2191</v>
      </c>
      <c r="C210" s="13" t="s">
        <v>2203</v>
      </c>
      <c r="D210" s="13" t="s">
        <v>2206</v>
      </c>
      <c r="E210" s="13" t="s">
        <v>2211</v>
      </c>
      <c r="F210" s="13" t="s">
        <v>2215</v>
      </c>
      <c r="G210" s="13">
        <v>111.14</v>
      </c>
      <c r="H210" s="13">
        <v>0</v>
      </c>
      <c r="I210" s="13">
        <v>111.14</v>
      </c>
      <c r="J210" s="24">
        <v>45875</v>
      </c>
      <c r="K210" s="13">
        <v>49</v>
      </c>
      <c r="L210" s="13">
        <v>1.6</v>
      </c>
      <c r="M210" s="13" t="b">
        <v>0</v>
      </c>
      <c r="O210" s="13">
        <f t="shared" si="3"/>
        <v>1.6</v>
      </c>
    </row>
    <row r="211" spans="1:15" x14ac:dyDescent="0.25">
      <c r="A211" s="13" t="s">
        <v>223</v>
      </c>
      <c r="B211" s="13" t="s">
        <v>2191</v>
      </c>
      <c r="C211" s="13" t="s">
        <v>2198</v>
      </c>
      <c r="D211" s="13" t="s">
        <v>2206</v>
      </c>
      <c r="E211" s="13" t="s">
        <v>2212</v>
      </c>
      <c r="F211" s="13" t="s">
        <v>2219</v>
      </c>
      <c r="G211" s="13">
        <v>59.6</v>
      </c>
      <c r="H211" s="13">
        <v>0</v>
      </c>
      <c r="I211" s="13">
        <v>59.6</v>
      </c>
      <c r="J211" s="24">
        <v>45875</v>
      </c>
      <c r="K211" s="13">
        <v>40</v>
      </c>
      <c r="L211" s="13">
        <v>2.1</v>
      </c>
      <c r="M211" s="13" t="b">
        <v>0</v>
      </c>
      <c r="O211" s="13">
        <f t="shared" si="3"/>
        <v>2.1</v>
      </c>
    </row>
    <row r="212" spans="1:15" x14ac:dyDescent="0.25">
      <c r="A212" s="13" t="s">
        <v>224</v>
      </c>
      <c r="B212" s="13" t="s">
        <v>2191</v>
      </c>
      <c r="C212" s="13" t="s">
        <v>2201</v>
      </c>
      <c r="D212" s="13" t="s">
        <v>2204</v>
      </c>
      <c r="E212" s="13" t="s">
        <v>2210</v>
      </c>
      <c r="F212" s="13" t="s">
        <v>2218</v>
      </c>
      <c r="G212" s="13">
        <v>25.49</v>
      </c>
      <c r="H212" s="13">
        <v>16.7</v>
      </c>
      <c r="I212" s="13">
        <v>21.23</v>
      </c>
      <c r="J212" s="24">
        <v>45800</v>
      </c>
      <c r="K212" s="13">
        <v>32</v>
      </c>
      <c r="M212" s="13" t="b">
        <v>0</v>
      </c>
      <c r="O212" s="13">
        <f t="shared" si="3"/>
        <v>2.9846153846153847</v>
      </c>
    </row>
    <row r="213" spans="1:15" x14ac:dyDescent="0.25">
      <c r="A213" s="13" t="s">
        <v>225</v>
      </c>
      <c r="B213" s="13" t="s">
        <v>2191</v>
      </c>
      <c r="C213" s="13" t="s">
        <v>2196</v>
      </c>
      <c r="D213" s="13" t="s">
        <v>2204</v>
      </c>
      <c r="E213" s="13" t="s">
        <v>2213</v>
      </c>
      <c r="F213" s="13" t="s">
        <v>2216</v>
      </c>
      <c r="G213" s="13">
        <v>82.94</v>
      </c>
      <c r="H213" s="13">
        <v>0</v>
      </c>
      <c r="I213" s="13">
        <v>82.94</v>
      </c>
      <c r="J213" s="24">
        <v>45855</v>
      </c>
      <c r="K213" s="13">
        <v>46</v>
      </c>
      <c r="L213" s="13">
        <v>1.5</v>
      </c>
      <c r="M213" s="13" t="b">
        <v>0</v>
      </c>
      <c r="O213" s="13">
        <f t="shared" si="3"/>
        <v>1.5</v>
      </c>
    </row>
    <row r="214" spans="1:15" x14ac:dyDescent="0.25">
      <c r="A214" s="13" t="s">
        <v>226</v>
      </c>
      <c r="B214" s="13" t="s">
        <v>2191</v>
      </c>
      <c r="C214" s="13" t="s">
        <v>2197</v>
      </c>
      <c r="D214" s="13" t="s">
        <v>2204</v>
      </c>
      <c r="E214" s="13" t="s">
        <v>2209</v>
      </c>
      <c r="F214" s="13" t="s">
        <v>2219</v>
      </c>
      <c r="G214" s="13">
        <v>99.71</v>
      </c>
      <c r="H214" s="13">
        <v>0</v>
      </c>
      <c r="I214" s="13">
        <v>99.71</v>
      </c>
      <c r="J214" s="24">
        <v>45525</v>
      </c>
      <c r="K214" s="13">
        <v>23</v>
      </c>
      <c r="L214" s="13">
        <v>1.4</v>
      </c>
      <c r="M214" s="13" t="b">
        <v>0</v>
      </c>
      <c r="O214" s="13">
        <f t="shared" si="3"/>
        <v>1.4</v>
      </c>
    </row>
    <row r="215" spans="1:15" x14ac:dyDescent="0.25">
      <c r="A215" s="13" t="s">
        <v>227</v>
      </c>
      <c r="B215" s="13" t="s">
        <v>2192</v>
      </c>
      <c r="C215" s="13" t="s">
        <v>2198</v>
      </c>
      <c r="D215" s="13" t="s">
        <v>2206</v>
      </c>
      <c r="F215" s="13" t="s">
        <v>2216</v>
      </c>
      <c r="G215" s="13">
        <v>69.739999999999995</v>
      </c>
      <c r="H215" s="13">
        <v>0</v>
      </c>
      <c r="I215" s="13">
        <v>69.739999999999995</v>
      </c>
      <c r="J215" s="24">
        <v>45875</v>
      </c>
      <c r="K215" s="13">
        <v>11</v>
      </c>
      <c r="L215" s="13">
        <v>3.3</v>
      </c>
      <c r="M215" s="13" t="b">
        <v>1</v>
      </c>
      <c r="N215" s="13" t="s">
        <v>2229</v>
      </c>
      <c r="O215" s="13">
        <f t="shared" si="3"/>
        <v>3.3</v>
      </c>
    </row>
    <row r="216" spans="1:15" x14ac:dyDescent="0.25">
      <c r="A216" s="13" t="s">
        <v>228</v>
      </c>
      <c r="B216" s="13" t="s">
        <v>2194</v>
      </c>
      <c r="C216" s="13" t="s">
        <v>2200</v>
      </c>
      <c r="D216" s="13" t="s">
        <v>2207</v>
      </c>
      <c r="E216" s="13" t="s">
        <v>2211</v>
      </c>
      <c r="F216" s="13" t="s">
        <v>2220</v>
      </c>
      <c r="G216" s="13">
        <v>57.19</v>
      </c>
      <c r="H216" s="13">
        <v>0</v>
      </c>
      <c r="I216" s="13">
        <v>57.19</v>
      </c>
      <c r="J216" s="24">
        <v>45875</v>
      </c>
      <c r="K216" s="13">
        <v>12</v>
      </c>
      <c r="L216" s="13">
        <v>2.5</v>
      </c>
      <c r="M216" s="13" t="b">
        <v>0</v>
      </c>
      <c r="O216" s="13">
        <f t="shared" si="3"/>
        <v>2.5</v>
      </c>
    </row>
    <row r="217" spans="1:15" x14ac:dyDescent="0.25">
      <c r="A217" s="13" t="s">
        <v>229</v>
      </c>
      <c r="B217" s="13" t="s">
        <v>2191</v>
      </c>
      <c r="C217" s="13" t="s">
        <v>2200</v>
      </c>
      <c r="D217" s="13" t="s">
        <v>2207</v>
      </c>
      <c r="E217" s="13" t="s">
        <v>2211</v>
      </c>
      <c r="F217" s="13" t="s">
        <v>2214</v>
      </c>
      <c r="G217" s="13">
        <v>58.65</v>
      </c>
      <c r="H217" s="13">
        <v>0</v>
      </c>
      <c r="I217" s="13">
        <v>58.65</v>
      </c>
      <c r="J217" s="24">
        <v>45875</v>
      </c>
      <c r="K217" s="13">
        <v>4</v>
      </c>
      <c r="L217" s="13">
        <v>1.1000000000000001</v>
      </c>
      <c r="M217" s="13" t="b">
        <v>0</v>
      </c>
      <c r="O217" s="13">
        <f t="shared" si="3"/>
        <v>1.1000000000000001</v>
      </c>
    </row>
    <row r="218" spans="1:15" x14ac:dyDescent="0.25">
      <c r="A218" s="13" t="s">
        <v>230</v>
      </c>
      <c r="B218" s="13" t="s">
        <v>2190</v>
      </c>
      <c r="C218" s="13" t="s">
        <v>2197</v>
      </c>
      <c r="D218" s="13" t="s">
        <v>2206</v>
      </c>
      <c r="E218" s="13" t="s">
        <v>2208</v>
      </c>
      <c r="F218" s="13" t="s">
        <v>2215</v>
      </c>
      <c r="G218" s="13">
        <v>110.22</v>
      </c>
      <c r="H218" s="13">
        <v>0</v>
      </c>
      <c r="I218" s="13">
        <v>110.22</v>
      </c>
      <c r="J218" s="24">
        <v>45875</v>
      </c>
      <c r="K218" s="13">
        <v>4</v>
      </c>
      <c r="L218" s="13">
        <v>1.6</v>
      </c>
      <c r="M218" s="13" t="b">
        <v>0</v>
      </c>
      <c r="O218" s="13">
        <f t="shared" si="3"/>
        <v>1.6</v>
      </c>
    </row>
    <row r="219" spans="1:15" x14ac:dyDescent="0.25">
      <c r="A219" s="13" t="s">
        <v>231</v>
      </c>
      <c r="B219" s="13" t="s">
        <v>2191</v>
      </c>
      <c r="C219" s="13" t="s">
        <v>2196</v>
      </c>
      <c r="D219" s="13" t="s">
        <v>2207</v>
      </c>
      <c r="E219" s="13" t="s">
        <v>2211</v>
      </c>
      <c r="F219" s="13" t="s">
        <v>2215</v>
      </c>
      <c r="G219" s="13">
        <v>69.36</v>
      </c>
      <c r="H219" s="13">
        <v>0</v>
      </c>
      <c r="I219" s="13">
        <v>69.36</v>
      </c>
      <c r="J219" s="24">
        <v>45875</v>
      </c>
      <c r="K219" s="13">
        <v>25</v>
      </c>
      <c r="M219" s="13" t="b">
        <v>0</v>
      </c>
      <c r="O219" s="13">
        <f t="shared" si="3"/>
        <v>2.9181818181818175</v>
      </c>
    </row>
    <row r="220" spans="1:15" x14ac:dyDescent="0.25">
      <c r="A220" s="13" t="s">
        <v>232</v>
      </c>
      <c r="B220" s="13" t="s">
        <v>2194</v>
      </c>
      <c r="C220" s="13" t="s">
        <v>2196</v>
      </c>
      <c r="D220" s="13" t="s">
        <v>2205</v>
      </c>
      <c r="E220" s="13" t="s">
        <v>2210</v>
      </c>
      <c r="F220" s="13" t="s">
        <v>2216</v>
      </c>
      <c r="G220" s="13">
        <v>87.03</v>
      </c>
      <c r="H220" s="13">
        <v>0</v>
      </c>
      <c r="I220" s="13">
        <v>87.03</v>
      </c>
      <c r="J220" s="24">
        <v>45875</v>
      </c>
      <c r="K220" s="13">
        <v>39</v>
      </c>
      <c r="L220" s="13">
        <v>4.3</v>
      </c>
      <c r="M220" s="13" t="b">
        <v>0</v>
      </c>
      <c r="O220" s="13">
        <f t="shared" si="3"/>
        <v>4.3</v>
      </c>
    </row>
    <row r="221" spans="1:15" x14ac:dyDescent="0.25">
      <c r="A221" s="13" t="s">
        <v>233</v>
      </c>
      <c r="B221" s="13" t="s">
        <v>2195</v>
      </c>
      <c r="C221" s="13" t="s">
        <v>2196</v>
      </c>
      <c r="D221" s="13" t="s">
        <v>2205</v>
      </c>
      <c r="E221" s="13" t="s">
        <v>2211</v>
      </c>
      <c r="F221" s="13" t="s">
        <v>2224</v>
      </c>
      <c r="G221" s="13">
        <v>160.6</v>
      </c>
      <c r="H221" s="13">
        <v>18.399999999999999</v>
      </c>
      <c r="I221" s="13">
        <v>131.05000000000001</v>
      </c>
      <c r="J221" s="24">
        <v>45875</v>
      </c>
      <c r="K221" s="13">
        <v>41</v>
      </c>
      <c r="L221" s="13">
        <v>3</v>
      </c>
      <c r="M221" s="13" t="b">
        <v>0</v>
      </c>
      <c r="O221" s="13">
        <f t="shared" si="3"/>
        <v>3</v>
      </c>
    </row>
    <row r="222" spans="1:15" x14ac:dyDescent="0.25">
      <c r="A222" s="13" t="s">
        <v>234</v>
      </c>
      <c r="B222" s="13" t="s">
        <v>2190</v>
      </c>
      <c r="C222" s="13" t="s">
        <v>2200</v>
      </c>
      <c r="D222" s="13" t="s">
        <v>2204</v>
      </c>
      <c r="E222" s="13" t="s">
        <v>2212</v>
      </c>
      <c r="F222" s="13" t="s">
        <v>2223</v>
      </c>
      <c r="G222" s="13">
        <v>167.02</v>
      </c>
      <c r="H222" s="13">
        <v>0</v>
      </c>
      <c r="I222" s="13">
        <v>167.02</v>
      </c>
      <c r="J222" s="24">
        <v>45687</v>
      </c>
      <c r="K222" s="13">
        <v>26</v>
      </c>
      <c r="L222" s="13">
        <v>2.6</v>
      </c>
      <c r="M222" s="13" t="b">
        <v>1</v>
      </c>
      <c r="N222" s="13" t="s">
        <v>2226</v>
      </c>
      <c r="O222" s="13">
        <f t="shared" si="3"/>
        <v>2.6</v>
      </c>
    </row>
    <row r="223" spans="1:15" x14ac:dyDescent="0.25">
      <c r="A223" s="13" t="s">
        <v>235</v>
      </c>
      <c r="B223" s="13" t="s">
        <v>2191</v>
      </c>
      <c r="C223" s="13" t="s">
        <v>2196</v>
      </c>
      <c r="D223" s="13" t="s">
        <v>2207</v>
      </c>
      <c r="E223" s="13" t="s">
        <v>2211</v>
      </c>
      <c r="F223" s="13" t="s">
        <v>2218</v>
      </c>
      <c r="G223" s="13">
        <v>26.09</v>
      </c>
      <c r="H223" s="13">
        <v>0</v>
      </c>
      <c r="I223" s="13">
        <v>26.09</v>
      </c>
      <c r="J223" s="24">
        <v>45875</v>
      </c>
      <c r="K223" s="13">
        <v>32</v>
      </c>
      <c r="L223" s="13">
        <v>4.5999999999999996</v>
      </c>
      <c r="M223" s="13" t="b">
        <v>1</v>
      </c>
      <c r="N223" s="13" t="s">
        <v>2227</v>
      </c>
      <c r="O223" s="13">
        <f t="shared" si="3"/>
        <v>4.5999999999999996</v>
      </c>
    </row>
    <row r="224" spans="1:15" x14ac:dyDescent="0.25">
      <c r="A224" s="13" t="s">
        <v>236</v>
      </c>
      <c r="B224" s="13" t="s">
        <v>2190</v>
      </c>
      <c r="C224" s="13" t="s">
        <v>2200</v>
      </c>
      <c r="D224" s="13" t="s">
        <v>2207</v>
      </c>
      <c r="E224" s="13" t="s">
        <v>2208</v>
      </c>
      <c r="F224" s="13" t="s">
        <v>2224</v>
      </c>
      <c r="G224" s="13">
        <v>246.65</v>
      </c>
      <c r="H224" s="13">
        <v>0</v>
      </c>
      <c r="I224" s="13">
        <v>246.65</v>
      </c>
      <c r="J224" s="24">
        <v>45875</v>
      </c>
      <c r="K224" s="13">
        <v>17</v>
      </c>
      <c r="L224" s="13">
        <v>2.9</v>
      </c>
      <c r="M224" s="13" t="b">
        <v>1</v>
      </c>
      <c r="N224" s="13" t="s">
        <v>2227</v>
      </c>
      <c r="O224" s="13">
        <f t="shared" si="3"/>
        <v>2.9</v>
      </c>
    </row>
    <row r="225" spans="1:15" x14ac:dyDescent="0.25">
      <c r="A225" s="13" t="s">
        <v>237</v>
      </c>
      <c r="B225" s="13" t="s">
        <v>2190</v>
      </c>
      <c r="C225" s="13" t="s">
        <v>2203</v>
      </c>
      <c r="D225" s="13" t="s">
        <v>2207</v>
      </c>
      <c r="E225" s="13" t="s">
        <v>2210</v>
      </c>
      <c r="F225" s="13" t="s">
        <v>2214</v>
      </c>
      <c r="G225" s="13">
        <v>206.91</v>
      </c>
      <c r="H225" s="13">
        <v>0</v>
      </c>
      <c r="I225" s="13">
        <v>206.91</v>
      </c>
      <c r="J225" s="24">
        <v>45875</v>
      </c>
      <c r="K225" s="13">
        <v>34</v>
      </c>
      <c r="L225" s="13">
        <v>2.2999999999999998</v>
      </c>
      <c r="M225" s="13" t="b">
        <v>0</v>
      </c>
      <c r="O225" s="13">
        <f t="shared" si="3"/>
        <v>2.2999999999999998</v>
      </c>
    </row>
    <row r="226" spans="1:15" x14ac:dyDescent="0.25">
      <c r="A226" s="13" t="s">
        <v>238</v>
      </c>
      <c r="B226" s="13" t="s">
        <v>2195</v>
      </c>
      <c r="C226" s="13" t="s">
        <v>2202</v>
      </c>
      <c r="D226" s="13" t="s">
        <v>2205</v>
      </c>
      <c r="E226" s="13" t="s">
        <v>2208</v>
      </c>
      <c r="F226" s="13" t="s">
        <v>2216</v>
      </c>
      <c r="G226" s="13">
        <v>85.08</v>
      </c>
      <c r="H226" s="13">
        <v>0</v>
      </c>
      <c r="I226" s="13">
        <v>85.08</v>
      </c>
      <c r="J226" s="24">
        <v>45875</v>
      </c>
      <c r="K226" s="13">
        <v>29</v>
      </c>
      <c r="M226" s="13" t="b">
        <v>0</v>
      </c>
      <c r="O226" s="13">
        <f t="shared" si="3"/>
        <v>2.980952380952381</v>
      </c>
    </row>
    <row r="227" spans="1:15" x14ac:dyDescent="0.25">
      <c r="A227" s="13" t="s">
        <v>239</v>
      </c>
      <c r="B227" s="13" t="s">
        <v>2190</v>
      </c>
      <c r="C227" s="13" t="s">
        <v>2203</v>
      </c>
      <c r="D227" s="13" t="s">
        <v>2204</v>
      </c>
      <c r="E227" s="13" t="s">
        <v>2211</v>
      </c>
      <c r="F227" s="13" t="s">
        <v>2217</v>
      </c>
      <c r="G227" s="13">
        <v>240.32</v>
      </c>
      <c r="H227" s="13">
        <v>54.8</v>
      </c>
      <c r="I227" s="13">
        <v>108.62</v>
      </c>
      <c r="J227" s="24">
        <v>45653</v>
      </c>
      <c r="K227" s="13">
        <v>3</v>
      </c>
      <c r="L227" s="13">
        <v>4.5</v>
      </c>
      <c r="M227" s="13" t="b">
        <v>0</v>
      </c>
      <c r="O227" s="13">
        <f t="shared" si="3"/>
        <v>4.5</v>
      </c>
    </row>
    <row r="228" spans="1:15" x14ac:dyDescent="0.25">
      <c r="A228" s="13" t="s">
        <v>240</v>
      </c>
      <c r="B228" s="13" t="s">
        <v>2195</v>
      </c>
      <c r="C228" s="13" t="s">
        <v>2197</v>
      </c>
      <c r="D228" s="13" t="s">
        <v>2206</v>
      </c>
      <c r="E228" s="13" t="s">
        <v>2211</v>
      </c>
      <c r="F228" s="13" t="s">
        <v>2214</v>
      </c>
      <c r="G228" s="13">
        <v>130.12</v>
      </c>
      <c r="H228" s="13">
        <v>1.4</v>
      </c>
      <c r="I228" s="13">
        <v>128.30000000000001</v>
      </c>
      <c r="J228" s="24">
        <v>45875</v>
      </c>
      <c r="K228" s="13">
        <v>0</v>
      </c>
      <c r="L228" s="13">
        <v>5</v>
      </c>
      <c r="M228" s="13" t="b">
        <v>0</v>
      </c>
      <c r="O228" s="13">
        <f t="shared" si="3"/>
        <v>5</v>
      </c>
    </row>
    <row r="229" spans="1:15" x14ac:dyDescent="0.25">
      <c r="A229" s="13" t="s">
        <v>241</v>
      </c>
      <c r="B229" s="13" t="s">
        <v>2194</v>
      </c>
      <c r="C229" s="13" t="s">
        <v>2200</v>
      </c>
      <c r="D229" s="13" t="s">
        <v>2204</v>
      </c>
      <c r="E229" s="13" t="s">
        <v>2212</v>
      </c>
      <c r="F229" s="13" t="s">
        <v>2216</v>
      </c>
      <c r="G229" s="13">
        <v>42.29</v>
      </c>
      <c r="H229" s="13">
        <v>15.8</v>
      </c>
      <c r="I229" s="13">
        <v>35.61</v>
      </c>
      <c r="J229" s="24">
        <v>45598</v>
      </c>
      <c r="K229" s="13">
        <v>11</v>
      </c>
      <c r="L229" s="13">
        <v>1.6</v>
      </c>
      <c r="M229" s="13" t="b">
        <v>0</v>
      </c>
      <c r="O229" s="13">
        <f t="shared" si="3"/>
        <v>1.6</v>
      </c>
    </row>
    <row r="230" spans="1:15" x14ac:dyDescent="0.25">
      <c r="A230" s="13" t="s">
        <v>242</v>
      </c>
      <c r="B230" s="13" t="s">
        <v>2190</v>
      </c>
      <c r="C230" s="13" t="s">
        <v>2200</v>
      </c>
      <c r="D230" s="13" t="s">
        <v>2204</v>
      </c>
      <c r="E230" s="13" t="s">
        <v>2210</v>
      </c>
      <c r="F230" s="13" t="s">
        <v>2221</v>
      </c>
      <c r="G230" s="13">
        <v>191.54</v>
      </c>
      <c r="H230" s="13">
        <v>0</v>
      </c>
      <c r="I230" s="13">
        <v>191.54</v>
      </c>
      <c r="J230" s="24">
        <v>45575</v>
      </c>
      <c r="K230" s="13">
        <v>18</v>
      </c>
      <c r="L230" s="13">
        <v>1.2</v>
      </c>
      <c r="M230" s="13" t="b">
        <v>0</v>
      </c>
      <c r="O230" s="13">
        <f t="shared" si="3"/>
        <v>1.2</v>
      </c>
    </row>
    <row r="231" spans="1:15" x14ac:dyDescent="0.25">
      <c r="A231" s="13" t="s">
        <v>243</v>
      </c>
      <c r="B231" s="13" t="s">
        <v>2192</v>
      </c>
      <c r="C231" s="13" t="s">
        <v>2201</v>
      </c>
      <c r="D231" s="13" t="s">
        <v>2204</v>
      </c>
      <c r="F231" s="13" t="s">
        <v>2221</v>
      </c>
      <c r="G231" s="13">
        <v>42.23</v>
      </c>
      <c r="H231" s="13">
        <v>0</v>
      </c>
      <c r="I231" s="13">
        <v>42.23</v>
      </c>
      <c r="J231" s="24">
        <v>45852</v>
      </c>
      <c r="K231" s="13">
        <v>15</v>
      </c>
      <c r="M231" s="13" t="b">
        <v>0</v>
      </c>
      <c r="O231" s="13">
        <f t="shared" si="3"/>
        <v>3.2731707317073173</v>
      </c>
    </row>
    <row r="232" spans="1:15" x14ac:dyDescent="0.25">
      <c r="A232" s="13" t="s">
        <v>244</v>
      </c>
      <c r="B232" s="13" t="s">
        <v>2193</v>
      </c>
      <c r="C232" s="13" t="s">
        <v>2200</v>
      </c>
      <c r="D232" s="13" t="s">
        <v>2207</v>
      </c>
      <c r="E232" s="13" t="s">
        <v>2210</v>
      </c>
      <c r="F232" s="13" t="s">
        <v>2218</v>
      </c>
      <c r="G232" s="13">
        <v>109.76</v>
      </c>
      <c r="H232" s="13">
        <v>0</v>
      </c>
      <c r="I232" s="13">
        <v>109.76</v>
      </c>
      <c r="J232" s="24">
        <v>45875</v>
      </c>
      <c r="K232" s="13">
        <v>16</v>
      </c>
      <c r="L232" s="13">
        <v>4.3</v>
      </c>
      <c r="M232" s="13" t="b">
        <v>0</v>
      </c>
      <c r="O232" s="13">
        <f t="shared" si="3"/>
        <v>4.3</v>
      </c>
    </row>
    <row r="233" spans="1:15" x14ac:dyDescent="0.25">
      <c r="A233" s="13" t="s">
        <v>245</v>
      </c>
      <c r="B233" s="13" t="s">
        <v>2192</v>
      </c>
      <c r="C233" s="13" t="s">
        <v>2199</v>
      </c>
      <c r="D233" s="13" t="s">
        <v>2207</v>
      </c>
      <c r="F233" s="13" t="s">
        <v>2214</v>
      </c>
      <c r="G233" s="13">
        <v>76.8</v>
      </c>
      <c r="H233" s="13">
        <v>43.3</v>
      </c>
      <c r="I233" s="13">
        <v>43.55</v>
      </c>
      <c r="J233" s="24">
        <v>45875</v>
      </c>
      <c r="K233" s="13">
        <v>24</v>
      </c>
      <c r="M233" s="13" t="b">
        <v>0</v>
      </c>
      <c r="O233" s="13">
        <f t="shared" si="3"/>
        <v>2.5131578947368416</v>
      </c>
    </row>
    <row r="234" spans="1:15" x14ac:dyDescent="0.25">
      <c r="A234" s="13" t="s">
        <v>246</v>
      </c>
      <c r="B234" s="13" t="s">
        <v>2195</v>
      </c>
      <c r="C234" s="13" t="s">
        <v>2203</v>
      </c>
      <c r="D234" s="13" t="s">
        <v>2205</v>
      </c>
      <c r="F234" s="13" t="s">
        <v>2216</v>
      </c>
      <c r="G234" s="13">
        <v>56.34</v>
      </c>
      <c r="H234" s="13">
        <v>22.4</v>
      </c>
      <c r="I234" s="13">
        <v>43.72</v>
      </c>
      <c r="J234" s="24">
        <v>45875</v>
      </c>
      <c r="K234" s="13">
        <v>37</v>
      </c>
      <c r="L234" s="13">
        <v>2.5</v>
      </c>
      <c r="M234" s="13" t="b">
        <v>1</v>
      </c>
      <c r="N234" s="13" t="s">
        <v>2230</v>
      </c>
      <c r="O234" s="13">
        <f t="shared" si="3"/>
        <v>2.5</v>
      </c>
    </row>
    <row r="235" spans="1:15" x14ac:dyDescent="0.25">
      <c r="A235" s="13" t="s">
        <v>247</v>
      </c>
      <c r="B235" s="13" t="s">
        <v>2191</v>
      </c>
      <c r="C235" s="13" t="s">
        <v>2202</v>
      </c>
      <c r="D235" s="13" t="s">
        <v>2206</v>
      </c>
      <c r="F235" s="13" t="s">
        <v>2221</v>
      </c>
      <c r="G235" s="13">
        <v>88.41</v>
      </c>
      <c r="H235" s="13">
        <v>0</v>
      </c>
      <c r="I235" s="13">
        <v>88.41</v>
      </c>
      <c r="J235" s="24">
        <v>45875</v>
      </c>
      <c r="K235" s="13">
        <v>24</v>
      </c>
      <c r="L235" s="13">
        <v>4.4000000000000004</v>
      </c>
      <c r="M235" s="13" t="b">
        <v>0</v>
      </c>
      <c r="O235" s="13">
        <f t="shared" si="3"/>
        <v>4.4000000000000004</v>
      </c>
    </row>
    <row r="236" spans="1:15" x14ac:dyDescent="0.25">
      <c r="A236" s="13" t="s">
        <v>248</v>
      </c>
      <c r="B236" s="13" t="s">
        <v>2191</v>
      </c>
      <c r="C236" s="13" t="s">
        <v>2202</v>
      </c>
      <c r="D236" s="13" t="s">
        <v>2204</v>
      </c>
      <c r="E236" s="13" t="s">
        <v>2210</v>
      </c>
      <c r="F236" s="13" t="s">
        <v>2216</v>
      </c>
      <c r="G236" s="13">
        <v>25.96</v>
      </c>
      <c r="H236" s="13">
        <v>0</v>
      </c>
      <c r="I236" s="13">
        <v>25.96</v>
      </c>
      <c r="J236" s="24">
        <v>45569</v>
      </c>
      <c r="K236" s="13">
        <v>2</v>
      </c>
      <c r="L236" s="13">
        <v>1.4</v>
      </c>
      <c r="M236" s="13" t="b">
        <v>0</v>
      </c>
      <c r="O236" s="13">
        <f t="shared" si="3"/>
        <v>1.4</v>
      </c>
    </row>
    <row r="237" spans="1:15" x14ac:dyDescent="0.25">
      <c r="A237" s="13" t="s">
        <v>249</v>
      </c>
      <c r="B237" s="13" t="s">
        <v>2194</v>
      </c>
      <c r="C237" s="13" t="s">
        <v>2196</v>
      </c>
      <c r="D237" s="13" t="s">
        <v>2204</v>
      </c>
      <c r="E237" s="13" t="s">
        <v>2211</v>
      </c>
      <c r="F237" s="13" t="s">
        <v>2214</v>
      </c>
      <c r="G237" s="13">
        <v>60.25</v>
      </c>
      <c r="H237" s="13">
        <v>0</v>
      </c>
      <c r="I237" s="13">
        <v>60.25</v>
      </c>
      <c r="J237" s="24">
        <v>45520</v>
      </c>
      <c r="K237" s="13">
        <v>25</v>
      </c>
      <c r="L237" s="13">
        <v>4.0999999999999996</v>
      </c>
      <c r="M237" s="13" t="b">
        <v>0</v>
      </c>
      <c r="O237" s="13">
        <f t="shared" si="3"/>
        <v>4.0999999999999996</v>
      </c>
    </row>
    <row r="238" spans="1:15" x14ac:dyDescent="0.25">
      <c r="A238" s="13" t="s">
        <v>250</v>
      </c>
      <c r="B238" s="13" t="s">
        <v>2192</v>
      </c>
      <c r="C238" s="13" t="s">
        <v>2200</v>
      </c>
      <c r="D238" s="13" t="s">
        <v>2206</v>
      </c>
      <c r="F238" s="13" t="s">
        <v>2214</v>
      </c>
      <c r="G238" s="13">
        <v>52.33</v>
      </c>
      <c r="H238" s="13">
        <v>19.100000000000001</v>
      </c>
      <c r="I238" s="13">
        <v>42.33</v>
      </c>
      <c r="J238" s="24">
        <v>45875</v>
      </c>
      <c r="K238" s="13">
        <v>4</v>
      </c>
      <c r="M238" s="13" t="b">
        <v>0</v>
      </c>
      <c r="O238" s="13">
        <f t="shared" si="3"/>
        <v>2.7333333333333334</v>
      </c>
    </row>
    <row r="239" spans="1:15" x14ac:dyDescent="0.25">
      <c r="A239" s="13" t="s">
        <v>251</v>
      </c>
      <c r="B239" s="13" t="s">
        <v>2192</v>
      </c>
      <c r="C239" s="13" t="s">
        <v>2199</v>
      </c>
      <c r="D239" s="13" t="s">
        <v>2206</v>
      </c>
      <c r="F239" s="13" t="s">
        <v>2217</v>
      </c>
      <c r="G239" s="13">
        <v>67.61</v>
      </c>
      <c r="H239" s="13">
        <v>0</v>
      </c>
      <c r="I239" s="13">
        <v>67.61</v>
      </c>
      <c r="J239" s="24">
        <v>45875</v>
      </c>
      <c r="K239" s="13">
        <v>14</v>
      </c>
      <c r="L239" s="13">
        <v>1.8</v>
      </c>
      <c r="M239" s="13" t="b">
        <v>0</v>
      </c>
      <c r="O239" s="13">
        <f t="shared" si="3"/>
        <v>1.8</v>
      </c>
    </row>
    <row r="240" spans="1:15" x14ac:dyDescent="0.25">
      <c r="A240" s="13" t="s">
        <v>252</v>
      </c>
      <c r="B240" s="13" t="s">
        <v>2193</v>
      </c>
      <c r="C240" s="13" t="s">
        <v>2203</v>
      </c>
      <c r="D240" s="13" t="s">
        <v>2204</v>
      </c>
      <c r="E240" s="13" t="s">
        <v>2209</v>
      </c>
      <c r="F240" s="13" t="s">
        <v>2224</v>
      </c>
      <c r="G240" s="13">
        <v>136</v>
      </c>
      <c r="H240" s="13">
        <v>0</v>
      </c>
      <c r="I240" s="13">
        <v>136</v>
      </c>
      <c r="J240" s="24">
        <v>45870</v>
      </c>
      <c r="K240" s="13">
        <v>46</v>
      </c>
      <c r="L240" s="13">
        <v>4.5</v>
      </c>
      <c r="M240" s="13" t="b">
        <v>0</v>
      </c>
      <c r="O240" s="13">
        <f t="shared" si="3"/>
        <v>4.5</v>
      </c>
    </row>
    <row r="241" spans="1:15" x14ac:dyDescent="0.25">
      <c r="A241" s="13" t="s">
        <v>253</v>
      </c>
      <c r="B241" s="13" t="s">
        <v>2193</v>
      </c>
      <c r="C241" s="13" t="s">
        <v>2196</v>
      </c>
      <c r="D241" s="13" t="s">
        <v>2206</v>
      </c>
      <c r="F241" s="13" t="s">
        <v>2224</v>
      </c>
      <c r="G241" s="13">
        <v>74.48</v>
      </c>
      <c r="H241" s="13">
        <v>0</v>
      </c>
      <c r="I241" s="13">
        <v>74.48</v>
      </c>
      <c r="J241" s="24">
        <v>45875</v>
      </c>
      <c r="K241" s="13">
        <v>24</v>
      </c>
      <c r="L241" s="13">
        <v>3.7</v>
      </c>
      <c r="M241" s="13" t="b">
        <v>0</v>
      </c>
      <c r="O241" s="13">
        <f t="shared" si="3"/>
        <v>3.7</v>
      </c>
    </row>
    <row r="242" spans="1:15" x14ac:dyDescent="0.25">
      <c r="A242" s="13" t="s">
        <v>254</v>
      </c>
      <c r="B242" s="13" t="s">
        <v>2195</v>
      </c>
      <c r="C242" s="13" t="s">
        <v>2203</v>
      </c>
      <c r="D242" s="13" t="s">
        <v>2206</v>
      </c>
      <c r="E242" s="13" t="s">
        <v>2212</v>
      </c>
      <c r="F242" s="13" t="s">
        <v>2215</v>
      </c>
      <c r="G242" s="13">
        <v>101.39</v>
      </c>
      <c r="H242" s="13">
        <v>0</v>
      </c>
      <c r="I242" s="13">
        <v>101.39</v>
      </c>
      <c r="J242" s="24">
        <v>45875</v>
      </c>
      <c r="K242" s="13">
        <v>33</v>
      </c>
      <c r="L242" s="13">
        <v>2.4</v>
      </c>
      <c r="M242" s="13" t="b">
        <v>1</v>
      </c>
      <c r="N242" s="13" t="s">
        <v>2226</v>
      </c>
      <c r="O242" s="13">
        <f t="shared" si="3"/>
        <v>2.4</v>
      </c>
    </row>
    <row r="243" spans="1:15" x14ac:dyDescent="0.25">
      <c r="A243" s="13" t="s">
        <v>255</v>
      </c>
      <c r="B243" s="13" t="s">
        <v>2195</v>
      </c>
      <c r="C243" s="13" t="s">
        <v>2203</v>
      </c>
      <c r="D243" s="13" t="s">
        <v>2206</v>
      </c>
      <c r="E243" s="13" t="s">
        <v>2211</v>
      </c>
      <c r="F243" s="13" t="s">
        <v>2220</v>
      </c>
      <c r="G243" s="13">
        <v>169.68</v>
      </c>
      <c r="H243" s="13">
        <v>41.7</v>
      </c>
      <c r="I243" s="13">
        <v>98.92</v>
      </c>
      <c r="J243" s="24">
        <v>45875</v>
      </c>
      <c r="K243" s="13">
        <v>43</v>
      </c>
      <c r="L243" s="13">
        <v>4.5999999999999996</v>
      </c>
      <c r="M243" s="13" t="b">
        <v>0</v>
      </c>
      <c r="O243" s="13">
        <f t="shared" si="3"/>
        <v>4.5999999999999996</v>
      </c>
    </row>
    <row r="244" spans="1:15" x14ac:dyDescent="0.25">
      <c r="A244" s="13" t="s">
        <v>256</v>
      </c>
      <c r="B244" s="13" t="s">
        <v>2192</v>
      </c>
      <c r="C244" s="13" t="s">
        <v>2203</v>
      </c>
      <c r="D244" s="13" t="s">
        <v>2205</v>
      </c>
      <c r="F244" s="13" t="s">
        <v>2223</v>
      </c>
      <c r="G244" s="13">
        <v>52.45</v>
      </c>
      <c r="H244" s="13">
        <v>0</v>
      </c>
      <c r="I244" s="13">
        <v>52.45</v>
      </c>
      <c r="J244" s="24">
        <v>45875</v>
      </c>
      <c r="K244" s="13">
        <v>34</v>
      </c>
      <c r="L244" s="13">
        <v>2.1</v>
      </c>
      <c r="M244" s="13" t="b">
        <v>0</v>
      </c>
      <c r="O244" s="13">
        <f t="shared" si="3"/>
        <v>2.1</v>
      </c>
    </row>
    <row r="245" spans="1:15" x14ac:dyDescent="0.25">
      <c r="A245" s="13" t="s">
        <v>257</v>
      </c>
      <c r="B245" s="13" t="s">
        <v>2193</v>
      </c>
      <c r="C245" s="13" t="s">
        <v>2197</v>
      </c>
      <c r="D245" s="13" t="s">
        <v>2207</v>
      </c>
      <c r="E245" s="13" t="s">
        <v>2211</v>
      </c>
      <c r="F245" s="13" t="s">
        <v>2215</v>
      </c>
      <c r="G245" s="13">
        <v>153.85</v>
      </c>
      <c r="H245" s="13">
        <v>47.6</v>
      </c>
      <c r="I245" s="13">
        <v>80.62</v>
      </c>
      <c r="J245" s="24">
        <v>45875</v>
      </c>
      <c r="K245" s="13">
        <v>12</v>
      </c>
      <c r="L245" s="13">
        <v>3.1</v>
      </c>
      <c r="M245" s="13" t="b">
        <v>0</v>
      </c>
      <c r="O245" s="13">
        <f t="shared" si="3"/>
        <v>3.1</v>
      </c>
    </row>
    <row r="246" spans="1:15" x14ac:dyDescent="0.25">
      <c r="A246" s="13" t="s">
        <v>258</v>
      </c>
      <c r="B246" s="13" t="s">
        <v>2194</v>
      </c>
      <c r="C246" s="13" t="s">
        <v>2199</v>
      </c>
      <c r="D246" s="13" t="s">
        <v>2206</v>
      </c>
      <c r="E246" s="13" t="s">
        <v>2213</v>
      </c>
      <c r="F246" s="13" t="s">
        <v>2224</v>
      </c>
      <c r="G246" s="13">
        <v>32.700000000000003</v>
      </c>
      <c r="H246" s="13">
        <v>50.5</v>
      </c>
      <c r="I246" s="13">
        <v>16.190000000000001</v>
      </c>
      <c r="J246" s="24">
        <v>45875</v>
      </c>
      <c r="K246" s="13">
        <v>46</v>
      </c>
      <c r="L246" s="13">
        <v>1.3</v>
      </c>
      <c r="M246" s="13" t="b">
        <v>0</v>
      </c>
      <c r="O246" s="13">
        <f t="shared" si="3"/>
        <v>1.3</v>
      </c>
    </row>
    <row r="247" spans="1:15" x14ac:dyDescent="0.25">
      <c r="A247" s="13" t="s">
        <v>259</v>
      </c>
      <c r="B247" s="13" t="s">
        <v>2190</v>
      </c>
      <c r="C247" s="13" t="s">
        <v>2197</v>
      </c>
      <c r="D247" s="13" t="s">
        <v>2206</v>
      </c>
      <c r="E247" s="13" t="s">
        <v>2209</v>
      </c>
      <c r="F247" s="13" t="s">
        <v>2222</v>
      </c>
      <c r="G247" s="13">
        <v>104.27</v>
      </c>
      <c r="H247" s="13">
        <v>54.6</v>
      </c>
      <c r="I247" s="13">
        <v>47.34</v>
      </c>
      <c r="J247" s="24">
        <v>45875</v>
      </c>
      <c r="K247" s="13">
        <v>42</v>
      </c>
      <c r="L247" s="13">
        <v>4.2</v>
      </c>
      <c r="M247" s="13" t="b">
        <v>0</v>
      </c>
      <c r="O247" s="13">
        <f t="shared" si="3"/>
        <v>4.2</v>
      </c>
    </row>
    <row r="248" spans="1:15" x14ac:dyDescent="0.25">
      <c r="A248" s="13" t="s">
        <v>260</v>
      </c>
      <c r="B248" s="13" t="s">
        <v>2195</v>
      </c>
      <c r="C248" s="13" t="s">
        <v>2203</v>
      </c>
      <c r="D248" s="13" t="s">
        <v>2207</v>
      </c>
      <c r="E248" s="13" t="s">
        <v>2213</v>
      </c>
      <c r="F248" s="13" t="s">
        <v>2218</v>
      </c>
      <c r="G248" s="13">
        <v>80.040000000000006</v>
      </c>
      <c r="H248" s="13">
        <v>50.9</v>
      </c>
      <c r="I248" s="13">
        <v>39.299999999999997</v>
      </c>
      <c r="J248" s="24">
        <v>45875</v>
      </c>
      <c r="K248" s="13">
        <v>45</v>
      </c>
      <c r="M248" s="13" t="b">
        <v>0</v>
      </c>
      <c r="O248" s="13">
        <f t="shared" si="3"/>
        <v>2.9636363636363638</v>
      </c>
    </row>
    <row r="249" spans="1:15" x14ac:dyDescent="0.25">
      <c r="A249" s="13" t="s">
        <v>261</v>
      </c>
      <c r="B249" s="13" t="s">
        <v>2194</v>
      </c>
      <c r="C249" s="13" t="s">
        <v>2198</v>
      </c>
      <c r="D249" s="13" t="s">
        <v>2204</v>
      </c>
      <c r="E249" s="13" t="s">
        <v>2213</v>
      </c>
      <c r="F249" s="13" t="s">
        <v>2216</v>
      </c>
      <c r="G249" s="13">
        <v>72.069999999999993</v>
      </c>
      <c r="H249" s="13">
        <v>0</v>
      </c>
      <c r="I249" s="13">
        <v>72.069999999999993</v>
      </c>
      <c r="J249" s="24">
        <v>45785</v>
      </c>
      <c r="K249" s="13">
        <v>20</v>
      </c>
      <c r="M249" s="13" t="b">
        <v>1</v>
      </c>
      <c r="N249" s="13" t="s">
        <v>2225</v>
      </c>
      <c r="O249" s="13">
        <f t="shared" si="3"/>
        <v>3.0384615384615379</v>
      </c>
    </row>
    <row r="250" spans="1:15" x14ac:dyDescent="0.25">
      <c r="A250" s="13" t="s">
        <v>262</v>
      </c>
      <c r="B250" s="13" t="s">
        <v>2190</v>
      </c>
      <c r="C250" s="13" t="s">
        <v>2196</v>
      </c>
      <c r="D250" s="13" t="s">
        <v>2206</v>
      </c>
      <c r="E250" s="13" t="s">
        <v>2213</v>
      </c>
      <c r="F250" s="13" t="s">
        <v>2220</v>
      </c>
      <c r="G250" s="13">
        <v>220.99</v>
      </c>
      <c r="H250" s="13">
        <v>0</v>
      </c>
      <c r="I250" s="13">
        <v>220.99</v>
      </c>
      <c r="J250" s="24">
        <v>45875</v>
      </c>
      <c r="K250" s="13">
        <v>42</v>
      </c>
      <c r="L250" s="13">
        <v>3.6</v>
      </c>
      <c r="M250" s="13" t="b">
        <v>0</v>
      </c>
      <c r="O250" s="13">
        <f t="shared" si="3"/>
        <v>3.6</v>
      </c>
    </row>
    <row r="251" spans="1:15" x14ac:dyDescent="0.25">
      <c r="A251" s="13" t="s">
        <v>263</v>
      </c>
      <c r="B251" s="13" t="s">
        <v>2190</v>
      </c>
      <c r="C251" s="13" t="s">
        <v>2197</v>
      </c>
      <c r="D251" s="13" t="s">
        <v>2206</v>
      </c>
      <c r="E251" s="13" t="s">
        <v>2212</v>
      </c>
      <c r="F251" s="13" t="s">
        <v>2216</v>
      </c>
      <c r="G251" s="13">
        <v>117.36</v>
      </c>
      <c r="H251" s="13">
        <v>14.6</v>
      </c>
      <c r="I251" s="13">
        <v>100.23</v>
      </c>
      <c r="J251" s="24">
        <v>45875</v>
      </c>
      <c r="K251" s="13">
        <v>33</v>
      </c>
      <c r="M251" s="13" t="b">
        <v>1</v>
      </c>
      <c r="N251" s="13" t="s">
        <v>2226</v>
      </c>
      <c r="O251" s="13">
        <f t="shared" si="3"/>
        <v>3.15</v>
      </c>
    </row>
    <row r="252" spans="1:15" x14ac:dyDescent="0.25">
      <c r="A252" s="13" t="s">
        <v>264</v>
      </c>
      <c r="B252" s="13" t="s">
        <v>2190</v>
      </c>
      <c r="C252" s="13" t="s">
        <v>2198</v>
      </c>
      <c r="D252" s="13" t="s">
        <v>2204</v>
      </c>
      <c r="E252" s="13" t="s">
        <v>2209</v>
      </c>
      <c r="F252" s="13" t="s">
        <v>2222</v>
      </c>
      <c r="G252" s="13">
        <v>198.76</v>
      </c>
      <c r="H252" s="13">
        <v>48.8</v>
      </c>
      <c r="I252" s="13">
        <v>101.77</v>
      </c>
      <c r="J252" s="24">
        <v>45773</v>
      </c>
      <c r="K252" s="13">
        <v>36</v>
      </c>
      <c r="L252" s="13">
        <v>3</v>
      </c>
      <c r="M252" s="13" t="b">
        <v>0</v>
      </c>
      <c r="O252" s="13">
        <f t="shared" si="3"/>
        <v>3</v>
      </c>
    </row>
    <row r="253" spans="1:15" x14ac:dyDescent="0.25">
      <c r="A253" s="13" t="s">
        <v>265</v>
      </c>
      <c r="B253" s="13" t="s">
        <v>2190</v>
      </c>
      <c r="C253" s="13" t="s">
        <v>2200</v>
      </c>
      <c r="D253" s="13" t="s">
        <v>2206</v>
      </c>
      <c r="E253" s="13" t="s">
        <v>2209</v>
      </c>
      <c r="F253" s="13" t="s">
        <v>2216</v>
      </c>
      <c r="G253" s="13">
        <v>121.03</v>
      </c>
      <c r="H253" s="13">
        <v>0</v>
      </c>
      <c r="I253" s="13">
        <v>121.03</v>
      </c>
      <c r="J253" s="24">
        <v>45875</v>
      </c>
      <c r="K253" s="13">
        <v>14</v>
      </c>
      <c r="L253" s="13">
        <v>1.6</v>
      </c>
      <c r="M253" s="13" t="b">
        <v>1</v>
      </c>
      <c r="N253" s="13" t="s">
        <v>2229</v>
      </c>
      <c r="O253" s="13">
        <f t="shared" si="3"/>
        <v>1.6</v>
      </c>
    </row>
    <row r="254" spans="1:15" x14ac:dyDescent="0.25">
      <c r="A254" s="13" t="s">
        <v>266</v>
      </c>
      <c r="B254" s="13" t="s">
        <v>2191</v>
      </c>
      <c r="C254" s="13" t="s">
        <v>2200</v>
      </c>
      <c r="D254" s="13" t="s">
        <v>2206</v>
      </c>
      <c r="E254" s="13" t="s">
        <v>2209</v>
      </c>
      <c r="F254" s="13" t="s">
        <v>2217</v>
      </c>
      <c r="G254" s="13">
        <v>88.62</v>
      </c>
      <c r="H254" s="13">
        <v>0</v>
      </c>
      <c r="I254" s="13">
        <v>88.62</v>
      </c>
      <c r="J254" s="24">
        <v>45875</v>
      </c>
      <c r="K254" s="13">
        <v>48</v>
      </c>
      <c r="L254" s="13">
        <v>2.4</v>
      </c>
      <c r="M254" s="13" t="b">
        <v>0</v>
      </c>
      <c r="O254" s="13">
        <f t="shared" si="3"/>
        <v>2.4</v>
      </c>
    </row>
    <row r="255" spans="1:15" x14ac:dyDescent="0.25">
      <c r="A255" s="13" t="s">
        <v>267</v>
      </c>
      <c r="B255" s="13" t="s">
        <v>2193</v>
      </c>
      <c r="C255" s="13" t="s">
        <v>2200</v>
      </c>
      <c r="D255" s="13" t="s">
        <v>2207</v>
      </c>
      <c r="E255" s="13" t="s">
        <v>2208</v>
      </c>
      <c r="F255" s="13" t="s">
        <v>2220</v>
      </c>
      <c r="G255" s="13">
        <v>88.94</v>
      </c>
      <c r="H255" s="13">
        <v>0</v>
      </c>
      <c r="I255" s="13">
        <v>88.94</v>
      </c>
      <c r="J255" s="24">
        <v>45875</v>
      </c>
      <c r="K255" s="13">
        <v>29</v>
      </c>
      <c r="L255" s="13">
        <v>3.9</v>
      </c>
      <c r="M255" s="13" t="b">
        <v>0</v>
      </c>
      <c r="O255" s="13">
        <f t="shared" si="3"/>
        <v>3.9</v>
      </c>
    </row>
    <row r="256" spans="1:15" x14ac:dyDescent="0.25">
      <c r="A256" s="13" t="s">
        <v>268</v>
      </c>
      <c r="B256" s="13" t="s">
        <v>2194</v>
      </c>
      <c r="C256" s="13" t="s">
        <v>2196</v>
      </c>
      <c r="D256" s="13" t="s">
        <v>2205</v>
      </c>
      <c r="E256" s="13" t="s">
        <v>2210</v>
      </c>
      <c r="F256" s="13" t="s">
        <v>2216</v>
      </c>
      <c r="G256" s="13">
        <v>115.7</v>
      </c>
      <c r="H256" s="13">
        <v>17.8</v>
      </c>
      <c r="I256" s="13">
        <v>95.11</v>
      </c>
      <c r="J256" s="24">
        <v>45875</v>
      </c>
      <c r="K256" s="13">
        <v>32</v>
      </c>
      <c r="L256" s="13">
        <v>1.7</v>
      </c>
      <c r="M256" s="13" t="b">
        <v>0</v>
      </c>
      <c r="O256" s="13">
        <f t="shared" si="3"/>
        <v>1.7</v>
      </c>
    </row>
    <row r="257" spans="1:15" x14ac:dyDescent="0.25">
      <c r="A257" s="13" t="s">
        <v>269</v>
      </c>
      <c r="B257" s="13" t="s">
        <v>2194</v>
      </c>
      <c r="C257" s="13" t="s">
        <v>2203</v>
      </c>
      <c r="D257" s="13" t="s">
        <v>2206</v>
      </c>
      <c r="E257" s="13" t="s">
        <v>2211</v>
      </c>
      <c r="F257" s="13" t="s">
        <v>2216</v>
      </c>
      <c r="G257" s="13">
        <v>75.66</v>
      </c>
      <c r="H257" s="13">
        <v>0</v>
      </c>
      <c r="I257" s="13">
        <v>75.66</v>
      </c>
      <c r="J257" s="24">
        <v>45875</v>
      </c>
      <c r="K257" s="13">
        <v>20</v>
      </c>
      <c r="L257" s="13">
        <v>3</v>
      </c>
      <c r="M257" s="13" t="b">
        <v>0</v>
      </c>
      <c r="O257" s="13">
        <f t="shared" si="3"/>
        <v>3</v>
      </c>
    </row>
    <row r="258" spans="1:15" x14ac:dyDescent="0.25">
      <c r="A258" s="13" t="s">
        <v>270</v>
      </c>
      <c r="B258" s="13" t="s">
        <v>2192</v>
      </c>
      <c r="C258" s="13" t="s">
        <v>2201</v>
      </c>
      <c r="D258" s="13" t="s">
        <v>2205</v>
      </c>
      <c r="F258" s="13" t="s">
        <v>2220</v>
      </c>
      <c r="G258" s="13">
        <v>42.11</v>
      </c>
      <c r="H258" s="13">
        <v>0</v>
      </c>
      <c r="I258" s="13">
        <v>42.11</v>
      </c>
      <c r="J258" s="24">
        <v>45875</v>
      </c>
      <c r="K258" s="13">
        <v>26</v>
      </c>
      <c r="L258" s="13">
        <v>4</v>
      </c>
      <c r="M258" s="13" t="b">
        <v>0</v>
      </c>
      <c r="O258" s="13">
        <f t="shared" si="3"/>
        <v>4</v>
      </c>
    </row>
    <row r="259" spans="1:15" x14ac:dyDescent="0.25">
      <c r="A259" s="13" t="s">
        <v>271</v>
      </c>
      <c r="B259" s="13" t="s">
        <v>2190</v>
      </c>
      <c r="C259" s="13" t="s">
        <v>2200</v>
      </c>
      <c r="D259" s="13" t="s">
        <v>2204</v>
      </c>
      <c r="E259" s="13" t="s">
        <v>2211</v>
      </c>
      <c r="F259" s="13" t="s">
        <v>2221</v>
      </c>
      <c r="G259" s="13">
        <v>247.9</v>
      </c>
      <c r="H259" s="13">
        <v>4.3</v>
      </c>
      <c r="I259" s="13">
        <v>237.24</v>
      </c>
      <c r="J259" s="24">
        <v>45651</v>
      </c>
      <c r="K259" s="13">
        <v>25</v>
      </c>
      <c r="L259" s="13">
        <v>4.5999999999999996</v>
      </c>
      <c r="M259" s="13" t="b">
        <v>0</v>
      </c>
      <c r="O259" s="13">
        <f t="shared" ref="O259:O322" si="4">IF(L259="",AVERAGEIFS($L$2:$L$2177,$B$2:$B$2177,B259,$C$2:$C$2177,C259),L259)</f>
        <v>4.5999999999999996</v>
      </c>
    </row>
    <row r="260" spans="1:15" x14ac:dyDescent="0.25">
      <c r="A260" s="13" t="s">
        <v>272</v>
      </c>
      <c r="B260" s="13" t="s">
        <v>2193</v>
      </c>
      <c r="C260" s="13" t="s">
        <v>2198</v>
      </c>
      <c r="D260" s="13" t="s">
        <v>2204</v>
      </c>
      <c r="E260" s="13" t="s">
        <v>2208</v>
      </c>
      <c r="F260" s="13" t="s">
        <v>2221</v>
      </c>
      <c r="G260" s="13">
        <v>143.44999999999999</v>
      </c>
      <c r="H260" s="13">
        <v>0</v>
      </c>
      <c r="I260" s="13">
        <v>143.44999999999999</v>
      </c>
      <c r="J260" s="24">
        <v>45562</v>
      </c>
      <c r="K260" s="13">
        <v>39</v>
      </c>
      <c r="M260" s="13" t="b">
        <v>1</v>
      </c>
      <c r="N260" s="13" t="s">
        <v>2228</v>
      </c>
      <c r="O260" s="13">
        <f t="shared" si="4"/>
        <v>3.1936170212765949</v>
      </c>
    </row>
    <row r="261" spans="1:15" x14ac:dyDescent="0.25">
      <c r="A261" s="13" t="s">
        <v>273</v>
      </c>
      <c r="B261" s="13" t="s">
        <v>2192</v>
      </c>
      <c r="C261" s="13" t="s">
        <v>2198</v>
      </c>
      <c r="D261" s="13" t="s">
        <v>2205</v>
      </c>
      <c r="F261" s="13" t="s">
        <v>2221</v>
      </c>
      <c r="G261" s="13">
        <v>24.96</v>
      </c>
      <c r="H261" s="13">
        <v>44.7</v>
      </c>
      <c r="I261" s="13">
        <v>13.8</v>
      </c>
      <c r="J261" s="24">
        <v>45875</v>
      </c>
      <c r="K261" s="13">
        <v>44</v>
      </c>
      <c r="M261" s="13" t="b">
        <v>0</v>
      </c>
      <c r="O261" s="13">
        <f t="shared" si="4"/>
        <v>2.8694444444444449</v>
      </c>
    </row>
    <row r="262" spans="1:15" x14ac:dyDescent="0.25">
      <c r="A262" s="13" t="s">
        <v>274</v>
      </c>
      <c r="B262" s="13" t="s">
        <v>2190</v>
      </c>
      <c r="C262" s="13" t="s">
        <v>2203</v>
      </c>
      <c r="D262" s="13" t="s">
        <v>2207</v>
      </c>
      <c r="E262" s="13" t="s">
        <v>2208</v>
      </c>
      <c r="F262" s="13" t="s">
        <v>2222</v>
      </c>
      <c r="G262" s="13">
        <v>109.74</v>
      </c>
      <c r="H262" s="13">
        <v>0</v>
      </c>
      <c r="I262" s="13">
        <v>109.74</v>
      </c>
      <c r="J262" s="24">
        <v>45875</v>
      </c>
      <c r="K262" s="13">
        <v>45</v>
      </c>
      <c r="L262" s="13">
        <v>1.9</v>
      </c>
      <c r="M262" s="13" t="b">
        <v>0</v>
      </c>
      <c r="O262" s="13">
        <f t="shared" si="4"/>
        <v>1.9</v>
      </c>
    </row>
    <row r="263" spans="1:15" x14ac:dyDescent="0.25">
      <c r="A263" s="13" t="s">
        <v>275</v>
      </c>
      <c r="B263" s="13" t="s">
        <v>2195</v>
      </c>
      <c r="C263" s="13" t="s">
        <v>2200</v>
      </c>
      <c r="D263" s="13" t="s">
        <v>2207</v>
      </c>
      <c r="E263" s="13" t="s">
        <v>2208</v>
      </c>
      <c r="F263" s="13" t="s">
        <v>2219</v>
      </c>
      <c r="G263" s="13">
        <v>161.13999999999999</v>
      </c>
      <c r="H263" s="13">
        <v>0</v>
      </c>
      <c r="I263" s="13">
        <v>161.13999999999999</v>
      </c>
      <c r="J263" s="24">
        <v>45875</v>
      </c>
      <c r="K263" s="13">
        <v>44</v>
      </c>
      <c r="L263" s="13">
        <v>1.6</v>
      </c>
      <c r="M263" s="13" t="b">
        <v>0</v>
      </c>
      <c r="O263" s="13">
        <f t="shared" si="4"/>
        <v>1.6</v>
      </c>
    </row>
    <row r="264" spans="1:15" x14ac:dyDescent="0.25">
      <c r="A264" s="13" t="s">
        <v>276</v>
      </c>
      <c r="B264" s="13" t="s">
        <v>2190</v>
      </c>
      <c r="C264" s="13" t="s">
        <v>2198</v>
      </c>
      <c r="D264" s="13" t="s">
        <v>2204</v>
      </c>
      <c r="E264" s="13" t="s">
        <v>2211</v>
      </c>
      <c r="F264" s="13" t="s">
        <v>2224</v>
      </c>
      <c r="G264" s="13">
        <v>220.14</v>
      </c>
      <c r="H264" s="13">
        <v>9.1999999999999993</v>
      </c>
      <c r="I264" s="13">
        <v>199.89</v>
      </c>
      <c r="J264" s="24">
        <v>45835</v>
      </c>
      <c r="K264" s="13">
        <v>23</v>
      </c>
      <c r="L264" s="13">
        <v>4.8</v>
      </c>
      <c r="M264" s="13" t="b">
        <v>0</v>
      </c>
      <c r="O264" s="13">
        <f t="shared" si="4"/>
        <v>4.8</v>
      </c>
    </row>
    <row r="265" spans="1:15" x14ac:dyDescent="0.25">
      <c r="A265" s="13" t="s">
        <v>277</v>
      </c>
      <c r="B265" s="13" t="s">
        <v>2195</v>
      </c>
      <c r="C265" s="13" t="s">
        <v>2203</v>
      </c>
      <c r="D265" s="13" t="s">
        <v>2207</v>
      </c>
      <c r="E265" s="13" t="s">
        <v>2210</v>
      </c>
      <c r="F265" s="13" t="s">
        <v>2215</v>
      </c>
      <c r="G265" s="13">
        <v>57.33</v>
      </c>
      <c r="H265" s="13">
        <v>0</v>
      </c>
      <c r="I265" s="13">
        <v>57.33</v>
      </c>
      <c r="J265" s="24">
        <v>45875</v>
      </c>
      <c r="K265" s="13">
        <v>23</v>
      </c>
      <c r="L265" s="13">
        <v>2</v>
      </c>
      <c r="M265" s="13" t="b">
        <v>0</v>
      </c>
      <c r="O265" s="13">
        <f t="shared" si="4"/>
        <v>2</v>
      </c>
    </row>
    <row r="266" spans="1:15" x14ac:dyDescent="0.25">
      <c r="A266" s="13" t="s">
        <v>278</v>
      </c>
      <c r="B266" s="13" t="s">
        <v>2194</v>
      </c>
      <c r="C266" s="13" t="s">
        <v>2196</v>
      </c>
      <c r="D266" s="13" t="s">
        <v>2206</v>
      </c>
      <c r="E266" s="13" t="s">
        <v>2211</v>
      </c>
      <c r="F266" s="13" t="s">
        <v>2219</v>
      </c>
      <c r="G266" s="13">
        <v>108.24</v>
      </c>
      <c r="H266" s="13">
        <v>0</v>
      </c>
      <c r="I266" s="13">
        <v>108.24</v>
      </c>
      <c r="J266" s="24">
        <v>45875</v>
      </c>
      <c r="K266" s="13">
        <v>8</v>
      </c>
      <c r="L266" s="13">
        <v>2.2999999999999998</v>
      </c>
      <c r="M266" s="13" t="b">
        <v>0</v>
      </c>
      <c r="O266" s="13">
        <f t="shared" si="4"/>
        <v>2.2999999999999998</v>
      </c>
    </row>
    <row r="267" spans="1:15" x14ac:dyDescent="0.25">
      <c r="A267" s="13" t="s">
        <v>279</v>
      </c>
      <c r="B267" s="13" t="s">
        <v>2192</v>
      </c>
      <c r="C267" s="13" t="s">
        <v>2198</v>
      </c>
      <c r="D267" s="13" t="s">
        <v>2207</v>
      </c>
      <c r="F267" s="13" t="s">
        <v>2218</v>
      </c>
      <c r="G267" s="13">
        <v>67.930000000000007</v>
      </c>
      <c r="H267" s="13">
        <v>0</v>
      </c>
      <c r="I267" s="13">
        <v>67.930000000000007</v>
      </c>
      <c r="J267" s="24">
        <v>45875</v>
      </c>
      <c r="K267" s="13">
        <v>22</v>
      </c>
      <c r="L267" s="13">
        <v>4.5999999999999996</v>
      </c>
      <c r="M267" s="13" t="b">
        <v>0</v>
      </c>
      <c r="O267" s="13">
        <f t="shared" si="4"/>
        <v>4.5999999999999996</v>
      </c>
    </row>
    <row r="268" spans="1:15" x14ac:dyDescent="0.25">
      <c r="A268" s="13" t="s">
        <v>280</v>
      </c>
      <c r="B268" s="13" t="s">
        <v>2195</v>
      </c>
      <c r="C268" s="13" t="s">
        <v>2196</v>
      </c>
      <c r="D268" s="13" t="s">
        <v>2205</v>
      </c>
      <c r="E268" s="13" t="s">
        <v>2212</v>
      </c>
      <c r="F268" s="13" t="s">
        <v>2219</v>
      </c>
      <c r="G268" s="13">
        <v>168.96</v>
      </c>
      <c r="H268" s="13">
        <v>0</v>
      </c>
      <c r="I268" s="13">
        <v>168.96</v>
      </c>
      <c r="J268" s="24">
        <v>45875</v>
      </c>
      <c r="K268" s="13">
        <v>9</v>
      </c>
      <c r="M268" s="13" t="b">
        <v>0</v>
      </c>
      <c r="O268" s="13">
        <f t="shared" si="4"/>
        <v>3.0424242424242425</v>
      </c>
    </row>
    <row r="269" spans="1:15" x14ac:dyDescent="0.25">
      <c r="A269" s="13" t="s">
        <v>281</v>
      </c>
      <c r="B269" s="13" t="s">
        <v>2191</v>
      </c>
      <c r="C269" s="13" t="s">
        <v>2201</v>
      </c>
      <c r="D269" s="13" t="s">
        <v>2206</v>
      </c>
      <c r="E269" s="13" t="s">
        <v>2210</v>
      </c>
      <c r="F269" s="13" t="s">
        <v>2217</v>
      </c>
      <c r="G269" s="13">
        <v>90.63</v>
      </c>
      <c r="H269" s="13">
        <v>0</v>
      </c>
      <c r="I269" s="13">
        <v>90.63</v>
      </c>
      <c r="J269" s="24">
        <v>45875</v>
      </c>
      <c r="K269" s="13">
        <v>33</v>
      </c>
      <c r="L269" s="13">
        <v>4.2</v>
      </c>
      <c r="M269" s="13" t="b">
        <v>0</v>
      </c>
      <c r="O269" s="13">
        <f t="shared" si="4"/>
        <v>4.2</v>
      </c>
    </row>
    <row r="270" spans="1:15" x14ac:dyDescent="0.25">
      <c r="A270" s="13" t="s">
        <v>282</v>
      </c>
      <c r="B270" s="13" t="s">
        <v>2192</v>
      </c>
      <c r="C270" s="13" t="s">
        <v>2199</v>
      </c>
      <c r="D270" s="13" t="s">
        <v>2204</v>
      </c>
      <c r="F270" s="13" t="s">
        <v>2220</v>
      </c>
      <c r="G270" s="13">
        <v>72.3</v>
      </c>
      <c r="H270" s="13">
        <v>0.4</v>
      </c>
      <c r="I270" s="13">
        <v>72.010000000000005</v>
      </c>
      <c r="J270" s="24">
        <v>45655</v>
      </c>
      <c r="K270" s="13">
        <v>38</v>
      </c>
      <c r="L270" s="13">
        <v>3</v>
      </c>
      <c r="M270" s="13" t="b">
        <v>1</v>
      </c>
      <c r="N270" s="13" t="s">
        <v>2225</v>
      </c>
      <c r="O270" s="13">
        <f t="shared" si="4"/>
        <v>3</v>
      </c>
    </row>
    <row r="271" spans="1:15" x14ac:dyDescent="0.25">
      <c r="A271" s="13" t="s">
        <v>283</v>
      </c>
      <c r="B271" s="13" t="s">
        <v>2194</v>
      </c>
      <c r="C271" s="13" t="s">
        <v>2200</v>
      </c>
      <c r="D271" s="13" t="s">
        <v>2205</v>
      </c>
      <c r="E271" s="13" t="s">
        <v>2210</v>
      </c>
      <c r="F271" s="13" t="s">
        <v>2221</v>
      </c>
      <c r="G271" s="13">
        <v>27.98</v>
      </c>
      <c r="H271" s="13">
        <v>0</v>
      </c>
      <c r="I271" s="13">
        <v>27.98</v>
      </c>
      <c r="J271" s="24">
        <v>45875</v>
      </c>
      <c r="K271" s="13">
        <v>0</v>
      </c>
      <c r="L271" s="13">
        <v>3</v>
      </c>
      <c r="M271" s="13" t="b">
        <v>0</v>
      </c>
      <c r="O271" s="13">
        <f t="shared" si="4"/>
        <v>3</v>
      </c>
    </row>
    <row r="272" spans="1:15" x14ac:dyDescent="0.25">
      <c r="A272" s="13" t="s">
        <v>284</v>
      </c>
      <c r="B272" s="13" t="s">
        <v>2195</v>
      </c>
      <c r="C272" s="13" t="s">
        <v>2203</v>
      </c>
      <c r="D272" s="13" t="s">
        <v>2207</v>
      </c>
      <c r="F272" s="13" t="s">
        <v>2222</v>
      </c>
      <c r="G272" s="13">
        <v>92.73</v>
      </c>
      <c r="H272" s="13">
        <v>0</v>
      </c>
      <c r="I272" s="13">
        <v>92.73</v>
      </c>
      <c r="J272" s="24">
        <v>45875</v>
      </c>
      <c r="K272" s="13">
        <v>15</v>
      </c>
      <c r="L272" s="13">
        <v>1.4</v>
      </c>
      <c r="M272" s="13" t="b">
        <v>0</v>
      </c>
      <c r="O272" s="13">
        <f t="shared" si="4"/>
        <v>1.4</v>
      </c>
    </row>
    <row r="273" spans="1:15" x14ac:dyDescent="0.25">
      <c r="A273" s="13" t="s">
        <v>285</v>
      </c>
      <c r="B273" s="13" t="s">
        <v>2194</v>
      </c>
      <c r="C273" s="13" t="s">
        <v>2199</v>
      </c>
      <c r="D273" s="13" t="s">
        <v>2207</v>
      </c>
      <c r="E273" s="13" t="s">
        <v>2211</v>
      </c>
      <c r="F273" s="13" t="s">
        <v>2217</v>
      </c>
      <c r="G273" s="13">
        <v>64.28</v>
      </c>
      <c r="H273" s="13">
        <v>0</v>
      </c>
      <c r="I273" s="13">
        <v>64.28</v>
      </c>
      <c r="J273" s="24">
        <v>45875</v>
      </c>
      <c r="K273" s="13">
        <v>46</v>
      </c>
      <c r="L273" s="13">
        <v>3</v>
      </c>
      <c r="M273" s="13" t="b">
        <v>0</v>
      </c>
      <c r="O273" s="13">
        <f t="shared" si="4"/>
        <v>3</v>
      </c>
    </row>
    <row r="274" spans="1:15" x14ac:dyDescent="0.25">
      <c r="A274" s="13" t="s">
        <v>286</v>
      </c>
      <c r="B274" s="13" t="s">
        <v>2195</v>
      </c>
      <c r="C274" s="13" t="s">
        <v>2201</v>
      </c>
      <c r="D274" s="13" t="s">
        <v>2206</v>
      </c>
      <c r="E274" s="13" t="s">
        <v>2213</v>
      </c>
      <c r="F274" s="13" t="s">
        <v>2216</v>
      </c>
      <c r="G274" s="13">
        <v>133.12</v>
      </c>
      <c r="H274" s="13">
        <v>0</v>
      </c>
      <c r="I274" s="13">
        <v>133.12</v>
      </c>
      <c r="J274" s="24">
        <v>45875</v>
      </c>
      <c r="K274" s="13">
        <v>35</v>
      </c>
      <c r="L274" s="13">
        <v>1.9</v>
      </c>
      <c r="M274" s="13" t="b">
        <v>0</v>
      </c>
      <c r="O274" s="13">
        <f t="shared" si="4"/>
        <v>1.9</v>
      </c>
    </row>
    <row r="275" spans="1:15" x14ac:dyDescent="0.25">
      <c r="A275" s="13" t="s">
        <v>287</v>
      </c>
      <c r="B275" s="13" t="s">
        <v>2191</v>
      </c>
      <c r="C275" s="13" t="s">
        <v>2202</v>
      </c>
      <c r="D275" s="13" t="s">
        <v>2205</v>
      </c>
      <c r="E275" s="13" t="s">
        <v>2211</v>
      </c>
      <c r="F275" s="13" t="s">
        <v>2224</v>
      </c>
      <c r="G275" s="13">
        <v>70.36</v>
      </c>
      <c r="H275" s="13">
        <v>0</v>
      </c>
      <c r="I275" s="13">
        <v>70.36</v>
      </c>
      <c r="J275" s="24">
        <v>45875</v>
      </c>
      <c r="K275" s="13">
        <v>0</v>
      </c>
      <c r="M275" s="13" t="b">
        <v>0</v>
      </c>
      <c r="O275" s="13">
        <f t="shared" si="4"/>
        <v>2.9074999999999998</v>
      </c>
    </row>
    <row r="276" spans="1:15" x14ac:dyDescent="0.25">
      <c r="A276" s="13" t="s">
        <v>288</v>
      </c>
      <c r="B276" s="13" t="s">
        <v>2190</v>
      </c>
      <c r="C276" s="13" t="s">
        <v>2197</v>
      </c>
      <c r="D276" s="13" t="s">
        <v>2207</v>
      </c>
      <c r="E276" s="13" t="s">
        <v>2208</v>
      </c>
      <c r="F276" s="13" t="s">
        <v>2215</v>
      </c>
      <c r="G276" s="13">
        <v>199.01</v>
      </c>
      <c r="H276" s="13">
        <v>0</v>
      </c>
      <c r="I276" s="13">
        <v>199.01</v>
      </c>
      <c r="J276" s="24">
        <v>45875</v>
      </c>
      <c r="K276" s="13">
        <v>8</v>
      </c>
      <c r="L276" s="13">
        <v>4.4000000000000004</v>
      </c>
      <c r="M276" s="13" t="b">
        <v>0</v>
      </c>
      <c r="O276" s="13">
        <f t="shared" si="4"/>
        <v>4.4000000000000004</v>
      </c>
    </row>
    <row r="277" spans="1:15" x14ac:dyDescent="0.25">
      <c r="A277" s="13" t="s">
        <v>289</v>
      </c>
      <c r="B277" s="13" t="s">
        <v>2194</v>
      </c>
      <c r="C277" s="13" t="s">
        <v>2200</v>
      </c>
      <c r="D277" s="13" t="s">
        <v>2207</v>
      </c>
      <c r="E277" s="13" t="s">
        <v>2209</v>
      </c>
      <c r="F277" s="13" t="s">
        <v>2222</v>
      </c>
      <c r="G277" s="13">
        <v>62.41</v>
      </c>
      <c r="H277" s="13">
        <v>37.1</v>
      </c>
      <c r="I277" s="13">
        <v>39.26</v>
      </c>
      <c r="J277" s="24">
        <v>45875</v>
      </c>
      <c r="K277" s="13">
        <v>6</v>
      </c>
      <c r="L277" s="13">
        <v>4.0999999999999996</v>
      </c>
      <c r="M277" s="13" t="b">
        <v>0</v>
      </c>
      <c r="O277" s="13">
        <f t="shared" si="4"/>
        <v>4.0999999999999996</v>
      </c>
    </row>
    <row r="278" spans="1:15" x14ac:dyDescent="0.25">
      <c r="A278" s="13" t="s">
        <v>290</v>
      </c>
      <c r="B278" s="13" t="s">
        <v>2193</v>
      </c>
      <c r="C278" s="13" t="s">
        <v>2197</v>
      </c>
      <c r="D278" s="13" t="s">
        <v>2207</v>
      </c>
      <c r="E278" s="13" t="s">
        <v>2212</v>
      </c>
      <c r="F278" s="13" t="s">
        <v>2216</v>
      </c>
      <c r="G278" s="13">
        <v>71.44</v>
      </c>
      <c r="H278" s="13">
        <v>0</v>
      </c>
      <c r="I278" s="13">
        <v>71.44</v>
      </c>
      <c r="J278" s="24">
        <v>45875</v>
      </c>
      <c r="K278" s="13">
        <v>45</v>
      </c>
      <c r="L278" s="13">
        <v>4</v>
      </c>
      <c r="M278" s="13" t="b">
        <v>0</v>
      </c>
      <c r="O278" s="13">
        <f t="shared" si="4"/>
        <v>4</v>
      </c>
    </row>
    <row r="279" spans="1:15" x14ac:dyDescent="0.25">
      <c r="A279" s="13" t="s">
        <v>291</v>
      </c>
      <c r="B279" s="13" t="s">
        <v>2195</v>
      </c>
      <c r="C279" s="13" t="s">
        <v>2196</v>
      </c>
      <c r="D279" s="13" t="s">
        <v>2205</v>
      </c>
      <c r="F279" s="13" t="s">
        <v>2219</v>
      </c>
      <c r="G279" s="13">
        <v>89.69</v>
      </c>
      <c r="H279" s="13">
        <v>0</v>
      </c>
      <c r="I279" s="13">
        <v>89.69</v>
      </c>
      <c r="J279" s="24">
        <v>45875</v>
      </c>
      <c r="K279" s="13">
        <v>50</v>
      </c>
      <c r="L279" s="13">
        <v>4.3</v>
      </c>
      <c r="M279" s="13" t="b">
        <v>0</v>
      </c>
      <c r="O279" s="13">
        <f t="shared" si="4"/>
        <v>4.3</v>
      </c>
    </row>
    <row r="280" spans="1:15" x14ac:dyDescent="0.25">
      <c r="A280" s="13" t="s">
        <v>292</v>
      </c>
      <c r="B280" s="13" t="s">
        <v>2190</v>
      </c>
      <c r="C280" s="13" t="s">
        <v>2199</v>
      </c>
      <c r="D280" s="13" t="s">
        <v>2204</v>
      </c>
      <c r="E280" s="13" t="s">
        <v>2211</v>
      </c>
      <c r="F280" s="13" t="s">
        <v>2218</v>
      </c>
      <c r="G280" s="13">
        <v>161.65</v>
      </c>
      <c r="H280" s="13">
        <v>10.199999999999999</v>
      </c>
      <c r="I280" s="13">
        <v>145.16</v>
      </c>
      <c r="J280" s="24">
        <v>45746</v>
      </c>
      <c r="K280" s="13">
        <v>42</v>
      </c>
      <c r="M280" s="13" t="b">
        <v>0</v>
      </c>
      <c r="O280" s="13">
        <f t="shared" si="4"/>
        <v>2.4137931034482762</v>
      </c>
    </row>
    <row r="281" spans="1:15" x14ac:dyDescent="0.25">
      <c r="A281" s="13" t="s">
        <v>293</v>
      </c>
      <c r="B281" s="13" t="s">
        <v>2192</v>
      </c>
      <c r="C281" s="13" t="s">
        <v>2197</v>
      </c>
      <c r="D281" s="13" t="s">
        <v>2205</v>
      </c>
      <c r="F281" s="13" t="s">
        <v>2217</v>
      </c>
      <c r="G281" s="13">
        <v>46.59</v>
      </c>
      <c r="H281" s="13">
        <v>0</v>
      </c>
      <c r="I281" s="13">
        <v>46.59</v>
      </c>
      <c r="J281" s="24">
        <v>45875</v>
      </c>
      <c r="K281" s="13">
        <v>29</v>
      </c>
      <c r="L281" s="13">
        <v>4.8</v>
      </c>
      <c r="M281" s="13" t="b">
        <v>0</v>
      </c>
      <c r="O281" s="13">
        <f t="shared" si="4"/>
        <v>4.8</v>
      </c>
    </row>
    <row r="282" spans="1:15" x14ac:dyDescent="0.25">
      <c r="A282" s="13" t="s">
        <v>294</v>
      </c>
      <c r="B282" s="13" t="s">
        <v>2192</v>
      </c>
      <c r="C282" s="13" t="s">
        <v>2196</v>
      </c>
      <c r="D282" s="13" t="s">
        <v>2206</v>
      </c>
      <c r="F282" s="13" t="s">
        <v>2215</v>
      </c>
      <c r="G282" s="13">
        <v>74.2</v>
      </c>
      <c r="H282" s="13">
        <v>0</v>
      </c>
      <c r="I282" s="13">
        <v>74.2</v>
      </c>
      <c r="J282" s="24">
        <v>45875</v>
      </c>
      <c r="K282" s="13">
        <v>22</v>
      </c>
      <c r="L282" s="13">
        <v>1.7</v>
      </c>
      <c r="M282" s="13" t="b">
        <v>0</v>
      </c>
      <c r="O282" s="13">
        <f t="shared" si="4"/>
        <v>1.7</v>
      </c>
    </row>
    <row r="283" spans="1:15" x14ac:dyDescent="0.25">
      <c r="A283" s="13" t="s">
        <v>295</v>
      </c>
      <c r="B283" s="13" t="s">
        <v>2194</v>
      </c>
      <c r="C283" s="13" t="s">
        <v>2197</v>
      </c>
      <c r="D283" s="13" t="s">
        <v>2206</v>
      </c>
      <c r="E283" s="13" t="s">
        <v>2210</v>
      </c>
      <c r="F283" s="13" t="s">
        <v>2224</v>
      </c>
      <c r="G283" s="13">
        <v>99.67</v>
      </c>
      <c r="H283" s="13">
        <v>0</v>
      </c>
      <c r="I283" s="13">
        <v>99.67</v>
      </c>
      <c r="J283" s="24">
        <v>45875</v>
      </c>
      <c r="K283" s="13">
        <v>13</v>
      </c>
      <c r="L283" s="13">
        <v>5</v>
      </c>
      <c r="M283" s="13" t="b">
        <v>0</v>
      </c>
      <c r="O283" s="13">
        <f t="shared" si="4"/>
        <v>5</v>
      </c>
    </row>
    <row r="284" spans="1:15" x14ac:dyDescent="0.25">
      <c r="A284" s="13" t="s">
        <v>296</v>
      </c>
      <c r="B284" s="13" t="s">
        <v>2193</v>
      </c>
      <c r="C284" s="13" t="s">
        <v>2203</v>
      </c>
      <c r="D284" s="13" t="s">
        <v>2206</v>
      </c>
      <c r="E284" s="13" t="s">
        <v>2212</v>
      </c>
      <c r="F284" s="13" t="s">
        <v>2223</v>
      </c>
      <c r="G284" s="13">
        <v>112.74</v>
      </c>
      <c r="H284" s="13">
        <v>23</v>
      </c>
      <c r="I284" s="13">
        <v>86.81</v>
      </c>
      <c r="J284" s="24">
        <v>45875</v>
      </c>
      <c r="K284" s="13">
        <v>37</v>
      </c>
      <c r="L284" s="13">
        <v>1</v>
      </c>
      <c r="M284" s="13" t="b">
        <v>0</v>
      </c>
      <c r="O284" s="13">
        <f t="shared" si="4"/>
        <v>1</v>
      </c>
    </row>
    <row r="285" spans="1:15" x14ac:dyDescent="0.25">
      <c r="A285" s="13" t="s">
        <v>297</v>
      </c>
      <c r="B285" s="13" t="s">
        <v>2191</v>
      </c>
      <c r="C285" s="13" t="s">
        <v>2198</v>
      </c>
      <c r="D285" s="13" t="s">
        <v>2207</v>
      </c>
      <c r="E285" s="13" t="s">
        <v>2210</v>
      </c>
      <c r="F285" s="13" t="s">
        <v>2216</v>
      </c>
      <c r="G285" s="13">
        <v>95.82</v>
      </c>
      <c r="H285" s="13">
        <v>39.4</v>
      </c>
      <c r="I285" s="13">
        <v>58.07</v>
      </c>
      <c r="J285" s="24">
        <v>45875</v>
      </c>
      <c r="K285" s="13">
        <v>6</v>
      </c>
      <c r="M285" s="13" t="b">
        <v>1</v>
      </c>
      <c r="N285" s="13" t="s">
        <v>2227</v>
      </c>
      <c r="O285" s="13">
        <f t="shared" si="4"/>
        <v>2.953125</v>
      </c>
    </row>
    <row r="286" spans="1:15" x14ac:dyDescent="0.25">
      <c r="A286" s="13" t="s">
        <v>298</v>
      </c>
      <c r="B286" s="13" t="s">
        <v>2193</v>
      </c>
      <c r="C286" s="13" t="s">
        <v>2201</v>
      </c>
      <c r="D286" s="13" t="s">
        <v>2205</v>
      </c>
      <c r="E286" s="13" t="s">
        <v>2213</v>
      </c>
      <c r="F286" s="13" t="s">
        <v>2220</v>
      </c>
      <c r="G286" s="13">
        <v>157.41999999999999</v>
      </c>
      <c r="H286" s="13">
        <v>0</v>
      </c>
      <c r="I286" s="13">
        <v>157.41999999999999</v>
      </c>
      <c r="J286" s="24">
        <v>45875</v>
      </c>
      <c r="K286" s="13">
        <v>38</v>
      </c>
      <c r="L286" s="13">
        <v>2.4</v>
      </c>
      <c r="M286" s="13" t="b">
        <v>0</v>
      </c>
      <c r="O286" s="13">
        <f t="shared" si="4"/>
        <v>2.4</v>
      </c>
    </row>
    <row r="287" spans="1:15" x14ac:dyDescent="0.25">
      <c r="A287" s="13" t="s">
        <v>299</v>
      </c>
      <c r="B287" s="13" t="s">
        <v>2192</v>
      </c>
      <c r="C287" s="13" t="s">
        <v>2196</v>
      </c>
      <c r="D287" s="13" t="s">
        <v>2206</v>
      </c>
      <c r="F287" s="13" t="s">
        <v>2214</v>
      </c>
      <c r="G287" s="13">
        <v>60.17</v>
      </c>
      <c r="H287" s="13">
        <v>14.1</v>
      </c>
      <c r="I287" s="13">
        <v>51.69</v>
      </c>
      <c r="J287" s="24">
        <v>45875</v>
      </c>
      <c r="K287" s="13">
        <v>38</v>
      </c>
      <c r="L287" s="13">
        <v>5</v>
      </c>
      <c r="M287" s="13" t="b">
        <v>0</v>
      </c>
      <c r="O287" s="13">
        <f t="shared" si="4"/>
        <v>5</v>
      </c>
    </row>
    <row r="288" spans="1:15" x14ac:dyDescent="0.25">
      <c r="A288" s="13" t="s">
        <v>300</v>
      </c>
      <c r="B288" s="13" t="s">
        <v>2190</v>
      </c>
      <c r="C288" s="13" t="s">
        <v>2199</v>
      </c>
      <c r="D288" s="13" t="s">
        <v>2205</v>
      </c>
      <c r="E288" s="13" t="s">
        <v>2208</v>
      </c>
      <c r="F288" s="13" t="s">
        <v>2215</v>
      </c>
      <c r="G288" s="13">
        <v>169.03</v>
      </c>
      <c r="H288" s="13">
        <v>0</v>
      </c>
      <c r="I288" s="13">
        <v>169.03</v>
      </c>
      <c r="J288" s="24">
        <v>45875</v>
      </c>
      <c r="K288" s="13">
        <v>16</v>
      </c>
      <c r="L288" s="13">
        <v>1.7</v>
      </c>
      <c r="M288" s="13" t="b">
        <v>0</v>
      </c>
      <c r="O288" s="13">
        <f t="shared" si="4"/>
        <v>1.7</v>
      </c>
    </row>
    <row r="289" spans="1:15" x14ac:dyDescent="0.25">
      <c r="A289" s="13" t="s">
        <v>301</v>
      </c>
      <c r="B289" s="13" t="s">
        <v>2195</v>
      </c>
      <c r="C289" s="13" t="s">
        <v>2197</v>
      </c>
      <c r="D289" s="13" t="s">
        <v>2206</v>
      </c>
      <c r="E289" s="13" t="s">
        <v>2210</v>
      </c>
      <c r="F289" s="13" t="s">
        <v>2215</v>
      </c>
      <c r="G289" s="13">
        <v>175.86</v>
      </c>
      <c r="H289" s="13">
        <v>0</v>
      </c>
      <c r="I289" s="13">
        <v>175.86</v>
      </c>
      <c r="J289" s="24">
        <v>45875</v>
      </c>
      <c r="K289" s="13">
        <v>0</v>
      </c>
      <c r="L289" s="13">
        <v>4.5999999999999996</v>
      </c>
      <c r="M289" s="13" t="b">
        <v>0</v>
      </c>
      <c r="O289" s="13">
        <f t="shared" si="4"/>
        <v>4.5999999999999996</v>
      </c>
    </row>
    <row r="290" spans="1:15" x14ac:dyDescent="0.25">
      <c r="A290" s="13" t="s">
        <v>302</v>
      </c>
      <c r="B290" s="13" t="s">
        <v>2193</v>
      </c>
      <c r="C290" s="13" t="s">
        <v>2199</v>
      </c>
      <c r="D290" s="13" t="s">
        <v>2207</v>
      </c>
      <c r="F290" s="13" t="s">
        <v>2224</v>
      </c>
      <c r="G290" s="13">
        <v>169.75</v>
      </c>
      <c r="H290" s="13">
        <v>0</v>
      </c>
      <c r="I290" s="13">
        <v>169.75</v>
      </c>
      <c r="J290" s="24">
        <v>45875</v>
      </c>
      <c r="K290" s="13">
        <v>5</v>
      </c>
      <c r="L290" s="13">
        <v>2.7</v>
      </c>
      <c r="M290" s="13" t="b">
        <v>0</v>
      </c>
      <c r="O290" s="13">
        <f t="shared" si="4"/>
        <v>2.7</v>
      </c>
    </row>
    <row r="291" spans="1:15" x14ac:dyDescent="0.25">
      <c r="A291" s="13" t="s">
        <v>303</v>
      </c>
      <c r="B291" s="13" t="s">
        <v>2192</v>
      </c>
      <c r="C291" s="13" t="s">
        <v>2200</v>
      </c>
      <c r="D291" s="13" t="s">
        <v>2207</v>
      </c>
      <c r="F291" s="13" t="s">
        <v>2214</v>
      </c>
      <c r="G291" s="13">
        <v>51.77</v>
      </c>
      <c r="H291" s="13">
        <v>24.3</v>
      </c>
      <c r="I291" s="13">
        <v>39.19</v>
      </c>
      <c r="J291" s="24">
        <v>45875</v>
      </c>
      <c r="K291" s="13">
        <v>50</v>
      </c>
      <c r="L291" s="13">
        <v>3.7</v>
      </c>
      <c r="M291" s="13" t="b">
        <v>0</v>
      </c>
      <c r="O291" s="13">
        <f t="shared" si="4"/>
        <v>3.7</v>
      </c>
    </row>
    <row r="292" spans="1:15" x14ac:dyDescent="0.25">
      <c r="A292" s="13" t="s">
        <v>304</v>
      </c>
      <c r="B292" s="13" t="s">
        <v>2191</v>
      </c>
      <c r="C292" s="13" t="s">
        <v>2199</v>
      </c>
      <c r="D292" s="13" t="s">
        <v>2206</v>
      </c>
      <c r="E292" s="13" t="s">
        <v>2213</v>
      </c>
      <c r="F292" s="13" t="s">
        <v>2216</v>
      </c>
      <c r="G292" s="13">
        <v>83.09</v>
      </c>
      <c r="H292" s="13">
        <v>0</v>
      </c>
      <c r="I292" s="13">
        <v>83.09</v>
      </c>
      <c r="J292" s="24">
        <v>45875</v>
      </c>
      <c r="K292" s="13">
        <v>22</v>
      </c>
      <c r="L292" s="13">
        <v>2.2999999999999998</v>
      </c>
      <c r="M292" s="13" t="b">
        <v>0</v>
      </c>
      <c r="O292" s="13">
        <f t="shared" si="4"/>
        <v>2.2999999999999998</v>
      </c>
    </row>
    <row r="293" spans="1:15" x14ac:dyDescent="0.25">
      <c r="A293" s="13" t="s">
        <v>305</v>
      </c>
      <c r="B293" s="13" t="s">
        <v>2190</v>
      </c>
      <c r="C293" s="13" t="s">
        <v>2201</v>
      </c>
      <c r="D293" s="13" t="s">
        <v>2205</v>
      </c>
      <c r="E293" s="13" t="s">
        <v>2212</v>
      </c>
      <c r="F293" s="13" t="s">
        <v>2223</v>
      </c>
      <c r="G293" s="13">
        <v>176.1</v>
      </c>
      <c r="H293" s="13">
        <v>0</v>
      </c>
      <c r="I293" s="13">
        <v>176.1</v>
      </c>
      <c r="J293" s="24">
        <v>45875</v>
      </c>
      <c r="K293" s="13">
        <v>12</v>
      </c>
      <c r="L293" s="13">
        <v>4.5999999999999996</v>
      </c>
      <c r="M293" s="13" t="b">
        <v>0</v>
      </c>
      <c r="O293" s="13">
        <f t="shared" si="4"/>
        <v>4.5999999999999996</v>
      </c>
    </row>
    <row r="294" spans="1:15" x14ac:dyDescent="0.25">
      <c r="A294" s="13" t="s">
        <v>306</v>
      </c>
      <c r="B294" s="13" t="s">
        <v>2194</v>
      </c>
      <c r="C294" s="13" t="s">
        <v>2199</v>
      </c>
      <c r="D294" s="13" t="s">
        <v>2206</v>
      </c>
      <c r="E294" s="13" t="s">
        <v>2213</v>
      </c>
      <c r="F294" s="13" t="s">
        <v>2219</v>
      </c>
      <c r="G294" s="13">
        <v>69.11</v>
      </c>
      <c r="H294" s="13">
        <v>0</v>
      </c>
      <c r="I294" s="13">
        <v>69.11</v>
      </c>
      <c r="J294" s="24">
        <v>45875</v>
      </c>
      <c r="K294" s="13">
        <v>18</v>
      </c>
      <c r="L294" s="13">
        <v>3.9</v>
      </c>
      <c r="M294" s="13" t="b">
        <v>0</v>
      </c>
      <c r="O294" s="13">
        <f t="shared" si="4"/>
        <v>3.9</v>
      </c>
    </row>
    <row r="295" spans="1:15" x14ac:dyDescent="0.25">
      <c r="A295" s="13" t="s">
        <v>307</v>
      </c>
      <c r="B295" s="13" t="s">
        <v>2193</v>
      </c>
      <c r="C295" s="13" t="s">
        <v>2196</v>
      </c>
      <c r="D295" s="13" t="s">
        <v>2204</v>
      </c>
      <c r="E295" s="13" t="s">
        <v>2210</v>
      </c>
      <c r="F295" s="13" t="s">
        <v>2223</v>
      </c>
      <c r="G295" s="13">
        <v>117.85</v>
      </c>
      <c r="H295" s="13">
        <v>0</v>
      </c>
      <c r="I295" s="13">
        <v>117.85</v>
      </c>
      <c r="J295" s="24">
        <v>45649</v>
      </c>
      <c r="K295" s="13">
        <v>34</v>
      </c>
      <c r="L295" s="13">
        <v>3.3</v>
      </c>
      <c r="M295" s="13" t="b">
        <v>0</v>
      </c>
      <c r="O295" s="13">
        <f t="shared" si="4"/>
        <v>3.3</v>
      </c>
    </row>
    <row r="296" spans="1:15" x14ac:dyDescent="0.25">
      <c r="A296" s="13" t="s">
        <v>308</v>
      </c>
      <c r="B296" s="13" t="s">
        <v>2193</v>
      </c>
      <c r="C296" s="13" t="s">
        <v>2198</v>
      </c>
      <c r="D296" s="13" t="s">
        <v>2206</v>
      </c>
      <c r="E296" s="13" t="s">
        <v>2213</v>
      </c>
      <c r="F296" s="13" t="s">
        <v>2223</v>
      </c>
      <c r="G296" s="13">
        <v>96.17</v>
      </c>
      <c r="H296" s="13">
        <v>36</v>
      </c>
      <c r="I296" s="13">
        <v>61.55</v>
      </c>
      <c r="J296" s="24">
        <v>45875</v>
      </c>
      <c r="K296" s="13">
        <v>45</v>
      </c>
      <c r="L296" s="13">
        <v>3.5</v>
      </c>
      <c r="M296" s="13" t="b">
        <v>0</v>
      </c>
      <c r="O296" s="13">
        <f t="shared" si="4"/>
        <v>3.5</v>
      </c>
    </row>
    <row r="297" spans="1:15" x14ac:dyDescent="0.25">
      <c r="A297" s="13" t="s">
        <v>309</v>
      </c>
      <c r="B297" s="13" t="s">
        <v>2193</v>
      </c>
      <c r="C297" s="13" t="s">
        <v>2196</v>
      </c>
      <c r="D297" s="13" t="s">
        <v>2204</v>
      </c>
      <c r="E297" s="13" t="s">
        <v>2211</v>
      </c>
      <c r="F297" s="13" t="s">
        <v>2214</v>
      </c>
      <c r="G297" s="13">
        <v>80.14</v>
      </c>
      <c r="H297" s="13">
        <v>0</v>
      </c>
      <c r="I297" s="13">
        <v>80.14</v>
      </c>
      <c r="J297" s="24">
        <v>45747</v>
      </c>
      <c r="K297" s="13">
        <v>10</v>
      </c>
      <c r="L297" s="13">
        <v>5</v>
      </c>
      <c r="M297" s="13" t="b">
        <v>0</v>
      </c>
      <c r="O297" s="13">
        <f t="shared" si="4"/>
        <v>5</v>
      </c>
    </row>
    <row r="298" spans="1:15" x14ac:dyDescent="0.25">
      <c r="A298" s="13" t="s">
        <v>310</v>
      </c>
      <c r="B298" s="13" t="s">
        <v>2192</v>
      </c>
      <c r="C298" s="13" t="s">
        <v>2202</v>
      </c>
      <c r="D298" s="13" t="s">
        <v>2207</v>
      </c>
      <c r="F298" s="13" t="s">
        <v>2215</v>
      </c>
      <c r="G298" s="13">
        <v>55.08</v>
      </c>
      <c r="H298" s="13">
        <v>13</v>
      </c>
      <c r="I298" s="13">
        <v>47.92</v>
      </c>
      <c r="J298" s="24">
        <v>45875</v>
      </c>
      <c r="K298" s="13">
        <v>17</v>
      </c>
      <c r="L298" s="13">
        <v>3.9</v>
      </c>
      <c r="M298" s="13" t="b">
        <v>0</v>
      </c>
      <c r="O298" s="13">
        <f t="shared" si="4"/>
        <v>3.9</v>
      </c>
    </row>
    <row r="299" spans="1:15" x14ac:dyDescent="0.25">
      <c r="A299" s="13" t="s">
        <v>311</v>
      </c>
      <c r="B299" s="13" t="s">
        <v>2195</v>
      </c>
      <c r="C299" s="13" t="s">
        <v>2199</v>
      </c>
      <c r="D299" s="13" t="s">
        <v>2206</v>
      </c>
      <c r="E299" s="13" t="s">
        <v>2210</v>
      </c>
      <c r="F299" s="13" t="s">
        <v>2215</v>
      </c>
      <c r="G299" s="13">
        <v>165.84</v>
      </c>
      <c r="H299" s="13">
        <v>50.4</v>
      </c>
      <c r="I299" s="13">
        <v>82.26</v>
      </c>
      <c r="J299" s="24">
        <v>45875</v>
      </c>
      <c r="K299" s="13">
        <v>17</v>
      </c>
      <c r="L299" s="13">
        <v>3.2</v>
      </c>
      <c r="M299" s="13" t="b">
        <v>1</v>
      </c>
      <c r="N299" s="13" t="s">
        <v>2227</v>
      </c>
      <c r="O299" s="13">
        <f t="shared" si="4"/>
        <v>3.2</v>
      </c>
    </row>
    <row r="300" spans="1:15" x14ac:dyDescent="0.25">
      <c r="A300" s="13" t="s">
        <v>312</v>
      </c>
      <c r="B300" s="13" t="s">
        <v>2195</v>
      </c>
      <c r="C300" s="13" t="s">
        <v>2202</v>
      </c>
      <c r="D300" s="13" t="s">
        <v>2207</v>
      </c>
      <c r="E300" s="13" t="s">
        <v>2211</v>
      </c>
      <c r="F300" s="13" t="s">
        <v>2214</v>
      </c>
      <c r="G300" s="13">
        <v>82.7</v>
      </c>
      <c r="H300" s="13">
        <v>0</v>
      </c>
      <c r="I300" s="13">
        <v>82.7</v>
      </c>
      <c r="J300" s="24">
        <v>45875</v>
      </c>
      <c r="K300" s="13">
        <v>20</v>
      </c>
      <c r="L300" s="13">
        <v>4</v>
      </c>
      <c r="M300" s="13" t="b">
        <v>0</v>
      </c>
      <c r="O300" s="13">
        <f t="shared" si="4"/>
        <v>4</v>
      </c>
    </row>
    <row r="301" spans="1:15" x14ac:dyDescent="0.25">
      <c r="A301" s="13" t="s">
        <v>313</v>
      </c>
      <c r="B301" s="13" t="s">
        <v>2190</v>
      </c>
      <c r="C301" s="13" t="s">
        <v>2198</v>
      </c>
      <c r="D301" s="13" t="s">
        <v>2204</v>
      </c>
      <c r="E301" s="13" t="s">
        <v>2210</v>
      </c>
      <c r="F301" s="13" t="s">
        <v>2223</v>
      </c>
      <c r="G301" s="13">
        <v>222.86</v>
      </c>
      <c r="H301" s="13">
        <v>6.6</v>
      </c>
      <c r="I301" s="13">
        <v>208.15</v>
      </c>
      <c r="J301" s="24">
        <v>45645</v>
      </c>
      <c r="K301" s="13">
        <v>29</v>
      </c>
      <c r="L301" s="13">
        <v>2.1</v>
      </c>
      <c r="M301" s="13" t="b">
        <v>0</v>
      </c>
      <c r="O301" s="13">
        <f t="shared" si="4"/>
        <v>2.1</v>
      </c>
    </row>
    <row r="302" spans="1:15" x14ac:dyDescent="0.25">
      <c r="A302" s="13" t="s">
        <v>314</v>
      </c>
      <c r="B302" s="13" t="s">
        <v>2191</v>
      </c>
      <c r="C302" s="13" t="s">
        <v>2199</v>
      </c>
      <c r="D302" s="13" t="s">
        <v>2205</v>
      </c>
      <c r="E302" s="13" t="s">
        <v>2209</v>
      </c>
      <c r="F302" s="13" t="s">
        <v>2218</v>
      </c>
      <c r="G302" s="13">
        <v>107.15</v>
      </c>
      <c r="H302" s="13">
        <v>0</v>
      </c>
      <c r="I302" s="13">
        <v>107.15</v>
      </c>
      <c r="J302" s="24">
        <v>45875</v>
      </c>
      <c r="K302" s="13">
        <v>33</v>
      </c>
      <c r="M302" s="13" t="b">
        <v>1</v>
      </c>
      <c r="N302" s="13" t="s">
        <v>2230</v>
      </c>
      <c r="O302" s="13">
        <f t="shared" si="4"/>
        <v>2.9742857142857138</v>
      </c>
    </row>
    <row r="303" spans="1:15" x14ac:dyDescent="0.25">
      <c r="A303" s="13" t="s">
        <v>315</v>
      </c>
      <c r="B303" s="13" t="s">
        <v>2193</v>
      </c>
      <c r="C303" s="13" t="s">
        <v>2200</v>
      </c>
      <c r="D303" s="13" t="s">
        <v>2206</v>
      </c>
      <c r="E303" s="13" t="s">
        <v>2211</v>
      </c>
      <c r="F303" s="13" t="s">
        <v>2218</v>
      </c>
      <c r="G303" s="13">
        <v>85.54</v>
      </c>
      <c r="H303" s="13">
        <v>0</v>
      </c>
      <c r="I303" s="13">
        <v>85.54</v>
      </c>
      <c r="J303" s="24">
        <v>45875</v>
      </c>
      <c r="K303" s="13">
        <v>30</v>
      </c>
      <c r="M303" s="13" t="b">
        <v>0</v>
      </c>
      <c r="O303" s="13">
        <f t="shared" si="4"/>
        <v>3.3021276595744684</v>
      </c>
    </row>
    <row r="304" spans="1:15" x14ac:dyDescent="0.25">
      <c r="A304" s="13" t="s">
        <v>316</v>
      </c>
      <c r="B304" s="13" t="s">
        <v>2194</v>
      </c>
      <c r="C304" s="13" t="s">
        <v>2199</v>
      </c>
      <c r="D304" s="13" t="s">
        <v>2207</v>
      </c>
      <c r="E304" s="13" t="s">
        <v>2208</v>
      </c>
      <c r="F304" s="13" t="s">
        <v>2220</v>
      </c>
      <c r="G304" s="13">
        <v>34.36</v>
      </c>
      <c r="H304" s="13">
        <v>5.4</v>
      </c>
      <c r="I304" s="13">
        <v>32.5</v>
      </c>
      <c r="J304" s="24">
        <v>45875</v>
      </c>
      <c r="K304" s="13">
        <v>49</v>
      </c>
      <c r="L304" s="13">
        <v>4.5</v>
      </c>
      <c r="M304" s="13" t="b">
        <v>0</v>
      </c>
      <c r="O304" s="13">
        <f t="shared" si="4"/>
        <v>4.5</v>
      </c>
    </row>
    <row r="305" spans="1:15" x14ac:dyDescent="0.25">
      <c r="A305" s="13" t="s">
        <v>317</v>
      </c>
      <c r="B305" s="13" t="s">
        <v>2194</v>
      </c>
      <c r="C305" s="13" t="s">
        <v>2199</v>
      </c>
      <c r="D305" s="13" t="s">
        <v>2205</v>
      </c>
      <c r="E305" s="13" t="s">
        <v>2208</v>
      </c>
      <c r="F305" s="13" t="s">
        <v>2216</v>
      </c>
      <c r="G305" s="13">
        <v>111.25</v>
      </c>
      <c r="H305" s="13">
        <v>42.2</v>
      </c>
      <c r="I305" s="13">
        <v>64.3</v>
      </c>
      <c r="J305" s="24">
        <v>45875</v>
      </c>
      <c r="K305" s="13">
        <v>34</v>
      </c>
      <c r="L305" s="13">
        <v>3</v>
      </c>
      <c r="M305" s="13" t="b">
        <v>0</v>
      </c>
      <c r="O305" s="13">
        <f t="shared" si="4"/>
        <v>3</v>
      </c>
    </row>
    <row r="306" spans="1:15" x14ac:dyDescent="0.25">
      <c r="A306" s="13" t="s">
        <v>318</v>
      </c>
      <c r="B306" s="13" t="s">
        <v>2191</v>
      </c>
      <c r="C306" s="13" t="s">
        <v>2196</v>
      </c>
      <c r="D306" s="13" t="s">
        <v>2204</v>
      </c>
      <c r="E306" s="13" t="s">
        <v>2211</v>
      </c>
      <c r="F306" s="13" t="s">
        <v>2215</v>
      </c>
      <c r="G306" s="13">
        <v>39.97</v>
      </c>
      <c r="H306" s="13">
        <v>35.200000000000003</v>
      </c>
      <c r="I306" s="13">
        <v>25.9</v>
      </c>
      <c r="J306" s="24">
        <v>45679</v>
      </c>
      <c r="K306" s="13">
        <v>15</v>
      </c>
      <c r="L306" s="13">
        <v>2.2999999999999998</v>
      </c>
      <c r="M306" s="13" t="b">
        <v>0</v>
      </c>
      <c r="O306" s="13">
        <f t="shared" si="4"/>
        <v>2.2999999999999998</v>
      </c>
    </row>
    <row r="307" spans="1:15" x14ac:dyDescent="0.25">
      <c r="A307" s="13" t="s">
        <v>319</v>
      </c>
      <c r="B307" s="13" t="s">
        <v>2193</v>
      </c>
      <c r="C307" s="13" t="s">
        <v>2203</v>
      </c>
      <c r="D307" s="13" t="s">
        <v>2207</v>
      </c>
      <c r="E307" s="13" t="s">
        <v>2213</v>
      </c>
      <c r="F307" s="13" t="s">
        <v>2217</v>
      </c>
      <c r="G307" s="13">
        <v>60.34</v>
      </c>
      <c r="H307" s="13">
        <v>0</v>
      </c>
      <c r="I307" s="13">
        <v>60.34</v>
      </c>
      <c r="J307" s="24">
        <v>45875</v>
      </c>
      <c r="K307" s="13">
        <v>4</v>
      </c>
      <c r="M307" s="13" t="b">
        <v>0</v>
      </c>
      <c r="O307" s="13">
        <f t="shared" si="4"/>
        <v>3.2576923076923077</v>
      </c>
    </row>
    <row r="308" spans="1:15" x14ac:dyDescent="0.25">
      <c r="A308" s="13" t="s">
        <v>320</v>
      </c>
      <c r="B308" s="13" t="s">
        <v>2192</v>
      </c>
      <c r="C308" s="13" t="s">
        <v>2202</v>
      </c>
      <c r="D308" s="13" t="s">
        <v>2207</v>
      </c>
      <c r="F308" s="13" t="s">
        <v>2219</v>
      </c>
      <c r="G308" s="13">
        <v>17.7</v>
      </c>
      <c r="H308" s="13">
        <v>0</v>
      </c>
      <c r="I308" s="13">
        <v>17.7</v>
      </c>
      <c r="J308" s="24">
        <v>45875</v>
      </c>
      <c r="K308" s="13">
        <v>42</v>
      </c>
      <c r="L308" s="13">
        <v>3.9</v>
      </c>
      <c r="M308" s="13" t="b">
        <v>0</v>
      </c>
      <c r="O308" s="13">
        <f t="shared" si="4"/>
        <v>3.9</v>
      </c>
    </row>
    <row r="309" spans="1:15" x14ac:dyDescent="0.25">
      <c r="A309" s="13" t="s">
        <v>321</v>
      </c>
      <c r="B309" s="13" t="s">
        <v>2194</v>
      </c>
      <c r="C309" s="13" t="s">
        <v>2199</v>
      </c>
      <c r="D309" s="13" t="s">
        <v>2207</v>
      </c>
      <c r="E309" s="13" t="s">
        <v>2213</v>
      </c>
      <c r="F309" s="13" t="s">
        <v>2217</v>
      </c>
      <c r="G309" s="13">
        <v>57.88</v>
      </c>
      <c r="H309" s="13">
        <v>0</v>
      </c>
      <c r="I309" s="13">
        <v>57.88</v>
      </c>
      <c r="J309" s="24">
        <v>45875</v>
      </c>
      <c r="K309" s="13">
        <v>39</v>
      </c>
      <c r="L309" s="13">
        <v>3</v>
      </c>
      <c r="M309" s="13" t="b">
        <v>0</v>
      </c>
      <c r="O309" s="13">
        <f t="shared" si="4"/>
        <v>3</v>
      </c>
    </row>
    <row r="310" spans="1:15" x14ac:dyDescent="0.25">
      <c r="A310" s="13" t="s">
        <v>322</v>
      </c>
      <c r="B310" s="13" t="s">
        <v>2191</v>
      </c>
      <c r="C310" s="13" t="s">
        <v>2199</v>
      </c>
      <c r="D310" s="13" t="s">
        <v>2207</v>
      </c>
      <c r="E310" s="13" t="s">
        <v>2210</v>
      </c>
      <c r="F310" s="13" t="s">
        <v>2219</v>
      </c>
      <c r="G310" s="13">
        <v>25.15</v>
      </c>
      <c r="H310" s="13">
        <v>0</v>
      </c>
      <c r="I310" s="13">
        <v>25.15</v>
      </c>
      <c r="J310" s="24">
        <v>45875</v>
      </c>
      <c r="K310" s="13">
        <v>34</v>
      </c>
      <c r="L310" s="13">
        <v>2.6</v>
      </c>
      <c r="M310" s="13" t="b">
        <v>0</v>
      </c>
      <c r="O310" s="13">
        <f t="shared" si="4"/>
        <v>2.6</v>
      </c>
    </row>
    <row r="311" spans="1:15" x14ac:dyDescent="0.25">
      <c r="A311" s="13" t="s">
        <v>323</v>
      </c>
      <c r="B311" s="13" t="s">
        <v>2190</v>
      </c>
      <c r="C311" s="13" t="s">
        <v>2199</v>
      </c>
      <c r="D311" s="13" t="s">
        <v>2204</v>
      </c>
      <c r="E311" s="13" t="s">
        <v>2209</v>
      </c>
      <c r="F311" s="13" t="s">
        <v>2223</v>
      </c>
      <c r="G311" s="13">
        <v>157.44999999999999</v>
      </c>
      <c r="H311" s="13">
        <v>0</v>
      </c>
      <c r="I311" s="13">
        <v>157.44999999999999</v>
      </c>
      <c r="J311" s="24">
        <v>45803</v>
      </c>
      <c r="K311" s="13">
        <v>7</v>
      </c>
      <c r="L311" s="13">
        <v>2.9</v>
      </c>
      <c r="M311" s="13" t="b">
        <v>0</v>
      </c>
      <c r="O311" s="13">
        <f t="shared" si="4"/>
        <v>2.9</v>
      </c>
    </row>
    <row r="312" spans="1:15" x14ac:dyDescent="0.25">
      <c r="A312" s="13" t="s">
        <v>324</v>
      </c>
      <c r="B312" s="13" t="s">
        <v>2194</v>
      </c>
      <c r="C312" s="13" t="s">
        <v>2200</v>
      </c>
      <c r="D312" s="13" t="s">
        <v>2205</v>
      </c>
      <c r="E312" s="13" t="s">
        <v>2209</v>
      </c>
      <c r="F312" s="13" t="s">
        <v>2223</v>
      </c>
      <c r="G312" s="13">
        <v>65.72</v>
      </c>
      <c r="H312" s="13">
        <v>9.1</v>
      </c>
      <c r="I312" s="13">
        <v>59.74</v>
      </c>
      <c r="J312" s="24">
        <v>45875</v>
      </c>
      <c r="K312" s="13">
        <v>10</v>
      </c>
      <c r="L312" s="13">
        <v>2.8</v>
      </c>
      <c r="M312" s="13" t="b">
        <v>1</v>
      </c>
      <c r="N312" s="13" t="s">
        <v>2228</v>
      </c>
      <c r="O312" s="13">
        <f t="shared" si="4"/>
        <v>2.8</v>
      </c>
    </row>
    <row r="313" spans="1:15" x14ac:dyDescent="0.25">
      <c r="A313" s="13" t="s">
        <v>325</v>
      </c>
      <c r="B313" s="13" t="s">
        <v>2195</v>
      </c>
      <c r="C313" s="13" t="s">
        <v>2203</v>
      </c>
      <c r="D313" s="13" t="s">
        <v>2205</v>
      </c>
      <c r="E313" s="13" t="s">
        <v>2211</v>
      </c>
      <c r="F313" s="13" t="s">
        <v>2224</v>
      </c>
      <c r="G313" s="13">
        <v>92.8</v>
      </c>
      <c r="H313" s="13">
        <v>0</v>
      </c>
      <c r="I313" s="13">
        <v>92.8</v>
      </c>
      <c r="J313" s="24">
        <v>45875</v>
      </c>
      <c r="K313" s="13">
        <v>25</v>
      </c>
      <c r="L313" s="13">
        <v>2.5</v>
      </c>
      <c r="M313" s="13" t="b">
        <v>0</v>
      </c>
      <c r="O313" s="13">
        <f t="shared" si="4"/>
        <v>2.5</v>
      </c>
    </row>
    <row r="314" spans="1:15" x14ac:dyDescent="0.25">
      <c r="A314" s="13" t="s">
        <v>326</v>
      </c>
      <c r="B314" s="13" t="s">
        <v>2195</v>
      </c>
      <c r="C314" s="13" t="s">
        <v>2198</v>
      </c>
      <c r="D314" s="13" t="s">
        <v>2205</v>
      </c>
      <c r="E314" s="13" t="s">
        <v>2208</v>
      </c>
      <c r="F314" s="13" t="s">
        <v>2219</v>
      </c>
      <c r="G314" s="13">
        <v>88.65</v>
      </c>
      <c r="H314" s="13">
        <v>0</v>
      </c>
      <c r="I314" s="13">
        <v>88.65</v>
      </c>
      <c r="J314" s="24">
        <v>45875</v>
      </c>
      <c r="K314" s="13">
        <v>11</v>
      </c>
      <c r="L314" s="13">
        <v>3.3</v>
      </c>
      <c r="M314" s="13" t="b">
        <v>0</v>
      </c>
      <c r="O314" s="13">
        <f t="shared" si="4"/>
        <v>3.3</v>
      </c>
    </row>
    <row r="315" spans="1:15" x14ac:dyDescent="0.25">
      <c r="A315" s="13" t="s">
        <v>327</v>
      </c>
      <c r="B315" s="13" t="s">
        <v>2191</v>
      </c>
      <c r="C315" s="13" t="s">
        <v>2196</v>
      </c>
      <c r="D315" s="13" t="s">
        <v>2205</v>
      </c>
      <c r="E315" s="13" t="s">
        <v>2211</v>
      </c>
      <c r="F315" s="13" t="s">
        <v>2221</v>
      </c>
      <c r="G315" s="13">
        <v>47.07</v>
      </c>
      <c r="H315" s="13">
        <v>57.4</v>
      </c>
      <c r="I315" s="13">
        <v>20.05</v>
      </c>
      <c r="J315" s="24">
        <v>45875</v>
      </c>
      <c r="K315" s="13">
        <v>24</v>
      </c>
      <c r="L315" s="13">
        <v>1.3</v>
      </c>
      <c r="M315" s="13" t="b">
        <v>1</v>
      </c>
      <c r="N315" s="13" t="s">
        <v>2226</v>
      </c>
      <c r="O315" s="13">
        <f t="shared" si="4"/>
        <v>1.3</v>
      </c>
    </row>
    <row r="316" spans="1:15" x14ac:dyDescent="0.25">
      <c r="A316" s="13" t="s">
        <v>328</v>
      </c>
      <c r="B316" s="13" t="s">
        <v>2190</v>
      </c>
      <c r="C316" s="13" t="s">
        <v>2201</v>
      </c>
      <c r="D316" s="13" t="s">
        <v>2207</v>
      </c>
      <c r="E316" s="13" t="s">
        <v>2212</v>
      </c>
      <c r="F316" s="13" t="s">
        <v>2214</v>
      </c>
      <c r="G316" s="13">
        <v>101.75</v>
      </c>
      <c r="H316" s="13">
        <v>0</v>
      </c>
      <c r="I316" s="13">
        <v>101.75</v>
      </c>
      <c r="J316" s="24">
        <v>45875</v>
      </c>
      <c r="K316" s="13">
        <v>7</v>
      </c>
      <c r="L316" s="13">
        <v>3.1</v>
      </c>
      <c r="M316" s="13" t="b">
        <v>0</v>
      </c>
      <c r="O316" s="13">
        <f t="shared" si="4"/>
        <v>3.1</v>
      </c>
    </row>
    <row r="317" spans="1:15" x14ac:dyDescent="0.25">
      <c r="A317" s="13" t="s">
        <v>329</v>
      </c>
      <c r="B317" s="13" t="s">
        <v>2195</v>
      </c>
      <c r="C317" s="13" t="s">
        <v>2199</v>
      </c>
      <c r="D317" s="13" t="s">
        <v>2204</v>
      </c>
      <c r="E317" s="13" t="s">
        <v>2212</v>
      </c>
      <c r="F317" s="13" t="s">
        <v>2219</v>
      </c>
      <c r="G317" s="13">
        <v>131.08000000000001</v>
      </c>
      <c r="H317" s="13">
        <v>7.5</v>
      </c>
      <c r="I317" s="13">
        <v>121.25</v>
      </c>
      <c r="J317" s="24">
        <v>45630</v>
      </c>
      <c r="K317" s="13">
        <v>20</v>
      </c>
      <c r="L317" s="13">
        <v>4.5</v>
      </c>
      <c r="M317" s="13" t="b">
        <v>1</v>
      </c>
      <c r="N317" s="13" t="s">
        <v>2230</v>
      </c>
      <c r="O317" s="13">
        <f t="shared" si="4"/>
        <v>4.5</v>
      </c>
    </row>
    <row r="318" spans="1:15" x14ac:dyDescent="0.25">
      <c r="A318" s="13" t="s">
        <v>330</v>
      </c>
      <c r="B318" s="13" t="s">
        <v>2191</v>
      </c>
      <c r="C318" s="13" t="s">
        <v>2196</v>
      </c>
      <c r="D318" s="13" t="s">
        <v>2206</v>
      </c>
      <c r="E318" s="13" t="s">
        <v>2212</v>
      </c>
      <c r="F318" s="13" t="s">
        <v>2216</v>
      </c>
      <c r="G318" s="13">
        <v>82.06</v>
      </c>
      <c r="H318" s="13">
        <v>26.1</v>
      </c>
      <c r="I318" s="13">
        <v>60.64</v>
      </c>
      <c r="J318" s="24">
        <v>45875</v>
      </c>
      <c r="K318" s="13">
        <v>32</v>
      </c>
      <c r="L318" s="13">
        <v>1.5</v>
      </c>
      <c r="M318" s="13" t="b">
        <v>0</v>
      </c>
      <c r="O318" s="13">
        <f t="shared" si="4"/>
        <v>1.5</v>
      </c>
    </row>
    <row r="319" spans="1:15" x14ac:dyDescent="0.25">
      <c r="A319" s="13" t="s">
        <v>331</v>
      </c>
      <c r="B319" s="13" t="s">
        <v>2195</v>
      </c>
      <c r="C319" s="13" t="s">
        <v>2200</v>
      </c>
      <c r="D319" s="13" t="s">
        <v>2207</v>
      </c>
      <c r="E319" s="13" t="s">
        <v>2209</v>
      </c>
      <c r="F319" s="13" t="s">
        <v>2223</v>
      </c>
      <c r="G319" s="13">
        <v>66.31</v>
      </c>
      <c r="H319" s="13">
        <v>0</v>
      </c>
      <c r="I319" s="13">
        <v>66.31</v>
      </c>
      <c r="J319" s="24">
        <v>45875</v>
      </c>
      <c r="K319" s="13">
        <v>47</v>
      </c>
      <c r="L319" s="13">
        <v>3.9</v>
      </c>
      <c r="M319" s="13" t="b">
        <v>0</v>
      </c>
      <c r="O319" s="13">
        <f t="shared" si="4"/>
        <v>3.9</v>
      </c>
    </row>
    <row r="320" spans="1:15" x14ac:dyDescent="0.25">
      <c r="A320" s="13" t="s">
        <v>332</v>
      </c>
      <c r="B320" s="13" t="s">
        <v>2192</v>
      </c>
      <c r="C320" s="13" t="s">
        <v>2197</v>
      </c>
      <c r="D320" s="13" t="s">
        <v>2206</v>
      </c>
      <c r="F320" s="13" t="s">
        <v>2220</v>
      </c>
      <c r="G320" s="13">
        <v>26.03</v>
      </c>
      <c r="H320" s="13">
        <v>0</v>
      </c>
      <c r="I320" s="13">
        <v>26.03</v>
      </c>
      <c r="J320" s="24">
        <v>45875</v>
      </c>
      <c r="K320" s="13">
        <v>15</v>
      </c>
      <c r="L320" s="13">
        <v>3.8</v>
      </c>
      <c r="M320" s="13" t="b">
        <v>0</v>
      </c>
      <c r="O320" s="13">
        <f t="shared" si="4"/>
        <v>3.8</v>
      </c>
    </row>
    <row r="321" spans="1:15" x14ac:dyDescent="0.25">
      <c r="A321" s="13" t="s">
        <v>333</v>
      </c>
      <c r="B321" s="13" t="s">
        <v>2193</v>
      </c>
      <c r="C321" s="13" t="s">
        <v>2197</v>
      </c>
      <c r="D321" s="13" t="s">
        <v>2204</v>
      </c>
      <c r="E321" s="13" t="s">
        <v>2210</v>
      </c>
      <c r="F321" s="13" t="s">
        <v>2221</v>
      </c>
      <c r="G321" s="13">
        <v>152.53</v>
      </c>
      <c r="H321" s="13">
        <v>0</v>
      </c>
      <c r="I321" s="13">
        <v>152.53</v>
      </c>
      <c r="J321" s="24">
        <v>45617</v>
      </c>
      <c r="K321" s="13">
        <v>24</v>
      </c>
      <c r="L321" s="13">
        <v>4.2</v>
      </c>
      <c r="M321" s="13" t="b">
        <v>0</v>
      </c>
      <c r="O321" s="13">
        <f t="shared" si="4"/>
        <v>4.2</v>
      </c>
    </row>
    <row r="322" spans="1:15" x14ac:dyDescent="0.25">
      <c r="A322" s="13" t="s">
        <v>334</v>
      </c>
      <c r="B322" s="13" t="s">
        <v>2194</v>
      </c>
      <c r="C322" s="13" t="s">
        <v>2199</v>
      </c>
      <c r="D322" s="13" t="s">
        <v>2206</v>
      </c>
      <c r="E322" s="13" t="s">
        <v>2210</v>
      </c>
      <c r="F322" s="13" t="s">
        <v>2221</v>
      </c>
      <c r="G322" s="13">
        <v>26.16</v>
      </c>
      <c r="H322" s="13">
        <v>16.2</v>
      </c>
      <c r="I322" s="13">
        <v>21.92</v>
      </c>
      <c r="J322" s="24">
        <v>45875</v>
      </c>
      <c r="K322" s="13">
        <v>13</v>
      </c>
      <c r="L322" s="13">
        <v>2.2999999999999998</v>
      </c>
      <c r="M322" s="13" t="b">
        <v>0</v>
      </c>
      <c r="O322" s="13">
        <f t="shared" si="4"/>
        <v>2.2999999999999998</v>
      </c>
    </row>
    <row r="323" spans="1:15" x14ac:dyDescent="0.25">
      <c r="A323" s="13" t="s">
        <v>335</v>
      </c>
      <c r="B323" s="13" t="s">
        <v>2195</v>
      </c>
      <c r="C323" s="13" t="s">
        <v>2197</v>
      </c>
      <c r="D323" s="13" t="s">
        <v>2205</v>
      </c>
      <c r="E323" s="13" t="s">
        <v>2211</v>
      </c>
      <c r="F323" s="13" t="s">
        <v>2219</v>
      </c>
      <c r="G323" s="13">
        <v>89.17</v>
      </c>
      <c r="H323" s="13">
        <v>10.8</v>
      </c>
      <c r="I323" s="13">
        <v>79.540000000000006</v>
      </c>
      <c r="J323" s="24">
        <v>45875</v>
      </c>
      <c r="K323" s="13">
        <v>27</v>
      </c>
      <c r="L323" s="13">
        <v>3.3</v>
      </c>
      <c r="M323" s="13" t="b">
        <v>0</v>
      </c>
      <c r="O323" s="13">
        <f t="shared" ref="O323:O386" si="5">IF(L323="",AVERAGEIFS($L$2:$L$2177,$B$2:$B$2177,B323,$C$2:$C$2177,C323),L323)</f>
        <v>3.3</v>
      </c>
    </row>
    <row r="324" spans="1:15" x14ac:dyDescent="0.25">
      <c r="A324" s="13" t="s">
        <v>336</v>
      </c>
      <c r="B324" s="13" t="s">
        <v>2194</v>
      </c>
      <c r="C324" s="13" t="s">
        <v>2200</v>
      </c>
      <c r="D324" s="13" t="s">
        <v>2204</v>
      </c>
      <c r="F324" s="13" t="s">
        <v>2217</v>
      </c>
      <c r="G324" s="13">
        <v>106.37</v>
      </c>
      <c r="H324" s="13">
        <v>0</v>
      </c>
      <c r="I324" s="13">
        <v>106.37</v>
      </c>
      <c r="J324" s="24">
        <v>45753</v>
      </c>
      <c r="K324" s="13">
        <v>37</v>
      </c>
      <c r="L324" s="13">
        <v>4.9000000000000004</v>
      </c>
      <c r="M324" s="13" t="b">
        <v>0</v>
      </c>
      <c r="O324" s="13">
        <f t="shared" si="5"/>
        <v>4.9000000000000004</v>
      </c>
    </row>
    <row r="325" spans="1:15" x14ac:dyDescent="0.25">
      <c r="A325" s="13" t="s">
        <v>337</v>
      </c>
      <c r="B325" s="13" t="s">
        <v>2195</v>
      </c>
      <c r="C325" s="13" t="s">
        <v>2199</v>
      </c>
      <c r="D325" s="13" t="s">
        <v>2206</v>
      </c>
      <c r="E325" s="13" t="s">
        <v>2208</v>
      </c>
      <c r="F325" s="13" t="s">
        <v>2217</v>
      </c>
      <c r="G325" s="13">
        <v>80.95</v>
      </c>
      <c r="H325" s="13">
        <v>36.799999999999997</v>
      </c>
      <c r="I325" s="13">
        <v>51.16</v>
      </c>
      <c r="J325" s="24">
        <v>45875</v>
      </c>
      <c r="K325" s="13">
        <v>16</v>
      </c>
      <c r="L325" s="13">
        <v>2.5</v>
      </c>
      <c r="M325" s="13" t="b">
        <v>0</v>
      </c>
      <c r="O325" s="13">
        <f t="shared" si="5"/>
        <v>2.5</v>
      </c>
    </row>
    <row r="326" spans="1:15" x14ac:dyDescent="0.25">
      <c r="A326" s="13" t="s">
        <v>338</v>
      </c>
      <c r="B326" s="13" t="s">
        <v>2190</v>
      </c>
      <c r="C326" s="13" t="s">
        <v>2198</v>
      </c>
      <c r="D326" s="13" t="s">
        <v>2207</v>
      </c>
      <c r="E326" s="13" t="s">
        <v>2213</v>
      </c>
      <c r="F326" s="13" t="s">
        <v>2222</v>
      </c>
      <c r="G326" s="13">
        <v>169.84</v>
      </c>
      <c r="H326" s="13">
        <v>50.2</v>
      </c>
      <c r="I326" s="13">
        <v>84.58</v>
      </c>
      <c r="J326" s="24">
        <v>45875</v>
      </c>
      <c r="K326" s="13">
        <v>21</v>
      </c>
      <c r="L326" s="13">
        <v>3</v>
      </c>
      <c r="M326" s="13" t="b">
        <v>1</v>
      </c>
      <c r="N326" s="13" t="s">
        <v>2228</v>
      </c>
      <c r="O326" s="13">
        <f t="shared" si="5"/>
        <v>3</v>
      </c>
    </row>
    <row r="327" spans="1:15" x14ac:dyDescent="0.25">
      <c r="A327" s="13" t="s">
        <v>339</v>
      </c>
      <c r="B327" s="13" t="s">
        <v>2195</v>
      </c>
      <c r="C327" s="13" t="s">
        <v>2203</v>
      </c>
      <c r="D327" s="13" t="s">
        <v>2206</v>
      </c>
      <c r="E327" s="13" t="s">
        <v>2213</v>
      </c>
      <c r="F327" s="13" t="s">
        <v>2220</v>
      </c>
      <c r="G327" s="13">
        <v>159.4</v>
      </c>
      <c r="H327" s="13">
        <v>8.8000000000000007</v>
      </c>
      <c r="I327" s="13">
        <v>145.37</v>
      </c>
      <c r="J327" s="24">
        <v>45875</v>
      </c>
      <c r="K327" s="13">
        <v>43</v>
      </c>
      <c r="L327" s="13">
        <v>4.5</v>
      </c>
      <c r="M327" s="13" t="b">
        <v>0</v>
      </c>
      <c r="O327" s="13">
        <f t="shared" si="5"/>
        <v>4.5</v>
      </c>
    </row>
    <row r="328" spans="1:15" x14ac:dyDescent="0.25">
      <c r="A328" s="13" t="s">
        <v>340</v>
      </c>
      <c r="B328" s="13" t="s">
        <v>2194</v>
      </c>
      <c r="C328" s="13" t="s">
        <v>2203</v>
      </c>
      <c r="D328" s="13" t="s">
        <v>2205</v>
      </c>
      <c r="E328" s="13" t="s">
        <v>2210</v>
      </c>
      <c r="F328" s="13" t="s">
        <v>2216</v>
      </c>
      <c r="G328" s="13">
        <v>106.53</v>
      </c>
      <c r="H328" s="13">
        <v>46.5</v>
      </c>
      <c r="I328" s="13">
        <v>56.99</v>
      </c>
      <c r="J328" s="24">
        <v>45875</v>
      </c>
      <c r="K328" s="13">
        <v>17</v>
      </c>
      <c r="M328" s="13" t="b">
        <v>0</v>
      </c>
      <c r="O328" s="13">
        <f t="shared" si="5"/>
        <v>3.1021739130434773</v>
      </c>
    </row>
    <row r="329" spans="1:15" x14ac:dyDescent="0.25">
      <c r="A329" s="13" t="s">
        <v>341</v>
      </c>
      <c r="B329" s="13" t="s">
        <v>2192</v>
      </c>
      <c r="C329" s="13" t="s">
        <v>2202</v>
      </c>
      <c r="D329" s="13" t="s">
        <v>2204</v>
      </c>
      <c r="F329" s="13" t="s">
        <v>2216</v>
      </c>
      <c r="G329" s="13">
        <v>78.81</v>
      </c>
      <c r="H329" s="13">
        <v>44.7</v>
      </c>
      <c r="I329" s="13">
        <v>43.58</v>
      </c>
      <c r="J329" s="24">
        <v>45548</v>
      </c>
      <c r="K329" s="13">
        <v>34</v>
      </c>
      <c r="L329" s="13">
        <v>1.4</v>
      </c>
      <c r="M329" s="13" t="b">
        <v>0</v>
      </c>
      <c r="O329" s="13">
        <f t="shared" si="5"/>
        <v>1.4</v>
      </c>
    </row>
    <row r="330" spans="1:15" x14ac:dyDescent="0.25">
      <c r="A330" s="13" t="s">
        <v>342</v>
      </c>
      <c r="B330" s="13" t="s">
        <v>2190</v>
      </c>
      <c r="C330" s="13" t="s">
        <v>2197</v>
      </c>
      <c r="D330" s="13" t="s">
        <v>2207</v>
      </c>
      <c r="E330" s="13" t="s">
        <v>2212</v>
      </c>
      <c r="F330" s="13" t="s">
        <v>2218</v>
      </c>
      <c r="G330" s="13">
        <v>117.45</v>
      </c>
      <c r="H330" s="13">
        <v>29.5</v>
      </c>
      <c r="I330" s="13">
        <v>82.8</v>
      </c>
      <c r="J330" s="24">
        <v>45875</v>
      </c>
      <c r="K330" s="13">
        <v>43</v>
      </c>
      <c r="L330" s="13">
        <v>1.2</v>
      </c>
      <c r="M330" s="13" t="b">
        <v>0</v>
      </c>
      <c r="O330" s="13">
        <f t="shared" si="5"/>
        <v>1.2</v>
      </c>
    </row>
    <row r="331" spans="1:15" x14ac:dyDescent="0.25">
      <c r="A331" s="13" t="s">
        <v>343</v>
      </c>
      <c r="B331" s="13" t="s">
        <v>2192</v>
      </c>
      <c r="C331" s="13" t="s">
        <v>2202</v>
      </c>
      <c r="D331" s="13" t="s">
        <v>2204</v>
      </c>
      <c r="F331" s="13" t="s">
        <v>2221</v>
      </c>
      <c r="G331" s="13">
        <v>76.94</v>
      </c>
      <c r="H331" s="13">
        <v>0</v>
      </c>
      <c r="I331" s="13">
        <v>76.94</v>
      </c>
      <c r="J331" s="24">
        <v>45821</v>
      </c>
      <c r="K331" s="13">
        <v>21</v>
      </c>
      <c r="L331" s="13">
        <v>4.3</v>
      </c>
      <c r="M331" s="13" t="b">
        <v>0</v>
      </c>
      <c r="O331" s="13">
        <f t="shared" si="5"/>
        <v>4.3</v>
      </c>
    </row>
    <row r="332" spans="1:15" x14ac:dyDescent="0.25">
      <c r="A332" s="13" t="s">
        <v>344</v>
      </c>
      <c r="B332" s="13" t="s">
        <v>2190</v>
      </c>
      <c r="C332" s="13" t="s">
        <v>2202</v>
      </c>
      <c r="D332" s="13" t="s">
        <v>2207</v>
      </c>
      <c r="E332" s="13" t="s">
        <v>2209</v>
      </c>
      <c r="F332" s="13" t="s">
        <v>2217</v>
      </c>
      <c r="G332" s="13">
        <v>232.19</v>
      </c>
      <c r="H332" s="13">
        <v>0</v>
      </c>
      <c r="I332" s="13">
        <v>232.19</v>
      </c>
      <c r="J332" s="24">
        <v>45875</v>
      </c>
      <c r="K332" s="13">
        <v>31</v>
      </c>
      <c r="L332" s="13">
        <v>1.3</v>
      </c>
      <c r="M332" s="13" t="b">
        <v>1</v>
      </c>
      <c r="N332" s="13" t="s">
        <v>2229</v>
      </c>
      <c r="O332" s="13">
        <f t="shared" si="5"/>
        <v>1.3</v>
      </c>
    </row>
    <row r="333" spans="1:15" x14ac:dyDescent="0.25">
      <c r="A333" s="13" t="s">
        <v>345</v>
      </c>
      <c r="B333" s="13" t="s">
        <v>2195</v>
      </c>
      <c r="C333" s="13" t="s">
        <v>2203</v>
      </c>
      <c r="D333" s="13" t="s">
        <v>2206</v>
      </c>
      <c r="E333" s="13" t="s">
        <v>2212</v>
      </c>
      <c r="F333" s="13" t="s">
        <v>2222</v>
      </c>
      <c r="G333" s="13">
        <v>80.400000000000006</v>
      </c>
      <c r="H333" s="13">
        <v>52.1</v>
      </c>
      <c r="I333" s="13">
        <v>38.51</v>
      </c>
      <c r="J333" s="24">
        <v>45875</v>
      </c>
      <c r="K333" s="13">
        <v>7</v>
      </c>
      <c r="L333" s="13">
        <v>1.2</v>
      </c>
      <c r="M333" s="13" t="b">
        <v>0</v>
      </c>
      <c r="O333" s="13">
        <f t="shared" si="5"/>
        <v>1.2</v>
      </c>
    </row>
    <row r="334" spans="1:15" x14ac:dyDescent="0.25">
      <c r="A334" s="13" t="s">
        <v>346</v>
      </c>
      <c r="B334" s="13" t="s">
        <v>2194</v>
      </c>
      <c r="C334" s="13" t="s">
        <v>2199</v>
      </c>
      <c r="D334" s="13" t="s">
        <v>2207</v>
      </c>
      <c r="E334" s="13" t="s">
        <v>2208</v>
      </c>
      <c r="F334" s="13" t="s">
        <v>2216</v>
      </c>
      <c r="G334" s="13">
        <v>102.82</v>
      </c>
      <c r="H334" s="13">
        <v>0</v>
      </c>
      <c r="I334" s="13">
        <v>102.82</v>
      </c>
      <c r="J334" s="24">
        <v>45875</v>
      </c>
      <c r="K334" s="13">
        <v>50</v>
      </c>
      <c r="L334" s="13">
        <v>3.6</v>
      </c>
      <c r="M334" s="13" t="b">
        <v>0</v>
      </c>
      <c r="O334" s="13">
        <f t="shared" si="5"/>
        <v>3.6</v>
      </c>
    </row>
    <row r="335" spans="1:15" x14ac:dyDescent="0.25">
      <c r="A335" s="13" t="s">
        <v>347</v>
      </c>
      <c r="B335" s="13" t="s">
        <v>2192</v>
      </c>
      <c r="C335" s="13" t="s">
        <v>2196</v>
      </c>
      <c r="D335" s="13" t="s">
        <v>2204</v>
      </c>
      <c r="F335" s="13" t="s">
        <v>2222</v>
      </c>
      <c r="G335" s="13">
        <v>48.5</v>
      </c>
      <c r="H335" s="13">
        <v>0</v>
      </c>
      <c r="I335" s="13">
        <v>48.5</v>
      </c>
      <c r="J335" s="24">
        <v>45786</v>
      </c>
      <c r="K335" s="13">
        <v>46</v>
      </c>
      <c r="M335" s="13" t="b">
        <v>0</v>
      </c>
      <c r="O335" s="13">
        <f t="shared" si="5"/>
        <v>2.9116666666666675</v>
      </c>
    </row>
    <row r="336" spans="1:15" x14ac:dyDescent="0.25">
      <c r="A336" s="13" t="s">
        <v>348</v>
      </c>
      <c r="B336" s="13" t="s">
        <v>2194</v>
      </c>
      <c r="C336" s="13" t="s">
        <v>2199</v>
      </c>
      <c r="D336" s="13" t="s">
        <v>2206</v>
      </c>
      <c r="F336" s="13" t="s">
        <v>2215</v>
      </c>
      <c r="G336" s="13">
        <v>88.4</v>
      </c>
      <c r="H336" s="13">
        <v>0</v>
      </c>
      <c r="I336" s="13">
        <v>88.4</v>
      </c>
      <c r="J336" s="24">
        <v>45875</v>
      </c>
      <c r="K336" s="13">
        <v>1</v>
      </c>
      <c r="L336" s="13">
        <v>1.4</v>
      </c>
      <c r="M336" s="13" t="b">
        <v>0</v>
      </c>
      <c r="O336" s="13">
        <f t="shared" si="5"/>
        <v>1.4</v>
      </c>
    </row>
    <row r="337" spans="1:15" x14ac:dyDescent="0.25">
      <c r="A337" s="13" t="s">
        <v>349</v>
      </c>
      <c r="B337" s="13" t="s">
        <v>2193</v>
      </c>
      <c r="C337" s="13" t="s">
        <v>2199</v>
      </c>
      <c r="D337" s="13" t="s">
        <v>2205</v>
      </c>
      <c r="E337" s="13" t="s">
        <v>2210</v>
      </c>
      <c r="F337" s="13" t="s">
        <v>2216</v>
      </c>
      <c r="G337" s="13">
        <v>112.5</v>
      </c>
      <c r="H337" s="13">
        <v>0</v>
      </c>
      <c r="I337" s="13">
        <v>112.5</v>
      </c>
      <c r="J337" s="24">
        <v>45875</v>
      </c>
      <c r="K337" s="13">
        <v>11</v>
      </c>
      <c r="L337" s="13">
        <v>4.3</v>
      </c>
      <c r="M337" s="13" t="b">
        <v>0</v>
      </c>
      <c r="O337" s="13">
        <f t="shared" si="5"/>
        <v>4.3</v>
      </c>
    </row>
    <row r="338" spans="1:15" x14ac:dyDescent="0.25">
      <c r="A338" s="13" t="s">
        <v>350</v>
      </c>
      <c r="B338" s="13" t="s">
        <v>2194</v>
      </c>
      <c r="C338" s="13" t="s">
        <v>2196</v>
      </c>
      <c r="D338" s="13" t="s">
        <v>2206</v>
      </c>
      <c r="E338" s="13" t="s">
        <v>2211</v>
      </c>
      <c r="F338" s="13" t="s">
        <v>2218</v>
      </c>
      <c r="G338" s="13">
        <v>97.95</v>
      </c>
      <c r="H338" s="13">
        <v>11.1</v>
      </c>
      <c r="I338" s="13">
        <v>87.08</v>
      </c>
      <c r="J338" s="24">
        <v>45875</v>
      </c>
      <c r="K338" s="13">
        <v>25</v>
      </c>
      <c r="L338" s="13">
        <v>2.4</v>
      </c>
      <c r="M338" s="13" t="b">
        <v>0</v>
      </c>
      <c r="O338" s="13">
        <f t="shared" si="5"/>
        <v>2.4</v>
      </c>
    </row>
    <row r="339" spans="1:15" x14ac:dyDescent="0.25">
      <c r="A339" s="13" t="s">
        <v>351</v>
      </c>
      <c r="B339" s="13" t="s">
        <v>2190</v>
      </c>
      <c r="C339" s="13" t="s">
        <v>2200</v>
      </c>
      <c r="D339" s="13" t="s">
        <v>2207</v>
      </c>
      <c r="E339" s="13" t="s">
        <v>2213</v>
      </c>
      <c r="F339" s="13" t="s">
        <v>2215</v>
      </c>
      <c r="G339" s="13">
        <v>114.51</v>
      </c>
      <c r="H339" s="13">
        <v>36.9</v>
      </c>
      <c r="I339" s="13">
        <v>72.260000000000005</v>
      </c>
      <c r="J339" s="24">
        <v>45875</v>
      </c>
      <c r="K339" s="13">
        <v>33</v>
      </c>
      <c r="L339" s="13">
        <v>1.5</v>
      </c>
      <c r="M339" s="13" t="b">
        <v>0</v>
      </c>
      <c r="O339" s="13">
        <f t="shared" si="5"/>
        <v>1.5</v>
      </c>
    </row>
    <row r="340" spans="1:15" x14ac:dyDescent="0.25">
      <c r="A340" s="13" t="s">
        <v>352</v>
      </c>
      <c r="B340" s="13" t="s">
        <v>2194</v>
      </c>
      <c r="C340" s="13" t="s">
        <v>2196</v>
      </c>
      <c r="D340" s="13" t="s">
        <v>2205</v>
      </c>
      <c r="E340" s="13" t="s">
        <v>2212</v>
      </c>
      <c r="F340" s="13" t="s">
        <v>2224</v>
      </c>
      <c r="G340" s="13">
        <v>27.85</v>
      </c>
      <c r="H340" s="13">
        <v>0</v>
      </c>
      <c r="I340" s="13">
        <v>27.85</v>
      </c>
      <c r="J340" s="24">
        <v>45875</v>
      </c>
      <c r="K340" s="13">
        <v>0</v>
      </c>
      <c r="L340" s="13">
        <v>1.5</v>
      </c>
      <c r="M340" s="13" t="b">
        <v>0</v>
      </c>
      <c r="O340" s="13">
        <f t="shared" si="5"/>
        <v>1.5</v>
      </c>
    </row>
    <row r="341" spans="1:15" x14ac:dyDescent="0.25">
      <c r="A341" s="13" t="s">
        <v>353</v>
      </c>
      <c r="B341" s="13" t="s">
        <v>2193</v>
      </c>
      <c r="C341" s="13" t="s">
        <v>2201</v>
      </c>
      <c r="D341" s="13" t="s">
        <v>2204</v>
      </c>
      <c r="E341" s="13" t="s">
        <v>2208</v>
      </c>
      <c r="F341" s="13" t="s">
        <v>2219</v>
      </c>
      <c r="G341" s="13">
        <v>82.08</v>
      </c>
      <c r="H341" s="13">
        <v>40.6</v>
      </c>
      <c r="I341" s="13">
        <v>48.76</v>
      </c>
      <c r="J341" s="24">
        <v>45800</v>
      </c>
      <c r="K341" s="13">
        <v>43</v>
      </c>
      <c r="L341" s="13">
        <v>2.5</v>
      </c>
      <c r="M341" s="13" t="b">
        <v>1</v>
      </c>
      <c r="N341" s="13" t="s">
        <v>2228</v>
      </c>
      <c r="O341" s="13">
        <f t="shared" si="5"/>
        <v>2.5</v>
      </c>
    </row>
    <row r="342" spans="1:15" x14ac:dyDescent="0.25">
      <c r="A342" s="13" t="s">
        <v>354</v>
      </c>
      <c r="B342" s="13" t="s">
        <v>2194</v>
      </c>
      <c r="C342" s="13" t="s">
        <v>2199</v>
      </c>
      <c r="D342" s="13" t="s">
        <v>2207</v>
      </c>
      <c r="E342" s="13" t="s">
        <v>2210</v>
      </c>
      <c r="F342" s="13" t="s">
        <v>2216</v>
      </c>
      <c r="G342" s="13">
        <v>116.41</v>
      </c>
      <c r="H342" s="13">
        <v>40.700000000000003</v>
      </c>
      <c r="I342" s="13">
        <v>69.03</v>
      </c>
      <c r="J342" s="24">
        <v>45875</v>
      </c>
      <c r="K342" s="13">
        <v>23</v>
      </c>
      <c r="L342" s="13">
        <v>1.2</v>
      </c>
      <c r="M342" s="13" t="b">
        <v>0</v>
      </c>
      <c r="O342" s="13">
        <f t="shared" si="5"/>
        <v>1.2</v>
      </c>
    </row>
    <row r="343" spans="1:15" x14ac:dyDescent="0.25">
      <c r="A343" s="13" t="s">
        <v>355</v>
      </c>
      <c r="B343" s="13" t="s">
        <v>2194</v>
      </c>
      <c r="C343" s="13" t="s">
        <v>2201</v>
      </c>
      <c r="D343" s="13" t="s">
        <v>2204</v>
      </c>
      <c r="E343" s="13" t="s">
        <v>2213</v>
      </c>
      <c r="F343" s="13" t="s">
        <v>2217</v>
      </c>
      <c r="G343" s="13">
        <v>95.61</v>
      </c>
      <c r="H343" s="13">
        <v>0</v>
      </c>
      <c r="I343" s="13">
        <v>95.61</v>
      </c>
      <c r="J343" s="24">
        <v>45818</v>
      </c>
      <c r="K343" s="13">
        <v>47</v>
      </c>
      <c r="L343" s="13">
        <v>4.7</v>
      </c>
      <c r="M343" s="13" t="b">
        <v>1</v>
      </c>
      <c r="N343" s="13" t="s">
        <v>2228</v>
      </c>
      <c r="O343" s="13">
        <f t="shared" si="5"/>
        <v>4.7</v>
      </c>
    </row>
    <row r="344" spans="1:15" x14ac:dyDescent="0.25">
      <c r="A344" s="13" t="s">
        <v>356</v>
      </c>
      <c r="B344" s="13" t="s">
        <v>2193</v>
      </c>
      <c r="C344" s="13" t="s">
        <v>2199</v>
      </c>
      <c r="D344" s="13" t="s">
        <v>2206</v>
      </c>
      <c r="E344" s="13" t="s">
        <v>2213</v>
      </c>
      <c r="F344" s="13" t="s">
        <v>2217</v>
      </c>
      <c r="G344" s="13">
        <v>70.040000000000006</v>
      </c>
      <c r="H344" s="13">
        <v>0</v>
      </c>
      <c r="I344" s="13">
        <v>70.040000000000006</v>
      </c>
      <c r="J344" s="24">
        <v>45875</v>
      </c>
      <c r="K344" s="13">
        <v>12</v>
      </c>
      <c r="L344" s="13">
        <v>2.4</v>
      </c>
      <c r="M344" s="13" t="b">
        <v>0</v>
      </c>
      <c r="O344" s="13">
        <f t="shared" si="5"/>
        <v>2.4</v>
      </c>
    </row>
    <row r="345" spans="1:15" x14ac:dyDescent="0.25">
      <c r="A345" s="13" t="s">
        <v>357</v>
      </c>
      <c r="B345" s="13" t="s">
        <v>2193</v>
      </c>
      <c r="C345" s="13" t="s">
        <v>2198</v>
      </c>
      <c r="D345" s="13" t="s">
        <v>2205</v>
      </c>
      <c r="E345" s="13" t="s">
        <v>2210</v>
      </c>
      <c r="F345" s="13" t="s">
        <v>2218</v>
      </c>
      <c r="G345" s="13">
        <v>112.59</v>
      </c>
      <c r="H345" s="13">
        <v>54</v>
      </c>
      <c r="I345" s="13">
        <v>51.79</v>
      </c>
      <c r="J345" s="24">
        <v>45875</v>
      </c>
      <c r="K345" s="13">
        <v>17</v>
      </c>
      <c r="L345" s="13">
        <v>4</v>
      </c>
      <c r="M345" s="13" t="b">
        <v>0</v>
      </c>
      <c r="O345" s="13">
        <f t="shared" si="5"/>
        <v>4</v>
      </c>
    </row>
    <row r="346" spans="1:15" x14ac:dyDescent="0.25">
      <c r="A346" s="13" t="s">
        <v>358</v>
      </c>
      <c r="B346" s="13" t="s">
        <v>2192</v>
      </c>
      <c r="C346" s="13" t="s">
        <v>2196</v>
      </c>
      <c r="D346" s="13" t="s">
        <v>2207</v>
      </c>
      <c r="F346" s="13" t="s">
        <v>2223</v>
      </c>
      <c r="G346" s="13">
        <v>26.8</v>
      </c>
      <c r="H346" s="13">
        <v>0.9</v>
      </c>
      <c r="I346" s="13">
        <v>26.56</v>
      </c>
      <c r="J346" s="24">
        <v>45875</v>
      </c>
      <c r="K346" s="13">
        <v>25</v>
      </c>
      <c r="L346" s="13">
        <v>1.2</v>
      </c>
      <c r="M346" s="13" t="b">
        <v>1</v>
      </c>
      <c r="N346" s="13" t="s">
        <v>2225</v>
      </c>
      <c r="O346" s="13">
        <f t="shared" si="5"/>
        <v>1.2</v>
      </c>
    </row>
    <row r="347" spans="1:15" x14ac:dyDescent="0.25">
      <c r="A347" s="13" t="s">
        <v>359</v>
      </c>
      <c r="B347" s="13" t="s">
        <v>2191</v>
      </c>
      <c r="C347" s="13" t="s">
        <v>2200</v>
      </c>
      <c r="D347" s="13" t="s">
        <v>2207</v>
      </c>
      <c r="E347" s="13" t="s">
        <v>2209</v>
      </c>
      <c r="F347" s="13" t="s">
        <v>2219</v>
      </c>
      <c r="G347" s="13">
        <v>50.09</v>
      </c>
      <c r="H347" s="13">
        <v>0</v>
      </c>
      <c r="I347" s="13">
        <v>50.09</v>
      </c>
      <c r="J347" s="24">
        <v>45875</v>
      </c>
      <c r="K347" s="13">
        <v>47</v>
      </c>
      <c r="L347" s="13">
        <v>4</v>
      </c>
      <c r="M347" s="13" t="b">
        <v>0</v>
      </c>
      <c r="O347" s="13">
        <f t="shared" si="5"/>
        <v>4</v>
      </c>
    </row>
    <row r="348" spans="1:15" x14ac:dyDescent="0.25">
      <c r="A348" s="13" t="s">
        <v>360</v>
      </c>
      <c r="B348" s="13" t="s">
        <v>2194</v>
      </c>
      <c r="C348" s="13" t="s">
        <v>2199</v>
      </c>
      <c r="D348" s="13" t="s">
        <v>2204</v>
      </c>
      <c r="E348" s="13" t="s">
        <v>2212</v>
      </c>
      <c r="F348" s="13" t="s">
        <v>2220</v>
      </c>
      <c r="G348" s="13">
        <v>92.84</v>
      </c>
      <c r="H348" s="13">
        <v>4.2</v>
      </c>
      <c r="I348" s="13">
        <v>88.94</v>
      </c>
      <c r="J348" s="24">
        <v>45670</v>
      </c>
      <c r="K348" s="13">
        <v>0</v>
      </c>
      <c r="M348" s="13" t="b">
        <v>1</v>
      </c>
      <c r="N348" s="13" t="s">
        <v>2226</v>
      </c>
      <c r="O348" s="13">
        <f t="shared" si="5"/>
        <v>2.8142857142857149</v>
      </c>
    </row>
    <row r="349" spans="1:15" x14ac:dyDescent="0.25">
      <c r="A349" s="13" t="s">
        <v>361</v>
      </c>
      <c r="B349" s="13" t="s">
        <v>2191</v>
      </c>
      <c r="C349" s="13" t="s">
        <v>2197</v>
      </c>
      <c r="D349" s="13" t="s">
        <v>2207</v>
      </c>
      <c r="E349" s="13" t="s">
        <v>2211</v>
      </c>
      <c r="F349" s="13" t="s">
        <v>2218</v>
      </c>
      <c r="G349" s="13">
        <v>114.63</v>
      </c>
      <c r="H349" s="13">
        <v>0</v>
      </c>
      <c r="I349" s="13">
        <v>114.63</v>
      </c>
      <c r="J349" s="24">
        <v>45875</v>
      </c>
      <c r="K349" s="13">
        <v>47</v>
      </c>
      <c r="L349" s="13">
        <v>3.8</v>
      </c>
      <c r="M349" s="13" t="b">
        <v>1</v>
      </c>
      <c r="N349" s="13" t="s">
        <v>2229</v>
      </c>
      <c r="O349" s="13">
        <f t="shared" si="5"/>
        <v>3.8</v>
      </c>
    </row>
    <row r="350" spans="1:15" x14ac:dyDescent="0.25">
      <c r="A350" s="13" t="s">
        <v>362</v>
      </c>
      <c r="B350" s="13" t="s">
        <v>2192</v>
      </c>
      <c r="C350" s="13" t="s">
        <v>2202</v>
      </c>
      <c r="D350" s="13" t="s">
        <v>2207</v>
      </c>
      <c r="F350" s="13" t="s">
        <v>2223</v>
      </c>
      <c r="G350" s="13">
        <v>21.9</v>
      </c>
      <c r="H350" s="13">
        <v>29.2</v>
      </c>
      <c r="I350" s="13">
        <v>15.51</v>
      </c>
      <c r="J350" s="24">
        <v>45875</v>
      </c>
      <c r="K350" s="13">
        <v>35</v>
      </c>
      <c r="L350" s="13">
        <v>2</v>
      </c>
      <c r="M350" s="13" t="b">
        <v>0</v>
      </c>
      <c r="O350" s="13">
        <f t="shared" si="5"/>
        <v>2</v>
      </c>
    </row>
    <row r="351" spans="1:15" x14ac:dyDescent="0.25">
      <c r="A351" s="13" t="s">
        <v>363</v>
      </c>
      <c r="B351" s="13" t="s">
        <v>2195</v>
      </c>
      <c r="C351" s="13" t="s">
        <v>2196</v>
      </c>
      <c r="D351" s="13" t="s">
        <v>2204</v>
      </c>
      <c r="E351" s="13" t="s">
        <v>2212</v>
      </c>
      <c r="F351" s="13" t="s">
        <v>2222</v>
      </c>
      <c r="G351" s="13">
        <v>100.55</v>
      </c>
      <c r="H351" s="13">
        <v>46.7</v>
      </c>
      <c r="I351" s="13">
        <v>53.59</v>
      </c>
      <c r="J351" s="24">
        <v>45689</v>
      </c>
      <c r="K351" s="13">
        <v>30</v>
      </c>
      <c r="M351" s="13" t="b">
        <v>0</v>
      </c>
      <c r="O351" s="13">
        <f t="shared" si="5"/>
        <v>3.0424242424242425</v>
      </c>
    </row>
    <row r="352" spans="1:15" x14ac:dyDescent="0.25">
      <c r="A352" s="13" t="s">
        <v>364</v>
      </c>
      <c r="B352" s="13" t="s">
        <v>2192</v>
      </c>
      <c r="C352" s="13" t="s">
        <v>2203</v>
      </c>
      <c r="D352" s="13" t="s">
        <v>2207</v>
      </c>
      <c r="F352" s="13" t="s">
        <v>2224</v>
      </c>
      <c r="G352" s="13">
        <v>47.45</v>
      </c>
      <c r="H352" s="13">
        <v>16.399999999999999</v>
      </c>
      <c r="I352" s="13">
        <v>39.67</v>
      </c>
      <c r="J352" s="24">
        <v>45875</v>
      </c>
      <c r="K352" s="13">
        <v>33</v>
      </c>
      <c r="L352" s="13">
        <v>1.7</v>
      </c>
      <c r="M352" s="13" t="b">
        <v>0</v>
      </c>
      <c r="O352" s="13">
        <f t="shared" si="5"/>
        <v>1.7</v>
      </c>
    </row>
    <row r="353" spans="1:15" x14ac:dyDescent="0.25">
      <c r="A353" s="13" t="s">
        <v>365</v>
      </c>
      <c r="B353" s="13" t="s">
        <v>2194</v>
      </c>
      <c r="C353" s="13" t="s">
        <v>2200</v>
      </c>
      <c r="D353" s="13" t="s">
        <v>2207</v>
      </c>
      <c r="E353" s="13" t="s">
        <v>2208</v>
      </c>
      <c r="F353" s="13" t="s">
        <v>2224</v>
      </c>
      <c r="G353" s="13">
        <v>113.21</v>
      </c>
      <c r="H353" s="13">
        <v>0</v>
      </c>
      <c r="I353" s="13">
        <v>113.21</v>
      </c>
      <c r="J353" s="24">
        <v>45875</v>
      </c>
      <c r="K353" s="13">
        <v>8</v>
      </c>
      <c r="L353" s="13">
        <v>2.7</v>
      </c>
      <c r="M353" s="13" t="b">
        <v>0</v>
      </c>
      <c r="O353" s="13">
        <f t="shared" si="5"/>
        <v>2.7</v>
      </c>
    </row>
    <row r="354" spans="1:15" x14ac:dyDescent="0.25">
      <c r="A354" s="13" t="s">
        <v>366</v>
      </c>
      <c r="B354" s="13" t="s">
        <v>2195</v>
      </c>
      <c r="C354" s="13" t="s">
        <v>2198</v>
      </c>
      <c r="D354" s="13" t="s">
        <v>2204</v>
      </c>
      <c r="E354" s="13" t="s">
        <v>2212</v>
      </c>
      <c r="F354" s="13" t="s">
        <v>2216</v>
      </c>
      <c r="G354" s="13">
        <v>163.27000000000001</v>
      </c>
      <c r="H354" s="13">
        <v>0</v>
      </c>
      <c r="I354" s="13">
        <v>163.27000000000001</v>
      </c>
      <c r="J354" s="24">
        <v>45770</v>
      </c>
      <c r="K354" s="13">
        <v>24</v>
      </c>
      <c r="L354" s="13">
        <v>2.5</v>
      </c>
      <c r="M354" s="13" t="b">
        <v>0</v>
      </c>
      <c r="O354" s="13">
        <f t="shared" si="5"/>
        <v>2.5</v>
      </c>
    </row>
    <row r="355" spans="1:15" x14ac:dyDescent="0.25">
      <c r="A355" s="13" t="s">
        <v>367</v>
      </c>
      <c r="B355" s="13" t="s">
        <v>2192</v>
      </c>
      <c r="C355" s="13" t="s">
        <v>2197</v>
      </c>
      <c r="D355" s="13" t="s">
        <v>2206</v>
      </c>
      <c r="F355" s="13" t="s">
        <v>2216</v>
      </c>
      <c r="G355" s="13">
        <v>44.58</v>
      </c>
      <c r="H355" s="13">
        <v>0</v>
      </c>
      <c r="I355" s="13">
        <v>44.58</v>
      </c>
      <c r="J355" s="24">
        <v>45875</v>
      </c>
      <c r="K355" s="13">
        <v>21</v>
      </c>
      <c r="M355" s="13" t="b">
        <v>0</v>
      </c>
      <c r="O355" s="13">
        <f t="shared" si="5"/>
        <v>3.1288461538461547</v>
      </c>
    </row>
    <row r="356" spans="1:15" x14ac:dyDescent="0.25">
      <c r="A356" s="13" t="s">
        <v>368</v>
      </c>
      <c r="B356" s="13" t="s">
        <v>2195</v>
      </c>
      <c r="C356" s="13" t="s">
        <v>2203</v>
      </c>
      <c r="D356" s="13" t="s">
        <v>2207</v>
      </c>
      <c r="E356" s="13" t="s">
        <v>2209</v>
      </c>
      <c r="F356" s="13" t="s">
        <v>2214</v>
      </c>
      <c r="G356" s="13">
        <v>166.53</v>
      </c>
      <c r="H356" s="13">
        <v>0</v>
      </c>
      <c r="I356" s="13">
        <v>166.53</v>
      </c>
      <c r="J356" s="24">
        <v>45875</v>
      </c>
      <c r="K356" s="13">
        <v>28</v>
      </c>
      <c r="L356" s="13">
        <v>1.7</v>
      </c>
      <c r="M356" s="13" t="b">
        <v>0</v>
      </c>
      <c r="O356" s="13">
        <f t="shared" si="5"/>
        <v>1.7</v>
      </c>
    </row>
    <row r="357" spans="1:15" x14ac:dyDescent="0.25">
      <c r="A357" s="13" t="s">
        <v>369</v>
      </c>
      <c r="B357" s="13" t="s">
        <v>2193</v>
      </c>
      <c r="C357" s="13" t="s">
        <v>2198</v>
      </c>
      <c r="D357" s="13" t="s">
        <v>2207</v>
      </c>
      <c r="E357" s="13" t="s">
        <v>2208</v>
      </c>
      <c r="F357" s="13" t="s">
        <v>2215</v>
      </c>
      <c r="G357" s="13">
        <v>144.61000000000001</v>
      </c>
      <c r="H357" s="13">
        <v>0</v>
      </c>
      <c r="I357" s="13">
        <v>144.61000000000001</v>
      </c>
      <c r="J357" s="24">
        <v>45875</v>
      </c>
      <c r="K357" s="13">
        <v>21</v>
      </c>
      <c r="L357" s="13">
        <v>2.5</v>
      </c>
      <c r="M357" s="13" t="b">
        <v>0</v>
      </c>
      <c r="O357" s="13">
        <f t="shared" si="5"/>
        <v>2.5</v>
      </c>
    </row>
    <row r="358" spans="1:15" x14ac:dyDescent="0.25">
      <c r="A358" s="13" t="s">
        <v>370</v>
      </c>
      <c r="B358" s="13" t="s">
        <v>2192</v>
      </c>
      <c r="C358" s="13" t="s">
        <v>2199</v>
      </c>
      <c r="D358" s="13" t="s">
        <v>2206</v>
      </c>
      <c r="F358" s="13" t="s">
        <v>2222</v>
      </c>
      <c r="G358" s="13">
        <v>31</v>
      </c>
      <c r="H358" s="13">
        <v>0</v>
      </c>
      <c r="I358" s="13">
        <v>31</v>
      </c>
      <c r="J358" s="24">
        <v>45875</v>
      </c>
      <c r="K358" s="13">
        <v>29</v>
      </c>
      <c r="L358" s="13">
        <v>1.9</v>
      </c>
      <c r="M358" s="13" t="b">
        <v>0</v>
      </c>
      <c r="O358" s="13">
        <f t="shared" si="5"/>
        <v>1.9</v>
      </c>
    </row>
    <row r="359" spans="1:15" x14ac:dyDescent="0.25">
      <c r="A359" s="13" t="s">
        <v>371</v>
      </c>
      <c r="B359" s="13" t="s">
        <v>2192</v>
      </c>
      <c r="C359" s="13" t="s">
        <v>2203</v>
      </c>
      <c r="D359" s="13" t="s">
        <v>2205</v>
      </c>
      <c r="F359" s="13" t="s">
        <v>2215</v>
      </c>
      <c r="G359" s="13">
        <v>68.569999999999993</v>
      </c>
      <c r="H359" s="13">
        <v>29.4</v>
      </c>
      <c r="I359" s="13">
        <v>48.41</v>
      </c>
      <c r="J359" s="24">
        <v>45875</v>
      </c>
      <c r="K359" s="13">
        <v>4</v>
      </c>
      <c r="L359" s="13">
        <v>3.5</v>
      </c>
      <c r="M359" s="13" t="b">
        <v>0</v>
      </c>
      <c r="O359" s="13">
        <f t="shared" si="5"/>
        <v>3.5</v>
      </c>
    </row>
    <row r="360" spans="1:15" x14ac:dyDescent="0.25">
      <c r="A360" s="13" t="s">
        <v>372</v>
      </c>
      <c r="B360" s="13" t="s">
        <v>2195</v>
      </c>
      <c r="C360" s="13" t="s">
        <v>2203</v>
      </c>
      <c r="D360" s="13" t="s">
        <v>2207</v>
      </c>
      <c r="E360" s="13" t="s">
        <v>2209</v>
      </c>
      <c r="F360" s="13" t="s">
        <v>2214</v>
      </c>
      <c r="G360" s="13">
        <v>73.040000000000006</v>
      </c>
      <c r="H360" s="13">
        <v>56.5</v>
      </c>
      <c r="I360" s="13">
        <v>31.77</v>
      </c>
      <c r="J360" s="24">
        <v>45875</v>
      </c>
      <c r="K360" s="13">
        <v>15</v>
      </c>
      <c r="L360" s="13">
        <v>3</v>
      </c>
      <c r="M360" s="13" t="b">
        <v>1</v>
      </c>
      <c r="N360" s="13" t="s">
        <v>2229</v>
      </c>
      <c r="O360" s="13">
        <f t="shared" si="5"/>
        <v>3</v>
      </c>
    </row>
    <row r="361" spans="1:15" x14ac:dyDescent="0.25">
      <c r="A361" s="13" t="s">
        <v>373</v>
      </c>
      <c r="B361" s="13" t="s">
        <v>2191</v>
      </c>
      <c r="C361" s="13" t="s">
        <v>2200</v>
      </c>
      <c r="D361" s="13" t="s">
        <v>2204</v>
      </c>
      <c r="E361" s="13" t="s">
        <v>2209</v>
      </c>
      <c r="F361" s="13" t="s">
        <v>2223</v>
      </c>
      <c r="G361" s="13">
        <v>95.19</v>
      </c>
      <c r="H361" s="13">
        <v>0</v>
      </c>
      <c r="I361" s="13">
        <v>95.19</v>
      </c>
      <c r="J361" s="24">
        <v>45697</v>
      </c>
      <c r="K361" s="13">
        <v>13</v>
      </c>
      <c r="L361" s="13">
        <v>4.0999999999999996</v>
      </c>
      <c r="M361" s="13" t="b">
        <v>0</v>
      </c>
      <c r="O361" s="13">
        <f t="shared" si="5"/>
        <v>4.0999999999999996</v>
      </c>
    </row>
    <row r="362" spans="1:15" x14ac:dyDescent="0.25">
      <c r="A362" s="13" t="s">
        <v>374</v>
      </c>
      <c r="B362" s="13" t="s">
        <v>2191</v>
      </c>
      <c r="C362" s="13" t="s">
        <v>2202</v>
      </c>
      <c r="D362" s="13" t="s">
        <v>2205</v>
      </c>
      <c r="E362" s="13" t="s">
        <v>2212</v>
      </c>
      <c r="F362" s="13" t="s">
        <v>2223</v>
      </c>
      <c r="G362" s="13">
        <v>104.94</v>
      </c>
      <c r="H362" s="13">
        <v>0</v>
      </c>
      <c r="I362" s="13">
        <v>104.94</v>
      </c>
      <c r="J362" s="24">
        <v>45875</v>
      </c>
      <c r="K362" s="13">
        <v>42</v>
      </c>
      <c r="L362" s="13">
        <v>2</v>
      </c>
      <c r="M362" s="13" t="b">
        <v>0</v>
      </c>
      <c r="O362" s="13">
        <f t="shared" si="5"/>
        <v>2</v>
      </c>
    </row>
    <row r="363" spans="1:15" x14ac:dyDescent="0.25">
      <c r="A363" s="13" t="s">
        <v>375</v>
      </c>
      <c r="B363" s="13" t="s">
        <v>2194</v>
      </c>
      <c r="C363" s="13" t="s">
        <v>2202</v>
      </c>
      <c r="D363" s="13" t="s">
        <v>2204</v>
      </c>
      <c r="E363" s="13" t="s">
        <v>2211</v>
      </c>
      <c r="F363" s="13" t="s">
        <v>2221</v>
      </c>
      <c r="G363" s="13">
        <v>97.29</v>
      </c>
      <c r="H363" s="13">
        <v>0</v>
      </c>
      <c r="I363" s="13">
        <v>97.29</v>
      </c>
      <c r="J363" s="24">
        <v>45867</v>
      </c>
      <c r="K363" s="13">
        <v>42</v>
      </c>
      <c r="L363" s="13">
        <v>4.5</v>
      </c>
      <c r="M363" s="13" t="b">
        <v>0</v>
      </c>
      <c r="O363" s="13">
        <f t="shared" si="5"/>
        <v>4.5</v>
      </c>
    </row>
    <row r="364" spans="1:15" x14ac:dyDescent="0.25">
      <c r="A364" s="13" t="s">
        <v>376</v>
      </c>
      <c r="B364" s="13" t="s">
        <v>2193</v>
      </c>
      <c r="C364" s="13" t="s">
        <v>2199</v>
      </c>
      <c r="D364" s="13" t="s">
        <v>2205</v>
      </c>
      <c r="E364" s="13" t="s">
        <v>2209</v>
      </c>
      <c r="F364" s="13" t="s">
        <v>2217</v>
      </c>
      <c r="G364" s="13">
        <v>83.05</v>
      </c>
      <c r="H364" s="13">
        <v>39.799999999999997</v>
      </c>
      <c r="I364" s="13">
        <v>50</v>
      </c>
      <c r="J364" s="24">
        <v>45875</v>
      </c>
      <c r="K364" s="13">
        <v>5</v>
      </c>
      <c r="L364" s="13">
        <v>3.4</v>
      </c>
      <c r="M364" s="13" t="b">
        <v>0</v>
      </c>
      <c r="O364" s="13">
        <f t="shared" si="5"/>
        <v>3.4</v>
      </c>
    </row>
    <row r="365" spans="1:15" x14ac:dyDescent="0.25">
      <c r="A365" s="13" t="s">
        <v>377</v>
      </c>
      <c r="B365" s="13" t="s">
        <v>2190</v>
      </c>
      <c r="C365" s="13" t="s">
        <v>2197</v>
      </c>
      <c r="D365" s="13" t="s">
        <v>2206</v>
      </c>
      <c r="E365" s="13" t="s">
        <v>2210</v>
      </c>
      <c r="F365" s="13" t="s">
        <v>2221</v>
      </c>
      <c r="G365" s="13">
        <v>86.13</v>
      </c>
      <c r="H365" s="13">
        <v>0</v>
      </c>
      <c r="I365" s="13">
        <v>86.13</v>
      </c>
      <c r="J365" s="24">
        <v>45875</v>
      </c>
      <c r="K365" s="13">
        <v>28</v>
      </c>
      <c r="L365" s="13">
        <v>2.7</v>
      </c>
      <c r="M365" s="13" t="b">
        <v>0</v>
      </c>
      <c r="O365" s="13">
        <f t="shared" si="5"/>
        <v>2.7</v>
      </c>
    </row>
    <row r="366" spans="1:15" x14ac:dyDescent="0.25">
      <c r="A366" s="13" t="s">
        <v>378</v>
      </c>
      <c r="B366" s="13" t="s">
        <v>2194</v>
      </c>
      <c r="C366" s="13" t="s">
        <v>2198</v>
      </c>
      <c r="D366" s="13" t="s">
        <v>2207</v>
      </c>
      <c r="E366" s="13" t="s">
        <v>2210</v>
      </c>
      <c r="F366" s="13" t="s">
        <v>2217</v>
      </c>
      <c r="G366" s="13">
        <v>104.13</v>
      </c>
      <c r="H366" s="13">
        <v>28.7</v>
      </c>
      <c r="I366" s="13">
        <v>74.239999999999995</v>
      </c>
      <c r="J366" s="24">
        <v>45875</v>
      </c>
      <c r="K366" s="13">
        <v>23</v>
      </c>
      <c r="L366" s="13">
        <v>3.1</v>
      </c>
      <c r="M366" s="13" t="b">
        <v>0</v>
      </c>
      <c r="O366" s="13">
        <f t="shared" si="5"/>
        <v>3.1</v>
      </c>
    </row>
    <row r="367" spans="1:15" x14ac:dyDescent="0.25">
      <c r="A367" s="13" t="s">
        <v>379</v>
      </c>
      <c r="B367" s="13" t="s">
        <v>2192</v>
      </c>
      <c r="C367" s="13" t="s">
        <v>2197</v>
      </c>
      <c r="D367" s="13" t="s">
        <v>2206</v>
      </c>
      <c r="F367" s="13" t="s">
        <v>2220</v>
      </c>
      <c r="G367" s="13">
        <v>41.7</v>
      </c>
      <c r="H367" s="13">
        <v>0</v>
      </c>
      <c r="I367" s="13">
        <v>41.7</v>
      </c>
      <c r="J367" s="24">
        <v>45875</v>
      </c>
      <c r="K367" s="13">
        <v>18</v>
      </c>
      <c r="L367" s="13">
        <v>3.2</v>
      </c>
      <c r="M367" s="13" t="b">
        <v>0</v>
      </c>
      <c r="O367" s="13">
        <f t="shared" si="5"/>
        <v>3.2</v>
      </c>
    </row>
    <row r="368" spans="1:15" x14ac:dyDescent="0.25">
      <c r="A368" s="13" t="s">
        <v>380</v>
      </c>
      <c r="B368" s="13" t="s">
        <v>2190</v>
      </c>
      <c r="C368" s="13" t="s">
        <v>2198</v>
      </c>
      <c r="D368" s="13" t="s">
        <v>2204</v>
      </c>
      <c r="E368" s="13" t="s">
        <v>2209</v>
      </c>
      <c r="F368" s="13" t="s">
        <v>2217</v>
      </c>
      <c r="G368" s="13">
        <v>80.11</v>
      </c>
      <c r="H368" s="13">
        <v>0</v>
      </c>
      <c r="I368" s="13">
        <v>80.11</v>
      </c>
      <c r="J368" s="24">
        <v>45763</v>
      </c>
      <c r="K368" s="13">
        <v>34</v>
      </c>
      <c r="L368" s="13">
        <v>1.8</v>
      </c>
      <c r="M368" s="13" t="b">
        <v>0</v>
      </c>
      <c r="O368" s="13">
        <f t="shared" si="5"/>
        <v>1.8</v>
      </c>
    </row>
    <row r="369" spans="1:15" x14ac:dyDescent="0.25">
      <c r="A369" s="13" t="s">
        <v>381</v>
      </c>
      <c r="B369" s="13" t="s">
        <v>2191</v>
      </c>
      <c r="C369" s="13" t="s">
        <v>2201</v>
      </c>
      <c r="D369" s="13" t="s">
        <v>2206</v>
      </c>
      <c r="E369" s="13" t="s">
        <v>2209</v>
      </c>
      <c r="F369" s="13" t="s">
        <v>2217</v>
      </c>
      <c r="G369" s="13">
        <v>97.84</v>
      </c>
      <c r="H369" s="13">
        <v>0</v>
      </c>
      <c r="I369" s="13">
        <v>97.84</v>
      </c>
      <c r="J369" s="24">
        <v>45875</v>
      </c>
      <c r="K369" s="13">
        <v>16</v>
      </c>
      <c r="M369" s="13" t="b">
        <v>0</v>
      </c>
      <c r="O369" s="13">
        <f t="shared" si="5"/>
        <v>2.9846153846153847</v>
      </c>
    </row>
    <row r="370" spans="1:15" x14ac:dyDescent="0.25">
      <c r="A370" s="13" t="s">
        <v>382</v>
      </c>
      <c r="B370" s="13" t="s">
        <v>2194</v>
      </c>
      <c r="C370" s="13" t="s">
        <v>2202</v>
      </c>
      <c r="D370" s="13" t="s">
        <v>2206</v>
      </c>
      <c r="E370" s="13" t="s">
        <v>2208</v>
      </c>
      <c r="F370" s="13" t="s">
        <v>2221</v>
      </c>
      <c r="G370" s="13">
        <v>77.37</v>
      </c>
      <c r="H370" s="13">
        <v>35.200000000000003</v>
      </c>
      <c r="I370" s="13">
        <v>50.14</v>
      </c>
      <c r="J370" s="24">
        <v>45875</v>
      </c>
      <c r="K370" s="13">
        <v>14</v>
      </c>
      <c r="L370" s="13">
        <v>2.2999999999999998</v>
      </c>
      <c r="M370" s="13" t="b">
        <v>0</v>
      </c>
      <c r="O370" s="13">
        <f t="shared" si="5"/>
        <v>2.2999999999999998</v>
      </c>
    </row>
    <row r="371" spans="1:15" x14ac:dyDescent="0.25">
      <c r="A371" s="13" t="s">
        <v>383</v>
      </c>
      <c r="B371" s="13" t="s">
        <v>2192</v>
      </c>
      <c r="C371" s="13" t="s">
        <v>2200</v>
      </c>
      <c r="D371" s="13" t="s">
        <v>2206</v>
      </c>
      <c r="F371" s="13" t="s">
        <v>2214</v>
      </c>
      <c r="G371" s="13">
        <v>36.35</v>
      </c>
      <c r="H371" s="13">
        <v>37.6</v>
      </c>
      <c r="I371" s="13">
        <v>22.68</v>
      </c>
      <c r="J371" s="24">
        <v>45875</v>
      </c>
      <c r="K371" s="13">
        <v>49</v>
      </c>
      <c r="L371" s="13">
        <v>4</v>
      </c>
      <c r="M371" s="13" t="b">
        <v>1</v>
      </c>
      <c r="N371" s="13" t="s">
        <v>2229</v>
      </c>
      <c r="O371" s="13">
        <f t="shared" si="5"/>
        <v>4</v>
      </c>
    </row>
    <row r="372" spans="1:15" x14ac:dyDescent="0.25">
      <c r="A372" s="13" t="s">
        <v>384</v>
      </c>
      <c r="B372" s="13" t="s">
        <v>2190</v>
      </c>
      <c r="C372" s="13" t="s">
        <v>2198</v>
      </c>
      <c r="D372" s="13" t="s">
        <v>2205</v>
      </c>
      <c r="E372" s="13" t="s">
        <v>2211</v>
      </c>
      <c r="F372" s="13" t="s">
        <v>2220</v>
      </c>
      <c r="G372" s="13">
        <v>181.04</v>
      </c>
      <c r="H372" s="13">
        <v>20.2</v>
      </c>
      <c r="I372" s="13">
        <v>144.47</v>
      </c>
      <c r="J372" s="24">
        <v>45875</v>
      </c>
      <c r="K372" s="13">
        <v>17</v>
      </c>
      <c r="M372" s="13" t="b">
        <v>1</v>
      </c>
      <c r="N372" s="13" t="s">
        <v>2226</v>
      </c>
      <c r="O372" s="13">
        <f t="shared" si="5"/>
        <v>3.0177777777777774</v>
      </c>
    </row>
    <row r="373" spans="1:15" x14ac:dyDescent="0.25">
      <c r="A373" s="13" t="s">
        <v>385</v>
      </c>
      <c r="B373" s="13" t="s">
        <v>2190</v>
      </c>
      <c r="C373" s="13" t="s">
        <v>2196</v>
      </c>
      <c r="D373" s="13" t="s">
        <v>2204</v>
      </c>
      <c r="E373" s="13" t="s">
        <v>2208</v>
      </c>
      <c r="F373" s="13" t="s">
        <v>2216</v>
      </c>
      <c r="G373" s="13">
        <v>158.37</v>
      </c>
      <c r="H373" s="13">
        <v>0</v>
      </c>
      <c r="I373" s="13">
        <v>158.37</v>
      </c>
      <c r="J373" s="24">
        <v>45703</v>
      </c>
      <c r="K373" s="13">
        <v>33</v>
      </c>
      <c r="M373" s="13" t="b">
        <v>0</v>
      </c>
      <c r="O373" s="13">
        <f t="shared" si="5"/>
        <v>2.7030303030303036</v>
      </c>
    </row>
    <row r="374" spans="1:15" x14ac:dyDescent="0.25">
      <c r="A374" s="13" t="s">
        <v>386</v>
      </c>
      <c r="B374" s="13" t="s">
        <v>2193</v>
      </c>
      <c r="C374" s="13" t="s">
        <v>2203</v>
      </c>
      <c r="D374" s="13" t="s">
        <v>2207</v>
      </c>
      <c r="E374" s="13" t="s">
        <v>2211</v>
      </c>
      <c r="F374" s="13" t="s">
        <v>2223</v>
      </c>
      <c r="G374" s="13">
        <v>91.98</v>
      </c>
      <c r="H374" s="13">
        <v>0</v>
      </c>
      <c r="I374" s="13">
        <v>91.98</v>
      </c>
      <c r="J374" s="24">
        <v>45875</v>
      </c>
      <c r="K374" s="13">
        <v>48</v>
      </c>
      <c r="L374" s="13">
        <v>3.9</v>
      </c>
      <c r="M374" s="13" t="b">
        <v>0</v>
      </c>
      <c r="O374" s="13">
        <f t="shared" si="5"/>
        <v>3.9</v>
      </c>
    </row>
    <row r="375" spans="1:15" x14ac:dyDescent="0.25">
      <c r="A375" s="13" t="s">
        <v>387</v>
      </c>
      <c r="B375" s="13" t="s">
        <v>2193</v>
      </c>
      <c r="C375" s="13" t="s">
        <v>2196</v>
      </c>
      <c r="D375" s="13" t="s">
        <v>2205</v>
      </c>
      <c r="E375" s="13" t="s">
        <v>2210</v>
      </c>
      <c r="F375" s="13" t="s">
        <v>2224</v>
      </c>
      <c r="G375" s="13">
        <v>140.29</v>
      </c>
      <c r="H375" s="13">
        <v>55.3</v>
      </c>
      <c r="I375" s="13">
        <v>62.71</v>
      </c>
      <c r="J375" s="24">
        <v>45875</v>
      </c>
      <c r="K375" s="13">
        <v>5</v>
      </c>
      <c r="L375" s="13">
        <v>4.4000000000000004</v>
      </c>
      <c r="M375" s="13" t="b">
        <v>0</v>
      </c>
      <c r="O375" s="13">
        <f t="shared" si="5"/>
        <v>4.4000000000000004</v>
      </c>
    </row>
    <row r="376" spans="1:15" x14ac:dyDescent="0.25">
      <c r="A376" s="13" t="s">
        <v>388</v>
      </c>
      <c r="B376" s="13" t="s">
        <v>2191</v>
      </c>
      <c r="C376" s="13" t="s">
        <v>2197</v>
      </c>
      <c r="D376" s="13" t="s">
        <v>2204</v>
      </c>
      <c r="E376" s="13" t="s">
        <v>2208</v>
      </c>
      <c r="F376" s="13" t="s">
        <v>2214</v>
      </c>
      <c r="G376" s="13">
        <v>26.01</v>
      </c>
      <c r="H376" s="13">
        <v>0</v>
      </c>
      <c r="I376" s="13">
        <v>26.01</v>
      </c>
      <c r="J376" s="24">
        <v>45711</v>
      </c>
      <c r="K376" s="13">
        <v>9</v>
      </c>
      <c r="L376" s="13">
        <v>4</v>
      </c>
      <c r="M376" s="13" t="b">
        <v>0</v>
      </c>
      <c r="O376" s="13">
        <f t="shared" si="5"/>
        <v>4</v>
      </c>
    </row>
    <row r="377" spans="1:15" x14ac:dyDescent="0.25">
      <c r="A377" s="13" t="s">
        <v>389</v>
      </c>
      <c r="B377" s="13" t="s">
        <v>2191</v>
      </c>
      <c r="C377" s="13" t="s">
        <v>2203</v>
      </c>
      <c r="D377" s="13" t="s">
        <v>2205</v>
      </c>
      <c r="E377" s="13" t="s">
        <v>2208</v>
      </c>
      <c r="F377" s="13" t="s">
        <v>2219</v>
      </c>
      <c r="G377" s="13">
        <v>51.06</v>
      </c>
      <c r="H377" s="13">
        <v>9.5</v>
      </c>
      <c r="I377" s="13">
        <v>46.21</v>
      </c>
      <c r="J377" s="24">
        <v>45875</v>
      </c>
      <c r="K377" s="13">
        <v>34</v>
      </c>
      <c r="L377" s="13">
        <v>1.1000000000000001</v>
      </c>
      <c r="M377" s="13" t="b">
        <v>0</v>
      </c>
      <c r="O377" s="13">
        <f t="shared" si="5"/>
        <v>1.1000000000000001</v>
      </c>
    </row>
    <row r="378" spans="1:15" x14ac:dyDescent="0.25">
      <c r="A378" s="13" t="s">
        <v>390</v>
      </c>
      <c r="B378" s="13" t="s">
        <v>2190</v>
      </c>
      <c r="C378" s="13" t="s">
        <v>2202</v>
      </c>
      <c r="D378" s="13" t="s">
        <v>2206</v>
      </c>
      <c r="E378" s="13" t="s">
        <v>2212</v>
      </c>
      <c r="F378" s="13" t="s">
        <v>2214</v>
      </c>
      <c r="G378" s="13">
        <v>132.91999999999999</v>
      </c>
      <c r="H378" s="13">
        <v>0</v>
      </c>
      <c r="I378" s="13">
        <v>132.91999999999999</v>
      </c>
      <c r="J378" s="24">
        <v>45875</v>
      </c>
      <c r="K378" s="13">
        <v>36</v>
      </c>
      <c r="L378" s="13">
        <v>1.2</v>
      </c>
      <c r="M378" s="13" t="b">
        <v>0</v>
      </c>
      <c r="O378" s="13">
        <f t="shared" si="5"/>
        <v>1.2</v>
      </c>
    </row>
    <row r="379" spans="1:15" x14ac:dyDescent="0.25">
      <c r="A379" s="13" t="s">
        <v>391</v>
      </c>
      <c r="B379" s="13" t="s">
        <v>2192</v>
      </c>
      <c r="C379" s="13" t="s">
        <v>2202</v>
      </c>
      <c r="D379" s="13" t="s">
        <v>2206</v>
      </c>
      <c r="F379" s="13" t="s">
        <v>2223</v>
      </c>
      <c r="G379" s="13">
        <v>16.57</v>
      </c>
      <c r="H379" s="13">
        <v>0</v>
      </c>
      <c r="I379" s="13">
        <v>16.57</v>
      </c>
      <c r="J379" s="24">
        <v>45875</v>
      </c>
      <c r="K379" s="13">
        <v>17</v>
      </c>
      <c r="M379" s="13" t="b">
        <v>0</v>
      </c>
      <c r="O379" s="13">
        <f t="shared" si="5"/>
        <v>3.2720930232558145</v>
      </c>
    </row>
    <row r="380" spans="1:15" x14ac:dyDescent="0.25">
      <c r="A380" s="13" t="s">
        <v>392</v>
      </c>
      <c r="B380" s="13" t="s">
        <v>2194</v>
      </c>
      <c r="C380" s="13" t="s">
        <v>2203</v>
      </c>
      <c r="D380" s="13" t="s">
        <v>2205</v>
      </c>
      <c r="E380" s="13" t="s">
        <v>2212</v>
      </c>
      <c r="F380" s="13" t="s">
        <v>2216</v>
      </c>
      <c r="G380" s="13">
        <v>78.599999999999994</v>
      </c>
      <c r="H380" s="13">
        <v>45.8</v>
      </c>
      <c r="I380" s="13">
        <v>42.6</v>
      </c>
      <c r="J380" s="24">
        <v>45875</v>
      </c>
      <c r="K380" s="13">
        <v>6</v>
      </c>
      <c r="L380" s="13">
        <v>2.7</v>
      </c>
      <c r="M380" s="13" t="b">
        <v>0</v>
      </c>
      <c r="O380" s="13">
        <f t="shared" si="5"/>
        <v>2.7</v>
      </c>
    </row>
    <row r="381" spans="1:15" x14ac:dyDescent="0.25">
      <c r="A381" s="13" t="s">
        <v>393</v>
      </c>
      <c r="B381" s="13" t="s">
        <v>2192</v>
      </c>
      <c r="C381" s="13" t="s">
        <v>2199</v>
      </c>
      <c r="D381" s="13" t="s">
        <v>2207</v>
      </c>
      <c r="F381" s="13" t="s">
        <v>2224</v>
      </c>
      <c r="G381" s="13">
        <v>69.38</v>
      </c>
      <c r="H381" s="13">
        <v>0</v>
      </c>
      <c r="I381" s="13">
        <v>69.38</v>
      </c>
      <c r="J381" s="24">
        <v>45875</v>
      </c>
      <c r="K381" s="13">
        <v>43</v>
      </c>
      <c r="L381" s="13">
        <v>2.4</v>
      </c>
      <c r="M381" s="13" t="b">
        <v>0</v>
      </c>
      <c r="O381" s="13">
        <f t="shared" si="5"/>
        <v>2.4</v>
      </c>
    </row>
    <row r="382" spans="1:15" x14ac:dyDescent="0.25">
      <c r="A382" s="13" t="s">
        <v>394</v>
      </c>
      <c r="B382" s="13" t="s">
        <v>2192</v>
      </c>
      <c r="C382" s="13" t="s">
        <v>2199</v>
      </c>
      <c r="D382" s="13" t="s">
        <v>2206</v>
      </c>
      <c r="F382" s="13" t="s">
        <v>2215</v>
      </c>
      <c r="G382" s="13">
        <v>23.58</v>
      </c>
      <c r="H382" s="13">
        <v>0</v>
      </c>
      <c r="I382" s="13">
        <v>23.58</v>
      </c>
      <c r="J382" s="24">
        <v>45875</v>
      </c>
      <c r="K382" s="13">
        <v>16</v>
      </c>
      <c r="L382" s="13">
        <v>1.3</v>
      </c>
      <c r="M382" s="13" t="b">
        <v>0</v>
      </c>
      <c r="O382" s="13">
        <f t="shared" si="5"/>
        <v>1.3</v>
      </c>
    </row>
    <row r="383" spans="1:15" x14ac:dyDescent="0.25">
      <c r="A383" s="13" t="s">
        <v>395</v>
      </c>
      <c r="B383" s="13" t="s">
        <v>2191</v>
      </c>
      <c r="C383" s="13" t="s">
        <v>2200</v>
      </c>
      <c r="D383" s="13" t="s">
        <v>2204</v>
      </c>
      <c r="E383" s="13" t="s">
        <v>2212</v>
      </c>
      <c r="F383" s="13" t="s">
        <v>2222</v>
      </c>
      <c r="G383" s="13">
        <v>119.91</v>
      </c>
      <c r="H383" s="13">
        <v>27.8</v>
      </c>
      <c r="I383" s="13">
        <v>86.58</v>
      </c>
      <c r="J383" s="24">
        <v>45563</v>
      </c>
      <c r="K383" s="13">
        <v>12</v>
      </c>
      <c r="L383" s="13">
        <v>1.7</v>
      </c>
      <c r="M383" s="13" t="b">
        <v>0</v>
      </c>
      <c r="O383" s="13">
        <f t="shared" si="5"/>
        <v>1.7</v>
      </c>
    </row>
    <row r="384" spans="1:15" x14ac:dyDescent="0.25">
      <c r="A384" s="13" t="s">
        <v>396</v>
      </c>
      <c r="B384" s="13" t="s">
        <v>2190</v>
      </c>
      <c r="C384" s="13" t="s">
        <v>2200</v>
      </c>
      <c r="D384" s="13" t="s">
        <v>2207</v>
      </c>
      <c r="E384" s="13" t="s">
        <v>2213</v>
      </c>
      <c r="F384" s="13" t="s">
        <v>2216</v>
      </c>
      <c r="G384" s="13">
        <v>111.05</v>
      </c>
      <c r="H384" s="13">
        <v>1.4</v>
      </c>
      <c r="I384" s="13">
        <v>109.5</v>
      </c>
      <c r="J384" s="24">
        <v>45875</v>
      </c>
      <c r="K384" s="13">
        <v>7</v>
      </c>
      <c r="L384" s="13">
        <v>2.8</v>
      </c>
      <c r="M384" s="13" t="b">
        <v>0</v>
      </c>
      <c r="O384" s="13">
        <f t="shared" si="5"/>
        <v>2.8</v>
      </c>
    </row>
    <row r="385" spans="1:15" x14ac:dyDescent="0.25">
      <c r="A385" s="13" t="s">
        <v>397</v>
      </c>
      <c r="B385" s="13" t="s">
        <v>2192</v>
      </c>
      <c r="C385" s="13" t="s">
        <v>2198</v>
      </c>
      <c r="D385" s="13" t="s">
        <v>2207</v>
      </c>
      <c r="F385" s="13" t="s">
        <v>2218</v>
      </c>
      <c r="G385" s="13">
        <v>60.22</v>
      </c>
      <c r="H385" s="13">
        <v>0</v>
      </c>
      <c r="I385" s="13">
        <v>60.22</v>
      </c>
      <c r="J385" s="24">
        <v>45875</v>
      </c>
      <c r="K385" s="13">
        <v>6</v>
      </c>
      <c r="L385" s="13">
        <v>2.1</v>
      </c>
      <c r="M385" s="13" t="b">
        <v>0</v>
      </c>
      <c r="O385" s="13">
        <f t="shared" si="5"/>
        <v>2.1</v>
      </c>
    </row>
    <row r="386" spans="1:15" x14ac:dyDescent="0.25">
      <c r="A386" s="13" t="s">
        <v>398</v>
      </c>
      <c r="B386" s="13" t="s">
        <v>2190</v>
      </c>
      <c r="C386" s="13" t="s">
        <v>2202</v>
      </c>
      <c r="D386" s="13" t="s">
        <v>2205</v>
      </c>
      <c r="E386" s="13" t="s">
        <v>2213</v>
      </c>
      <c r="F386" s="13" t="s">
        <v>2222</v>
      </c>
      <c r="G386" s="13">
        <v>133.52000000000001</v>
      </c>
      <c r="H386" s="13">
        <v>0</v>
      </c>
      <c r="I386" s="13">
        <v>133.52000000000001</v>
      </c>
      <c r="J386" s="24">
        <v>45875</v>
      </c>
      <c r="K386" s="13">
        <v>27</v>
      </c>
      <c r="L386" s="13">
        <v>3.6</v>
      </c>
      <c r="M386" s="13" t="b">
        <v>0</v>
      </c>
      <c r="O386" s="13">
        <f t="shared" si="5"/>
        <v>3.6</v>
      </c>
    </row>
    <row r="387" spans="1:15" x14ac:dyDescent="0.25">
      <c r="A387" s="13" t="s">
        <v>399</v>
      </c>
      <c r="B387" s="13" t="s">
        <v>2195</v>
      </c>
      <c r="C387" s="13" t="s">
        <v>2198</v>
      </c>
      <c r="D387" s="13" t="s">
        <v>2204</v>
      </c>
      <c r="E387" s="13" t="s">
        <v>2208</v>
      </c>
      <c r="F387" s="13" t="s">
        <v>2224</v>
      </c>
      <c r="G387" s="13">
        <v>54.97</v>
      </c>
      <c r="H387" s="13">
        <v>49.6</v>
      </c>
      <c r="I387" s="13">
        <v>27.7</v>
      </c>
      <c r="J387" s="24">
        <v>45573</v>
      </c>
      <c r="K387" s="13">
        <v>48</v>
      </c>
      <c r="L387" s="13">
        <v>4.5</v>
      </c>
      <c r="M387" s="13" t="b">
        <v>0</v>
      </c>
      <c r="O387" s="13">
        <f t="shared" ref="O387:O450" si="6">IF(L387="",AVERAGEIFS($L$2:$L$2177,$B$2:$B$2177,B387,$C$2:$C$2177,C387),L387)</f>
        <v>4.5</v>
      </c>
    </row>
    <row r="388" spans="1:15" x14ac:dyDescent="0.25">
      <c r="A388" s="13" t="s">
        <v>400</v>
      </c>
      <c r="B388" s="13" t="s">
        <v>2191</v>
      </c>
      <c r="C388" s="13" t="s">
        <v>2197</v>
      </c>
      <c r="D388" s="13" t="s">
        <v>2205</v>
      </c>
      <c r="E388" s="13" t="s">
        <v>2209</v>
      </c>
      <c r="F388" s="13" t="s">
        <v>2217</v>
      </c>
      <c r="G388" s="13">
        <v>85.94</v>
      </c>
      <c r="H388" s="13">
        <v>0</v>
      </c>
      <c r="I388" s="13">
        <v>85.94</v>
      </c>
      <c r="J388" s="24">
        <v>45875</v>
      </c>
      <c r="K388" s="13">
        <v>42</v>
      </c>
      <c r="L388" s="13">
        <v>4.3</v>
      </c>
      <c r="M388" s="13" t="b">
        <v>0</v>
      </c>
      <c r="O388" s="13">
        <f t="shared" si="6"/>
        <v>4.3</v>
      </c>
    </row>
    <row r="389" spans="1:15" x14ac:dyDescent="0.25">
      <c r="A389" s="13" t="s">
        <v>401</v>
      </c>
      <c r="B389" s="13" t="s">
        <v>2192</v>
      </c>
      <c r="C389" s="13" t="s">
        <v>2200</v>
      </c>
      <c r="D389" s="13" t="s">
        <v>2206</v>
      </c>
      <c r="F389" s="13" t="s">
        <v>2216</v>
      </c>
      <c r="G389" s="13">
        <v>24.64</v>
      </c>
      <c r="H389" s="13">
        <v>0</v>
      </c>
      <c r="I389" s="13">
        <v>24.64</v>
      </c>
      <c r="J389" s="24">
        <v>45875</v>
      </c>
      <c r="K389" s="13">
        <v>6</v>
      </c>
      <c r="L389" s="13">
        <v>4.4000000000000004</v>
      </c>
      <c r="M389" s="13" t="b">
        <v>0</v>
      </c>
      <c r="O389" s="13">
        <f t="shared" si="6"/>
        <v>4.4000000000000004</v>
      </c>
    </row>
    <row r="390" spans="1:15" x14ac:dyDescent="0.25">
      <c r="A390" s="13" t="s">
        <v>402</v>
      </c>
      <c r="B390" s="13" t="s">
        <v>2192</v>
      </c>
      <c r="C390" s="13" t="s">
        <v>2198</v>
      </c>
      <c r="D390" s="13" t="s">
        <v>2204</v>
      </c>
      <c r="F390" s="13" t="s">
        <v>2219</v>
      </c>
      <c r="G390" s="13">
        <v>28.82</v>
      </c>
      <c r="H390" s="13">
        <v>0</v>
      </c>
      <c r="I390" s="13">
        <v>28.82</v>
      </c>
      <c r="J390" s="24">
        <v>45588</v>
      </c>
      <c r="K390" s="13">
        <v>30</v>
      </c>
      <c r="L390" s="13">
        <v>2.8</v>
      </c>
      <c r="M390" s="13" t="b">
        <v>0</v>
      </c>
      <c r="O390" s="13">
        <f t="shared" si="6"/>
        <v>2.8</v>
      </c>
    </row>
    <row r="391" spans="1:15" x14ac:dyDescent="0.25">
      <c r="A391" s="13" t="s">
        <v>403</v>
      </c>
      <c r="B391" s="13" t="s">
        <v>2193</v>
      </c>
      <c r="C391" s="13" t="s">
        <v>2203</v>
      </c>
      <c r="D391" s="13" t="s">
        <v>2207</v>
      </c>
      <c r="E391" s="13" t="s">
        <v>2209</v>
      </c>
      <c r="F391" s="13" t="s">
        <v>2215</v>
      </c>
      <c r="G391" s="13">
        <v>79.59</v>
      </c>
      <c r="H391" s="13">
        <v>24.3</v>
      </c>
      <c r="I391" s="13">
        <v>60.25</v>
      </c>
      <c r="J391" s="24">
        <v>45875</v>
      </c>
      <c r="K391" s="13">
        <v>37</v>
      </c>
      <c r="L391" s="13">
        <v>1.7</v>
      </c>
      <c r="M391" s="13" t="b">
        <v>0</v>
      </c>
      <c r="O391" s="13">
        <f t="shared" si="6"/>
        <v>1.7</v>
      </c>
    </row>
    <row r="392" spans="1:15" x14ac:dyDescent="0.25">
      <c r="A392" s="13" t="s">
        <v>404</v>
      </c>
      <c r="B392" s="13" t="s">
        <v>2195</v>
      </c>
      <c r="C392" s="13" t="s">
        <v>2202</v>
      </c>
      <c r="D392" s="13" t="s">
        <v>2206</v>
      </c>
      <c r="E392" s="13" t="s">
        <v>2208</v>
      </c>
      <c r="F392" s="13" t="s">
        <v>2219</v>
      </c>
      <c r="G392" s="13">
        <v>49.44</v>
      </c>
      <c r="H392" s="13">
        <v>0</v>
      </c>
      <c r="I392" s="13">
        <v>49.44</v>
      </c>
      <c r="J392" s="24">
        <v>45875</v>
      </c>
      <c r="K392" s="13">
        <v>19</v>
      </c>
      <c r="L392" s="13">
        <v>3.4</v>
      </c>
      <c r="M392" s="13" t="b">
        <v>0</v>
      </c>
      <c r="O392" s="13">
        <f t="shared" si="6"/>
        <v>3.4</v>
      </c>
    </row>
    <row r="393" spans="1:15" x14ac:dyDescent="0.25">
      <c r="A393" s="13" t="s">
        <v>405</v>
      </c>
      <c r="B393" s="13" t="s">
        <v>2191</v>
      </c>
      <c r="C393" s="13" t="s">
        <v>2199</v>
      </c>
      <c r="D393" s="13" t="s">
        <v>2205</v>
      </c>
      <c r="E393" s="13" t="s">
        <v>2212</v>
      </c>
      <c r="F393" s="13" t="s">
        <v>2219</v>
      </c>
      <c r="G393" s="13">
        <v>41.46</v>
      </c>
      <c r="H393" s="13">
        <v>0</v>
      </c>
      <c r="I393" s="13">
        <v>41.46</v>
      </c>
      <c r="J393" s="24">
        <v>45875</v>
      </c>
      <c r="K393" s="13">
        <v>36</v>
      </c>
      <c r="L393" s="13">
        <v>3.5</v>
      </c>
      <c r="M393" s="13" t="b">
        <v>0</v>
      </c>
      <c r="O393" s="13">
        <f t="shared" si="6"/>
        <v>3.5</v>
      </c>
    </row>
    <row r="394" spans="1:15" x14ac:dyDescent="0.25">
      <c r="A394" s="13" t="s">
        <v>406</v>
      </c>
      <c r="B394" s="13" t="s">
        <v>2195</v>
      </c>
      <c r="C394" s="13" t="s">
        <v>2197</v>
      </c>
      <c r="D394" s="13" t="s">
        <v>2206</v>
      </c>
      <c r="E394" s="13" t="s">
        <v>2212</v>
      </c>
      <c r="F394" s="13" t="s">
        <v>2221</v>
      </c>
      <c r="G394" s="13">
        <v>131.76</v>
      </c>
      <c r="H394" s="13">
        <v>35.4</v>
      </c>
      <c r="I394" s="13">
        <v>85.12</v>
      </c>
      <c r="J394" s="24">
        <v>45875</v>
      </c>
      <c r="K394" s="13">
        <v>21</v>
      </c>
      <c r="L394" s="13">
        <v>4.7</v>
      </c>
      <c r="M394" s="13" t="b">
        <v>0</v>
      </c>
      <c r="O394" s="13">
        <f t="shared" si="6"/>
        <v>4.7</v>
      </c>
    </row>
    <row r="395" spans="1:15" x14ac:dyDescent="0.25">
      <c r="A395" s="13" t="s">
        <v>407</v>
      </c>
      <c r="B395" s="13" t="s">
        <v>2194</v>
      </c>
      <c r="C395" s="13" t="s">
        <v>2199</v>
      </c>
      <c r="D395" s="13" t="s">
        <v>2206</v>
      </c>
      <c r="E395" s="13" t="s">
        <v>2213</v>
      </c>
      <c r="F395" s="13" t="s">
        <v>2219</v>
      </c>
      <c r="G395" s="13">
        <v>56.53</v>
      </c>
      <c r="H395" s="13">
        <v>27.9</v>
      </c>
      <c r="I395" s="13">
        <v>40.76</v>
      </c>
      <c r="J395" s="24">
        <v>45875</v>
      </c>
      <c r="K395" s="13">
        <v>22</v>
      </c>
      <c r="M395" s="13" t="b">
        <v>0</v>
      </c>
      <c r="O395" s="13">
        <f t="shared" si="6"/>
        <v>2.8142857142857149</v>
      </c>
    </row>
    <row r="396" spans="1:15" x14ac:dyDescent="0.25">
      <c r="A396" s="13" t="s">
        <v>408</v>
      </c>
      <c r="B396" s="13" t="s">
        <v>2191</v>
      </c>
      <c r="C396" s="13" t="s">
        <v>2196</v>
      </c>
      <c r="D396" s="13" t="s">
        <v>2205</v>
      </c>
      <c r="F396" s="13" t="s">
        <v>2219</v>
      </c>
      <c r="G396" s="13">
        <v>111.72</v>
      </c>
      <c r="H396" s="13">
        <v>33.299999999999997</v>
      </c>
      <c r="I396" s="13">
        <v>74.52</v>
      </c>
      <c r="J396" s="24">
        <v>45875</v>
      </c>
      <c r="K396" s="13">
        <v>47</v>
      </c>
      <c r="L396" s="13">
        <v>2</v>
      </c>
      <c r="M396" s="13" t="b">
        <v>1</v>
      </c>
      <c r="N396" s="13" t="s">
        <v>2228</v>
      </c>
      <c r="O396" s="13">
        <f t="shared" si="6"/>
        <v>2</v>
      </c>
    </row>
    <row r="397" spans="1:15" x14ac:dyDescent="0.25">
      <c r="A397" s="13" t="s">
        <v>409</v>
      </c>
      <c r="B397" s="13" t="s">
        <v>2191</v>
      </c>
      <c r="C397" s="13" t="s">
        <v>2196</v>
      </c>
      <c r="D397" s="13" t="s">
        <v>2205</v>
      </c>
      <c r="E397" s="13" t="s">
        <v>2209</v>
      </c>
      <c r="F397" s="13" t="s">
        <v>2221</v>
      </c>
      <c r="G397" s="13">
        <v>99.96</v>
      </c>
      <c r="H397" s="13">
        <v>47.6</v>
      </c>
      <c r="I397" s="13">
        <v>52.38</v>
      </c>
      <c r="J397" s="24">
        <v>45875</v>
      </c>
      <c r="K397" s="13">
        <v>18</v>
      </c>
      <c r="L397" s="13">
        <v>2</v>
      </c>
      <c r="M397" s="13" t="b">
        <v>1</v>
      </c>
      <c r="N397" s="13" t="s">
        <v>2228</v>
      </c>
      <c r="O397" s="13">
        <f t="shared" si="6"/>
        <v>2</v>
      </c>
    </row>
    <row r="398" spans="1:15" x14ac:dyDescent="0.25">
      <c r="A398" s="13" t="s">
        <v>410</v>
      </c>
      <c r="B398" s="13" t="s">
        <v>2195</v>
      </c>
      <c r="C398" s="13" t="s">
        <v>2197</v>
      </c>
      <c r="D398" s="13" t="s">
        <v>2206</v>
      </c>
      <c r="E398" s="13" t="s">
        <v>2212</v>
      </c>
      <c r="F398" s="13" t="s">
        <v>2214</v>
      </c>
      <c r="G398" s="13">
        <v>110.04</v>
      </c>
      <c r="H398" s="13">
        <v>57.1</v>
      </c>
      <c r="I398" s="13">
        <v>47.21</v>
      </c>
      <c r="J398" s="24">
        <v>45875</v>
      </c>
      <c r="K398" s="13">
        <v>0</v>
      </c>
      <c r="L398" s="13">
        <v>4.7</v>
      </c>
      <c r="M398" s="13" t="b">
        <v>0</v>
      </c>
      <c r="O398" s="13">
        <f t="shared" si="6"/>
        <v>4.7</v>
      </c>
    </row>
    <row r="399" spans="1:15" x14ac:dyDescent="0.25">
      <c r="A399" s="13" t="s">
        <v>411</v>
      </c>
      <c r="B399" s="13" t="s">
        <v>2195</v>
      </c>
      <c r="C399" s="13" t="s">
        <v>2203</v>
      </c>
      <c r="D399" s="13" t="s">
        <v>2205</v>
      </c>
      <c r="E399" s="13" t="s">
        <v>2209</v>
      </c>
      <c r="F399" s="13" t="s">
        <v>2219</v>
      </c>
      <c r="G399" s="13">
        <v>141.84</v>
      </c>
      <c r="H399" s="13">
        <v>0</v>
      </c>
      <c r="I399" s="13">
        <v>141.84</v>
      </c>
      <c r="J399" s="24">
        <v>45875</v>
      </c>
      <c r="K399" s="13">
        <v>39</v>
      </c>
      <c r="L399" s="13">
        <v>1.7</v>
      </c>
      <c r="M399" s="13" t="b">
        <v>0</v>
      </c>
      <c r="O399" s="13">
        <f t="shared" si="6"/>
        <v>1.7</v>
      </c>
    </row>
    <row r="400" spans="1:15" x14ac:dyDescent="0.25">
      <c r="A400" s="13" t="s">
        <v>412</v>
      </c>
      <c r="B400" s="13" t="s">
        <v>2192</v>
      </c>
      <c r="C400" s="13" t="s">
        <v>2200</v>
      </c>
      <c r="D400" s="13" t="s">
        <v>2205</v>
      </c>
      <c r="F400" s="13" t="s">
        <v>2224</v>
      </c>
      <c r="G400" s="13">
        <v>32.630000000000003</v>
      </c>
      <c r="H400" s="13">
        <v>42.9</v>
      </c>
      <c r="I400" s="13">
        <v>18.63</v>
      </c>
      <c r="J400" s="24">
        <v>45875</v>
      </c>
      <c r="K400" s="13">
        <v>5</v>
      </c>
      <c r="L400" s="13">
        <v>1.1000000000000001</v>
      </c>
      <c r="M400" s="13" t="b">
        <v>0</v>
      </c>
      <c r="O400" s="13">
        <f t="shared" si="6"/>
        <v>1.1000000000000001</v>
      </c>
    </row>
    <row r="401" spans="1:15" x14ac:dyDescent="0.25">
      <c r="A401" s="13" t="s">
        <v>413</v>
      </c>
      <c r="B401" s="13" t="s">
        <v>2190</v>
      </c>
      <c r="C401" s="13" t="s">
        <v>2196</v>
      </c>
      <c r="D401" s="13" t="s">
        <v>2204</v>
      </c>
      <c r="E401" s="13" t="s">
        <v>2209</v>
      </c>
      <c r="F401" s="13" t="s">
        <v>2216</v>
      </c>
      <c r="G401" s="13">
        <v>189.68</v>
      </c>
      <c r="H401" s="13">
        <v>40.799999999999997</v>
      </c>
      <c r="I401" s="13">
        <v>112.29</v>
      </c>
      <c r="J401" s="24">
        <v>45556</v>
      </c>
      <c r="K401" s="13">
        <v>27</v>
      </c>
      <c r="L401" s="13">
        <v>1.8</v>
      </c>
      <c r="M401" s="13" t="b">
        <v>1</v>
      </c>
      <c r="N401" s="13" t="s">
        <v>2227</v>
      </c>
      <c r="O401" s="13">
        <f t="shared" si="6"/>
        <v>1.8</v>
      </c>
    </row>
    <row r="402" spans="1:15" x14ac:dyDescent="0.25">
      <c r="A402" s="13" t="s">
        <v>414</v>
      </c>
      <c r="B402" s="13" t="s">
        <v>2195</v>
      </c>
      <c r="C402" s="13" t="s">
        <v>2201</v>
      </c>
      <c r="D402" s="13" t="s">
        <v>2206</v>
      </c>
      <c r="E402" s="13" t="s">
        <v>2208</v>
      </c>
      <c r="F402" s="13" t="s">
        <v>2215</v>
      </c>
      <c r="G402" s="13">
        <v>150.88999999999999</v>
      </c>
      <c r="H402" s="13">
        <v>46.8</v>
      </c>
      <c r="I402" s="13">
        <v>80.27</v>
      </c>
      <c r="J402" s="24">
        <v>45875</v>
      </c>
      <c r="K402" s="13">
        <v>18</v>
      </c>
      <c r="L402" s="13">
        <v>4.9000000000000004</v>
      </c>
      <c r="M402" s="13" t="b">
        <v>0</v>
      </c>
      <c r="O402" s="13">
        <f t="shared" si="6"/>
        <v>4.9000000000000004</v>
      </c>
    </row>
    <row r="403" spans="1:15" x14ac:dyDescent="0.25">
      <c r="A403" s="13" t="s">
        <v>415</v>
      </c>
      <c r="B403" s="13" t="s">
        <v>2192</v>
      </c>
      <c r="C403" s="13" t="s">
        <v>2202</v>
      </c>
      <c r="D403" s="13" t="s">
        <v>2206</v>
      </c>
      <c r="F403" s="13" t="s">
        <v>2222</v>
      </c>
      <c r="G403" s="13">
        <v>42.66</v>
      </c>
      <c r="H403" s="13">
        <v>21.5</v>
      </c>
      <c r="I403" s="13">
        <v>33.49</v>
      </c>
      <c r="J403" s="24">
        <v>45875</v>
      </c>
      <c r="K403" s="13">
        <v>16</v>
      </c>
      <c r="M403" s="13" t="b">
        <v>0</v>
      </c>
      <c r="O403" s="13">
        <f t="shared" si="6"/>
        <v>3.2720930232558145</v>
      </c>
    </row>
    <row r="404" spans="1:15" x14ac:dyDescent="0.25">
      <c r="A404" s="13" t="s">
        <v>416</v>
      </c>
      <c r="B404" s="13" t="s">
        <v>2192</v>
      </c>
      <c r="C404" s="13" t="s">
        <v>2197</v>
      </c>
      <c r="D404" s="13" t="s">
        <v>2206</v>
      </c>
      <c r="F404" s="13" t="s">
        <v>2214</v>
      </c>
      <c r="G404" s="13">
        <v>62.05</v>
      </c>
      <c r="H404" s="13">
        <v>0</v>
      </c>
      <c r="I404" s="13">
        <v>62.05</v>
      </c>
      <c r="J404" s="24">
        <v>45875</v>
      </c>
      <c r="K404" s="13">
        <v>50</v>
      </c>
      <c r="L404" s="13">
        <v>1.4</v>
      </c>
      <c r="M404" s="13" t="b">
        <v>1</v>
      </c>
      <c r="N404" s="13" t="s">
        <v>2229</v>
      </c>
      <c r="O404" s="13">
        <f t="shared" si="6"/>
        <v>1.4</v>
      </c>
    </row>
    <row r="405" spans="1:15" x14ac:dyDescent="0.25">
      <c r="A405" s="13" t="s">
        <v>417</v>
      </c>
      <c r="B405" s="13" t="s">
        <v>2192</v>
      </c>
      <c r="C405" s="13" t="s">
        <v>2198</v>
      </c>
      <c r="D405" s="13" t="s">
        <v>2205</v>
      </c>
      <c r="F405" s="13" t="s">
        <v>2220</v>
      </c>
      <c r="G405" s="13">
        <v>74.319999999999993</v>
      </c>
      <c r="H405" s="13">
        <v>0</v>
      </c>
      <c r="I405" s="13">
        <v>74.319999999999993</v>
      </c>
      <c r="J405" s="24">
        <v>45875</v>
      </c>
      <c r="K405" s="13">
        <v>4</v>
      </c>
      <c r="L405" s="13">
        <v>2.2000000000000002</v>
      </c>
      <c r="M405" s="13" t="b">
        <v>0</v>
      </c>
      <c r="O405" s="13">
        <f t="shared" si="6"/>
        <v>2.2000000000000002</v>
      </c>
    </row>
    <row r="406" spans="1:15" x14ac:dyDescent="0.25">
      <c r="A406" s="13" t="s">
        <v>418</v>
      </c>
      <c r="B406" s="13" t="s">
        <v>2190</v>
      </c>
      <c r="C406" s="13" t="s">
        <v>2197</v>
      </c>
      <c r="D406" s="13" t="s">
        <v>2205</v>
      </c>
      <c r="E406" s="13" t="s">
        <v>2212</v>
      </c>
      <c r="F406" s="13" t="s">
        <v>2222</v>
      </c>
      <c r="G406" s="13">
        <v>217.34</v>
      </c>
      <c r="H406" s="13">
        <v>0</v>
      </c>
      <c r="I406" s="13">
        <v>217.34</v>
      </c>
      <c r="J406" s="24">
        <v>45875</v>
      </c>
      <c r="K406" s="13">
        <v>4</v>
      </c>
      <c r="L406" s="13">
        <v>4.2</v>
      </c>
      <c r="M406" s="13" t="b">
        <v>0</v>
      </c>
      <c r="O406" s="13">
        <f t="shared" si="6"/>
        <v>4.2</v>
      </c>
    </row>
    <row r="407" spans="1:15" x14ac:dyDescent="0.25">
      <c r="A407" s="13" t="s">
        <v>419</v>
      </c>
      <c r="B407" s="13" t="s">
        <v>2191</v>
      </c>
      <c r="C407" s="13" t="s">
        <v>2196</v>
      </c>
      <c r="D407" s="13" t="s">
        <v>2207</v>
      </c>
      <c r="E407" s="13" t="s">
        <v>2208</v>
      </c>
      <c r="F407" s="13" t="s">
        <v>2217</v>
      </c>
      <c r="G407" s="13">
        <v>111.14</v>
      </c>
      <c r="H407" s="13">
        <v>56.7</v>
      </c>
      <c r="I407" s="13">
        <v>48.12</v>
      </c>
      <c r="J407" s="24">
        <v>45875</v>
      </c>
      <c r="K407" s="13">
        <v>29</v>
      </c>
      <c r="L407" s="13">
        <v>1.5</v>
      </c>
      <c r="M407" s="13" t="b">
        <v>0</v>
      </c>
      <c r="O407" s="13">
        <f t="shared" si="6"/>
        <v>1.5</v>
      </c>
    </row>
    <row r="408" spans="1:15" x14ac:dyDescent="0.25">
      <c r="A408" s="13" t="s">
        <v>420</v>
      </c>
      <c r="B408" s="13" t="s">
        <v>2193</v>
      </c>
      <c r="C408" s="13" t="s">
        <v>2200</v>
      </c>
      <c r="D408" s="13" t="s">
        <v>2205</v>
      </c>
      <c r="E408" s="13" t="s">
        <v>2208</v>
      </c>
      <c r="F408" s="13" t="s">
        <v>2222</v>
      </c>
      <c r="G408" s="13">
        <v>62.5</v>
      </c>
      <c r="H408" s="13">
        <v>0</v>
      </c>
      <c r="I408" s="13">
        <v>62.5</v>
      </c>
      <c r="J408" s="24">
        <v>45875</v>
      </c>
      <c r="K408" s="13">
        <v>0</v>
      </c>
      <c r="L408" s="13">
        <v>1.9</v>
      </c>
      <c r="M408" s="13" t="b">
        <v>1</v>
      </c>
      <c r="N408" s="13" t="s">
        <v>2229</v>
      </c>
      <c r="O408" s="13">
        <f t="shared" si="6"/>
        <v>1.9</v>
      </c>
    </row>
    <row r="409" spans="1:15" x14ac:dyDescent="0.25">
      <c r="A409" s="13" t="s">
        <v>421</v>
      </c>
      <c r="B409" s="13" t="s">
        <v>2190</v>
      </c>
      <c r="C409" s="13" t="s">
        <v>2198</v>
      </c>
      <c r="D409" s="13" t="s">
        <v>2205</v>
      </c>
      <c r="E409" s="13" t="s">
        <v>2212</v>
      </c>
      <c r="F409" s="13" t="s">
        <v>2219</v>
      </c>
      <c r="G409" s="13">
        <v>165.88</v>
      </c>
      <c r="H409" s="13">
        <v>3.4</v>
      </c>
      <c r="I409" s="13">
        <v>160.24</v>
      </c>
      <c r="J409" s="24">
        <v>45875</v>
      </c>
      <c r="K409" s="13">
        <v>42</v>
      </c>
      <c r="L409" s="13">
        <v>2.4</v>
      </c>
      <c r="M409" s="13" t="b">
        <v>0</v>
      </c>
      <c r="O409" s="13">
        <f t="shared" si="6"/>
        <v>2.4</v>
      </c>
    </row>
    <row r="410" spans="1:15" x14ac:dyDescent="0.25">
      <c r="A410" s="13" t="s">
        <v>422</v>
      </c>
      <c r="B410" s="13" t="s">
        <v>2190</v>
      </c>
      <c r="C410" s="13" t="s">
        <v>2202</v>
      </c>
      <c r="D410" s="13" t="s">
        <v>2206</v>
      </c>
      <c r="E410" s="13" t="s">
        <v>2212</v>
      </c>
      <c r="F410" s="13" t="s">
        <v>2224</v>
      </c>
      <c r="G410" s="13">
        <v>179.8</v>
      </c>
      <c r="H410" s="13">
        <v>0</v>
      </c>
      <c r="I410" s="13">
        <v>179.8</v>
      </c>
      <c r="J410" s="24">
        <v>45875</v>
      </c>
      <c r="K410" s="13">
        <v>25</v>
      </c>
      <c r="L410" s="13">
        <v>1.7</v>
      </c>
      <c r="M410" s="13" t="b">
        <v>0</v>
      </c>
      <c r="O410" s="13">
        <f t="shared" si="6"/>
        <v>1.7</v>
      </c>
    </row>
    <row r="411" spans="1:15" x14ac:dyDescent="0.25">
      <c r="A411" s="13" t="s">
        <v>423</v>
      </c>
      <c r="B411" s="13" t="s">
        <v>2192</v>
      </c>
      <c r="C411" s="13" t="s">
        <v>2196</v>
      </c>
      <c r="D411" s="13" t="s">
        <v>2207</v>
      </c>
      <c r="F411" s="13" t="s">
        <v>2221</v>
      </c>
      <c r="G411" s="13">
        <v>34.15</v>
      </c>
      <c r="H411" s="13">
        <v>0</v>
      </c>
      <c r="I411" s="13">
        <v>34.15</v>
      </c>
      <c r="J411" s="24">
        <v>45875</v>
      </c>
      <c r="K411" s="13">
        <v>27</v>
      </c>
      <c r="L411" s="13">
        <v>4.0999999999999996</v>
      </c>
      <c r="M411" s="13" t="b">
        <v>0</v>
      </c>
      <c r="O411" s="13">
        <f t="shared" si="6"/>
        <v>4.0999999999999996</v>
      </c>
    </row>
    <row r="412" spans="1:15" x14ac:dyDescent="0.25">
      <c r="A412" s="13" t="s">
        <v>424</v>
      </c>
      <c r="B412" s="13" t="s">
        <v>2191</v>
      </c>
      <c r="C412" s="13" t="s">
        <v>2202</v>
      </c>
      <c r="D412" s="13" t="s">
        <v>2204</v>
      </c>
      <c r="E412" s="13" t="s">
        <v>2212</v>
      </c>
      <c r="F412" s="13" t="s">
        <v>2220</v>
      </c>
      <c r="G412" s="13">
        <v>101.88</v>
      </c>
      <c r="H412" s="13">
        <v>0</v>
      </c>
      <c r="I412" s="13">
        <v>101.88</v>
      </c>
      <c r="J412" s="24">
        <v>45730</v>
      </c>
      <c r="K412" s="13">
        <v>46</v>
      </c>
      <c r="M412" s="13" t="b">
        <v>1</v>
      </c>
      <c r="N412" s="13" t="s">
        <v>2226</v>
      </c>
      <c r="O412" s="13">
        <f t="shared" si="6"/>
        <v>2.9074999999999998</v>
      </c>
    </row>
    <row r="413" spans="1:15" x14ac:dyDescent="0.25">
      <c r="A413" s="13" t="s">
        <v>425</v>
      </c>
      <c r="B413" s="13" t="s">
        <v>2193</v>
      </c>
      <c r="C413" s="13" t="s">
        <v>2198</v>
      </c>
      <c r="D413" s="13" t="s">
        <v>2207</v>
      </c>
      <c r="E413" s="13" t="s">
        <v>2208</v>
      </c>
      <c r="F413" s="13" t="s">
        <v>2219</v>
      </c>
      <c r="G413" s="13">
        <v>187.58</v>
      </c>
      <c r="H413" s="13">
        <v>0</v>
      </c>
      <c r="I413" s="13">
        <v>187.58</v>
      </c>
      <c r="J413" s="24">
        <v>45875</v>
      </c>
      <c r="K413" s="13">
        <v>46</v>
      </c>
      <c r="L413" s="13">
        <v>2.9</v>
      </c>
      <c r="M413" s="13" t="b">
        <v>0</v>
      </c>
      <c r="O413" s="13">
        <f t="shared" si="6"/>
        <v>2.9</v>
      </c>
    </row>
    <row r="414" spans="1:15" x14ac:dyDescent="0.25">
      <c r="A414" s="13" t="s">
        <v>426</v>
      </c>
      <c r="B414" s="13" t="s">
        <v>2190</v>
      </c>
      <c r="C414" s="13" t="s">
        <v>2201</v>
      </c>
      <c r="D414" s="13" t="s">
        <v>2206</v>
      </c>
      <c r="E414" s="13" t="s">
        <v>2209</v>
      </c>
      <c r="F414" s="13" t="s">
        <v>2215</v>
      </c>
      <c r="G414" s="13">
        <v>145.02000000000001</v>
      </c>
      <c r="H414" s="13">
        <v>0</v>
      </c>
      <c r="I414" s="13">
        <v>145.02000000000001</v>
      </c>
      <c r="J414" s="24">
        <v>45875</v>
      </c>
      <c r="K414" s="13">
        <v>36</v>
      </c>
      <c r="L414" s="13">
        <v>2.6</v>
      </c>
      <c r="M414" s="13" t="b">
        <v>0</v>
      </c>
      <c r="O414" s="13">
        <f t="shared" si="6"/>
        <v>2.6</v>
      </c>
    </row>
    <row r="415" spans="1:15" x14ac:dyDescent="0.25">
      <c r="A415" s="13" t="s">
        <v>427</v>
      </c>
      <c r="B415" s="13" t="s">
        <v>2194</v>
      </c>
      <c r="C415" s="13" t="s">
        <v>2202</v>
      </c>
      <c r="D415" s="13" t="s">
        <v>2207</v>
      </c>
      <c r="E415" s="13" t="s">
        <v>2212</v>
      </c>
      <c r="F415" s="13" t="s">
        <v>2219</v>
      </c>
      <c r="G415" s="13">
        <v>101.61</v>
      </c>
      <c r="H415" s="13">
        <v>26.9</v>
      </c>
      <c r="I415" s="13">
        <v>74.28</v>
      </c>
      <c r="J415" s="24">
        <v>45875</v>
      </c>
      <c r="K415" s="13">
        <v>38</v>
      </c>
      <c r="L415" s="13">
        <v>3.4</v>
      </c>
      <c r="M415" s="13" t="b">
        <v>1</v>
      </c>
      <c r="N415" s="13" t="s">
        <v>2227</v>
      </c>
      <c r="O415" s="13">
        <f t="shared" si="6"/>
        <v>3.4</v>
      </c>
    </row>
    <row r="416" spans="1:15" x14ac:dyDescent="0.25">
      <c r="A416" s="13" t="s">
        <v>428</v>
      </c>
      <c r="B416" s="13" t="s">
        <v>2195</v>
      </c>
      <c r="C416" s="13" t="s">
        <v>2200</v>
      </c>
      <c r="D416" s="13" t="s">
        <v>2206</v>
      </c>
      <c r="E416" s="13" t="s">
        <v>2211</v>
      </c>
      <c r="F416" s="13" t="s">
        <v>2221</v>
      </c>
      <c r="G416" s="13">
        <v>71.14</v>
      </c>
      <c r="H416" s="13">
        <v>0</v>
      </c>
      <c r="I416" s="13">
        <v>71.14</v>
      </c>
      <c r="J416" s="24">
        <v>45875</v>
      </c>
      <c r="K416" s="13">
        <v>33</v>
      </c>
      <c r="L416" s="13">
        <v>3.1</v>
      </c>
      <c r="M416" s="13" t="b">
        <v>0</v>
      </c>
      <c r="O416" s="13">
        <f t="shared" si="6"/>
        <v>3.1</v>
      </c>
    </row>
    <row r="417" spans="1:15" x14ac:dyDescent="0.25">
      <c r="A417" s="13" t="s">
        <v>429</v>
      </c>
      <c r="B417" s="13" t="s">
        <v>2195</v>
      </c>
      <c r="C417" s="13" t="s">
        <v>2201</v>
      </c>
      <c r="D417" s="13" t="s">
        <v>2207</v>
      </c>
      <c r="E417" s="13" t="s">
        <v>2213</v>
      </c>
      <c r="F417" s="13" t="s">
        <v>2220</v>
      </c>
      <c r="G417" s="13">
        <v>55.21</v>
      </c>
      <c r="H417" s="13">
        <v>0</v>
      </c>
      <c r="I417" s="13">
        <v>55.21</v>
      </c>
      <c r="J417" s="24">
        <v>45875</v>
      </c>
      <c r="K417" s="13">
        <v>2</v>
      </c>
      <c r="L417" s="13">
        <v>3.8</v>
      </c>
      <c r="M417" s="13" t="b">
        <v>1</v>
      </c>
      <c r="N417" s="13" t="s">
        <v>2230</v>
      </c>
      <c r="O417" s="13">
        <f t="shared" si="6"/>
        <v>3.8</v>
      </c>
    </row>
    <row r="418" spans="1:15" x14ac:dyDescent="0.25">
      <c r="A418" s="13" t="s">
        <v>430</v>
      </c>
      <c r="B418" s="13" t="s">
        <v>2191</v>
      </c>
      <c r="C418" s="13" t="s">
        <v>2196</v>
      </c>
      <c r="D418" s="13" t="s">
        <v>2207</v>
      </c>
      <c r="E418" s="13" t="s">
        <v>2211</v>
      </c>
      <c r="F418" s="13" t="s">
        <v>2216</v>
      </c>
      <c r="G418" s="13">
        <v>94.96</v>
      </c>
      <c r="H418" s="13">
        <v>35.4</v>
      </c>
      <c r="I418" s="13">
        <v>61.34</v>
      </c>
      <c r="J418" s="24">
        <v>45875</v>
      </c>
      <c r="K418" s="13">
        <v>34</v>
      </c>
      <c r="L418" s="13">
        <v>3.9</v>
      </c>
      <c r="M418" s="13" t="b">
        <v>0</v>
      </c>
      <c r="O418" s="13">
        <f t="shared" si="6"/>
        <v>3.9</v>
      </c>
    </row>
    <row r="419" spans="1:15" x14ac:dyDescent="0.25">
      <c r="A419" s="13" t="s">
        <v>431</v>
      </c>
      <c r="B419" s="13" t="s">
        <v>2193</v>
      </c>
      <c r="C419" s="13" t="s">
        <v>2199</v>
      </c>
      <c r="D419" s="13" t="s">
        <v>2204</v>
      </c>
      <c r="E419" s="13" t="s">
        <v>2213</v>
      </c>
      <c r="F419" s="13" t="s">
        <v>2223</v>
      </c>
      <c r="G419" s="13">
        <v>138.69</v>
      </c>
      <c r="H419" s="13">
        <v>0</v>
      </c>
      <c r="I419" s="13">
        <v>138.69</v>
      </c>
      <c r="J419" s="24">
        <v>45628</v>
      </c>
      <c r="K419" s="13">
        <v>0</v>
      </c>
      <c r="L419" s="13">
        <v>2.9</v>
      </c>
      <c r="M419" s="13" t="b">
        <v>0</v>
      </c>
      <c r="O419" s="13">
        <f t="shared" si="6"/>
        <v>2.9</v>
      </c>
    </row>
    <row r="420" spans="1:15" x14ac:dyDescent="0.25">
      <c r="A420" s="13" t="s">
        <v>432</v>
      </c>
      <c r="B420" s="13" t="s">
        <v>2190</v>
      </c>
      <c r="C420" s="13" t="s">
        <v>2202</v>
      </c>
      <c r="D420" s="13" t="s">
        <v>2204</v>
      </c>
      <c r="E420" s="13" t="s">
        <v>2211</v>
      </c>
      <c r="F420" s="13" t="s">
        <v>2222</v>
      </c>
      <c r="G420" s="13">
        <v>175.7</v>
      </c>
      <c r="H420" s="13">
        <v>0</v>
      </c>
      <c r="I420" s="13">
        <v>175.7</v>
      </c>
      <c r="J420" s="24">
        <v>45711</v>
      </c>
      <c r="K420" s="13">
        <v>20</v>
      </c>
      <c r="L420" s="13">
        <v>3</v>
      </c>
      <c r="M420" s="13" t="b">
        <v>0</v>
      </c>
      <c r="O420" s="13">
        <f t="shared" si="6"/>
        <v>3</v>
      </c>
    </row>
    <row r="421" spans="1:15" x14ac:dyDescent="0.25">
      <c r="A421" s="13" t="s">
        <v>433</v>
      </c>
      <c r="B421" s="13" t="s">
        <v>2193</v>
      </c>
      <c r="C421" s="13" t="s">
        <v>2197</v>
      </c>
      <c r="D421" s="13" t="s">
        <v>2207</v>
      </c>
      <c r="E421" s="13" t="s">
        <v>2212</v>
      </c>
      <c r="F421" s="13" t="s">
        <v>2216</v>
      </c>
      <c r="G421" s="13">
        <v>145.18</v>
      </c>
      <c r="H421" s="13">
        <v>35.700000000000003</v>
      </c>
      <c r="I421" s="13">
        <v>93.35</v>
      </c>
      <c r="J421" s="24">
        <v>45875</v>
      </c>
      <c r="K421" s="13">
        <v>25</v>
      </c>
      <c r="L421" s="13">
        <v>2.2000000000000002</v>
      </c>
      <c r="M421" s="13" t="b">
        <v>0</v>
      </c>
      <c r="O421" s="13">
        <f t="shared" si="6"/>
        <v>2.2000000000000002</v>
      </c>
    </row>
    <row r="422" spans="1:15" x14ac:dyDescent="0.25">
      <c r="A422" s="13" t="s">
        <v>434</v>
      </c>
      <c r="B422" s="13" t="s">
        <v>2195</v>
      </c>
      <c r="C422" s="13" t="s">
        <v>2199</v>
      </c>
      <c r="D422" s="13" t="s">
        <v>2207</v>
      </c>
      <c r="E422" s="13" t="s">
        <v>2213</v>
      </c>
      <c r="F422" s="13" t="s">
        <v>2216</v>
      </c>
      <c r="G422" s="13">
        <v>169.34</v>
      </c>
      <c r="H422" s="13">
        <v>44.6</v>
      </c>
      <c r="I422" s="13">
        <v>93.81</v>
      </c>
      <c r="J422" s="24">
        <v>45875</v>
      </c>
      <c r="K422" s="13">
        <v>37</v>
      </c>
      <c r="L422" s="13">
        <v>2.7</v>
      </c>
      <c r="M422" s="13" t="b">
        <v>0</v>
      </c>
      <c r="O422" s="13">
        <f t="shared" si="6"/>
        <v>2.7</v>
      </c>
    </row>
    <row r="423" spans="1:15" x14ac:dyDescent="0.25">
      <c r="A423" s="13" t="s">
        <v>435</v>
      </c>
      <c r="B423" s="13" t="s">
        <v>2191</v>
      </c>
      <c r="C423" s="13" t="s">
        <v>2197</v>
      </c>
      <c r="D423" s="13" t="s">
        <v>2207</v>
      </c>
      <c r="E423" s="13" t="s">
        <v>2209</v>
      </c>
      <c r="F423" s="13" t="s">
        <v>2214</v>
      </c>
      <c r="G423" s="13">
        <v>103.14</v>
      </c>
      <c r="H423" s="13">
        <v>0</v>
      </c>
      <c r="I423" s="13">
        <v>103.14</v>
      </c>
      <c r="J423" s="24">
        <v>45875</v>
      </c>
      <c r="K423" s="13">
        <v>13</v>
      </c>
      <c r="L423" s="13">
        <v>4.5</v>
      </c>
      <c r="M423" s="13" t="b">
        <v>0</v>
      </c>
      <c r="O423" s="13">
        <f t="shared" si="6"/>
        <v>4.5</v>
      </c>
    </row>
    <row r="424" spans="1:15" x14ac:dyDescent="0.25">
      <c r="A424" s="13" t="s">
        <v>436</v>
      </c>
      <c r="B424" s="13" t="s">
        <v>2191</v>
      </c>
      <c r="C424" s="13" t="s">
        <v>2199</v>
      </c>
      <c r="D424" s="13" t="s">
        <v>2206</v>
      </c>
      <c r="E424" s="13" t="s">
        <v>2213</v>
      </c>
      <c r="F424" s="13" t="s">
        <v>2221</v>
      </c>
      <c r="G424" s="13">
        <v>97.47</v>
      </c>
      <c r="H424" s="13">
        <v>32</v>
      </c>
      <c r="I424" s="13">
        <v>66.28</v>
      </c>
      <c r="J424" s="24">
        <v>45875</v>
      </c>
      <c r="K424" s="13">
        <v>27</v>
      </c>
      <c r="L424" s="13">
        <v>3</v>
      </c>
      <c r="M424" s="13" t="b">
        <v>0</v>
      </c>
      <c r="O424" s="13">
        <f t="shared" si="6"/>
        <v>3</v>
      </c>
    </row>
    <row r="425" spans="1:15" x14ac:dyDescent="0.25">
      <c r="A425" s="13" t="s">
        <v>437</v>
      </c>
      <c r="B425" s="13" t="s">
        <v>2195</v>
      </c>
      <c r="C425" s="13" t="s">
        <v>2201</v>
      </c>
      <c r="D425" s="13" t="s">
        <v>2204</v>
      </c>
      <c r="E425" s="13" t="s">
        <v>2213</v>
      </c>
      <c r="F425" s="13" t="s">
        <v>2222</v>
      </c>
      <c r="G425" s="13">
        <v>50.69</v>
      </c>
      <c r="H425" s="13">
        <v>26.3</v>
      </c>
      <c r="I425" s="13">
        <v>37.36</v>
      </c>
      <c r="J425" s="24">
        <v>45594</v>
      </c>
      <c r="K425" s="13">
        <v>37</v>
      </c>
      <c r="L425" s="13">
        <v>4.0999999999999996</v>
      </c>
      <c r="M425" s="13" t="b">
        <v>0</v>
      </c>
      <c r="O425" s="13">
        <f t="shared" si="6"/>
        <v>4.0999999999999996</v>
      </c>
    </row>
    <row r="426" spans="1:15" x14ac:dyDescent="0.25">
      <c r="A426" s="13" t="s">
        <v>438</v>
      </c>
      <c r="B426" s="13" t="s">
        <v>2190</v>
      </c>
      <c r="C426" s="13" t="s">
        <v>2198</v>
      </c>
      <c r="D426" s="13" t="s">
        <v>2206</v>
      </c>
      <c r="E426" s="13" t="s">
        <v>2208</v>
      </c>
      <c r="F426" s="13" t="s">
        <v>2216</v>
      </c>
      <c r="G426" s="13">
        <v>127.75</v>
      </c>
      <c r="H426" s="13">
        <v>0</v>
      </c>
      <c r="I426" s="13">
        <v>127.75</v>
      </c>
      <c r="J426" s="24">
        <v>45875</v>
      </c>
      <c r="K426" s="13">
        <v>32</v>
      </c>
      <c r="L426" s="13">
        <v>3.6</v>
      </c>
      <c r="M426" s="13" t="b">
        <v>0</v>
      </c>
      <c r="O426" s="13">
        <f t="shared" si="6"/>
        <v>3.6</v>
      </c>
    </row>
    <row r="427" spans="1:15" x14ac:dyDescent="0.25">
      <c r="A427" s="13" t="s">
        <v>439</v>
      </c>
      <c r="B427" s="13" t="s">
        <v>2191</v>
      </c>
      <c r="C427" s="13" t="s">
        <v>2203</v>
      </c>
      <c r="D427" s="13" t="s">
        <v>2205</v>
      </c>
      <c r="E427" s="13" t="s">
        <v>2208</v>
      </c>
      <c r="F427" s="13" t="s">
        <v>2216</v>
      </c>
      <c r="G427" s="13">
        <v>111.64</v>
      </c>
      <c r="H427" s="13">
        <v>0</v>
      </c>
      <c r="I427" s="13">
        <v>111.64</v>
      </c>
      <c r="J427" s="24">
        <v>45875</v>
      </c>
      <c r="K427" s="13">
        <v>13</v>
      </c>
      <c r="L427" s="13">
        <v>4.8</v>
      </c>
      <c r="M427" s="13" t="b">
        <v>0</v>
      </c>
      <c r="O427" s="13">
        <f t="shared" si="6"/>
        <v>4.8</v>
      </c>
    </row>
    <row r="428" spans="1:15" x14ac:dyDescent="0.25">
      <c r="A428" s="13" t="s">
        <v>440</v>
      </c>
      <c r="B428" s="13" t="s">
        <v>2193</v>
      </c>
      <c r="C428" s="13" t="s">
        <v>2197</v>
      </c>
      <c r="D428" s="13" t="s">
        <v>2206</v>
      </c>
      <c r="F428" s="13" t="s">
        <v>2223</v>
      </c>
      <c r="G428" s="13">
        <v>134.6</v>
      </c>
      <c r="H428" s="13">
        <v>11.6</v>
      </c>
      <c r="I428" s="13">
        <v>118.99</v>
      </c>
      <c r="J428" s="24">
        <v>45875</v>
      </c>
      <c r="K428" s="13">
        <v>47</v>
      </c>
      <c r="L428" s="13">
        <v>3.9</v>
      </c>
      <c r="M428" s="13" t="b">
        <v>0</v>
      </c>
      <c r="O428" s="13">
        <f t="shared" si="6"/>
        <v>3.9</v>
      </c>
    </row>
    <row r="429" spans="1:15" x14ac:dyDescent="0.25">
      <c r="A429" s="13" t="s">
        <v>441</v>
      </c>
      <c r="B429" s="13" t="s">
        <v>2194</v>
      </c>
      <c r="C429" s="13" t="s">
        <v>2196</v>
      </c>
      <c r="D429" s="13" t="s">
        <v>2204</v>
      </c>
      <c r="E429" s="13" t="s">
        <v>2211</v>
      </c>
      <c r="F429" s="13" t="s">
        <v>2223</v>
      </c>
      <c r="G429" s="13">
        <v>56.05</v>
      </c>
      <c r="H429" s="13">
        <v>0</v>
      </c>
      <c r="I429" s="13">
        <v>56.05</v>
      </c>
      <c r="J429" s="24">
        <v>45854</v>
      </c>
      <c r="K429" s="13">
        <v>9</v>
      </c>
      <c r="M429" s="13" t="b">
        <v>0</v>
      </c>
      <c r="O429" s="13">
        <f t="shared" si="6"/>
        <v>2.9210526315789478</v>
      </c>
    </row>
    <row r="430" spans="1:15" x14ac:dyDescent="0.25">
      <c r="A430" s="13" t="s">
        <v>442</v>
      </c>
      <c r="B430" s="13" t="s">
        <v>2195</v>
      </c>
      <c r="C430" s="13" t="s">
        <v>2198</v>
      </c>
      <c r="D430" s="13" t="s">
        <v>2206</v>
      </c>
      <c r="E430" s="13" t="s">
        <v>2208</v>
      </c>
      <c r="F430" s="13" t="s">
        <v>2223</v>
      </c>
      <c r="G430" s="13">
        <v>106.2</v>
      </c>
      <c r="H430" s="13">
        <v>0</v>
      </c>
      <c r="I430" s="13">
        <v>106.2</v>
      </c>
      <c r="J430" s="24">
        <v>45875</v>
      </c>
      <c r="K430" s="13">
        <v>35</v>
      </c>
      <c r="L430" s="13">
        <v>4.5</v>
      </c>
      <c r="M430" s="13" t="b">
        <v>0</v>
      </c>
      <c r="O430" s="13">
        <f t="shared" si="6"/>
        <v>4.5</v>
      </c>
    </row>
    <row r="431" spans="1:15" x14ac:dyDescent="0.25">
      <c r="A431" s="13" t="s">
        <v>443</v>
      </c>
      <c r="B431" s="13" t="s">
        <v>2193</v>
      </c>
      <c r="C431" s="13" t="s">
        <v>2199</v>
      </c>
      <c r="D431" s="13" t="s">
        <v>2206</v>
      </c>
      <c r="F431" s="13" t="s">
        <v>2220</v>
      </c>
      <c r="G431" s="13">
        <v>104.26</v>
      </c>
      <c r="H431" s="13">
        <v>20.6</v>
      </c>
      <c r="I431" s="13">
        <v>82.78</v>
      </c>
      <c r="J431" s="24">
        <v>45875</v>
      </c>
      <c r="K431" s="13">
        <v>31</v>
      </c>
      <c r="L431" s="13">
        <v>3</v>
      </c>
      <c r="M431" s="13" t="b">
        <v>0</v>
      </c>
      <c r="O431" s="13">
        <f t="shared" si="6"/>
        <v>3</v>
      </c>
    </row>
    <row r="432" spans="1:15" x14ac:dyDescent="0.25">
      <c r="A432" s="13" t="s">
        <v>444</v>
      </c>
      <c r="B432" s="13" t="s">
        <v>2192</v>
      </c>
      <c r="C432" s="13" t="s">
        <v>2197</v>
      </c>
      <c r="D432" s="13" t="s">
        <v>2204</v>
      </c>
      <c r="F432" s="13" t="s">
        <v>2223</v>
      </c>
      <c r="G432" s="13">
        <v>24.53</v>
      </c>
      <c r="H432" s="13">
        <v>0</v>
      </c>
      <c r="I432" s="13">
        <v>24.53</v>
      </c>
      <c r="J432" s="24">
        <v>45524</v>
      </c>
      <c r="K432" s="13">
        <v>44</v>
      </c>
      <c r="L432" s="13">
        <v>4.2</v>
      </c>
      <c r="M432" s="13" t="b">
        <v>0</v>
      </c>
      <c r="O432" s="13">
        <f t="shared" si="6"/>
        <v>4.2</v>
      </c>
    </row>
    <row r="433" spans="1:15" x14ac:dyDescent="0.25">
      <c r="A433" s="13" t="s">
        <v>445</v>
      </c>
      <c r="B433" s="13" t="s">
        <v>2193</v>
      </c>
      <c r="C433" s="13" t="s">
        <v>2199</v>
      </c>
      <c r="D433" s="13" t="s">
        <v>2204</v>
      </c>
      <c r="E433" s="13" t="s">
        <v>2209</v>
      </c>
      <c r="F433" s="13" t="s">
        <v>2220</v>
      </c>
      <c r="G433" s="13">
        <v>131.25</v>
      </c>
      <c r="H433" s="13">
        <v>0</v>
      </c>
      <c r="I433" s="13">
        <v>131.25</v>
      </c>
      <c r="J433" s="24">
        <v>45826</v>
      </c>
      <c r="K433" s="13">
        <v>12</v>
      </c>
      <c r="L433" s="13">
        <v>1.6</v>
      </c>
      <c r="M433" s="13" t="b">
        <v>0</v>
      </c>
      <c r="O433" s="13">
        <f t="shared" si="6"/>
        <v>1.6</v>
      </c>
    </row>
    <row r="434" spans="1:15" x14ac:dyDescent="0.25">
      <c r="A434" s="13" t="s">
        <v>446</v>
      </c>
      <c r="B434" s="13" t="s">
        <v>2194</v>
      </c>
      <c r="C434" s="13" t="s">
        <v>2203</v>
      </c>
      <c r="D434" s="13" t="s">
        <v>2206</v>
      </c>
      <c r="E434" s="13" t="s">
        <v>2213</v>
      </c>
      <c r="F434" s="13" t="s">
        <v>2214</v>
      </c>
      <c r="G434" s="13">
        <v>72.849999999999994</v>
      </c>
      <c r="H434" s="13">
        <v>0</v>
      </c>
      <c r="I434" s="13">
        <v>72.849999999999994</v>
      </c>
      <c r="J434" s="24">
        <v>45875</v>
      </c>
      <c r="K434" s="13">
        <v>25</v>
      </c>
      <c r="L434" s="13">
        <v>3.8</v>
      </c>
      <c r="M434" s="13" t="b">
        <v>0</v>
      </c>
      <c r="O434" s="13">
        <f t="shared" si="6"/>
        <v>3.8</v>
      </c>
    </row>
    <row r="435" spans="1:15" x14ac:dyDescent="0.25">
      <c r="A435" s="13" t="s">
        <v>447</v>
      </c>
      <c r="B435" s="13" t="s">
        <v>2193</v>
      </c>
      <c r="C435" s="13" t="s">
        <v>2196</v>
      </c>
      <c r="D435" s="13" t="s">
        <v>2205</v>
      </c>
      <c r="E435" s="13" t="s">
        <v>2212</v>
      </c>
      <c r="F435" s="13" t="s">
        <v>2220</v>
      </c>
      <c r="G435" s="13">
        <v>135.38999999999999</v>
      </c>
      <c r="H435" s="13">
        <v>0</v>
      </c>
      <c r="I435" s="13">
        <v>135.38999999999999</v>
      </c>
      <c r="J435" s="24">
        <v>45875</v>
      </c>
      <c r="K435" s="13">
        <v>26</v>
      </c>
      <c r="L435" s="13">
        <v>3.9</v>
      </c>
      <c r="M435" s="13" t="b">
        <v>0</v>
      </c>
      <c r="O435" s="13">
        <f t="shared" si="6"/>
        <v>3.9</v>
      </c>
    </row>
    <row r="436" spans="1:15" x14ac:dyDescent="0.25">
      <c r="A436" s="13" t="s">
        <v>448</v>
      </c>
      <c r="B436" s="13" t="s">
        <v>2193</v>
      </c>
      <c r="C436" s="13" t="s">
        <v>2196</v>
      </c>
      <c r="D436" s="13" t="s">
        <v>2205</v>
      </c>
      <c r="E436" s="13" t="s">
        <v>2208</v>
      </c>
      <c r="F436" s="13" t="s">
        <v>2222</v>
      </c>
      <c r="G436" s="13">
        <v>166.94</v>
      </c>
      <c r="H436" s="13">
        <v>4.2</v>
      </c>
      <c r="I436" s="13">
        <v>159.93</v>
      </c>
      <c r="J436" s="24">
        <v>45875</v>
      </c>
      <c r="K436" s="13">
        <v>17</v>
      </c>
      <c r="L436" s="13">
        <v>2.6</v>
      </c>
      <c r="M436" s="13" t="b">
        <v>1</v>
      </c>
      <c r="N436" s="13" t="s">
        <v>2225</v>
      </c>
      <c r="O436" s="13">
        <f t="shared" si="6"/>
        <v>2.6</v>
      </c>
    </row>
    <row r="437" spans="1:15" x14ac:dyDescent="0.25">
      <c r="A437" s="13" t="s">
        <v>449</v>
      </c>
      <c r="B437" s="13" t="s">
        <v>2193</v>
      </c>
      <c r="C437" s="13" t="s">
        <v>2198</v>
      </c>
      <c r="D437" s="13" t="s">
        <v>2204</v>
      </c>
      <c r="E437" s="13" t="s">
        <v>2208</v>
      </c>
      <c r="F437" s="13" t="s">
        <v>2220</v>
      </c>
      <c r="G437" s="13">
        <v>135.36000000000001</v>
      </c>
      <c r="H437" s="13">
        <v>41.7</v>
      </c>
      <c r="I437" s="13">
        <v>78.91</v>
      </c>
      <c r="J437" s="24">
        <v>45646</v>
      </c>
      <c r="K437" s="13">
        <v>17</v>
      </c>
      <c r="L437" s="13">
        <v>4.3</v>
      </c>
      <c r="M437" s="13" t="b">
        <v>0</v>
      </c>
      <c r="O437" s="13">
        <f t="shared" si="6"/>
        <v>4.3</v>
      </c>
    </row>
    <row r="438" spans="1:15" x14ac:dyDescent="0.25">
      <c r="A438" s="13" t="s">
        <v>450</v>
      </c>
      <c r="B438" s="13" t="s">
        <v>2194</v>
      </c>
      <c r="C438" s="13" t="s">
        <v>2201</v>
      </c>
      <c r="D438" s="13" t="s">
        <v>2204</v>
      </c>
      <c r="E438" s="13" t="s">
        <v>2209</v>
      </c>
      <c r="F438" s="13" t="s">
        <v>2219</v>
      </c>
      <c r="G438" s="13">
        <v>96.05</v>
      </c>
      <c r="H438" s="13">
        <v>0</v>
      </c>
      <c r="I438" s="13">
        <v>96.05</v>
      </c>
      <c r="J438" s="24">
        <v>45544</v>
      </c>
      <c r="K438" s="13">
        <v>15</v>
      </c>
      <c r="L438" s="13">
        <v>4</v>
      </c>
      <c r="M438" s="13" t="b">
        <v>0</v>
      </c>
      <c r="O438" s="13">
        <f t="shared" si="6"/>
        <v>4</v>
      </c>
    </row>
    <row r="439" spans="1:15" x14ac:dyDescent="0.25">
      <c r="A439" s="13" t="s">
        <v>451</v>
      </c>
      <c r="B439" s="13" t="s">
        <v>2190</v>
      </c>
      <c r="C439" s="13" t="s">
        <v>2200</v>
      </c>
      <c r="D439" s="13" t="s">
        <v>2207</v>
      </c>
      <c r="E439" s="13" t="s">
        <v>2209</v>
      </c>
      <c r="F439" s="13" t="s">
        <v>2214</v>
      </c>
      <c r="G439" s="13">
        <v>116.1</v>
      </c>
      <c r="H439" s="13">
        <v>0</v>
      </c>
      <c r="I439" s="13">
        <v>116.1</v>
      </c>
      <c r="J439" s="24">
        <v>45875</v>
      </c>
      <c r="K439" s="13">
        <v>27</v>
      </c>
      <c r="L439" s="13">
        <v>3.6</v>
      </c>
      <c r="M439" s="13" t="b">
        <v>1</v>
      </c>
      <c r="N439" s="13" t="s">
        <v>2229</v>
      </c>
      <c r="O439" s="13">
        <f t="shared" si="6"/>
        <v>3.6</v>
      </c>
    </row>
    <row r="440" spans="1:15" x14ac:dyDescent="0.25">
      <c r="A440" s="13" t="s">
        <v>452</v>
      </c>
      <c r="B440" s="13" t="s">
        <v>2193</v>
      </c>
      <c r="C440" s="13" t="s">
        <v>2199</v>
      </c>
      <c r="D440" s="13" t="s">
        <v>2206</v>
      </c>
      <c r="E440" s="13" t="s">
        <v>2209</v>
      </c>
      <c r="F440" s="13" t="s">
        <v>2216</v>
      </c>
      <c r="G440" s="13">
        <v>91.53</v>
      </c>
      <c r="H440" s="13">
        <v>0</v>
      </c>
      <c r="I440" s="13">
        <v>91.53</v>
      </c>
      <c r="J440" s="24">
        <v>45875</v>
      </c>
      <c r="K440" s="13">
        <v>8</v>
      </c>
      <c r="L440" s="13">
        <v>1.5</v>
      </c>
      <c r="M440" s="13" t="b">
        <v>0</v>
      </c>
      <c r="O440" s="13">
        <f t="shared" si="6"/>
        <v>1.5</v>
      </c>
    </row>
    <row r="441" spans="1:15" x14ac:dyDescent="0.25">
      <c r="A441" s="13" t="s">
        <v>453</v>
      </c>
      <c r="B441" s="13" t="s">
        <v>2194</v>
      </c>
      <c r="C441" s="13" t="s">
        <v>2196</v>
      </c>
      <c r="D441" s="13" t="s">
        <v>2205</v>
      </c>
      <c r="E441" s="13" t="s">
        <v>2212</v>
      </c>
      <c r="F441" s="13" t="s">
        <v>2218</v>
      </c>
      <c r="G441" s="13">
        <v>102.16</v>
      </c>
      <c r="H441" s="13">
        <v>0</v>
      </c>
      <c r="I441" s="13">
        <v>102.16</v>
      </c>
      <c r="J441" s="24">
        <v>45875</v>
      </c>
      <c r="K441" s="13">
        <v>50</v>
      </c>
      <c r="M441" s="13" t="b">
        <v>0</v>
      </c>
      <c r="O441" s="13">
        <f t="shared" si="6"/>
        <v>2.9210526315789478</v>
      </c>
    </row>
    <row r="442" spans="1:15" x14ac:dyDescent="0.25">
      <c r="A442" s="13" t="s">
        <v>454</v>
      </c>
      <c r="B442" s="13" t="s">
        <v>2193</v>
      </c>
      <c r="C442" s="13" t="s">
        <v>2197</v>
      </c>
      <c r="D442" s="13" t="s">
        <v>2205</v>
      </c>
      <c r="E442" s="13" t="s">
        <v>2209</v>
      </c>
      <c r="F442" s="13" t="s">
        <v>2218</v>
      </c>
      <c r="G442" s="13">
        <v>67.739999999999995</v>
      </c>
      <c r="H442" s="13">
        <v>3.3</v>
      </c>
      <c r="I442" s="13">
        <v>65.5</v>
      </c>
      <c r="J442" s="24">
        <v>45875</v>
      </c>
      <c r="K442" s="13">
        <v>23</v>
      </c>
      <c r="L442" s="13">
        <v>1.5</v>
      </c>
      <c r="M442" s="13" t="b">
        <v>0</v>
      </c>
      <c r="O442" s="13">
        <f t="shared" si="6"/>
        <v>1.5</v>
      </c>
    </row>
    <row r="443" spans="1:15" x14ac:dyDescent="0.25">
      <c r="A443" s="13" t="s">
        <v>455</v>
      </c>
      <c r="B443" s="13" t="s">
        <v>2192</v>
      </c>
      <c r="C443" s="13" t="s">
        <v>2198</v>
      </c>
      <c r="D443" s="13" t="s">
        <v>2205</v>
      </c>
      <c r="F443" s="13" t="s">
        <v>2220</v>
      </c>
      <c r="G443" s="13">
        <v>38.340000000000003</v>
      </c>
      <c r="H443" s="13">
        <v>0</v>
      </c>
      <c r="I443" s="13">
        <v>38.340000000000003</v>
      </c>
      <c r="J443" s="24">
        <v>45875</v>
      </c>
      <c r="K443" s="13">
        <v>14</v>
      </c>
      <c r="L443" s="13">
        <v>1.4</v>
      </c>
      <c r="M443" s="13" t="b">
        <v>0</v>
      </c>
      <c r="O443" s="13">
        <f t="shared" si="6"/>
        <v>1.4</v>
      </c>
    </row>
    <row r="444" spans="1:15" x14ac:dyDescent="0.25">
      <c r="A444" s="13" t="s">
        <v>456</v>
      </c>
      <c r="B444" s="13" t="s">
        <v>2192</v>
      </c>
      <c r="C444" s="13" t="s">
        <v>2196</v>
      </c>
      <c r="D444" s="13" t="s">
        <v>2205</v>
      </c>
      <c r="F444" s="13" t="s">
        <v>2218</v>
      </c>
      <c r="G444" s="13">
        <v>60.49</v>
      </c>
      <c r="H444" s="13">
        <v>0</v>
      </c>
      <c r="I444" s="13">
        <v>60.49</v>
      </c>
      <c r="J444" s="24">
        <v>45875</v>
      </c>
      <c r="K444" s="13">
        <v>30</v>
      </c>
      <c r="L444" s="13">
        <v>2.5</v>
      </c>
      <c r="M444" s="13" t="b">
        <v>0</v>
      </c>
      <c r="O444" s="13">
        <f t="shared" si="6"/>
        <v>2.5</v>
      </c>
    </row>
    <row r="445" spans="1:15" x14ac:dyDescent="0.25">
      <c r="A445" s="13" t="s">
        <v>457</v>
      </c>
      <c r="B445" s="13" t="s">
        <v>2190</v>
      </c>
      <c r="C445" s="13" t="s">
        <v>2198</v>
      </c>
      <c r="D445" s="13" t="s">
        <v>2204</v>
      </c>
      <c r="E445" s="13" t="s">
        <v>2209</v>
      </c>
      <c r="F445" s="13" t="s">
        <v>2222</v>
      </c>
      <c r="G445" s="13">
        <v>90.27</v>
      </c>
      <c r="H445" s="13">
        <v>0</v>
      </c>
      <c r="I445" s="13">
        <v>90.27</v>
      </c>
      <c r="J445" s="24">
        <v>45763</v>
      </c>
      <c r="K445" s="13">
        <v>35</v>
      </c>
      <c r="L445" s="13">
        <v>4.2</v>
      </c>
      <c r="M445" s="13" t="b">
        <v>0</v>
      </c>
      <c r="O445" s="13">
        <f t="shared" si="6"/>
        <v>4.2</v>
      </c>
    </row>
    <row r="446" spans="1:15" x14ac:dyDescent="0.25">
      <c r="A446" s="13" t="s">
        <v>458</v>
      </c>
      <c r="B446" s="13" t="s">
        <v>2192</v>
      </c>
      <c r="C446" s="13" t="s">
        <v>2198</v>
      </c>
      <c r="D446" s="13" t="s">
        <v>2207</v>
      </c>
      <c r="F446" s="13" t="s">
        <v>2214</v>
      </c>
      <c r="G446" s="13">
        <v>45.42</v>
      </c>
      <c r="H446" s="13">
        <v>0</v>
      </c>
      <c r="I446" s="13">
        <v>45.42</v>
      </c>
      <c r="J446" s="24">
        <v>45875</v>
      </c>
      <c r="K446" s="13">
        <v>36</v>
      </c>
      <c r="L446" s="13">
        <v>1.3</v>
      </c>
      <c r="M446" s="13" t="b">
        <v>0</v>
      </c>
      <c r="O446" s="13">
        <f t="shared" si="6"/>
        <v>1.3</v>
      </c>
    </row>
    <row r="447" spans="1:15" x14ac:dyDescent="0.25">
      <c r="A447" s="13" t="s">
        <v>459</v>
      </c>
      <c r="B447" s="13" t="s">
        <v>2191</v>
      </c>
      <c r="C447" s="13" t="s">
        <v>2201</v>
      </c>
      <c r="D447" s="13" t="s">
        <v>2204</v>
      </c>
      <c r="F447" s="13" t="s">
        <v>2223</v>
      </c>
      <c r="G447" s="13">
        <v>58.56</v>
      </c>
      <c r="H447" s="13">
        <v>0</v>
      </c>
      <c r="I447" s="13">
        <v>58.56</v>
      </c>
      <c r="J447" s="24">
        <v>45680</v>
      </c>
      <c r="K447" s="13">
        <v>21</v>
      </c>
      <c r="L447" s="13">
        <v>2.2999999999999998</v>
      </c>
      <c r="M447" s="13" t="b">
        <v>0</v>
      </c>
      <c r="O447" s="13">
        <f t="shared" si="6"/>
        <v>2.2999999999999998</v>
      </c>
    </row>
    <row r="448" spans="1:15" x14ac:dyDescent="0.25">
      <c r="A448" s="13" t="s">
        <v>460</v>
      </c>
      <c r="B448" s="13" t="s">
        <v>2195</v>
      </c>
      <c r="C448" s="13" t="s">
        <v>2200</v>
      </c>
      <c r="D448" s="13" t="s">
        <v>2207</v>
      </c>
      <c r="E448" s="13" t="s">
        <v>2209</v>
      </c>
      <c r="F448" s="13" t="s">
        <v>2215</v>
      </c>
      <c r="G448" s="13">
        <v>167.64</v>
      </c>
      <c r="H448" s="13">
        <v>0</v>
      </c>
      <c r="I448" s="13">
        <v>167.64</v>
      </c>
      <c r="J448" s="24">
        <v>45875</v>
      </c>
      <c r="K448" s="13">
        <v>18</v>
      </c>
      <c r="L448" s="13">
        <v>4.0999999999999996</v>
      </c>
      <c r="M448" s="13" t="b">
        <v>0</v>
      </c>
      <c r="O448" s="13">
        <f t="shared" si="6"/>
        <v>4.0999999999999996</v>
      </c>
    </row>
    <row r="449" spans="1:15" x14ac:dyDescent="0.25">
      <c r="A449" s="13" t="s">
        <v>461</v>
      </c>
      <c r="B449" s="13" t="s">
        <v>2190</v>
      </c>
      <c r="C449" s="13" t="s">
        <v>2196</v>
      </c>
      <c r="D449" s="13" t="s">
        <v>2206</v>
      </c>
      <c r="E449" s="13" t="s">
        <v>2211</v>
      </c>
      <c r="F449" s="13" t="s">
        <v>2214</v>
      </c>
      <c r="G449" s="13">
        <v>193.14</v>
      </c>
      <c r="H449" s="13">
        <v>0</v>
      </c>
      <c r="I449" s="13">
        <v>193.14</v>
      </c>
      <c r="J449" s="24">
        <v>45875</v>
      </c>
      <c r="K449" s="13">
        <v>7</v>
      </c>
      <c r="L449" s="13">
        <v>3.5</v>
      </c>
      <c r="M449" s="13" t="b">
        <v>0</v>
      </c>
      <c r="O449" s="13">
        <f t="shared" si="6"/>
        <v>3.5</v>
      </c>
    </row>
    <row r="450" spans="1:15" x14ac:dyDescent="0.25">
      <c r="A450" s="13" t="s">
        <v>462</v>
      </c>
      <c r="B450" s="13" t="s">
        <v>2192</v>
      </c>
      <c r="C450" s="13" t="s">
        <v>2202</v>
      </c>
      <c r="D450" s="13" t="s">
        <v>2205</v>
      </c>
      <c r="F450" s="13" t="s">
        <v>2218</v>
      </c>
      <c r="G450" s="13">
        <v>60.06</v>
      </c>
      <c r="H450" s="13">
        <v>15.6</v>
      </c>
      <c r="I450" s="13">
        <v>50.69</v>
      </c>
      <c r="J450" s="24">
        <v>45875</v>
      </c>
      <c r="K450" s="13">
        <v>49</v>
      </c>
      <c r="L450" s="13">
        <v>2</v>
      </c>
      <c r="M450" s="13" t="b">
        <v>1</v>
      </c>
      <c r="N450" s="13" t="s">
        <v>2225</v>
      </c>
      <c r="O450" s="13">
        <f t="shared" si="6"/>
        <v>2</v>
      </c>
    </row>
    <row r="451" spans="1:15" x14ac:dyDescent="0.25">
      <c r="A451" s="13" t="s">
        <v>463</v>
      </c>
      <c r="B451" s="13" t="s">
        <v>2194</v>
      </c>
      <c r="C451" s="13" t="s">
        <v>2198</v>
      </c>
      <c r="D451" s="13" t="s">
        <v>2206</v>
      </c>
      <c r="E451" s="13" t="s">
        <v>2213</v>
      </c>
      <c r="F451" s="13" t="s">
        <v>2218</v>
      </c>
      <c r="G451" s="13">
        <v>35.369999999999997</v>
      </c>
      <c r="H451" s="13">
        <v>0</v>
      </c>
      <c r="I451" s="13">
        <v>35.369999999999997</v>
      </c>
      <c r="J451" s="24">
        <v>45875</v>
      </c>
      <c r="K451" s="13">
        <v>29</v>
      </c>
      <c r="L451" s="13">
        <v>4.7</v>
      </c>
      <c r="M451" s="13" t="b">
        <v>0</v>
      </c>
      <c r="O451" s="13">
        <f t="shared" ref="O451:O514" si="7">IF(L451="",AVERAGEIFS($L$2:$L$2177,$B$2:$B$2177,B451,$C$2:$C$2177,C451),L451)</f>
        <v>4.7</v>
      </c>
    </row>
    <row r="452" spans="1:15" x14ac:dyDescent="0.25">
      <c r="A452" s="13" t="s">
        <v>464</v>
      </c>
      <c r="B452" s="13" t="s">
        <v>2192</v>
      </c>
      <c r="C452" s="13" t="s">
        <v>2199</v>
      </c>
      <c r="D452" s="13" t="s">
        <v>2207</v>
      </c>
      <c r="F452" s="13" t="s">
        <v>2223</v>
      </c>
      <c r="G452" s="13">
        <v>39.85</v>
      </c>
      <c r="H452" s="13">
        <v>0</v>
      </c>
      <c r="I452" s="13">
        <v>39.85</v>
      </c>
      <c r="J452" s="24">
        <v>45875</v>
      </c>
      <c r="K452" s="13">
        <v>28</v>
      </c>
      <c r="L452" s="13">
        <v>2.4</v>
      </c>
      <c r="M452" s="13" t="b">
        <v>0</v>
      </c>
      <c r="O452" s="13">
        <f t="shared" si="7"/>
        <v>2.4</v>
      </c>
    </row>
    <row r="453" spans="1:15" x14ac:dyDescent="0.25">
      <c r="A453" s="13" t="s">
        <v>465</v>
      </c>
      <c r="B453" s="13" t="s">
        <v>2191</v>
      </c>
      <c r="C453" s="13" t="s">
        <v>2196</v>
      </c>
      <c r="D453" s="13" t="s">
        <v>2205</v>
      </c>
      <c r="E453" s="13" t="s">
        <v>2208</v>
      </c>
      <c r="F453" s="13" t="s">
        <v>2216</v>
      </c>
      <c r="G453" s="13">
        <v>85.34</v>
      </c>
      <c r="H453" s="13">
        <v>59.4</v>
      </c>
      <c r="I453" s="13">
        <v>34.65</v>
      </c>
      <c r="J453" s="24">
        <v>45875</v>
      </c>
      <c r="K453" s="13">
        <v>5</v>
      </c>
      <c r="L453" s="13">
        <v>4.9000000000000004</v>
      </c>
      <c r="M453" s="13" t="b">
        <v>0</v>
      </c>
      <c r="O453" s="13">
        <f t="shared" si="7"/>
        <v>4.9000000000000004</v>
      </c>
    </row>
    <row r="454" spans="1:15" x14ac:dyDescent="0.25">
      <c r="A454" s="13" t="s">
        <v>466</v>
      </c>
      <c r="B454" s="13" t="s">
        <v>2194</v>
      </c>
      <c r="C454" s="13" t="s">
        <v>2203</v>
      </c>
      <c r="D454" s="13" t="s">
        <v>2206</v>
      </c>
      <c r="E454" s="13" t="s">
        <v>2211</v>
      </c>
      <c r="F454" s="13" t="s">
        <v>2217</v>
      </c>
      <c r="G454" s="13">
        <v>81.17</v>
      </c>
      <c r="H454" s="13">
        <v>0</v>
      </c>
      <c r="I454" s="13">
        <v>81.17</v>
      </c>
      <c r="J454" s="24">
        <v>45875</v>
      </c>
      <c r="K454" s="13">
        <v>21</v>
      </c>
      <c r="L454" s="13">
        <v>1.2</v>
      </c>
      <c r="M454" s="13" t="b">
        <v>0</v>
      </c>
      <c r="O454" s="13">
        <f t="shared" si="7"/>
        <v>1.2</v>
      </c>
    </row>
    <row r="455" spans="1:15" x14ac:dyDescent="0.25">
      <c r="A455" s="13" t="s">
        <v>467</v>
      </c>
      <c r="B455" s="13" t="s">
        <v>2192</v>
      </c>
      <c r="C455" s="13" t="s">
        <v>2201</v>
      </c>
      <c r="D455" s="13" t="s">
        <v>2204</v>
      </c>
      <c r="F455" s="13" t="s">
        <v>2217</v>
      </c>
      <c r="G455" s="13">
        <v>16.809999999999999</v>
      </c>
      <c r="H455" s="13">
        <v>0</v>
      </c>
      <c r="I455" s="13">
        <v>16.809999999999999</v>
      </c>
      <c r="J455" s="24">
        <v>45869</v>
      </c>
      <c r="K455" s="13">
        <v>16</v>
      </c>
      <c r="L455" s="13">
        <v>2.8</v>
      </c>
      <c r="M455" s="13" t="b">
        <v>0</v>
      </c>
      <c r="O455" s="13">
        <f t="shared" si="7"/>
        <v>2.8</v>
      </c>
    </row>
    <row r="456" spans="1:15" x14ac:dyDescent="0.25">
      <c r="A456" s="13" t="s">
        <v>468</v>
      </c>
      <c r="B456" s="13" t="s">
        <v>2191</v>
      </c>
      <c r="C456" s="13" t="s">
        <v>2201</v>
      </c>
      <c r="D456" s="13" t="s">
        <v>2205</v>
      </c>
      <c r="E456" s="13" t="s">
        <v>2208</v>
      </c>
      <c r="F456" s="13" t="s">
        <v>2216</v>
      </c>
      <c r="G456" s="13">
        <v>115.71</v>
      </c>
      <c r="H456" s="13">
        <v>55</v>
      </c>
      <c r="I456" s="13">
        <v>52.07</v>
      </c>
      <c r="J456" s="24">
        <v>45875</v>
      </c>
      <c r="K456" s="13">
        <v>6</v>
      </c>
      <c r="L456" s="13">
        <v>1.6</v>
      </c>
      <c r="M456" s="13" t="b">
        <v>0</v>
      </c>
      <c r="O456" s="13">
        <f t="shared" si="7"/>
        <v>1.6</v>
      </c>
    </row>
    <row r="457" spans="1:15" x14ac:dyDescent="0.25">
      <c r="A457" s="13" t="s">
        <v>469</v>
      </c>
      <c r="B457" s="13" t="s">
        <v>2194</v>
      </c>
      <c r="C457" s="13" t="s">
        <v>2199</v>
      </c>
      <c r="D457" s="13" t="s">
        <v>2207</v>
      </c>
      <c r="E457" s="13" t="s">
        <v>2211</v>
      </c>
      <c r="F457" s="13" t="s">
        <v>2215</v>
      </c>
      <c r="G457" s="13">
        <v>49.87</v>
      </c>
      <c r="H457" s="13">
        <v>0</v>
      </c>
      <c r="I457" s="13">
        <v>49.87</v>
      </c>
      <c r="J457" s="24">
        <v>45875</v>
      </c>
      <c r="K457" s="13">
        <v>17</v>
      </c>
      <c r="L457" s="13">
        <v>2.1</v>
      </c>
      <c r="M457" s="13" t="b">
        <v>0</v>
      </c>
      <c r="O457" s="13">
        <f t="shared" si="7"/>
        <v>2.1</v>
      </c>
    </row>
    <row r="458" spans="1:15" x14ac:dyDescent="0.25">
      <c r="A458" s="13" t="s">
        <v>470</v>
      </c>
      <c r="B458" s="13" t="s">
        <v>2193</v>
      </c>
      <c r="C458" s="13" t="s">
        <v>2199</v>
      </c>
      <c r="D458" s="13" t="s">
        <v>2206</v>
      </c>
      <c r="E458" s="13" t="s">
        <v>2212</v>
      </c>
      <c r="F458" s="13" t="s">
        <v>2221</v>
      </c>
      <c r="G458" s="13">
        <v>107.96</v>
      </c>
      <c r="H458" s="13">
        <v>52.9</v>
      </c>
      <c r="I458" s="13">
        <v>50.85</v>
      </c>
      <c r="J458" s="24">
        <v>45875</v>
      </c>
      <c r="K458" s="13">
        <v>2</v>
      </c>
      <c r="L458" s="13">
        <v>4.9000000000000004</v>
      </c>
      <c r="M458" s="13" t="b">
        <v>0</v>
      </c>
      <c r="O458" s="13">
        <f t="shared" si="7"/>
        <v>4.9000000000000004</v>
      </c>
    </row>
    <row r="459" spans="1:15" x14ac:dyDescent="0.25">
      <c r="A459" s="13" t="s">
        <v>471</v>
      </c>
      <c r="B459" s="13" t="s">
        <v>2193</v>
      </c>
      <c r="C459" s="13" t="s">
        <v>2199</v>
      </c>
      <c r="D459" s="13" t="s">
        <v>2207</v>
      </c>
      <c r="E459" s="13" t="s">
        <v>2213</v>
      </c>
      <c r="F459" s="13" t="s">
        <v>2216</v>
      </c>
      <c r="G459" s="13">
        <v>138.35</v>
      </c>
      <c r="H459" s="13">
        <v>31.7</v>
      </c>
      <c r="I459" s="13">
        <v>94.49</v>
      </c>
      <c r="J459" s="24">
        <v>45875</v>
      </c>
      <c r="K459" s="13">
        <v>3</v>
      </c>
      <c r="L459" s="13">
        <v>2.5</v>
      </c>
      <c r="M459" s="13" t="b">
        <v>0</v>
      </c>
      <c r="O459" s="13">
        <f t="shared" si="7"/>
        <v>2.5</v>
      </c>
    </row>
    <row r="460" spans="1:15" x14ac:dyDescent="0.25">
      <c r="A460" s="13" t="s">
        <v>472</v>
      </c>
      <c r="B460" s="13" t="s">
        <v>2191</v>
      </c>
      <c r="C460" s="13" t="s">
        <v>2202</v>
      </c>
      <c r="D460" s="13" t="s">
        <v>2204</v>
      </c>
      <c r="E460" s="13" t="s">
        <v>2212</v>
      </c>
      <c r="F460" s="13" t="s">
        <v>2214</v>
      </c>
      <c r="G460" s="13">
        <v>32.01</v>
      </c>
      <c r="H460" s="13">
        <v>0</v>
      </c>
      <c r="I460" s="13">
        <v>32.01</v>
      </c>
      <c r="J460" s="24">
        <v>45786</v>
      </c>
      <c r="K460" s="13">
        <v>43</v>
      </c>
      <c r="L460" s="13">
        <v>3.4</v>
      </c>
      <c r="M460" s="13" t="b">
        <v>1</v>
      </c>
      <c r="N460" s="13" t="s">
        <v>2230</v>
      </c>
      <c r="O460" s="13">
        <f t="shared" si="7"/>
        <v>3.4</v>
      </c>
    </row>
    <row r="461" spans="1:15" x14ac:dyDescent="0.25">
      <c r="A461" s="13" t="s">
        <v>473</v>
      </c>
      <c r="B461" s="13" t="s">
        <v>2195</v>
      </c>
      <c r="C461" s="13" t="s">
        <v>2200</v>
      </c>
      <c r="D461" s="13" t="s">
        <v>2206</v>
      </c>
      <c r="E461" s="13" t="s">
        <v>2212</v>
      </c>
      <c r="F461" s="13" t="s">
        <v>2216</v>
      </c>
      <c r="G461" s="13">
        <v>129.08000000000001</v>
      </c>
      <c r="H461" s="13">
        <v>50.6</v>
      </c>
      <c r="I461" s="13">
        <v>63.77</v>
      </c>
      <c r="J461" s="24">
        <v>45875</v>
      </c>
      <c r="K461" s="13">
        <v>10</v>
      </c>
      <c r="L461" s="13">
        <v>4.4000000000000004</v>
      </c>
      <c r="M461" s="13" t="b">
        <v>0</v>
      </c>
      <c r="O461" s="13">
        <f t="shared" si="7"/>
        <v>4.4000000000000004</v>
      </c>
    </row>
    <row r="462" spans="1:15" x14ac:dyDescent="0.25">
      <c r="A462" s="13" t="s">
        <v>474</v>
      </c>
      <c r="B462" s="13" t="s">
        <v>2195</v>
      </c>
      <c r="C462" s="13" t="s">
        <v>2198</v>
      </c>
      <c r="D462" s="13" t="s">
        <v>2205</v>
      </c>
      <c r="E462" s="13" t="s">
        <v>2213</v>
      </c>
      <c r="F462" s="13" t="s">
        <v>2218</v>
      </c>
      <c r="G462" s="13">
        <v>68.569999999999993</v>
      </c>
      <c r="H462" s="13">
        <v>56.4</v>
      </c>
      <c r="I462" s="13">
        <v>29.9</v>
      </c>
      <c r="J462" s="24">
        <v>45875</v>
      </c>
      <c r="K462" s="13">
        <v>30</v>
      </c>
      <c r="L462" s="13">
        <v>1.8</v>
      </c>
      <c r="M462" s="13" t="b">
        <v>0</v>
      </c>
      <c r="O462" s="13">
        <f t="shared" si="7"/>
        <v>1.8</v>
      </c>
    </row>
    <row r="463" spans="1:15" x14ac:dyDescent="0.25">
      <c r="A463" s="13" t="s">
        <v>475</v>
      </c>
      <c r="B463" s="13" t="s">
        <v>2192</v>
      </c>
      <c r="C463" s="13" t="s">
        <v>2200</v>
      </c>
      <c r="D463" s="13" t="s">
        <v>2205</v>
      </c>
      <c r="F463" s="13" t="s">
        <v>2218</v>
      </c>
      <c r="G463" s="13">
        <v>46.46</v>
      </c>
      <c r="H463" s="13">
        <v>0</v>
      </c>
      <c r="I463" s="13">
        <v>46.46</v>
      </c>
      <c r="J463" s="24">
        <v>45875</v>
      </c>
      <c r="K463" s="13">
        <v>30</v>
      </c>
      <c r="M463" s="13" t="b">
        <v>0</v>
      </c>
      <c r="O463" s="13">
        <f t="shared" si="7"/>
        <v>2.7333333333333334</v>
      </c>
    </row>
    <row r="464" spans="1:15" x14ac:dyDescent="0.25">
      <c r="A464" s="13" t="s">
        <v>476</v>
      </c>
      <c r="B464" s="13" t="s">
        <v>2190</v>
      </c>
      <c r="C464" s="13" t="s">
        <v>2198</v>
      </c>
      <c r="D464" s="13" t="s">
        <v>2206</v>
      </c>
      <c r="E464" s="13" t="s">
        <v>2211</v>
      </c>
      <c r="F464" s="13" t="s">
        <v>2217</v>
      </c>
      <c r="G464" s="13">
        <v>124.68</v>
      </c>
      <c r="H464" s="13">
        <v>58.2</v>
      </c>
      <c r="I464" s="13">
        <v>52.12</v>
      </c>
      <c r="J464" s="24">
        <v>45875</v>
      </c>
      <c r="K464" s="13">
        <v>44</v>
      </c>
      <c r="L464" s="13">
        <v>3.2</v>
      </c>
      <c r="M464" s="13" t="b">
        <v>0</v>
      </c>
      <c r="O464" s="13">
        <f t="shared" si="7"/>
        <v>3.2</v>
      </c>
    </row>
    <row r="465" spans="1:15" x14ac:dyDescent="0.25">
      <c r="A465" s="13" t="s">
        <v>477</v>
      </c>
      <c r="B465" s="13" t="s">
        <v>2194</v>
      </c>
      <c r="C465" s="13" t="s">
        <v>2200</v>
      </c>
      <c r="D465" s="13" t="s">
        <v>2204</v>
      </c>
      <c r="E465" s="13" t="s">
        <v>2208</v>
      </c>
      <c r="F465" s="13" t="s">
        <v>2214</v>
      </c>
      <c r="G465" s="13">
        <v>36.85</v>
      </c>
      <c r="H465" s="13">
        <v>0</v>
      </c>
      <c r="I465" s="13">
        <v>36.85</v>
      </c>
      <c r="J465" s="24">
        <v>45841</v>
      </c>
      <c r="K465" s="13">
        <v>0</v>
      </c>
      <c r="L465" s="13">
        <v>4.4000000000000004</v>
      </c>
      <c r="M465" s="13" t="b">
        <v>0</v>
      </c>
      <c r="O465" s="13">
        <f t="shared" si="7"/>
        <v>4.4000000000000004</v>
      </c>
    </row>
    <row r="466" spans="1:15" x14ac:dyDescent="0.25">
      <c r="A466" s="13" t="s">
        <v>478</v>
      </c>
      <c r="B466" s="13" t="s">
        <v>2190</v>
      </c>
      <c r="C466" s="13" t="s">
        <v>2201</v>
      </c>
      <c r="D466" s="13" t="s">
        <v>2205</v>
      </c>
      <c r="E466" s="13" t="s">
        <v>2212</v>
      </c>
      <c r="F466" s="13" t="s">
        <v>2216</v>
      </c>
      <c r="G466" s="13">
        <v>229.63</v>
      </c>
      <c r="H466" s="13">
        <v>0.3</v>
      </c>
      <c r="I466" s="13">
        <v>228.94</v>
      </c>
      <c r="J466" s="24">
        <v>45875</v>
      </c>
      <c r="K466" s="13">
        <v>30</v>
      </c>
      <c r="L466" s="13">
        <v>3.4</v>
      </c>
      <c r="M466" s="13" t="b">
        <v>0</v>
      </c>
      <c r="O466" s="13">
        <f t="shared" si="7"/>
        <v>3.4</v>
      </c>
    </row>
    <row r="467" spans="1:15" x14ac:dyDescent="0.25">
      <c r="A467" s="13" t="s">
        <v>479</v>
      </c>
      <c r="B467" s="13" t="s">
        <v>2191</v>
      </c>
      <c r="C467" s="13" t="s">
        <v>2201</v>
      </c>
      <c r="D467" s="13" t="s">
        <v>2204</v>
      </c>
      <c r="E467" s="13" t="s">
        <v>2210</v>
      </c>
      <c r="F467" s="13" t="s">
        <v>2222</v>
      </c>
      <c r="G467" s="13">
        <v>74.09</v>
      </c>
      <c r="H467" s="13">
        <v>0</v>
      </c>
      <c r="I467" s="13">
        <v>74.09</v>
      </c>
      <c r="J467" s="24">
        <v>45542</v>
      </c>
      <c r="K467" s="13">
        <v>35</v>
      </c>
      <c r="L467" s="13">
        <v>3.4</v>
      </c>
      <c r="M467" s="13" t="b">
        <v>0</v>
      </c>
      <c r="O467" s="13">
        <f t="shared" si="7"/>
        <v>3.4</v>
      </c>
    </row>
    <row r="468" spans="1:15" x14ac:dyDescent="0.25">
      <c r="A468" s="13" t="s">
        <v>480</v>
      </c>
      <c r="B468" s="13" t="s">
        <v>2194</v>
      </c>
      <c r="C468" s="13" t="s">
        <v>2198</v>
      </c>
      <c r="D468" s="13" t="s">
        <v>2204</v>
      </c>
      <c r="E468" s="13" t="s">
        <v>2212</v>
      </c>
      <c r="F468" s="13" t="s">
        <v>2224</v>
      </c>
      <c r="G468" s="13">
        <v>27.22</v>
      </c>
      <c r="H468" s="13">
        <v>0</v>
      </c>
      <c r="I468" s="13">
        <v>27.22</v>
      </c>
      <c r="J468" s="24">
        <v>45544</v>
      </c>
      <c r="K468" s="13">
        <v>14</v>
      </c>
      <c r="L468" s="13">
        <v>2.4</v>
      </c>
      <c r="M468" s="13" t="b">
        <v>0</v>
      </c>
      <c r="O468" s="13">
        <f t="shared" si="7"/>
        <v>2.4</v>
      </c>
    </row>
    <row r="469" spans="1:15" x14ac:dyDescent="0.25">
      <c r="A469" s="13" t="s">
        <v>481</v>
      </c>
      <c r="B469" s="13" t="s">
        <v>2191</v>
      </c>
      <c r="C469" s="13" t="s">
        <v>2201</v>
      </c>
      <c r="D469" s="13" t="s">
        <v>2204</v>
      </c>
      <c r="E469" s="13" t="s">
        <v>2209</v>
      </c>
      <c r="F469" s="13" t="s">
        <v>2223</v>
      </c>
      <c r="G469" s="13">
        <v>32.64</v>
      </c>
      <c r="H469" s="13">
        <v>1.4</v>
      </c>
      <c r="I469" s="13">
        <v>32.18</v>
      </c>
      <c r="J469" s="24">
        <v>45783</v>
      </c>
      <c r="K469" s="13">
        <v>29</v>
      </c>
      <c r="L469" s="13">
        <v>1.5</v>
      </c>
      <c r="M469" s="13" t="b">
        <v>1</v>
      </c>
      <c r="N469" s="13" t="s">
        <v>2229</v>
      </c>
      <c r="O469" s="13">
        <f t="shared" si="7"/>
        <v>1.5</v>
      </c>
    </row>
    <row r="470" spans="1:15" x14ac:dyDescent="0.25">
      <c r="A470" s="13" t="s">
        <v>482</v>
      </c>
      <c r="B470" s="13" t="s">
        <v>2192</v>
      </c>
      <c r="C470" s="13" t="s">
        <v>2196</v>
      </c>
      <c r="D470" s="13" t="s">
        <v>2207</v>
      </c>
      <c r="F470" s="13" t="s">
        <v>2223</v>
      </c>
      <c r="G470" s="13">
        <v>30.25</v>
      </c>
      <c r="H470" s="13">
        <v>11.8</v>
      </c>
      <c r="I470" s="13">
        <v>26.68</v>
      </c>
      <c r="J470" s="24">
        <v>45875</v>
      </c>
      <c r="K470" s="13">
        <v>30</v>
      </c>
      <c r="L470" s="13">
        <v>3.4</v>
      </c>
      <c r="M470" s="13" t="b">
        <v>0</v>
      </c>
      <c r="O470" s="13">
        <f t="shared" si="7"/>
        <v>3.4</v>
      </c>
    </row>
    <row r="471" spans="1:15" x14ac:dyDescent="0.25">
      <c r="A471" s="13" t="s">
        <v>483</v>
      </c>
      <c r="B471" s="13" t="s">
        <v>2190</v>
      </c>
      <c r="C471" s="13" t="s">
        <v>2197</v>
      </c>
      <c r="D471" s="13" t="s">
        <v>2207</v>
      </c>
      <c r="E471" s="13" t="s">
        <v>2210</v>
      </c>
      <c r="F471" s="13" t="s">
        <v>2224</v>
      </c>
      <c r="G471" s="13">
        <v>180.57</v>
      </c>
      <c r="H471" s="13">
        <v>0</v>
      </c>
      <c r="I471" s="13">
        <v>180.57</v>
      </c>
      <c r="J471" s="24">
        <v>45875</v>
      </c>
      <c r="K471" s="13">
        <v>28</v>
      </c>
      <c r="M471" s="13" t="b">
        <v>0</v>
      </c>
      <c r="O471" s="13">
        <f t="shared" si="7"/>
        <v>3.15</v>
      </c>
    </row>
    <row r="472" spans="1:15" x14ac:dyDescent="0.25">
      <c r="A472" s="13" t="s">
        <v>484</v>
      </c>
      <c r="B472" s="13" t="s">
        <v>2194</v>
      </c>
      <c r="C472" s="13" t="s">
        <v>2197</v>
      </c>
      <c r="D472" s="13" t="s">
        <v>2207</v>
      </c>
      <c r="E472" s="13" t="s">
        <v>2212</v>
      </c>
      <c r="F472" s="13" t="s">
        <v>2217</v>
      </c>
      <c r="G472" s="13">
        <v>96.55</v>
      </c>
      <c r="H472" s="13">
        <v>0</v>
      </c>
      <c r="I472" s="13">
        <v>96.55</v>
      </c>
      <c r="J472" s="24">
        <v>45875</v>
      </c>
      <c r="K472" s="13">
        <v>17</v>
      </c>
      <c r="L472" s="13">
        <v>4.4000000000000004</v>
      </c>
      <c r="M472" s="13" t="b">
        <v>0</v>
      </c>
      <c r="O472" s="13">
        <f t="shared" si="7"/>
        <v>4.4000000000000004</v>
      </c>
    </row>
    <row r="473" spans="1:15" x14ac:dyDescent="0.25">
      <c r="A473" s="13" t="s">
        <v>485</v>
      </c>
      <c r="B473" s="13" t="s">
        <v>2194</v>
      </c>
      <c r="C473" s="13" t="s">
        <v>2201</v>
      </c>
      <c r="D473" s="13" t="s">
        <v>2206</v>
      </c>
      <c r="F473" s="13" t="s">
        <v>2215</v>
      </c>
      <c r="G473" s="13">
        <v>68.53</v>
      </c>
      <c r="H473" s="13">
        <v>54.3</v>
      </c>
      <c r="I473" s="13">
        <v>31.32</v>
      </c>
      <c r="J473" s="24">
        <v>45875</v>
      </c>
      <c r="K473" s="13">
        <v>38</v>
      </c>
      <c r="L473" s="13">
        <v>2.9</v>
      </c>
      <c r="M473" s="13" t="b">
        <v>0</v>
      </c>
      <c r="O473" s="13">
        <f t="shared" si="7"/>
        <v>2.9</v>
      </c>
    </row>
    <row r="474" spans="1:15" x14ac:dyDescent="0.25">
      <c r="A474" s="13" t="s">
        <v>486</v>
      </c>
      <c r="B474" s="13" t="s">
        <v>2193</v>
      </c>
      <c r="C474" s="13" t="s">
        <v>2202</v>
      </c>
      <c r="D474" s="13" t="s">
        <v>2206</v>
      </c>
      <c r="E474" s="13" t="s">
        <v>2212</v>
      </c>
      <c r="F474" s="13" t="s">
        <v>2217</v>
      </c>
      <c r="G474" s="13">
        <v>71.94</v>
      </c>
      <c r="H474" s="13">
        <v>0</v>
      </c>
      <c r="I474" s="13">
        <v>71.94</v>
      </c>
      <c r="J474" s="24">
        <v>45875</v>
      </c>
      <c r="K474" s="13">
        <v>45</v>
      </c>
      <c r="L474" s="13">
        <v>3.3</v>
      </c>
      <c r="M474" s="13" t="b">
        <v>0</v>
      </c>
      <c r="O474" s="13">
        <f t="shared" si="7"/>
        <v>3.3</v>
      </c>
    </row>
    <row r="475" spans="1:15" x14ac:dyDescent="0.25">
      <c r="A475" s="13" t="s">
        <v>487</v>
      </c>
      <c r="B475" s="13" t="s">
        <v>2193</v>
      </c>
      <c r="C475" s="13" t="s">
        <v>2202</v>
      </c>
      <c r="D475" s="13" t="s">
        <v>2206</v>
      </c>
      <c r="E475" s="13" t="s">
        <v>2209</v>
      </c>
      <c r="F475" s="13" t="s">
        <v>2219</v>
      </c>
      <c r="G475" s="13">
        <v>80.72</v>
      </c>
      <c r="H475" s="13">
        <v>9.9</v>
      </c>
      <c r="I475" s="13">
        <v>72.73</v>
      </c>
      <c r="J475" s="24">
        <v>45875</v>
      </c>
      <c r="K475" s="13">
        <v>37</v>
      </c>
      <c r="L475" s="13">
        <v>2.5</v>
      </c>
      <c r="M475" s="13" t="b">
        <v>0</v>
      </c>
      <c r="O475" s="13">
        <f t="shared" si="7"/>
        <v>2.5</v>
      </c>
    </row>
    <row r="476" spans="1:15" x14ac:dyDescent="0.25">
      <c r="A476" s="13" t="s">
        <v>488</v>
      </c>
      <c r="B476" s="13" t="s">
        <v>2190</v>
      </c>
      <c r="C476" s="13" t="s">
        <v>2196</v>
      </c>
      <c r="D476" s="13" t="s">
        <v>2205</v>
      </c>
      <c r="E476" s="13" t="s">
        <v>2209</v>
      </c>
      <c r="F476" s="13" t="s">
        <v>2220</v>
      </c>
      <c r="G476" s="13">
        <v>208.8</v>
      </c>
      <c r="H476" s="13">
        <v>0</v>
      </c>
      <c r="I476" s="13">
        <v>208.8</v>
      </c>
      <c r="J476" s="24">
        <v>45875</v>
      </c>
      <c r="K476" s="13">
        <v>13</v>
      </c>
      <c r="L476" s="13">
        <v>1.6</v>
      </c>
      <c r="M476" s="13" t="b">
        <v>0</v>
      </c>
      <c r="O476" s="13">
        <f t="shared" si="7"/>
        <v>1.6</v>
      </c>
    </row>
    <row r="477" spans="1:15" x14ac:dyDescent="0.25">
      <c r="A477" s="13" t="s">
        <v>489</v>
      </c>
      <c r="B477" s="13" t="s">
        <v>2193</v>
      </c>
      <c r="C477" s="13" t="s">
        <v>2199</v>
      </c>
      <c r="D477" s="13" t="s">
        <v>2207</v>
      </c>
      <c r="E477" s="13" t="s">
        <v>2213</v>
      </c>
      <c r="F477" s="13" t="s">
        <v>2222</v>
      </c>
      <c r="G477" s="13">
        <v>158.15</v>
      </c>
      <c r="H477" s="13">
        <v>54.1</v>
      </c>
      <c r="I477" s="13">
        <v>72.59</v>
      </c>
      <c r="J477" s="24">
        <v>45875</v>
      </c>
      <c r="K477" s="13">
        <v>36</v>
      </c>
      <c r="L477" s="13">
        <v>4.5</v>
      </c>
      <c r="M477" s="13" t="b">
        <v>0</v>
      </c>
      <c r="O477" s="13">
        <f t="shared" si="7"/>
        <v>4.5</v>
      </c>
    </row>
    <row r="478" spans="1:15" x14ac:dyDescent="0.25">
      <c r="A478" s="13" t="s">
        <v>490</v>
      </c>
      <c r="B478" s="13" t="s">
        <v>2191</v>
      </c>
      <c r="C478" s="13" t="s">
        <v>2196</v>
      </c>
      <c r="D478" s="13" t="s">
        <v>2206</v>
      </c>
      <c r="E478" s="13" t="s">
        <v>2210</v>
      </c>
      <c r="F478" s="13" t="s">
        <v>2217</v>
      </c>
      <c r="G478" s="13">
        <v>85.92</v>
      </c>
      <c r="H478" s="13">
        <v>0</v>
      </c>
      <c r="I478" s="13">
        <v>85.92</v>
      </c>
      <c r="J478" s="24">
        <v>45875</v>
      </c>
      <c r="K478" s="13">
        <v>12</v>
      </c>
      <c r="M478" s="13" t="b">
        <v>0</v>
      </c>
      <c r="O478" s="13">
        <f t="shared" si="7"/>
        <v>2.9181818181818175</v>
      </c>
    </row>
    <row r="479" spans="1:15" x14ac:dyDescent="0.25">
      <c r="A479" s="13" t="s">
        <v>491</v>
      </c>
      <c r="B479" s="13" t="s">
        <v>2192</v>
      </c>
      <c r="C479" s="13" t="s">
        <v>2202</v>
      </c>
      <c r="D479" s="13" t="s">
        <v>2204</v>
      </c>
      <c r="F479" s="13" t="s">
        <v>2215</v>
      </c>
      <c r="G479" s="13">
        <v>69.59</v>
      </c>
      <c r="H479" s="13">
        <v>0</v>
      </c>
      <c r="I479" s="13">
        <v>69.59</v>
      </c>
      <c r="J479" s="24">
        <v>45561</v>
      </c>
      <c r="K479" s="13">
        <v>38</v>
      </c>
      <c r="L479" s="13">
        <v>1.5</v>
      </c>
      <c r="M479" s="13" t="b">
        <v>0</v>
      </c>
      <c r="O479" s="13">
        <f t="shared" si="7"/>
        <v>1.5</v>
      </c>
    </row>
    <row r="480" spans="1:15" x14ac:dyDescent="0.25">
      <c r="A480" s="13" t="s">
        <v>492</v>
      </c>
      <c r="B480" s="13" t="s">
        <v>2195</v>
      </c>
      <c r="C480" s="13" t="s">
        <v>2196</v>
      </c>
      <c r="D480" s="13" t="s">
        <v>2205</v>
      </c>
      <c r="E480" s="13" t="s">
        <v>2208</v>
      </c>
      <c r="F480" s="13" t="s">
        <v>2214</v>
      </c>
      <c r="G480" s="13">
        <v>136.16999999999999</v>
      </c>
      <c r="H480" s="13">
        <v>19.100000000000001</v>
      </c>
      <c r="I480" s="13">
        <v>110.16</v>
      </c>
      <c r="J480" s="24">
        <v>45875</v>
      </c>
      <c r="K480" s="13">
        <v>14</v>
      </c>
      <c r="M480" s="13" t="b">
        <v>0</v>
      </c>
      <c r="O480" s="13">
        <f t="shared" si="7"/>
        <v>3.0424242424242425</v>
      </c>
    </row>
    <row r="481" spans="1:15" x14ac:dyDescent="0.25">
      <c r="A481" s="13" t="s">
        <v>493</v>
      </c>
      <c r="B481" s="13" t="s">
        <v>2193</v>
      </c>
      <c r="C481" s="13" t="s">
        <v>2199</v>
      </c>
      <c r="D481" s="13" t="s">
        <v>2204</v>
      </c>
      <c r="E481" s="13" t="s">
        <v>2212</v>
      </c>
      <c r="F481" s="13" t="s">
        <v>2215</v>
      </c>
      <c r="G481" s="13">
        <v>124.26</v>
      </c>
      <c r="H481" s="13">
        <v>0</v>
      </c>
      <c r="I481" s="13">
        <v>124.26</v>
      </c>
      <c r="J481" s="24">
        <v>45512</v>
      </c>
      <c r="K481" s="13">
        <v>44</v>
      </c>
      <c r="L481" s="13">
        <v>4</v>
      </c>
      <c r="M481" s="13" t="b">
        <v>0</v>
      </c>
      <c r="O481" s="13">
        <f t="shared" si="7"/>
        <v>4</v>
      </c>
    </row>
    <row r="482" spans="1:15" x14ac:dyDescent="0.25">
      <c r="A482" s="13" t="s">
        <v>494</v>
      </c>
      <c r="B482" s="13" t="s">
        <v>2193</v>
      </c>
      <c r="C482" s="13" t="s">
        <v>2198</v>
      </c>
      <c r="D482" s="13" t="s">
        <v>2205</v>
      </c>
      <c r="E482" s="13" t="s">
        <v>2210</v>
      </c>
      <c r="F482" s="13" t="s">
        <v>2216</v>
      </c>
      <c r="G482" s="13">
        <v>129.33000000000001</v>
      </c>
      <c r="H482" s="13">
        <v>0</v>
      </c>
      <c r="I482" s="13">
        <v>129.33000000000001</v>
      </c>
      <c r="J482" s="24">
        <v>45875</v>
      </c>
      <c r="K482" s="13">
        <v>15</v>
      </c>
      <c r="L482" s="13">
        <v>3.1</v>
      </c>
      <c r="M482" s="13" t="b">
        <v>0</v>
      </c>
      <c r="O482" s="13">
        <f t="shared" si="7"/>
        <v>3.1</v>
      </c>
    </row>
    <row r="483" spans="1:15" x14ac:dyDescent="0.25">
      <c r="A483" s="13" t="s">
        <v>495</v>
      </c>
      <c r="B483" s="13" t="s">
        <v>2195</v>
      </c>
      <c r="C483" s="13" t="s">
        <v>2200</v>
      </c>
      <c r="D483" s="13" t="s">
        <v>2204</v>
      </c>
      <c r="E483" s="13" t="s">
        <v>2210</v>
      </c>
      <c r="F483" s="13" t="s">
        <v>2222</v>
      </c>
      <c r="G483" s="13">
        <v>123.93</v>
      </c>
      <c r="H483" s="13">
        <v>30</v>
      </c>
      <c r="I483" s="13">
        <v>86.75</v>
      </c>
      <c r="J483" s="24">
        <v>45869</v>
      </c>
      <c r="K483" s="13">
        <v>39</v>
      </c>
      <c r="L483" s="13">
        <v>1.9</v>
      </c>
      <c r="M483" s="13" t="b">
        <v>0</v>
      </c>
      <c r="O483" s="13">
        <f t="shared" si="7"/>
        <v>1.9</v>
      </c>
    </row>
    <row r="484" spans="1:15" x14ac:dyDescent="0.25">
      <c r="A484" s="13" t="s">
        <v>496</v>
      </c>
      <c r="B484" s="13" t="s">
        <v>2193</v>
      </c>
      <c r="C484" s="13" t="s">
        <v>2196</v>
      </c>
      <c r="D484" s="13" t="s">
        <v>2207</v>
      </c>
      <c r="E484" s="13" t="s">
        <v>2212</v>
      </c>
      <c r="F484" s="13" t="s">
        <v>2221</v>
      </c>
      <c r="G484" s="13">
        <v>62.76</v>
      </c>
      <c r="H484" s="13">
        <v>0</v>
      </c>
      <c r="I484" s="13">
        <v>62.76</v>
      </c>
      <c r="J484" s="24">
        <v>45875</v>
      </c>
      <c r="K484" s="13">
        <v>12</v>
      </c>
      <c r="L484" s="13">
        <v>4.7</v>
      </c>
      <c r="M484" s="13" t="b">
        <v>0</v>
      </c>
      <c r="O484" s="13">
        <f t="shared" si="7"/>
        <v>4.7</v>
      </c>
    </row>
    <row r="485" spans="1:15" x14ac:dyDescent="0.25">
      <c r="A485" s="13" t="s">
        <v>497</v>
      </c>
      <c r="B485" s="13" t="s">
        <v>2193</v>
      </c>
      <c r="C485" s="13" t="s">
        <v>2197</v>
      </c>
      <c r="D485" s="13" t="s">
        <v>2204</v>
      </c>
      <c r="E485" s="13" t="s">
        <v>2212</v>
      </c>
      <c r="F485" s="13" t="s">
        <v>2219</v>
      </c>
      <c r="G485" s="13">
        <v>74.540000000000006</v>
      </c>
      <c r="H485" s="13">
        <v>0</v>
      </c>
      <c r="I485" s="13">
        <v>74.540000000000006</v>
      </c>
      <c r="J485" s="24">
        <v>45603</v>
      </c>
      <c r="K485" s="13">
        <v>4</v>
      </c>
      <c r="L485" s="13">
        <v>3.5</v>
      </c>
      <c r="M485" s="13" t="b">
        <v>0</v>
      </c>
      <c r="O485" s="13">
        <f t="shared" si="7"/>
        <v>3.5</v>
      </c>
    </row>
    <row r="486" spans="1:15" x14ac:dyDescent="0.25">
      <c r="A486" s="13" t="s">
        <v>498</v>
      </c>
      <c r="B486" s="13" t="s">
        <v>2191</v>
      </c>
      <c r="C486" s="13" t="s">
        <v>2202</v>
      </c>
      <c r="D486" s="13" t="s">
        <v>2207</v>
      </c>
      <c r="E486" s="13" t="s">
        <v>2210</v>
      </c>
      <c r="F486" s="13" t="s">
        <v>2215</v>
      </c>
      <c r="G486" s="13">
        <v>114.03</v>
      </c>
      <c r="H486" s="13">
        <v>0</v>
      </c>
      <c r="I486" s="13">
        <v>114.03</v>
      </c>
      <c r="J486" s="24">
        <v>45875</v>
      </c>
      <c r="K486" s="13">
        <v>2</v>
      </c>
      <c r="M486" s="13" t="b">
        <v>0</v>
      </c>
      <c r="O486" s="13">
        <f t="shared" si="7"/>
        <v>2.9074999999999998</v>
      </c>
    </row>
    <row r="487" spans="1:15" x14ac:dyDescent="0.25">
      <c r="A487" s="13" t="s">
        <v>499</v>
      </c>
      <c r="B487" s="13" t="s">
        <v>2192</v>
      </c>
      <c r="C487" s="13" t="s">
        <v>2202</v>
      </c>
      <c r="D487" s="13" t="s">
        <v>2206</v>
      </c>
      <c r="F487" s="13" t="s">
        <v>2217</v>
      </c>
      <c r="G487" s="13">
        <v>20.59</v>
      </c>
      <c r="H487" s="13">
        <v>27.6</v>
      </c>
      <c r="I487" s="13">
        <v>14.91</v>
      </c>
      <c r="J487" s="24">
        <v>45875</v>
      </c>
      <c r="K487" s="13">
        <v>36</v>
      </c>
      <c r="M487" s="13" t="b">
        <v>0</v>
      </c>
      <c r="O487" s="13">
        <f t="shared" si="7"/>
        <v>3.2720930232558145</v>
      </c>
    </row>
    <row r="488" spans="1:15" x14ac:dyDescent="0.25">
      <c r="A488" s="13" t="s">
        <v>500</v>
      </c>
      <c r="B488" s="13" t="s">
        <v>2193</v>
      </c>
      <c r="C488" s="13" t="s">
        <v>2198</v>
      </c>
      <c r="D488" s="13" t="s">
        <v>2207</v>
      </c>
      <c r="E488" s="13" t="s">
        <v>2208</v>
      </c>
      <c r="F488" s="13" t="s">
        <v>2219</v>
      </c>
      <c r="G488" s="13">
        <v>167.86</v>
      </c>
      <c r="H488" s="13">
        <v>0</v>
      </c>
      <c r="I488" s="13">
        <v>167.86</v>
      </c>
      <c r="J488" s="24">
        <v>45875</v>
      </c>
      <c r="K488" s="13">
        <v>17</v>
      </c>
      <c r="L488" s="13">
        <v>3.2</v>
      </c>
      <c r="M488" s="13" t="b">
        <v>0</v>
      </c>
      <c r="O488" s="13">
        <f t="shared" si="7"/>
        <v>3.2</v>
      </c>
    </row>
    <row r="489" spans="1:15" x14ac:dyDescent="0.25">
      <c r="A489" s="13" t="s">
        <v>501</v>
      </c>
      <c r="B489" s="13" t="s">
        <v>2192</v>
      </c>
      <c r="C489" s="13" t="s">
        <v>2197</v>
      </c>
      <c r="D489" s="13" t="s">
        <v>2206</v>
      </c>
      <c r="F489" s="13" t="s">
        <v>2218</v>
      </c>
      <c r="G489" s="13">
        <v>62.2</v>
      </c>
      <c r="H489" s="13">
        <v>37.700000000000003</v>
      </c>
      <c r="I489" s="13">
        <v>38.75</v>
      </c>
      <c r="J489" s="24">
        <v>45875</v>
      </c>
      <c r="K489" s="13">
        <v>16</v>
      </c>
      <c r="L489" s="13">
        <v>3.1</v>
      </c>
      <c r="M489" s="13" t="b">
        <v>0</v>
      </c>
      <c r="O489" s="13">
        <f t="shared" si="7"/>
        <v>3.1</v>
      </c>
    </row>
    <row r="490" spans="1:15" x14ac:dyDescent="0.25">
      <c r="A490" s="13" t="s">
        <v>502</v>
      </c>
      <c r="B490" s="13" t="s">
        <v>2190</v>
      </c>
      <c r="C490" s="13" t="s">
        <v>2198</v>
      </c>
      <c r="D490" s="13" t="s">
        <v>2206</v>
      </c>
      <c r="F490" s="13" t="s">
        <v>2215</v>
      </c>
      <c r="G490" s="13">
        <v>223.69</v>
      </c>
      <c r="H490" s="13">
        <v>6.3</v>
      </c>
      <c r="I490" s="13">
        <v>209.6</v>
      </c>
      <c r="J490" s="24">
        <v>45875</v>
      </c>
      <c r="K490" s="13">
        <v>18</v>
      </c>
      <c r="L490" s="13">
        <v>1.9</v>
      </c>
      <c r="M490" s="13" t="b">
        <v>0</v>
      </c>
      <c r="O490" s="13">
        <f t="shared" si="7"/>
        <v>1.9</v>
      </c>
    </row>
    <row r="491" spans="1:15" x14ac:dyDescent="0.25">
      <c r="A491" s="13" t="s">
        <v>503</v>
      </c>
      <c r="B491" s="13" t="s">
        <v>2192</v>
      </c>
      <c r="C491" s="13" t="s">
        <v>2199</v>
      </c>
      <c r="D491" s="13" t="s">
        <v>2207</v>
      </c>
      <c r="F491" s="13" t="s">
        <v>2219</v>
      </c>
      <c r="G491" s="13">
        <v>67.13</v>
      </c>
      <c r="H491" s="13">
        <v>0</v>
      </c>
      <c r="I491" s="13">
        <v>67.13</v>
      </c>
      <c r="J491" s="24">
        <v>45875</v>
      </c>
      <c r="K491" s="13">
        <v>3</v>
      </c>
      <c r="L491" s="13">
        <v>1.4</v>
      </c>
      <c r="M491" s="13" t="b">
        <v>0</v>
      </c>
      <c r="O491" s="13">
        <f t="shared" si="7"/>
        <v>1.4</v>
      </c>
    </row>
    <row r="492" spans="1:15" x14ac:dyDescent="0.25">
      <c r="A492" s="13" t="s">
        <v>504</v>
      </c>
      <c r="B492" s="13" t="s">
        <v>2195</v>
      </c>
      <c r="C492" s="13" t="s">
        <v>2196</v>
      </c>
      <c r="D492" s="13" t="s">
        <v>2207</v>
      </c>
      <c r="E492" s="13" t="s">
        <v>2213</v>
      </c>
      <c r="F492" s="13" t="s">
        <v>2214</v>
      </c>
      <c r="G492" s="13">
        <v>144.81</v>
      </c>
      <c r="H492" s="13">
        <v>33.299999999999997</v>
      </c>
      <c r="I492" s="13">
        <v>96.59</v>
      </c>
      <c r="J492" s="24">
        <v>45875</v>
      </c>
      <c r="K492" s="13">
        <v>33</v>
      </c>
      <c r="L492" s="13">
        <v>2.8</v>
      </c>
      <c r="M492" s="13" t="b">
        <v>0</v>
      </c>
      <c r="O492" s="13">
        <f t="shared" si="7"/>
        <v>2.8</v>
      </c>
    </row>
    <row r="493" spans="1:15" x14ac:dyDescent="0.25">
      <c r="A493" s="13" t="s">
        <v>505</v>
      </c>
      <c r="B493" s="13" t="s">
        <v>2190</v>
      </c>
      <c r="C493" s="13" t="s">
        <v>2202</v>
      </c>
      <c r="D493" s="13" t="s">
        <v>2205</v>
      </c>
      <c r="E493" s="13" t="s">
        <v>2212</v>
      </c>
      <c r="F493" s="13" t="s">
        <v>2223</v>
      </c>
      <c r="G493" s="13">
        <v>152.93</v>
      </c>
      <c r="H493" s="13">
        <v>53</v>
      </c>
      <c r="I493" s="13">
        <v>71.88</v>
      </c>
      <c r="J493" s="24">
        <v>45875</v>
      </c>
      <c r="K493" s="13">
        <v>2</v>
      </c>
      <c r="L493" s="13">
        <v>4.5999999999999996</v>
      </c>
      <c r="M493" s="13" t="b">
        <v>1</v>
      </c>
      <c r="N493" s="13" t="s">
        <v>2229</v>
      </c>
      <c r="O493" s="13">
        <f t="shared" si="7"/>
        <v>4.5999999999999996</v>
      </c>
    </row>
    <row r="494" spans="1:15" x14ac:dyDescent="0.25">
      <c r="A494" s="13" t="s">
        <v>506</v>
      </c>
      <c r="B494" s="13" t="s">
        <v>2195</v>
      </c>
      <c r="C494" s="13" t="s">
        <v>2203</v>
      </c>
      <c r="D494" s="13" t="s">
        <v>2207</v>
      </c>
      <c r="E494" s="13" t="s">
        <v>2211</v>
      </c>
      <c r="F494" s="13" t="s">
        <v>2217</v>
      </c>
      <c r="G494" s="13">
        <v>111.29</v>
      </c>
      <c r="H494" s="13">
        <v>0</v>
      </c>
      <c r="I494" s="13">
        <v>111.29</v>
      </c>
      <c r="J494" s="24">
        <v>45875</v>
      </c>
      <c r="K494" s="13">
        <v>48</v>
      </c>
      <c r="L494" s="13">
        <v>4.9000000000000004</v>
      </c>
      <c r="M494" s="13" t="b">
        <v>0</v>
      </c>
      <c r="O494" s="13">
        <f t="shared" si="7"/>
        <v>4.9000000000000004</v>
      </c>
    </row>
    <row r="495" spans="1:15" x14ac:dyDescent="0.25">
      <c r="A495" s="13" t="s">
        <v>507</v>
      </c>
      <c r="B495" s="13" t="s">
        <v>2190</v>
      </c>
      <c r="C495" s="13" t="s">
        <v>2198</v>
      </c>
      <c r="D495" s="13" t="s">
        <v>2205</v>
      </c>
      <c r="E495" s="13" t="s">
        <v>2212</v>
      </c>
      <c r="F495" s="13" t="s">
        <v>2215</v>
      </c>
      <c r="G495" s="13">
        <v>159.18</v>
      </c>
      <c r="H495" s="13">
        <v>0</v>
      </c>
      <c r="I495" s="13">
        <v>159.18</v>
      </c>
      <c r="J495" s="24">
        <v>45875</v>
      </c>
      <c r="K495" s="13">
        <v>38</v>
      </c>
      <c r="L495" s="13">
        <v>2.4</v>
      </c>
      <c r="M495" s="13" t="b">
        <v>1</v>
      </c>
      <c r="N495" s="13" t="s">
        <v>2228</v>
      </c>
      <c r="O495" s="13">
        <f t="shared" si="7"/>
        <v>2.4</v>
      </c>
    </row>
    <row r="496" spans="1:15" x14ac:dyDescent="0.25">
      <c r="A496" s="13" t="s">
        <v>508</v>
      </c>
      <c r="B496" s="13" t="s">
        <v>2190</v>
      </c>
      <c r="C496" s="13" t="s">
        <v>2196</v>
      </c>
      <c r="D496" s="13" t="s">
        <v>2205</v>
      </c>
      <c r="E496" s="13" t="s">
        <v>2211</v>
      </c>
      <c r="F496" s="13" t="s">
        <v>2217</v>
      </c>
      <c r="G496" s="13">
        <v>215.93</v>
      </c>
      <c r="H496" s="13">
        <v>0</v>
      </c>
      <c r="I496" s="13">
        <v>215.93</v>
      </c>
      <c r="J496" s="24">
        <v>45875</v>
      </c>
      <c r="K496" s="13">
        <v>43</v>
      </c>
      <c r="L496" s="13">
        <v>3.5</v>
      </c>
      <c r="M496" s="13" t="b">
        <v>0</v>
      </c>
      <c r="O496" s="13">
        <f t="shared" si="7"/>
        <v>3.5</v>
      </c>
    </row>
    <row r="497" spans="1:15" x14ac:dyDescent="0.25">
      <c r="A497" s="13" t="s">
        <v>509</v>
      </c>
      <c r="B497" s="13" t="s">
        <v>2191</v>
      </c>
      <c r="C497" s="13" t="s">
        <v>2201</v>
      </c>
      <c r="D497" s="13" t="s">
        <v>2204</v>
      </c>
      <c r="F497" s="13" t="s">
        <v>2221</v>
      </c>
      <c r="G497" s="13">
        <v>51.69</v>
      </c>
      <c r="H497" s="13">
        <v>33.4</v>
      </c>
      <c r="I497" s="13">
        <v>34.43</v>
      </c>
      <c r="J497" s="24">
        <v>45511</v>
      </c>
      <c r="K497" s="13">
        <v>36</v>
      </c>
      <c r="L497" s="13">
        <v>3.4</v>
      </c>
      <c r="M497" s="13" t="b">
        <v>0</v>
      </c>
      <c r="O497" s="13">
        <f t="shared" si="7"/>
        <v>3.4</v>
      </c>
    </row>
    <row r="498" spans="1:15" x14ac:dyDescent="0.25">
      <c r="A498" s="13" t="s">
        <v>510</v>
      </c>
      <c r="B498" s="13" t="s">
        <v>2190</v>
      </c>
      <c r="C498" s="13" t="s">
        <v>2201</v>
      </c>
      <c r="D498" s="13" t="s">
        <v>2207</v>
      </c>
      <c r="E498" s="13" t="s">
        <v>2209</v>
      </c>
      <c r="F498" s="13" t="s">
        <v>2215</v>
      </c>
      <c r="G498" s="13">
        <v>137.38</v>
      </c>
      <c r="H498" s="13">
        <v>0</v>
      </c>
      <c r="I498" s="13">
        <v>137.38</v>
      </c>
      <c r="J498" s="24">
        <v>45875</v>
      </c>
      <c r="K498" s="13">
        <v>43</v>
      </c>
      <c r="L498" s="13">
        <v>3.5</v>
      </c>
      <c r="M498" s="13" t="b">
        <v>0</v>
      </c>
      <c r="O498" s="13">
        <f t="shared" si="7"/>
        <v>3.5</v>
      </c>
    </row>
    <row r="499" spans="1:15" x14ac:dyDescent="0.25">
      <c r="A499" s="13" t="s">
        <v>511</v>
      </c>
      <c r="B499" s="13" t="s">
        <v>2194</v>
      </c>
      <c r="C499" s="13" t="s">
        <v>2203</v>
      </c>
      <c r="D499" s="13" t="s">
        <v>2206</v>
      </c>
      <c r="E499" s="13" t="s">
        <v>2211</v>
      </c>
      <c r="F499" s="13" t="s">
        <v>2220</v>
      </c>
      <c r="G499" s="13">
        <v>96.7</v>
      </c>
      <c r="H499" s="13">
        <v>38.799999999999997</v>
      </c>
      <c r="I499" s="13">
        <v>59.18</v>
      </c>
      <c r="J499" s="24">
        <v>45875</v>
      </c>
      <c r="K499" s="13">
        <v>46</v>
      </c>
      <c r="L499" s="13">
        <v>1.7</v>
      </c>
      <c r="M499" s="13" t="b">
        <v>0</v>
      </c>
      <c r="O499" s="13">
        <f t="shared" si="7"/>
        <v>1.7</v>
      </c>
    </row>
    <row r="500" spans="1:15" x14ac:dyDescent="0.25">
      <c r="A500" s="13" t="s">
        <v>512</v>
      </c>
      <c r="B500" s="13" t="s">
        <v>2194</v>
      </c>
      <c r="C500" s="13" t="s">
        <v>2200</v>
      </c>
      <c r="D500" s="13" t="s">
        <v>2204</v>
      </c>
      <c r="E500" s="13" t="s">
        <v>2213</v>
      </c>
      <c r="F500" s="13" t="s">
        <v>2223</v>
      </c>
      <c r="G500" s="13">
        <v>58.73</v>
      </c>
      <c r="H500" s="13">
        <v>38.1</v>
      </c>
      <c r="I500" s="13">
        <v>36.35</v>
      </c>
      <c r="J500" s="24">
        <v>45653</v>
      </c>
      <c r="K500" s="13">
        <v>50</v>
      </c>
      <c r="L500" s="13">
        <v>1.2</v>
      </c>
      <c r="M500" s="13" t="b">
        <v>0</v>
      </c>
      <c r="O500" s="13">
        <f t="shared" si="7"/>
        <v>1.2</v>
      </c>
    </row>
    <row r="501" spans="1:15" x14ac:dyDescent="0.25">
      <c r="A501" s="13" t="s">
        <v>513</v>
      </c>
      <c r="B501" s="13" t="s">
        <v>2190</v>
      </c>
      <c r="C501" s="13" t="s">
        <v>2202</v>
      </c>
      <c r="D501" s="13" t="s">
        <v>2205</v>
      </c>
      <c r="E501" s="13" t="s">
        <v>2210</v>
      </c>
      <c r="F501" s="13" t="s">
        <v>2220</v>
      </c>
      <c r="G501" s="13">
        <v>204.68</v>
      </c>
      <c r="H501" s="13">
        <v>0</v>
      </c>
      <c r="I501" s="13">
        <v>204.68</v>
      </c>
      <c r="J501" s="24">
        <v>45875</v>
      </c>
      <c r="K501" s="13">
        <v>33</v>
      </c>
      <c r="L501" s="13">
        <v>3.1</v>
      </c>
      <c r="M501" s="13" t="b">
        <v>0</v>
      </c>
      <c r="O501" s="13">
        <f t="shared" si="7"/>
        <v>3.1</v>
      </c>
    </row>
    <row r="502" spans="1:15" x14ac:dyDescent="0.25">
      <c r="A502" s="13" t="s">
        <v>514</v>
      </c>
      <c r="B502" s="13" t="s">
        <v>2194</v>
      </c>
      <c r="C502" s="13" t="s">
        <v>2203</v>
      </c>
      <c r="D502" s="13" t="s">
        <v>2204</v>
      </c>
      <c r="E502" s="13" t="s">
        <v>2209</v>
      </c>
      <c r="F502" s="13" t="s">
        <v>2217</v>
      </c>
      <c r="G502" s="13">
        <v>117.26</v>
      </c>
      <c r="H502" s="13">
        <v>0</v>
      </c>
      <c r="I502" s="13">
        <v>117.26</v>
      </c>
      <c r="J502" s="24">
        <v>45560</v>
      </c>
      <c r="K502" s="13">
        <v>29</v>
      </c>
      <c r="M502" s="13" t="b">
        <v>0</v>
      </c>
      <c r="O502" s="13">
        <f t="shared" si="7"/>
        <v>3.1021739130434773</v>
      </c>
    </row>
    <row r="503" spans="1:15" x14ac:dyDescent="0.25">
      <c r="A503" s="13" t="s">
        <v>515</v>
      </c>
      <c r="B503" s="13" t="s">
        <v>2190</v>
      </c>
      <c r="C503" s="13" t="s">
        <v>2202</v>
      </c>
      <c r="D503" s="13" t="s">
        <v>2207</v>
      </c>
      <c r="E503" s="13" t="s">
        <v>2211</v>
      </c>
      <c r="F503" s="13" t="s">
        <v>2217</v>
      </c>
      <c r="G503" s="13">
        <v>91.95</v>
      </c>
      <c r="H503" s="13">
        <v>0</v>
      </c>
      <c r="I503" s="13">
        <v>91.95</v>
      </c>
      <c r="J503" s="24">
        <v>45875</v>
      </c>
      <c r="K503" s="13">
        <v>1</v>
      </c>
      <c r="L503" s="13">
        <v>2.5</v>
      </c>
      <c r="M503" s="13" t="b">
        <v>0</v>
      </c>
      <c r="O503" s="13">
        <f t="shared" si="7"/>
        <v>2.5</v>
      </c>
    </row>
    <row r="504" spans="1:15" x14ac:dyDescent="0.25">
      <c r="A504" s="13" t="s">
        <v>516</v>
      </c>
      <c r="B504" s="13" t="s">
        <v>2194</v>
      </c>
      <c r="C504" s="13" t="s">
        <v>2202</v>
      </c>
      <c r="D504" s="13" t="s">
        <v>2206</v>
      </c>
      <c r="E504" s="13" t="s">
        <v>2208</v>
      </c>
      <c r="F504" s="13" t="s">
        <v>2222</v>
      </c>
      <c r="G504" s="13">
        <v>94.53</v>
      </c>
      <c r="H504" s="13">
        <v>0</v>
      </c>
      <c r="I504" s="13">
        <v>94.53</v>
      </c>
      <c r="J504" s="24">
        <v>45875</v>
      </c>
      <c r="K504" s="13">
        <v>13</v>
      </c>
      <c r="L504" s="13">
        <v>2.4</v>
      </c>
      <c r="M504" s="13" t="b">
        <v>0</v>
      </c>
      <c r="O504" s="13">
        <f t="shared" si="7"/>
        <v>2.4</v>
      </c>
    </row>
    <row r="505" spans="1:15" x14ac:dyDescent="0.25">
      <c r="A505" s="13" t="s">
        <v>517</v>
      </c>
      <c r="B505" s="13" t="s">
        <v>2195</v>
      </c>
      <c r="C505" s="13" t="s">
        <v>2199</v>
      </c>
      <c r="D505" s="13" t="s">
        <v>2206</v>
      </c>
      <c r="E505" s="13" t="s">
        <v>2211</v>
      </c>
      <c r="F505" s="13" t="s">
        <v>2217</v>
      </c>
      <c r="G505" s="13">
        <v>71.94</v>
      </c>
      <c r="H505" s="13">
        <v>3</v>
      </c>
      <c r="I505" s="13">
        <v>69.78</v>
      </c>
      <c r="J505" s="24">
        <v>45875</v>
      </c>
      <c r="K505" s="13">
        <v>45</v>
      </c>
      <c r="L505" s="13">
        <v>1.4</v>
      </c>
      <c r="M505" s="13" t="b">
        <v>0</v>
      </c>
      <c r="O505" s="13">
        <f t="shared" si="7"/>
        <v>1.4</v>
      </c>
    </row>
    <row r="506" spans="1:15" x14ac:dyDescent="0.25">
      <c r="A506" s="13" t="s">
        <v>518</v>
      </c>
      <c r="B506" s="13" t="s">
        <v>2195</v>
      </c>
      <c r="C506" s="13" t="s">
        <v>2201</v>
      </c>
      <c r="D506" s="13" t="s">
        <v>2205</v>
      </c>
      <c r="E506" s="13" t="s">
        <v>2208</v>
      </c>
      <c r="F506" s="13" t="s">
        <v>2220</v>
      </c>
      <c r="G506" s="13">
        <v>177.72</v>
      </c>
      <c r="H506" s="13">
        <v>5.9</v>
      </c>
      <c r="I506" s="13">
        <v>167.23</v>
      </c>
      <c r="J506" s="24">
        <v>45875</v>
      </c>
      <c r="K506" s="13">
        <v>47</v>
      </c>
      <c r="M506" s="13" t="b">
        <v>0</v>
      </c>
      <c r="O506" s="13">
        <f t="shared" si="7"/>
        <v>3.1874999999999991</v>
      </c>
    </row>
    <row r="507" spans="1:15" x14ac:dyDescent="0.25">
      <c r="A507" s="13" t="s">
        <v>519</v>
      </c>
      <c r="B507" s="13" t="s">
        <v>2192</v>
      </c>
      <c r="C507" s="13" t="s">
        <v>2196</v>
      </c>
      <c r="D507" s="13" t="s">
        <v>2207</v>
      </c>
      <c r="F507" s="13" t="s">
        <v>2217</v>
      </c>
      <c r="G507" s="13">
        <v>34.4</v>
      </c>
      <c r="H507" s="13">
        <v>0</v>
      </c>
      <c r="I507" s="13">
        <v>34.4</v>
      </c>
      <c r="J507" s="24">
        <v>45875</v>
      </c>
      <c r="K507" s="13">
        <v>43</v>
      </c>
      <c r="L507" s="13">
        <v>3</v>
      </c>
      <c r="M507" s="13" t="b">
        <v>1</v>
      </c>
      <c r="N507" s="13" t="s">
        <v>2230</v>
      </c>
      <c r="O507" s="13">
        <f t="shared" si="7"/>
        <v>3</v>
      </c>
    </row>
    <row r="508" spans="1:15" x14ac:dyDescent="0.25">
      <c r="A508" s="13" t="s">
        <v>520</v>
      </c>
      <c r="B508" s="13" t="s">
        <v>2194</v>
      </c>
      <c r="C508" s="13" t="s">
        <v>2198</v>
      </c>
      <c r="D508" s="13" t="s">
        <v>2204</v>
      </c>
      <c r="E508" s="13" t="s">
        <v>2213</v>
      </c>
      <c r="F508" s="13" t="s">
        <v>2218</v>
      </c>
      <c r="G508" s="13">
        <v>119.72</v>
      </c>
      <c r="H508" s="13">
        <v>0</v>
      </c>
      <c r="I508" s="13">
        <v>119.72</v>
      </c>
      <c r="J508" s="24">
        <v>45675</v>
      </c>
      <c r="K508" s="13">
        <v>18</v>
      </c>
      <c r="L508" s="13">
        <v>3.7</v>
      </c>
      <c r="M508" s="13" t="b">
        <v>0</v>
      </c>
      <c r="O508" s="13">
        <f t="shared" si="7"/>
        <v>3.7</v>
      </c>
    </row>
    <row r="509" spans="1:15" x14ac:dyDescent="0.25">
      <c r="A509" s="13" t="s">
        <v>521</v>
      </c>
      <c r="B509" s="13" t="s">
        <v>2192</v>
      </c>
      <c r="C509" s="13" t="s">
        <v>2200</v>
      </c>
      <c r="D509" s="13" t="s">
        <v>2207</v>
      </c>
      <c r="F509" s="13" t="s">
        <v>2224</v>
      </c>
      <c r="G509" s="13">
        <v>44.09</v>
      </c>
      <c r="H509" s="13">
        <v>0</v>
      </c>
      <c r="I509" s="13">
        <v>44.09</v>
      </c>
      <c r="J509" s="24">
        <v>45875</v>
      </c>
      <c r="K509" s="13">
        <v>2</v>
      </c>
      <c r="L509" s="13">
        <v>2</v>
      </c>
      <c r="M509" s="13" t="b">
        <v>0</v>
      </c>
      <c r="O509" s="13">
        <f t="shared" si="7"/>
        <v>2</v>
      </c>
    </row>
    <row r="510" spans="1:15" x14ac:dyDescent="0.25">
      <c r="A510" s="13" t="s">
        <v>522</v>
      </c>
      <c r="B510" s="13" t="s">
        <v>2194</v>
      </c>
      <c r="C510" s="13" t="s">
        <v>2199</v>
      </c>
      <c r="D510" s="13" t="s">
        <v>2204</v>
      </c>
      <c r="E510" s="13" t="s">
        <v>2208</v>
      </c>
      <c r="F510" s="13" t="s">
        <v>2223</v>
      </c>
      <c r="G510" s="13">
        <v>42.47</v>
      </c>
      <c r="H510" s="13">
        <v>0</v>
      </c>
      <c r="I510" s="13">
        <v>42.47</v>
      </c>
      <c r="J510" s="24">
        <v>45610</v>
      </c>
      <c r="K510" s="13">
        <v>33</v>
      </c>
      <c r="L510" s="13">
        <v>4.5</v>
      </c>
      <c r="M510" s="13" t="b">
        <v>1</v>
      </c>
      <c r="N510" s="13" t="s">
        <v>2229</v>
      </c>
      <c r="O510" s="13">
        <f t="shared" si="7"/>
        <v>4.5</v>
      </c>
    </row>
    <row r="511" spans="1:15" x14ac:dyDescent="0.25">
      <c r="A511" s="13" t="s">
        <v>523</v>
      </c>
      <c r="B511" s="13" t="s">
        <v>2195</v>
      </c>
      <c r="C511" s="13" t="s">
        <v>2198</v>
      </c>
      <c r="D511" s="13" t="s">
        <v>2207</v>
      </c>
      <c r="E511" s="13" t="s">
        <v>2208</v>
      </c>
      <c r="F511" s="13" t="s">
        <v>2223</v>
      </c>
      <c r="G511" s="13">
        <v>68.430000000000007</v>
      </c>
      <c r="H511" s="13">
        <v>0</v>
      </c>
      <c r="I511" s="13">
        <v>68.430000000000007</v>
      </c>
      <c r="J511" s="24">
        <v>45875</v>
      </c>
      <c r="K511" s="13">
        <v>16</v>
      </c>
      <c r="M511" s="13" t="b">
        <v>0</v>
      </c>
      <c r="O511" s="13">
        <f t="shared" si="7"/>
        <v>2.9000000000000008</v>
      </c>
    </row>
    <row r="512" spans="1:15" x14ac:dyDescent="0.25">
      <c r="A512" s="13" t="s">
        <v>524</v>
      </c>
      <c r="B512" s="13" t="s">
        <v>2193</v>
      </c>
      <c r="C512" s="13" t="s">
        <v>2196</v>
      </c>
      <c r="D512" s="13" t="s">
        <v>2206</v>
      </c>
      <c r="E512" s="13" t="s">
        <v>2212</v>
      </c>
      <c r="F512" s="13" t="s">
        <v>2220</v>
      </c>
      <c r="G512" s="13">
        <v>165.39</v>
      </c>
      <c r="H512" s="13">
        <v>31.8</v>
      </c>
      <c r="I512" s="13">
        <v>112.8</v>
      </c>
      <c r="J512" s="24">
        <v>45875</v>
      </c>
      <c r="K512" s="13">
        <v>9</v>
      </c>
      <c r="L512" s="13">
        <v>4.5999999999999996</v>
      </c>
      <c r="M512" s="13" t="b">
        <v>0</v>
      </c>
      <c r="O512" s="13">
        <f t="shared" si="7"/>
        <v>4.5999999999999996</v>
      </c>
    </row>
    <row r="513" spans="1:15" x14ac:dyDescent="0.25">
      <c r="A513" s="13" t="s">
        <v>525</v>
      </c>
      <c r="B513" s="13" t="s">
        <v>2192</v>
      </c>
      <c r="C513" s="13" t="s">
        <v>2201</v>
      </c>
      <c r="D513" s="13" t="s">
        <v>2205</v>
      </c>
      <c r="F513" s="13" t="s">
        <v>2220</v>
      </c>
      <c r="G513" s="13">
        <v>35.36</v>
      </c>
      <c r="H513" s="13">
        <v>0</v>
      </c>
      <c r="I513" s="13">
        <v>35.36</v>
      </c>
      <c r="J513" s="24">
        <v>45875</v>
      </c>
      <c r="K513" s="13">
        <v>42</v>
      </c>
      <c r="L513" s="13">
        <v>4.5</v>
      </c>
      <c r="M513" s="13" t="b">
        <v>0</v>
      </c>
      <c r="O513" s="13">
        <f t="shared" si="7"/>
        <v>4.5</v>
      </c>
    </row>
    <row r="514" spans="1:15" x14ac:dyDescent="0.25">
      <c r="A514" s="13" t="s">
        <v>526</v>
      </c>
      <c r="B514" s="13" t="s">
        <v>2195</v>
      </c>
      <c r="C514" s="13" t="s">
        <v>2200</v>
      </c>
      <c r="D514" s="13" t="s">
        <v>2207</v>
      </c>
      <c r="E514" s="13" t="s">
        <v>2213</v>
      </c>
      <c r="F514" s="13" t="s">
        <v>2222</v>
      </c>
      <c r="G514" s="13">
        <v>95.73</v>
      </c>
      <c r="H514" s="13">
        <v>0</v>
      </c>
      <c r="I514" s="13">
        <v>95.73</v>
      </c>
      <c r="J514" s="24">
        <v>45875</v>
      </c>
      <c r="K514" s="13">
        <v>6</v>
      </c>
      <c r="L514" s="13">
        <v>4.5999999999999996</v>
      </c>
      <c r="M514" s="13" t="b">
        <v>0</v>
      </c>
      <c r="O514" s="13">
        <f t="shared" si="7"/>
        <v>4.5999999999999996</v>
      </c>
    </row>
    <row r="515" spans="1:15" x14ac:dyDescent="0.25">
      <c r="A515" s="13" t="s">
        <v>527</v>
      </c>
      <c r="B515" s="13" t="s">
        <v>2192</v>
      </c>
      <c r="C515" s="13" t="s">
        <v>2198</v>
      </c>
      <c r="D515" s="13" t="s">
        <v>2204</v>
      </c>
      <c r="F515" s="13" t="s">
        <v>2224</v>
      </c>
      <c r="G515" s="13">
        <v>72.28</v>
      </c>
      <c r="H515" s="13">
        <v>51.3</v>
      </c>
      <c r="I515" s="13">
        <v>35.200000000000003</v>
      </c>
      <c r="J515" s="24">
        <v>45703</v>
      </c>
      <c r="K515" s="13">
        <v>31</v>
      </c>
      <c r="L515" s="13">
        <v>1.9</v>
      </c>
      <c r="M515" s="13" t="b">
        <v>0</v>
      </c>
      <c r="O515" s="13">
        <f t="shared" ref="O515:O578" si="8">IF(L515="",AVERAGEIFS($L$2:$L$2177,$B$2:$B$2177,B515,$C$2:$C$2177,C515),L515)</f>
        <v>1.9</v>
      </c>
    </row>
    <row r="516" spans="1:15" x14ac:dyDescent="0.25">
      <c r="A516" s="13" t="s">
        <v>528</v>
      </c>
      <c r="B516" s="13" t="s">
        <v>2190</v>
      </c>
      <c r="C516" s="13" t="s">
        <v>2201</v>
      </c>
      <c r="D516" s="13" t="s">
        <v>2207</v>
      </c>
      <c r="F516" s="13" t="s">
        <v>2217</v>
      </c>
      <c r="G516" s="13">
        <v>80.349999999999994</v>
      </c>
      <c r="H516" s="13">
        <v>0</v>
      </c>
      <c r="I516" s="13">
        <v>80.349999999999994</v>
      </c>
      <c r="J516" s="24">
        <v>45875</v>
      </c>
      <c r="K516" s="13">
        <v>28</v>
      </c>
      <c r="L516" s="13">
        <v>2.9</v>
      </c>
      <c r="M516" s="13" t="b">
        <v>0</v>
      </c>
      <c r="O516" s="13">
        <f t="shared" si="8"/>
        <v>2.9</v>
      </c>
    </row>
    <row r="517" spans="1:15" x14ac:dyDescent="0.25">
      <c r="A517" s="13" t="s">
        <v>529</v>
      </c>
      <c r="B517" s="13" t="s">
        <v>2194</v>
      </c>
      <c r="C517" s="13" t="s">
        <v>2198</v>
      </c>
      <c r="D517" s="13" t="s">
        <v>2205</v>
      </c>
      <c r="E517" s="13" t="s">
        <v>2208</v>
      </c>
      <c r="F517" s="13" t="s">
        <v>2218</v>
      </c>
      <c r="G517" s="13">
        <v>119.04</v>
      </c>
      <c r="H517" s="13">
        <v>0</v>
      </c>
      <c r="I517" s="13">
        <v>119.04</v>
      </c>
      <c r="J517" s="24">
        <v>45875</v>
      </c>
      <c r="K517" s="13">
        <v>35</v>
      </c>
      <c r="L517" s="13">
        <v>1.4</v>
      </c>
      <c r="M517" s="13" t="b">
        <v>0</v>
      </c>
      <c r="O517" s="13">
        <f t="shared" si="8"/>
        <v>1.4</v>
      </c>
    </row>
    <row r="518" spans="1:15" x14ac:dyDescent="0.25">
      <c r="A518" s="13" t="s">
        <v>530</v>
      </c>
      <c r="B518" s="13" t="s">
        <v>2191</v>
      </c>
      <c r="C518" s="13" t="s">
        <v>2202</v>
      </c>
      <c r="D518" s="13" t="s">
        <v>2205</v>
      </c>
      <c r="E518" s="13" t="s">
        <v>2212</v>
      </c>
      <c r="F518" s="13" t="s">
        <v>2224</v>
      </c>
      <c r="G518" s="13">
        <v>60.53</v>
      </c>
      <c r="H518" s="13">
        <v>42.5</v>
      </c>
      <c r="I518" s="13">
        <v>34.799999999999997</v>
      </c>
      <c r="J518" s="24">
        <v>45875</v>
      </c>
      <c r="K518" s="13">
        <v>8</v>
      </c>
      <c r="M518" s="13" t="b">
        <v>1</v>
      </c>
      <c r="N518" s="13" t="s">
        <v>2225</v>
      </c>
      <c r="O518" s="13">
        <f t="shared" si="8"/>
        <v>2.9074999999999998</v>
      </c>
    </row>
    <row r="519" spans="1:15" x14ac:dyDescent="0.25">
      <c r="A519" s="13" t="s">
        <v>531</v>
      </c>
      <c r="B519" s="13" t="s">
        <v>2190</v>
      </c>
      <c r="C519" s="13" t="s">
        <v>2200</v>
      </c>
      <c r="D519" s="13" t="s">
        <v>2206</v>
      </c>
      <c r="E519" s="13" t="s">
        <v>2213</v>
      </c>
      <c r="F519" s="13" t="s">
        <v>2222</v>
      </c>
      <c r="G519" s="13">
        <v>92.54</v>
      </c>
      <c r="H519" s="13">
        <v>43.8</v>
      </c>
      <c r="I519" s="13">
        <v>52.01</v>
      </c>
      <c r="J519" s="24">
        <v>45875</v>
      </c>
      <c r="K519" s="13">
        <v>33</v>
      </c>
      <c r="L519" s="13">
        <v>1.5</v>
      </c>
      <c r="M519" s="13" t="b">
        <v>1</v>
      </c>
      <c r="N519" s="13" t="s">
        <v>2227</v>
      </c>
      <c r="O519" s="13">
        <f t="shared" si="8"/>
        <v>1.5</v>
      </c>
    </row>
    <row r="520" spans="1:15" x14ac:dyDescent="0.25">
      <c r="A520" s="13" t="s">
        <v>532</v>
      </c>
      <c r="B520" s="13" t="s">
        <v>2192</v>
      </c>
      <c r="C520" s="13" t="s">
        <v>2197</v>
      </c>
      <c r="D520" s="13" t="s">
        <v>2206</v>
      </c>
      <c r="F520" s="13" t="s">
        <v>2215</v>
      </c>
      <c r="G520" s="13">
        <v>28.4</v>
      </c>
      <c r="H520" s="13">
        <v>0</v>
      </c>
      <c r="I520" s="13">
        <v>28.4</v>
      </c>
      <c r="J520" s="24">
        <v>45875</v>
      </c>
      <c r="K520" s="13">
        <v>4</v>
      </c>
      <c r="L520" s="13">
        <v>3.1</v>
      </c>
      <c r="M520" s="13" t="b">
        <v>0</v>
      </c>
      <c r="O520" s="13">
        <f t="shared" si="8"/>
        <v>3.1</v>
      </c>
    </row>
    <row r="521" spans="1:15" x14ac:dyDescent="0.25">
      <c r="A521" s="13" t="s">
        <v>533</v>
      </c>
      <c r="B521" s="13" t="s">
        <v>2194</v>
      </c>
      <c r="C521" s="13" t="s">
        <v>2196</v>
      </c>
      <c r="D521" s="13" t="s">
        <v>2207</v>
      </c>
      <c r="E521" s="13" t="s">
        <v>2213</v>
      </c>
      <c r="F521" s="13" t="s">
        <v>2218</v>
      </c>
      <c r="G521" s="13">
        <v>91.65</v>
      </c>
      <c r="H521" s="13">
        <v>0</v>
      </c>
      <c r="I521" s="13">
        <v>91.65</v>
      </c>
      <c r="J521" s="24">
        <v>45875</v>
      </c>
      <c r="K521" s="13">
        <v>40</v>
      </c>
      <c r="L521" s="13">
        <v>3.8</v>
      </c>
      <c r="M521" s="13" t="b">
        <v>0</v>
      </c>
      <c r="O521" s="13">
        <f t="shared" si="8"/>
        <v>3.8</v>
      </c>
    </row>
    <row r="522" spans="1:15" x14ac:dyDescent="0.25">
      <c r="A522" s="13" t="s">
        <v>534</v>
      </c>
      <c r="B522" s="13" t="s">
        <v>2192</v>
      </c>
      <c r="C522" s="13" t="s">
        <v>2199</v>
      </c>
      <c r="D522" s="13" t="s">
        <v>2206</v>
      </c>
      <c r="F522" s="13" t="s">
        <v>2222</v>
      </c>
      <c r="G522" s="13">
        <v>72.569999999999993</v>
      </c>
      <c r="H522" s="13">
        <v>0</v>
      </c>
      <c r="I522" s="13">
        <v>72.569999999999993</v>
      </c>
      <c r="J522" s="24">
        <v>45875</v>
      </c>
      <c r="K522" s="13">
        <v>27</v>
      </c>
      <c r="L522" s="13">
        <v>2.5</v>
      </c>
      <c r="M522" s="13" t="b">
        <v>0</v>
      </c>
      <c r="O522" s="13">
        <f t="shared" si="8"/>
        <v>2.5</v>
      </c>
    </row>
    <row r="523" spans="1:15" x14ac:dyDescent="0.25">
      <c r="A523" s="13" t="s">
        <v>535</v>
      </c>
      <c r="B523" s="13" t="s">
        <v>2194</v>
      </c>
      <c r="C523" s="13" t="s">
        <v>2200</v>
      </c>
      <c r="D523" s="13" t="s">
        <v>2206</v>
      </c>
      <c r="E523" s="13" t="s">
        <v>2209</v>
      </c>
      <c r="F523" s="13" t="s">
        <v>2219</v>
      </c>
      <c r="G523" s="13">
        <v>39.049999999999997</v>
      </c>
      <c r="H523" s="13">
        <v>0</v>
      </c>
      <c r="I523" s="13">
        <v>39.049999999999997</v>
      </c>
      <c r="J523" s="24">
        <v>45875</v>
      </c>
      <c r="K523" s="13">
        <v>10</v>
      </c>
      <c r="L523" s="13">
        <v>3.5</v>
      </c>
      <c r="M523" s="13" t="b">
        <v>0</v>
      </c>
      <c r="O523" s="13">
        <f t="shared" si="8"/>
        <v>3.5</v>
      </c>
    </row>
    <row r="524" spans="1:15" x14ac:dyDescent="0.25">
      <c r="A524" s="13" t="s">
        <v>536</v>
      </c>
      <c r="B524" s="13" t="s">
        <v>2195</v>
      </c>
      <c r="C524" s="13" t="s">
        <v>2196</v>
      </c>
      <c r="D524" s="13" t="s">
        <v>2205</v>
      </c>
      <c r="E524" s="13" t="s">
        <v>2210</v>
      </c>
      <c r="F524" s="13" t="s">
        <v>2218</v>
      </c>
      <c r="G524" s="13">
        <v>113.21</v>
      </c>
      <c r="H524" s="13">
        <v>0</v>
      </c>
      <c r="I524" s="13">
        <v>113.21</v>
      </c>
      <c r="J524" s="24">
        <v>45875</v>
      </c>
      <c r="K524" s="13">
        <v>12</v>
      </c>
      <c r="L524" s="13">
        <v>4.4000000000000004</v>
      </c>
      <c r="M524" s="13" t="b">
        <v>0</v>
      </c>
      <c r="O524" s="13">
        <f t="shared" si="8"/>
        <v>4.4000000000000004</v>
      </c>
    </row>
    <row r="525" spans="1:15" x14ac:dyDescent="0.25">
      <c r="A525" s="13" t="s">
        <v>537</v>
      </c>
      <c r="B525" s="13" t="s">
        <v>2192</v>
      </c>
      <c r="C525" s="13" t="s">
        <v>2203</v>
      </c>
      <c r="D525" s="13" t="s">
        <v>2204</v>
      </c>
      <c r="F525" s="13" t="s">
        <v>2222</v>
      </c>
      <c r="G525" s="13">
        <v>25.34</v>
      </c>
      <c r="H525" s="13">
        <v>0</v>
      </c>
      <c r="I525" s="13">
        <v>25.34</v>
      </c>
      <c r="J525" s="24">
        <v>45869</v>
      </c>
      <c r="K525" s="13">
        <v>17</v>
      </c>
      <c r="L525" s="13">
        <v>3.3</v>
      </c>
      <c r="M525" s="13" t="b">
        <v>0</v>
      </c>
      <c r="O525" s="13">
        <f t="shared" si="8"/>
        <v>3.3</v>
      </c>
    </row>
    <row r="526" spans="1:15" x14ac:dyDescent="0.25">
      <c r="A526" s="13" t="s">
        <v>538</v>
      </c>
      <c r="B526" s="13" t="s">
        <v>2191</v>
      </c>
      <c r="C526" s="13" t="s">
        <v>2199</v>
      </c>
      <c r="D526" s="13" t="s">
        <v>2204</v>
      </c>
      <c r="E526" s="13" t="s">
        <v>2209</v>
      </c>
      <c r="F526" s="13" t="s">
        <v>2216</v>
      </c>
      <c r="G526" s="13">
        <v>98.16</v>
      </c>
      <c r="H526" s="13">
        <v>56.7</v>
      </c>
      <c r="I526" s="13">
        <v>42.5</v>
      </c>
      <c r="J526" s="24">
        <v>45693</v>
      </c>
      <c r="K526" s="13">
        <v>44</v>
      </c>
      <c r="L526" s="13">
        <v>2.6</v>
      </c>
      <c r="M526" s="13" t="b">
        <v>0</v>
      </c>
      <c r="O526" s="13">
        <f t="shared" si="8"/>
        <v>2.6</v>
      </c>
    </row>
    <row r="527" spans="1:15" x14ac:dyDescent="0.25">
      <c r="A527" s="13" t="s">
        <v>539</v>
      </c>
      <c r="B527" s="13" t="s">
        <v>2191</v>
      </c>
      <c r="C527" s="13" t="s">
        <v>2198</v>
      </c>
      <c r="D527" s="13" t="s">
        <v>2204</v>
      </c>
      <c r="E527" s="13" t="s">
        <v>2212</v>
      </c>
      <c r="F527" s="13" t="s">
        <v>2223</v>
      </c>
      <c r="G527" s="13">
        <v>60.54</v>
      </c>
      <c r="H527" s="13">
        <v>0</v>
      </c>
      <c r="I527" s="13">
        <v>60.54</v>
      </c>
      <c r="J527" s="24">
        <v>45757</v>
      </c>
      <c r="K527" s="13">
        <v>35</v>
      </c>
      <c r="L527" s="13">
        <v>1.7</v>
      </c>
      <c r="M527" s="13" t="b">
        <v>0</v>
      </c>
      <c r="O527" s="13">
        <f t="shared" si="8"/>
        <v>1.7</v>
      </c>
    </row>
    <row r="528" spans="1:15" x14ac:dyDescent="0.25">
      <c r="A528" s="13" t="s">
        <v>540</v>
      </c>
      <c r="B528" s="13" t="s">
        <v>2195</v>
      </c>
      <c r="C528" s="13" t="s">
        <v>2196</v>
      </c>
      <c r="D528" s="13" t="s">
        <v>2205</v>
      </c>
      <c r="E528" s="13" t="s">
        <v>2210</v>
      </c>
      <c r="F528" s="13" t="s">
        <v>2215</v>
      </c>
      <c r="G528" s="13">
        <v>132.61000000000001</v>
      </c>
      <c r="H528" s="13">
        <v>7.4</v>
      </c>
      <c r="I528" s="13">
        <v>122.8</v>
      </c>
      <c r="J528" s="24">
        <v>45875</v>
      </c>
      <c r="K528" s="13">
        <v>0</v>
      </c>
      <c r="L528" s="13">
        <v>4.2</v>
      </c>
      <c r="M528" s="13" t="b">
        <v>0</v>
      </c>
      <c r="O528" s="13">
        <f t="shared" si="8"/>
        <v>4.2</v>
      </c>
    </row>
    <row r="529" spans="1:15" x14ac:dyDescent="0.25">
      <c r="A529" s="13" t="s">
        <v>541</v>
      </c>
      <c r="B529" s="13" t="s">
        <v>2190</v>
      </c>
      <c r="C529" s="13" t="s">
        <v>2201</v>
      </c>
      <c r="D529" s="13" t="s">
        <v>2206</v>
      </c>
      <c r="E529" s="13" t="s">
        <v>2208</v>
      </c>
      <c r="F529" s="13" t="s">
        <v>2215</v>
      </c>
      <c r="G529" s="13">
        <v>234.14</v>
      </c>
      <c r="H529" s="13">
        <v>0</v>
      </c>
      <c r="I529" s="13">
        <v>234.14</v>
      </c>
      <c r="J529" s="24">
        <v>45875</v>
      </c>
      <c r="K529" s="13">
        <v>40</v>
      </c>
      <c r="L529" s="13">
        <v>1.7</v>
      </c>
      <c r="M529" s="13" t="b">
        <v>0</v>
      </c>
      <c r="O529" s="13">
        <f t="shared" si="8"/>
        <v>1.7</v>
      </c>
    </row>
    <row r="530" spans="1:15" x14ac:dyDescent="0.25">
      <c r="A530" s="13" t="s">
        <v>542</v>
      </c>
      <c r="B530" s="13" t="s">
        <v>2192</v>
      </c>
      <c r="C530" s="13" t="s">
        <v>2200</v>
      </c>
      <c r="D530" s="13" t="s">
        <v>2206</v>
      </c>
      <c r="F530" s="13" t="s">
        <v>2216</v>
      </c>
      <c r="G530" s="13">
        <v>31.86</v>
      </c>
      <c r="H530" s="13">
        <v>48.2</v>
      </c>
      <c r="I530" s="13">
        <v>16.5</v>
      </c>
      <c r="J530" s="24">
        <v>45875</v>
      </c>
      <c r="K530" s="13">
        <v>32</v>
      </c>
      <c r="L530" s="13">
        <v>4.5</v>
      </c>
      <c r="M530" s="13" t="b">
        <v>0</v>
      </c>
      <c r="O530" s="13">
        <f t="shared" si="8"/>
        <v>4.5</v>
      </c>
    </row>
    <row r="531" spans="1:15" x14ac:dyDescent="0.25">
      <c r="A531" s="13" t="s">
        <v>543</v>
      </c>
      <c r="B531" s="13" t="s">
        <v>2192</v>
      </c>
      <c r="C531" s="13" t="s">
        <v>2197</v>
      </c>
      <c r="D531" s="13" t="s">
        <v>2204</v>
      </c>
      <c r="F531" s="13" t="s">
        <v>2218</v>
      </c>
      <c r="G531" s="13">
        <v>15.14</v>
      </c>
      <c r="H531" s="13">
        <v>36.700000000000003</v>
      </c>
      <c r="I531" s="13">
        <v>9.58</v>
      </c>
      <c r="J531" s="24">
        <v>45861</v>
      </c>
      <c r="K531" s="13">
        <v>41</v>
      </c>
      <c r="L531" s="13">
        <v>3.8</v>
      </c>
      <c r="M531" s="13" t="b">
        <v>0</v>
      </c>
      <c r="O531" s="13">
        <f t="shared" si="8"/>
        <v>3.8</v>
      </c>
    </row>
    <row r="532" spans="1:15" x14ac:dyDescent="0.25">
      <c r="A532" s="13" t="s">
        <v>544</v>
      </c>
      <c r="B532" s="13" t="s">
        <v>2193</v>
      </c>
      <c r="C532" s="13" t="s">
        <v>2200</v>
      </c>
      <c r="D532" s="13" t="s">
        <v>2205</v>
      </c>
      <c r="E532" s="13" t="s">
        <v>2212</v>
      </c>
      <c r="F532" s="13" t="s">
        <v>2223</v>
      </c>
      <c r="G532" s="13">
        <v>77.72</v>
      </c>
      <c r="H532" s="13">
        <v>0</v>
      </c>
      <c r="I532" s="13">
        <v>77.72</v>
      </c>
      <c r="J532" s="24">
        <v>45875</v>
      </c>
      <c r="K532" s="13">
        <v>48</v>
      </c>
      <c r="L532" s="13">
        <v>1.1000000000000001</v>
      </c>
      <c r="M532" s="13" t="b">
        <v>0</v>
      </c>
      <c r="O532" s="13">
        <f t="shared" si="8"/>
        <v>1.1000000000000001</v>
      </c>
    </row>
    <row r="533" spans="1:15" x14ac:dyDescent="0.25">
      <c r="A533" s="13" t="s">
        <v>545</v>
      </c>
      <c r="B533" s="13" t="s">
        <v>2192</v>
      </c>
      <c r="C533" s="13" t="s">
        <v>2196</v>
      </c>
      <c r="D533" s="13" t="s">
        <v>2204</v>
      </c>
      <c r="F533" s="13" t="s">
        <v>2218</v>
      </c>
      <c r="G533" s="13">
        <v>78.040000000000006</v>
      </c>
      <c r="H533" s="13">
        <v>0</v>
      </c>
      <c r="I533" s="13">
        <v>78.040000000000006</v>
      </c>
      <c r="J533" s="24">
        <v>45756</v>
      </c>
      <c r="K533" s="13">
        <v>38</v>
      </c>
      <c r="L533" s="13">
        <v>4.9000000000000004</v>
      </c>
      <c r="M533" s="13" t="b">
        <v>0</v>
      </c>
      <c r="O533" s="13">
        <f t="shared" si="8"/>
        <v>4.9000000000000004</v>
      </c>
    </row>
    <row r="534" spans="1:15" x14ac:dyDescent="0.25">
      <c r="A534" s="13" t="s">
        <v>546</v>
      </c>
      <c r="B534" s="13" t="s">
        <v>2190</v>
      </c>
      <c r="C534" s="13" t="s">
        <v>2202</v>
      </c>
      <c r="D534" s="13" t="s">
        <v>2206</v>
      </c>
      <c r="E534" s="13" t="s">
        <v>2213</v>
      </c>
      <c r="F534" s="13" t="s">
        <v>2224</v>
      </c>
      <c r="G534" s="13">
        <v>169.82</v>
      </c>
      <c r="H534" s="13">
        <v>0</v>
      </c>
      <c r="I534" s="13">
        <v>169.82</v>
      </c>
      <c r="J534" s="24">
        <v>45875</v>
      </c>
      <c r="K534" s="13">
        <v>28</v>
      </c>
      <c r="L534" s="13">
        <v>4</v>
      </c>
      <c r="M534" s="13" t="b">
        <v>0</v>
      </c>
      <c r="O534" s="13">
        <f t="shared" si="8"/>
        <v>4</v>
      </c>
    </row>
    <row r="535" spans="1:15" x14ac:dyDescent="0.25">
      <c r="A535" s="13" t="s">
        <v>547</v>
      </c>
      <c r="B535" s="13" t="s">
        <v>2194</v>
      </c>
      <c r="C535" s="13" t="s">
        <v>2200</v>
      </c>
      <c r="D535" s="13" t="s">
        <v>2204</v>
      </c>
      <c r="E535" s="13" t="s">
        <v>2209</v>
      </c>
      <c r="F535" s="13" t="s">
        <v>2217</v>
      </c>
      <c r="G535" s="13">
        <v>94.71</v>
      </c>
      <c r="H535" s="13">
        <v>38.9</v>
      </c>
      <c r="I535" s="13">
        <v>57.87</v>
      </c>
      <c r="J535" s="24">
        <v>45520</v>
      </c>
      <c r="K535" s="13">
        <v>39</v>
      </c>
      <c r="L535" s="13">
        <v>4.7</v>
      </c>
      <c r="M535" s="13" t="b">
        <v>0</v>
      </c>
      <c r="O535" s="13">
        <f t="shared" si="8"/>
        <v>4.7</v>
      </c>
    </row>
    <row r="536" spans="1:15" x14ac:dyDescent="0.25">
      <c r="A536" s="13" t="s">
        <v>548</v>
      </c>
      <c r="B536" s="13" t="s">
        <v>2193</v>
      </c>
      <c r="C536" s="13" t="s">
        <v>2201</v>
      </c>
      <c r="D536" s="13" t="s">
        <v>2204</v>
      </c>
      <c r="E536" s="13" t="s">
        <v>2208</v>
      </c>
      <c r="F536" s="13" t="s">
        <v>2214</v>
      </c>
      <c r="G536" s="13">
        <v>112.6</v>
      </c>
      <c r="H536" s="13">
        <v>22</v>
      </c>
      <c r="I536" s="13">
        <v>87.83</v>
      </c>
      <c r="J536" s="24">
        <v>45860</v>
      </c>
      <c r="K536" s="13">
        <v>29</v>
      </c>
      <c r="L536" s="13">
        <v>2.1</v>
      </c>
      <c r="M536" s="13" t="b">
        <v>1</v>
      </c>
      <c r="N536" s="13" t="s">
        <v>2225</v>
      </c>
      <c r="O536" s="13">
        <f t="shared" si="8"/>
        <v>2.1</v>
      </c>
    </row>
    <row r="537" spans="1:15" x14ac:dyDescent="0.25">
      <c r="A537" s="13" t="s">
        <v>549</v>
      </c>
      <c r="B537" s="13" t="s">
        <v>2194</v>
      </c>
      <c r="C537" s="13" t="s">
        <v>2196</v>
      </c>
      <c r="D537" s="13" t="s">
        <v>2207</v>
      </c>
      <c r="E537" s="13" t="s">
        <v>2209</v>
      </c>
      <c r="F537" s="13" t="s">
        <v>2223</v>
      </c>
      <c r="G537" s="13">
        <v>104.16</v>
      </c>
      <c r="H537" s="13">
        <v>0</v>
      </c>
      <c r="I537" s="13">
        <v>104.16</v>
      </c>
      <c r="J537" s="24">
        <v>45875</v>
      </c>
      <c r="K537" s="13">
        <v>21</v>
      </c>
      <c r="L537" s="13">
        <v>1.6</v>
      </c>
      <c r="M537" s="13" t="b">
        <v>0</v>
      </c>
      <c r="O537" s="13">
        <f t="shared" si="8"/>
        <v>1.6</v>
      </c>
    </row>
    <row r="538" spans="1:15" x14ac:dyDescent="0.25">
      <c r="A538" s="13" t="s">
        <v>550</v>
      </c>
      <c r="B538" s="13" t="s">
        <v>2190</v>
      </c>
      <c r="C538" s="13" t="s">
        <v>2202</v>
      </c>
      <c r="D538" s="13" t="s">
        <v>2205</v>
      </c>
      <c r="E538" s="13" t="s">
        <v>2211</v>
      </c>
      <c r="F538" s="13" t="s">
        <v>2218</v>
      </c>
      <c r="G538" s="13">
        <v>174.86</v>
      </c>
      <c r="H538" s="13">
        <v>0</v>
      </c>
      <c r="I538" s="13">
        <v>174.86</v>
      </c>
      <c r="J538" s="24">
        <v>45875</v>
      </c>
      <c r="K538" s="13">
        <v>15</v>
      </c>
      <c r="L538" s="13">
        <v>1.7</v>
      </c>
      <c r="M538" s="13" t="b">
        <v>0</v>
      </c>
      <c r="O538" s="13">
        <f t="shared" si="8"/>
        <v>1.7</v>
      </c>
    </row>
    <row r="539" spans="1:15" x14ac:dyDescent="0.25">
      <c r="A539" s="13" t="s">
        <v>551</v>
      </c>
      <c r="B539" s="13" t="s">
        <v>2190</v>
      </c>
      <c r="C539" s="13" t="s">
        <v>2197</v>
      </c>
      <c r="D539" s="13" t="s">
        <v>2204</v>
      </c>
      <c r="E539" s="13" t="s">
        <v>2209</v>
      </c>
      <c r="F539" s="13" t="s">
        <v>2223</v>
      </c>
      <c r="G539" s="13">
        <v>217.89</v>
      </c>
      <c r="H539" s="13">
        <v>49.4</v>
      </c>
      <c r="I539" s="13">
        <v>110.25</v>
      </c>
      <c r="J539" s="24">
        <v>45623</v>
      </c>
      <c r="K539" s="13">
        <v>42</v>
      </c>
      <c r="L539" s="13">
        <v>2.9</v>
      </c>
      <c r="M539" s="13" t="b">
        <v>0</v>
      </c>
      <c r="O539" s="13">
        <f t="shared" si="8"/>
        <v>2.9</v>
      </c>
    </row>
    <row r="540" spans="1:15" x14ac:dyDescent="0.25">
      <c r="A540" s="13" t="s">
        <v>552</v>
      </c>
      <c r="B540" s="13" t="s">
        <v>2193</v>
      </c>
      <c r="C540" s="13" t="s">
        <v>2199</v>
      </c>
      <c r="D540" s="13" t="s">
        <v>2205</v>
      </c>
      <c r="E540" s="13" t="s">
        <v>2209</v>
      </c>
      <c r="F540" s="13" t="s">
        <v>2216</v>
      </c>
      <c r="G540" s="13">
        <v>123.14</v>
      </c>
      <c r="H540" s="13">
        <v>0</v>
      </c>
      <c r="I540" s="13">
        <v>123.14</v>
      </c>
      <c r="J540" s="24">
        <v>45875</v>
      </c>
      <c r="K540" s="13">
        <v>15</v>
      </c>
      <c r="L540" s="13">
        <v>1.8</v>
      </c>
      <c r="M540" s="13" t="b">
        <v>1</v>
      </c>
      <c r="N540" s="13" t="s">
        <v>2230</v>
      </c>
      <c r="O540" s="13">
        <f t="shared" si="8"/>
        <v>1.8</v>
      </c>
    </row>
    <row r="541" spans="1:15" x14ac:dyDescent="0.25">
      <c r="A541" s="13" t="s">
        <v>553</v>
      </c>
      <c r="B541" s="13" t="s">
        <v>2191</v>
      </c>
      <c r="C541" s="13" t="s">
        <v>2201</v>
      </c>
      <c r="D541" s="13" t="s">
        <v>2205</v>
      </c>
      <c r="E541" s="13" t="s">
        <v>2208</v>
      </c>
      <c r="F541" s="13" t="s">
        <v>2222</v>
      </c>
      <c r="G541" s="13">
        <v>103.96</v>
      </c>
      <c r="H541" s="13">
        <v>0</v>
      </c>
      <c r="I541" s="13">
        <v>103.96</v>
      </c>
      <c r="J541" s="24">
        <v>45875</v>
      </c>
      <c r="K541" s="13">
        <v>23</v>
      </c>
      <c r="L541" s="13">
        <v>3.3</v>
      </c>
      <c r="M541" s="13" t="b">
        <v>0</v>
      </c>
      <c r="O541" s="13">
        <f t="shared" si="8"/>
        <v>3.3</v>
      </c>
    </row>
    <row r="542" spans="1:15" x14ac:dyDescent="0.25">
      <c r="A542" s="13" t="s">
        <v>554</v>
      </c>
      <c r="B542" s="13" t="s">
        <v>2195</v>
      </c>
      <c r="C542" s="13" t="s">
        <v>2200</v>
      </c>
      <c r="D542" s="13" t="s">
        <v>2204</v>
      </c>
      <c r="E542" s="13" t="s">
        <v>2208</v>
      </c>
      <c r="F542" s="13" t="s">
        <v>2219</v>
      </c>
      <c r="G542" s="13">
        <v>138.44999999999999</v>
      </c>
      <c r="H542" s="13">
        <v>0</v>
      </c>
      <c r="I542" s="13">
        <v>138.44999999999999</v>
      </c>
      <c r="J542" s="24">
        <v>45744</v>
      </c>
      <c r="K542" s="13">
        <v>18</v>
      </c>
      <c r="L542" s="13">
        <v>3.3</v>
      </c>
      <c r="M542" s="13" t="b">
        <v>0</v>
      </c>
      <c r="O542" s="13">
        <f t="shared" si="8"/>
        <v>3.3</v>
      </c>
    </row>
    <row r="543" spans="1:15" x14ac:dyDescent="0.25">
      <c r="A543" s="13" t="s">
        <v>555</v>
      </c>
      <c r="B543" s="13" t="s">
        <v>2193</v>
      </c>
      <c r="C543" s="13" t="s">
        <v>2202</v>
      </c>
      <c r="D543" s="13" t="s">
        <v>2207</v>
      </c>
      <c r="E543" s="13" t="s">
        <v>2210</v>
      </c>
      <c r="F543" s="13" t="s">
        <v>2216</v>
      </c>
      <c r="G543" s="13">
        <v>165.1</v>
      </c>
      <c r="H543" s="13">
        <v>0</v>
      </c>
      <c r="I543" s="13">
        <v>165.1</v>
      </c>
      <c r="J543" s="24">
        <v>45875</v>
      </c>
      <c r="K543" s="13">
        <v>7</v>
      </c>
      <c r="M543" s="13" t="b">
        <v>0</v>
      </c>
      <c r="O543" s="13">
        <f t="shared" si="8"/>
        <v>2.9083333333333328</v>
      </c>
    </row>
    <row r="544" spans="1:15" x14ac:dyDescent="0.25">
      <c r="A544" s="13" t="s">
        <v>556</v>
      </c>
      <c r="B544" s="13" t="s">
        <v>2193</v>
      </c>
      <c r="C544" s="13" t="s">
        <v>2202</v>
      </c>
      <c r="D544" s="13" t="s">
        <v>2205</v>
      </c>
      <c r="E544" s="13" t="s">
        <v>2211</v>
      </c>
      <c r="F544" s="13" t="s">
        <v>2218</v>
      </c>
      <c r="G544" s="13">
        <v>147.25</v>
      </c>
      <c r="H544" s="13">
        <v>0</v>
      </c>
      <c r="I544" s="13">
        <v>147.25</v>
      </c>
      <c r="J544" s="24">
        <v>45875</v>
      </c>
      <c r="K544" s="13">
        <v>15</v>
      </c>
      <c r="L544" s="13">
        <v>2.7</v>
      </c>
      <c r="M544" s="13" t="b">
        <v>0</v>
      </c>
      <c r="O544" s="13">
        <f t="shared" si="8"/>
        <v>2.7</v>
      </c>
    </row>
    <row r="545" spans="1:15" x14ac:dyDescent="0.25">
      <c r="A545" s="13" t="s">
        <v>557</v>
      </c>
      <c r="B545" s="13" t="s">
        <v>2193</v>
      </c>
      <c r="C545" s="13" t="s">
        <v>2197</v>
      </c>
      <c r="D545" s="13" t="s">
        <v>2206</v>
      </c>
      <c r="E545" s="13" t="s">
        <v>2209</v>
      </c>
      <c r="F545" s="13" t="s">
        <v>2215</v>
      </c>
      <c r="G545" s="13">
        <v>126.23</v>
      </c>
      <c r="H545" s="13">
        <v>0</v>
      </c>
      <c r="I545" s="13">
        <v>126.23</v>
      </c>
      <c r="J545" s="24">
        <v>45875</v>
      </c>
      <c r="K545" s="13">
        <v>48</v>
      </c>
      <c r="L545" s="13">
        <v>2.1</v>
      </c>
      <c r="M545" s="13" t="b">
        <v>0</v>
      </c>
      <c r="O545" s="13">
        <f t="shared" si="8"/>
        <v>2.1</v>
      </c>
    </row>
    <row r="546" spans="1:15" x14ac:dyDescent="0.25">
      <c r="A546" s="13" t="s">
        <v>558</v>
      </c>
      <c r="B546" s="13" t="s">
        <v>2190</v>
      </c>
      <c r="C546" s="13" t="s">
        <v>2201</v>
      </c>
      <c r="D546" s="13" t="s">
        <v>2206</v>
      </c>
      <c r="E546" s="13" t="s">
        <v>2213</v>
      </c>
      <c r="F546" s="13" t="s">
        <v>2222</v>
      </c>
      <c r="G546" s="13">
        <v>229.04</v>
      </c>
      <c r="H546" s="13">
        <v>0</v>
      </c>
      <c r="I546" s="13">
        <v>229.04</v>
      </c>
      <c r="J546" s="24">
        <v>45875</v>
      </c>
      <c r="K546" s="13">
        <v>5</v>
      </c>
      <c r="L546" s="13">
        <v>4.5</v>
      </c>
      <c r="M546" s="13" t="b">
        <v>0</v>
      </c>
      <c r="O546" s="13">
        <f t="shared" si="8"/>
        <v>4.5</v>
      </c>
    </row>
    <row r="547" spans="1:15" x14ac:dyDescent="0.25">
      <c r="A547" s="13" t="s">
        <v>559</v>
      </c>
      <c r="B547" s="13" t="s">
        <v>2192</v>
      </c>
      <c r="C547" s="13" t="s">
        <v>2201</v>
      </c>
      <c r="D547" s="13" t="s">
        <v>2205</v>
      </c>
      <c r="F547" s="13" t="s">
        <v>2218</v>
      </c>
      <c r="G547" s="13">
        <v>38.65</v>
      </c>
      <c r="H547" s="13">
        <v>32.6</v>
      </c>
      <c r="I547" s="13">
        <v>26.05</v>
      </c>
      <c r="J547" s="24">
        <v>45875</v>
      </c>
      <c r="K547" s="13">
        <v>46</v>
      </c>
      <c r="L547" s="13">
        <v>1.1000000000000001</v>
      </c>
      <c r="M547" s="13" t="b">
        <v>0</v>
      </c>
      <c r="O547" s="13">
        <f t="shared" si="8"/>
        <v>1.1000000000000001</v>
      </c>
    </row>
    <row r="548" spans="1:15" x14ac:dyDescent="0.25">
      <c r="A548" s="13" t="s">
        <v>560</v>
      </c>
      <c r="B548" s="13" t="s">
        <v>2194</v>
      </c>
      <c r="C548" s="13" t="s">
        <v>2198</v>
      </c>
      <c r="D548" s="13" t="s">
        <v>2204</v>
      </c>
      <c r="E548" s="13" t="s">
        <v>2212</v>
      </c>
      <c r="F548" s="13" t="s">
        <v>2215</v>
      </c>
      <c r="G548" s="13">
        <v>80.819999999999993</v>
      </c>
      <c r="H548" s="13">
        <v>0</v>
      </c>
      <c r="I548" s="13">
        <v>80.819999999999993</v>
      </c>
      <c r="J548" s="24">
        <v>45699</v>
      </c>
      <c r="K548" s="13">
        <v>42</v>
      </c>
      <c r="M548" s="13" t="b">
        <v>0</v>
      </c>
      <c r="O548" s="13">
        <f t="shared" si="8"/>
        <v>3.0384615384615379</v>
      </c>
    </row>
    <row r="549" spans="1:15" x14ac:dyDescent="0.25">
      <c r="A549" s="13" t="s">
        <v>561</v>
      </c>
      <c r="B549" s="13" t="s">
        <v>2192</v>
      </c>
      <c r="C549" s="13" t="s">
        <v>2197</v>
      </c>
      <c r="D549" s="13" t="s">
        <v>2204</v>
      </c>
      <c r="F549" s="13" t="s">
        <v>2221</v>
      </c>
      <c r="G549" s="13">
        <v>56.44</v>
      </c>
      <c r="H549" s="13">
        <v>0</v>
      </c>
      <c r="I549" s="13">
        <v>56.44</v>
      </c>
      <c r="J549" s="24">
        <v>45734</v>
      </c>
      <c r="K549" s="13">
        <v>35</v>
      </c>
      <c r="L549" s="13">
        <v>4</v>
      </c>
      <c r="M549" s="13" t="b">
        <v>0</v>
      </c>
      <c r="O549" s="13">
        <f t="shared" si="8"/>
        <v>4</v>
      </c>
    </row>
    <row r="550" spans="1:15" x14ac:dyDescent="0.25">
      <c r="A550" s="13" t="s">
        <v>562</v>
      </c>
      <c r="B550" s="13" t="s">
        <v>2195</v>
      </c>
      <c r="C550" s="13" t="s">
        <v>2196</v>
      </c>
      <c r="D550" s="13" t="s">
        <v>2206</v>
      </c>
      <c r="E550" s="13" t="s">
        <v>2213</v>
      </c>
      <c r="F550" s="13" t="s">
        <v>2221</v>
      </c>
      <c r="G550" s="13">
        <v>121.3</v>
      </c>
      <c r="H550" s="13">
        <v>0</v>
      </c>
      <c r="I550" s="13">
        <v>121.3</v>
      </c>
      <c r="J550" s="24">
        <v>45875</v>
      </c>
      <c r="K550" s="13">
        <v>33</v>
      </c>
      <c r="L550" s="13">
        <v>2.2999999999999998</v>
      </c>
      <c r="M550" s="13" t="b">
        <v>0</v>
      </c>
      <c r="O550" s="13">
        <f t="shared" si="8"/>
        <v>2.2999999999999998</v>
      </c>
    </row>
    <row r="551" spans="1:15" x14ac:dyDescent="0.25">
      <c r="A551" s="13" t="s">
        <v>563</v>
      </c>
      <c r="B551" s="13" t="s">
        <v>2194</v>
      </c>
      <c r="C551" s="13" t="s">
        <v>2202</v>
      </c>
      <c r="D551" s="13" t="s">
        <v>2206</v>
      </c>
      <c r="F551" s="13" t="s">
        <v>2216</v>
      </c>
      <c r="G551" s="13">
        <v>101.98</v>
      </c>
      <c r="H551" s="13">
        <v>28.4</v>
      </c>
      <c r="I551" s="13">
        <v>73.02</v>
      </c>
      <c r="J551" s="24">
        <v>45875</v>
      </c>
      <c r="K551" s="13">
        <v>40</v>
      </c>
      <c r="L551" s="13">
        <v>4.5</v>
      </c>
      <c r="M551" s="13" t="b">
        <v>0</v>
      </c>
      <c r="O551" s="13">
        <f t="shared" si="8"/>
        <v>4.5</v>
      </c>
    </row>
    <row r="552" spans="1:15" x14ac:dyDescent="0.25">
      <c r="A552" s="13" t="s">
        <v>564</v>
      </c>
      <c r="B552" s="13" t="s">
        <v>2194</v>
      </c>
      <c r="C552" s="13" t="s">
        <v>2198</v>
      </c>
      <c r="D552" s="13" t="s">
        <v>2204</v>
      </c>
      <c r="E552" s="13" t="s">
        <v>2209</v>
      </c>
      <c r="F552" s="13" t="s">
        <v>2214</v>
      </c>
      <c r="G552" s="13">
        <v>89.99</v>
      </c>
      <c r="H552" s="13">
        <v>0</v>
      </c>
      <c r="I552" s="13">
        <v>89.99</v>
      </c>
      <c r="J552" s="24">
        <v>45716</v>
      </c>
      <c r="K552" s="13">
        <v>26</v>
      </c>
      <c r="L552" s="13">
        <v>4.0999999999999996</v>
      </c>
      <c r="M552" s="13" t="b">
        <v>0</v>
      </c>
      <c r="O552" s="13">
        <f t="shared" si="8"/>
        <v>4.0999999999999996</v>
      </c>
    </row>
    <row r="553" spans="1:15" x14ac:dyDescent="0.25">
      <c r="A553" s="13" t="s">
        <v>565</v>
      </c>
      <c r="B553" s="13" t="s">
        <v>2193</v>
      </c>
      <c r="C553" s="13" t="s">
        <v>2203</v>
      </c>
      <c r="D553" s="13" t="s">
        <v>2207</v>
      </c>
      <c r="E553" s="13" t="s">
        <v>2211</v>
      </c>
      <c r="F553" s="13" t="s">
        <v>2220</v>
      </c>
      <c r="G553" s="13">
        <v>64.31</v>
      </c>
      <c r="H553" s="13">
        <v>34.5</v>
      </c>
      <c r="I553" s="13">
        <v>42.12</v>
      </c>
      <c r="J553" s="24">
        <v>45875</v>
      </c>
      <c r="K553" s="13">
        <v>48</v>
      </c>
      <c r="L553" s="13">
        <v>4.5</v>
      </c>
      <c r="M553" s="13" t="b">
        <v>0</v>
      </c>
      <c r="O553" s="13">
        <f t="shared" si="8"/>
        <v>4.5</v>
      </c>
    </row>
    <row r="554" spans="1:15" x14ac:dyDescent="0.25">
      <c r="A554" s="13" t="s">
        <v>566</v>
      </c>
      <c r="B554" s="13" t="s">
        <v>2195</v>
      </c>
      <c r="C554" s="13" t="s">
        <v>2196</v>
      </c>
      <c r="D554" s="13" t="s">
        <v>2204</v>
      </c>
      <c r="E554" s="13" t="s">
        <v>2209</v>
      </c>
      <c r="F554" s="13" t="s">
        <v>2221</v>
      </c>
      <c r="G554" s="13">
        <v>168.92</v>
      </c>
      <c r="H554" s="13">
        <v>0</v>
      </c>
      <c r="I554" s="13">
        <v>168.92</v>
      </c>
      <c r="J554" s="24">
        <v>45852</v>
      </c>
      <c r="K554" s="13">
        <v>11</v>
      </c>
      <c r="L554" s="13">
        <v>4.4000000000000004</v>
      </c>
      <c r="M554" s="13" t="b">
        <v>0</v>
      </c>
      <c r="O554" s="13">
        <f t="shared" si="8"/>
        <v>4.4000000000000004</v>
      </c>
    </row>
    <row r="555" spans="1:15" x14ac:dyDescent="0.25">
      <c r="A555" s="13" t="s">
        <v>567</v>
      </c>
      <c r="B555" s="13" t="s">
        <v>2194</v>
      </c>
      <c r="C555" s="13" t="s">
        <v>2202</v>
      </c>
      <c r="D555" s="13" t="s">
        <v>2207</v>
      </c>
      <c r="E555" s="13" t="s">
        <v>2208</v>
      </c>
      <c r="F555" s="13" t="s">
        <v>2222</v>
      </c>
      <c r="G555" s="13">
        <v>86.46</v>
      </c>
      <c r="H555" s="13">
        <v>49.5</v>
      </c>
      <c r="I555" s="13">
        <v>43.66</v>
      </c>
      <c r="J555" s="24">
        <v>45875</v>
      </c>
      <c r="K555" s="13">
        <v>19</v>
      </c>
      <c r="L555" s="13">
        <v>4.3</v>
      </c>
      <c r="M555" s="13" t="b">
        <v>0</v>
      </c>
      <c r="O555" s="13">
        <f t="shared" si="8"/>
        <v>4.3</v>
      </c>
    </row>
    <row r="556" spans="1:15" x14ac:dyDescent="0.25">
      <c r="A556" s="13" t="s">
        <v>568</v>
      </c>
      <c r="B556" s="13" t="s">
        <v>2191</v>
      </c>
      <c r="C556" s="13" t="s">
        <v>2203</v>
      </c>
      <c r="D556" s="13" t="s">
        <v>2205</v>
      </c>
      <c r="E556" s="13" t="s">
        <v>2212</v>
      </c>
      <c r="F556" s="13" t="s">
        <v>2214</v>
      </c>
      <c r="G556" s="13">
        <v>36.840000000000003</v>
      </c>
      <c r="H556" s="13">
        <v>18.899999999999999</v>
      </c>
      <c r="I556" s="13">
        <v>29.88</v>
      </c>
      <c r="J556" s="24">
        <v>45875</v>
      </c>
      <c r="K556" s="13">
        <v>39</v>
      </c>
      <c r="L556" s="13">
        <v>1.2</v>
      </c>
      <c r="M556" s="13" t="b">
        <v>0</v>
      </c>
      <c r="O556" s="13">
        <f t="shared" si="8"/>
        <v>1.2</v>
      </c>
    </row>
    <row r="557" spans="1:15" x14ac:dyDescent="0.25">
      <c r="A557" s="13" t="s">
        <v>569</v>
      </c>
      <c r="B557" s="13" t="s">
        <v>2191</v>
      </c>
      <c r="C557" s="13" t="s">
        <v>2201</v>
      </c>
      <c r="D557" s="13" t="s">
        <v>2204</v>
      </c>
      <c r="E557" s="13" t="s">
        <v>2212</v>
      </c>
      <c r="F557" s="13" t="s">
        <v>2215</v>
      </c>
      <c r="G557" s="13">
        <v>38.5</v>
      </c>
      <c r="H557" s="13">
        <v>0</v>
      </c>
      <c r="I557" s="13">
        <v>38.5</v>
      </c>
      <c r="J557" s="24">
        <v>45722</v>
      </c>
      <c r="K557" s="13">
        <v>2</v>
      </c>
      <c r="L557" s="13">
        <v>3.2</v>
      </c>
      <c r="M557" s="13" t="b">
        <v>0</v>
      </c>
      <c r="O557" s="13">
        <f t="shared" si="8"/>
        <v>3.2</v>
      </c>
    </row>
    <row r="558" spans="1:15" x14ac:dyDescent="0.25">
      <c r="A558" s="13" t="s">
        <v>570</v>
      </c>
      <c r="B558" s="13" t="s">
        <v>2194</v>
      </c>
      <c r="C558" s="13" t="s">
        <v>2199</v>
      </c>
      <c r="D558" s="13" t="s">
        <v>2205</v>
      </c>
      <c r="F558" s="13" t="s">
        <v>2221</v>
      </c>
      <c r="G558" s="13">
        <v>68.02</v>
      </c>
      <c r="H558" s="13">
        <v>37.700000000000003</v>
      </c>
      <c r="I558" s="13">
        <v>42.38</v>
      </c>
      <c r="J558" s="24">
        <v>45875</v>
      </c>
      <c r="K558" s="13">
        <v>40</v>
      </c>
      <c r="L558" s="13">
        <v>2.1</v>
      </c>
      <c r="M558" s="13" t="b">
        <v>0</v>
      </c>
      <c r="O558" s="13">
        <f t="shared" si="8"/>
        <v>2.1</v>
      </c>
    </row>
    <row r="559" spans="1:15" x14ac:dyDescent="0.25">
      <c r="A559" s="13" t="s">
        <v>571</v>
      </c>
      <c r="B559" s="13" t="s">
        <v>2195</v>
      </c>
      <c r="C559" s="13" t="s">
        <v>2197</v>
      </c>
      <c r="D559" s="13" t="s">
        <v>2206</v>
      </c>
      <c r="E559" s="13" t="s">
        <v>2213</v>
      </c>
      <c r="F559" s="13" t="s">
        <v>2224</v>
      </c>
      <c r="G559" s="13">
        <v>117.23</v>
      </c>
      <c r="H559" s="13">
        <v>0</v>
      </c>
      <c r="I559" s="13">
        <v>117.23</v>
      </c>
      <c r="J559" s="24">
        <v>45875</v>
      </c>
      <c r="K559" s="13">
        <v>30</v>
      </c>
      <c r="M559" s="13" t="b">
        <v>1</v>
      </c>
      <c r="N559" s="13" t="s">
        <v>2229</v>
      </c>
      <c r="O559" s="13">
        <f t="shared" si="8"/>
        <v>3.1666666666666665</v>
      </c>
    </row>
    <row r="560" spans="1:15" x14ac:dyDescent="0.25">
      <c r="A560" s="13" t="s">
        <v>572</v>
      </c>
      <c r="B560" s="13" t="s">
        <v>2191</v>
      </c>
      <c r="C560" s="13" t="s">
        <v>2201</v>
      </c>
      <c r="D560" s="13" t="s">
        <v>2204</v>
      </c>
      <c r="E560" s="13" t="s">
        <v>2210</v>
      </c>
      <c r="F560" s="13" t="s">
        <v>2222</v>
      </c>
      <c r="G560" s="13">
        <v>79.33</v>
      </c>
      <c r="H560" s="13">
        <v>0</v>
      </c>
      <c r="I560" s="13">
        <v>79.33</v>
      </c>
      <c r="J560" s="24">
        <v>45687</v>
      </c>
      <c r="K560" s="13">
        <v>10</v>
      </c>
      <c r="L560" s="13">
        <v>3.4</v>
      </c>
      <c r="M560" s="13" t="b">
        <v>1</v>
      </c>
      <c r="N560" s="13" t="s">
        <v>2229</v>
      </c>
      <c r="O560" s="13">
        <f t="shared" si="8"/>
        <v>3.4</v>
      </c>
    </row>
    <row r="561" spans="1:15" x14ac:dyDescent="0.25">
      <c r="A561" s="13" t="s">
        <v>573</v>
      </c>
      <c r="B561" s="13" t="s">
        <v>2194</v>
      </c>
      <c r="C561" s="13" t="s">
        <v>2199</v>
      </c>
      <c r="D561" s="13" t="s">
        <v>2207</v>
      </c>
      <c r="E561" s="13" t="s">
        <v>2209</v>
      </c>
      <c r="F561" s="13" t="s">
        <v>2220</v>
      </c>
      <c r="G561" s="13">
        <v>75.819999999999993</v>
      </c>
      <c r="H561" s="13">
        <v>42.7</v>
      </c>
      <c r="I561" s="13">
        <v>43.44</v>
      </c>
      <c r="J561" s="24">
        <v>45875</v>
      </c>
      <c r="K561" s="13">
        <v>11</v>
      </c>
      <c r="L561" s="13">
        <v>2</v>
      </c>
      <c r="M561" s="13" t="b">
        <v>0</v>
      </c>
      <c r="O561" s="13">
        <f t="shared" si="8"/>
        <v>2</v>
      </c>
    </row>
    <row r="562" spans="1:15" x14ac:dyDescent="0.25">
      <c r="A562" s="13" t="s">
        <v>574</v>
      </c>
      <c r="B562" s="13" t="s">
        <v>2195</v>
      </c>
      <c r="C562" s="13" t="s">
        <v>2201</v>
      </c>
      <c r="D562" s="13" t="s">
        <v>2204</v>
      </c>
      <c r="E562" s="13" t="s">
        <v>2213</v>
      </c>
      <c r="F562" s="13" t="s">
        <v>2217</v>
      </c>
      <c r="G562" s="13">
        <v>141.41999999999999</v>
      </c>
      <c r="H562" s="13">
        <v>0</v>
      </c>
      <c r="I562" s="13">
        <v>141.41999999999999</v>
      </c>
      <c r="J562" s="24">
        <v>45741</v>
      </c>
      <c r="K562" s="13">
        <v>10</v>
      </c>
      <c r="L562" s="13">
        <v>2.5</v>
      </c>
      <c r="M562" s="13" t="b">
        <v>0</v>
      </c>
      <c r="O562" s="13">
        <f t="shared" si="8"/>
        <v>2.5</v>
      </c>
    </row>
    <row r="563" spans="1:15" x14ac:dyDescent="0.25">
      <c r="A563" s="13" t="s">
        <v>575</v>
      </c>
      <c r="B563" s="13" t="s">
        <v>2193</v>
      </c>
      <c r="C563" s="13" t="s">
        <v>2197</v>
      </c>
      <c r="D563" s="13" t="s">
        <v>2204</v>
      </c>
      <c r="E563" s="13" t="s">
        <v>2209</v>
      </c>
      <c r="F563" s="13" t="s">
        <v>2216</v>
      </c>
      <c r="G563" s="13">
        <v>124.2</v>
      </c>
      <c r="H563" s="13">
        <v>0</v>
      </c>
      <c r="I563" s="13">
        <v>124.2</v>
      </c>
      <c r="J563" s="24">
        <v>45532</v>
      </c>
      <c r="K563" s="13">
        <v>24</v>
      </c>
      <c r="L563" s="13">
        <v>1</v>
      </c>
      <c r="M563" s="13" t="b">
        <v>0</v>
      </c>
      <c r="O563" s="13">
        <f t="shared" si="8"/>
        <v>1</v>
      </c>
    </row>
    <row r="564" spans="1:15" x14ac:dyDescent="0.25">
      <c r="A564" s="13" t="s">
        <v>576</v>
      </c>
      <c r="B564" s="13" t="s">
        <v>2194</v>
      </c>
      <c r="C564" s="13" t="s">
        <v>2203</v>
      </c>
      <c r="D564" s="13" t="s">
        <v>2205</v>
      </c>
      <c r="E564" s="13" t="s">
        <v>2209</v>
      </c>
      <c r="F564" s="13" t="s">
        <v>2222</v>
      </c>
      <c r="G564" s="13">
        <v>48.42</v>
      </c>
      <c r="H564" s="13">
        <v>0</v>
      </c>
      <c r="I564" s="13">
        <v>48.42</v>
      </c>
      <c r="J564" s="24">
        <v>45875</v>
      </c>
      <c r="K564" s="13">
        <v>6</v>
      </c>
      <c r="L564" s="13">
        <v>4.3</v>
      </c>
      <c r="M564" s="13" t="b">
        <v>0</v>
      </c>
      <c r="O564" s="13">
        <f t="shared" si="8"/>
        <v>4.3</v>
      </c>
    </row>
    <row r="565" spans="1:15" x14ac:dyDescent="0.25">
      <c r="A565" s="13" t="s">
        <v>577</v>
      </c>
      <c r="B565" s="13" t="s">
        <v>2195</v>
      </c>
      <c r="C565" s="13" t="s">
        <v>2200</v>
      </c>
      <c r="D565" s="13" t="s">
        <v>2206</v>
      </c>
      <c r="E565" s="13" t="s">
        <v>2212</v>
      </c>
      <c r="F565" s="13" t="s">
        <v>2218</v>
      </c>
      <c r="G565" s="13">
        <v>119.4</v>
      </c>
      <c r="H565" s="13">
        <v>0</v>
      </c>
      <c r="I565" s="13">
        <v>119.4</v>
      </c>
      <c r="J565" s="24">
        <v>45875</v>
      </c>
      <c r="K565" s="13">
        <v>45</v>
      </c>
      <c r="L565" s="13">
        <v>4.2</v>
      </c>
      <c r="M565" s="13" t="b">
        <v>0</v>
      </c>
      <c r="O565" s="13">
        <f t="shared" si="8"/>
        <v>4.2</v>
      </c>
    </row>
    <row r="566" spans="1:15" x14ac:dyDescent="0.25">
      <c r="A566" s="13" t="s">
        <v>578</v>
      </c>
      <c r="B566" s="13" t="s">
        <v>2193</v>
      </c>
      <c r="C566" s="13" t="s">
        <v>2199</v>
      </c>
      <c r="D566" s="13" t="s">
        <v>2207</v>
      </c>
      <c r="E566" s="13" t="s">
        <v>2213</v>
      </c>
      <c r="F566" s="13" t="s">
        <v>2224</v>
      </c>
      <c r="G566" s="13">
        <v>186.07</v>
      </c>
      <c r="H566" s="13">
        <v>0</v>
      </c>
      <c r="I566" s="13">
        <v>186.07</v>
      </c>
      <c r="J566" s="24">
        <v>45875</v>
      </c>
      <c r="K566" s="13">
        <v>41</v>
      </c>
      <c r="L566" s="13">
        <v>2.6</v>
      </c>
      <c r="M566" s="13" t="b">
        <v>0</v>
      </c>
      <c r="O566" s="13">
        <f t="shared" si="8"/>
        <v>2.6</v>
      </c>
    </row>
    <row r="567" spans="1:15" x14ac:dyDescent="0.25">
      <c r="A567" s="13" t="s">
        <v>579</v>
      </c>
      <c r="B567" s="13" t="s">
        <v>2193</v>
      </c>
      <c r="C567" s="13" t="s">
        <v>2199</v>
      </c>
      <c r="D567" s="13" t="s">
        <v>2207</v>
      </c>
      <c r="E567" s="13" t="s">
        <v>2208</v>
      </c>
      <c r="F567" s="13" t="s">
        <v>2224</v>
      </c>
      <c r="G567" s="13">
        <v>109.46</v>
      </c>
      <c r="H567" s="13">
        <v>0</v>
      </c>
      <c r="I567" s="13">
        <v>109.46</v>
      </c>
      <c r="J567" s="24">
        <v>45875</v>
      </c>
      <c r="K567" s="13">
        <v>38</v>
      </c>
      <c r="L567" s="13">
        <v>4.0999999999999996</v>
      </c>
      <c r="M567" s="13" t="b">
        <v>0</v>
      </c>
      <c r="O567" s="13">
        <f t="shared" si="8"/>
        <v>4.0999999999999996</v>
      </c>
    </row>
    <row r="568" spans="1:15" x14ac:dyDescent="0.25">
      <c r="A568" s="13" t="s">
        <v>580</v>
      </c>
      <c r="B568" s="13" t="s">
        <v>2195</v>
      </c>
      <c r="C568" s="13" t="s">
        <v>2202</v>
      </c>
      <c r="D568" s="13" t="s">
        <v>2205</v>
      </c>
      <c r="E568" s="13" t="s">
        <v>2210</v>
      </c>
      <c r="F568" s="13" t="s">
        <v>2218</v>
      </c>
      <c r="G568" s="13">
        <v>116.18</v>
      </c>
      <c r="H568" s="13">
        <v>42.7</v>
      </c>
      <c r="I568" s="13">
        <v>66.569999999999993</v>
      </c>
      <c r="J568" s="24">
        <v>45875</v>
      </c>
      <c r="K568" s="13">
        <v>3</v>
      </c>
      <c r="L568" s="13">
        <v>3.5</v>
      </c>
      <c r="M568" s="13" t="b">
        <v>0</v>
      </c>
      <c r="O568" s="13">
        <f t="shared" si="8"/>
        <v>3.5</v>
      </c>
    </row>
    <row r="569" spans="1:15" x14ac:dyDescent="0.25">
      <c r="A569" s="13" t="s">
        <v>581</v>
      </c>
      <c r="B569" s="13" t="s">
        <v>2192</v>
      </c>
      <c r="C569" s="13" t="s">
        <v>2196</v>
      </c>
      <c r="D569" s="13" t="s">
        <v>2205</v>
      </c>
      <c r="F569" s="13" t="s">
        <v>2220</v>
      </c>
      <c r="G569" s="13">
        <v>41.29</v>
      </c>
      <c r="H569" s="13">
        <v>26.3</v>
      </c>
      <c r="I569" s="13">
        <v>30.43</v>
      </c>
      <c r="J569" s="24">
        <v>45875</v>
      </c>
      <c r="K569" s="13">
        <v>5</v>
      </c>
      <c r="L569" s="13">
        <v>4.7</v>
      </c>
      <c r="M569" s="13" t="b">
        <v>0</v>
      </c>
      <c r="O569" s="13">
        <f t="shared" si="8"/>
        <v>4.7</v>
      </c>
    </row>
    <row r="570" spans="1:15" x14ac:dyDescent="0.25">
      <c r="A570" s="13" t="s">
        <v>582</v>
      </c>
      <c r="B570" s="13" t="s">
        <v>2191</v>
      </c>
      <c r="C570" s="13" t="s">
        <v>2197</v>
      </c>
      <c r="D570" s="13" t="s">
        <v>2205</v>
      </c>
      <c r="E570" s="13" t="s">
        <v>2210</v>
      </c>
      <c r="F570" s="13" t="s">
        <v>2220</v>
      </c>
      <c r="G570" s="13">
        <v>94.68</v>
      </c>
      <c r="H570" s="13">
        <v>45</v>
      </c>
      <c r="I570" s="13">
        <v>52.07</v>
      </c>
      <c r="J570" s="24">
        <v>45875</v>
      </c>
      <c r="K570" s="13">
        <v>47</v>
      </c>
      <c r="L570" s="13">
        <v>2.6</v>
      </c>
      <c r="M570" s="13" t="b">
        <v>0</v>
      </c>
      <c r="O570" s="13">
        <f t="shared" si="8"/>
        <v>2.6</v>
      </c>
    </row>
    <row r="571" spans="1:15" x14ac:dyDescent="0.25">
      <c r="A571" s="13" t="s">
        <v>583</v>
      </c>
      <c r="B571" s="13" t="s">
        <v>2192</v>
      </c>
      <c r="C571" s="13" t="s">
        <v>2196</v>
      </c>
      <c r="D571" s="13" t="s">
        <v>2204</v>
      </c>
      <c r="F571" s="13" t="s">
        <v>2217</v>
      </c>
      <c r="G571" s="13">
        <v>48.55</v>
      </c>
      <c r="H571" s="13">
        <v>32.700000000000003</v>
      </c>
      <c r="I571" s="13">
        <v>32.67</v>
      </c>
      <c r="J571" s="24">
        <v>45566</v>
      </c>
      <c r="K571" s="13">
        <v>39</v>
      </c>
      <c r="L571" s="13">
        <v>2.8</v>
      </c>
      <c r="M571" s="13" t="b">
        <v>0</v>
      </c>
      <c r="O571" s="13">
        <f t="shared" si="8"/>
        <v>2.8</v>
      </c>
    </row>
    <row r="572" spans="1:15" x14ac:dyDescent="0.25">
      <c r="A572" s="13" t="s">
        <v>584</v>
      </c>
      <c r="B572" s="13" t="s">
        <v>2191</v>
      </c>
      <c r="C572" s="13" t="s">
        <v>2202</v>
      </c>
      <c r="D572" s="13" t="s">
        <v>2207</v>
      </c>
      <c r="E572" s="13" t="s">
        <v>2213</v>
      </c>
      <c r="F572" s="13" t="s">
        <v>2223</v>
      </c>
      <c r="G572" s="13">
        <v>75.22</v>
      </c>
      <c r="H572" s="13">
        <v>0</v>
      </c>
      <c r="I572" s="13">
        <v>75.22</v>
      </c>
      <c r="J572" s="24">
        <v>45875</v>
      </c>
      <c r="K572" s="13">
        <v>22</v>
      </c>
      <c r="L572" s="13">
        <v>2.1</v>
      </c>
      <c r="M572" s="13" t="b">
        <v>1</v>
      </c>
      <c r="N572" s="13" t="s">
        <v>2226</v>
      </c>
      <c r="O572" s="13">
        <f t="shared" si="8"/>
        <v>2.1</v>
      </c>
    </row>
    <row r="573" spans="1:15" x14ac:dyDescent="0.25">
      <c r="A573" s="13" t="s">
        <v>585</v>
      </c>
      <c r="B573" s="13" t="s">
        <v>2193</v>
      </c>
      <c r="C573" s="13" t="s">
        <v>2200</v>
      </c>
      <c r="D573" s="13" t="s">
        <v>2207</v>
      </c>
      <c r="E573" s="13" t="s">
        <v>2212</v>
      </c>
      <c r="F573" s="13" t="s">
        <v>2217</v>
      </c>
      <c r="G573" s="13">
        <v>98.95</v>
      </c>
      <c r="H573" s="13">
        <v>30.3</v>
      </c>
      <c r="I573" s="13">
        <v>68.97</v>
      </c>
      <c r="J573" s="24">
        <v>45875</v>
      </c>
      <c r="K573" s="13">
        <v>16</v>
      </c>
      <c r="M573" s="13" t="b">
        <v>0</v>
      </c>
      <c r="O573" s="13">
        <f t="shared" si="8"/>
        <v>3.3021276595744684</v>
      </c>
    </row>
    <row r="574" spans="1:15" x14ac:dyDescent="0.25">
      <c r="A574" s="13" t="s">
        <v>586</v>
      </c>
      <c r="B574" s="13" t="s">
        <v>2191</v>
      </c>
      <c r="C574" s="13" t="s">
        <v>2200</v>
      </c>
      <c r="D574" s="13" t="s">
        <v>2204</v>
      </c>
      <c r="E574" s="13" t="s">
        <v>2208</v>
      </c>
      <c r="F574" s="13" t="s">
        <v>2224</v>
      </c>
      <c r="G574" s="13">
        <v>39.56</v>
      </c>
      <c r="H574" s="13">
        <v>0</v>
      </c>
      <c r="I574" s="13">
        <v>39.56</v>
      </c>
      <c r="J574" s="24">
        <v>45678</v>
      </c>
      <c r="K574" s="13">
        <v>15</v>
      </c>
      <c r="M574" s="13" t="b">
        <v>0</v>
      </c>
      <c r="O574" s="13">
        <f t="shared" si="8"/>
        <v>2.9657142857142857</v>
      </c>
    </row>
    <row r="575" spans="1:15" x14ac:dyDescent="0.25">
      <c r="A575" s="13" t="s">
        <v>587</v>
      </c>
      <c r="B575" s="13" t="s">
        <v>2190</v>
      </c>
      <c r="C575" s="13" t="s">
        <v>2197</v>
      </c>
      <c r="D575" s="13" t="s">
        <v>2205</v>
      </c>
      <c r="E575" s="13" t="s">
        <v>2210</v>
      </c>
      <c r="F575" s="13" t="s">
        <v>2217</v>
      </c>
      <c r="G575" s="13">
        <v>153.88</v>
      </c>
      <c r="H575" s="13">
        <v>0</v>
      </c>
      <c r="I575" s="13">
        <v>153.88</v>
      </c>
      <c r="J575" s="24">
        <v>45875</v>
      </c>
      <c r="K575" s="13">
        <v>42</v>
      </c>
      <c r="L575" s="13">
        <v>2.2000000000000002</v>
      </c>
      <c r="M575" s="13" t="b">
        <v>0</v>
      </c>
      <c r="O575" s="13">
        <f t="shared" si="8"/>
        <v>2.2000000000000002</v>
      </c>
    </row>
    <row r="576" spans="1:15" x14ac:dyDescent="0.25">
      <c r="A576" s="13" t="s">
        <v>588</v>
      </c>
      <c r="B576" s="13" t="s">
        <v>2192</v>
      </c>
      <c r="C576" s="13" t="s">
        <v>2201</v>
      </c>
      <c r="D576" s="13" t="s">
        <v>2207</v>
      </c>
      <c r="F576" s="13" t="s">
        <v>2221</v>
      </c>
      <c r="G576" s="13">
        <v>68.87</v>
      </c>
      <c r="H576" s="13">
        <v>0</v>
      </c>
      <c r="I576" s="13">
        <v>68.87</v>
      </c>
      <c r="J576" s="24">
        <v>45875</v>
      </c>
      <c r="K576" s="13">
        <v>9</v>
      </c>
      <c r="L576" s="13">
        <v>1.1000000000000001</v>
      </c>
      <c r="M576" s="13" t="b">
        <v>0</v>
      </c>
      <c r="O576" s="13">
        <f t="shared" si="8"/>
        <v>1.1000000000000001</v>
      </c>
    </row>
    <row r="577" spans="1:15" x14ac:dyDescent="0.25">
      <c r="A577" s="13" t="s">
        <v>589</v>
      </c>
      <c r="B577" s="13" t="s">
        <v>2194</v>
      </c>
      <c r="C577" s="13" t="s">
        <v>2201</v>
      </c>
      <c r="D577" s="13" t="s">
        <v>2206</v>
      </c>
      <c r="E577" s="13" t="s">
        <v>2213</v>
      </c>
      <c r="F577" s="13" t="s">
        <v>2215</v>
      </c>
      <c r="G577" s="13">
        <v>25.56</v>
      </c>
      <c r="H577" s="13">
        <v>38.9</v>
      </c>
      <c r="I577" s="13">
        <v>15.62</v>
      </c>
      <c r="J577" s="24">
        <v>45875</v>
      </c>
      <c r="K577" s="13">
        <v>48</v>
      </c>
      <c r="M577" s="13" t="b">
        <v>0</v>
      </c>
      <c r="O577" s="13">
        <f t="shared" si="8"/>
        <v>3.0575757575757576</v>
      </c>
    </row>
    <row r="578" spans="1:15" x14ac:dyDescent="0.25">
      <c r="A578" s="13" t="s">
        <v>590</v>
      </c>
      <c r="B578" s="13" t="s">
        <v>2190</v>
      </c>
      <c r="C578" s="13" t="s">
        <v>2200</v>
      </c>
      <c r="D578" s="13" t="s">
        <v>2206</v>
      </c>
      <c r="E578" s="13" t="s">
        <v>2211</v>
      </c>
      <c r="F578" s="13" t="s">
        <v>2217</v>
      </c>
      <c r="G578" s="13">
        <v>246.49</v>
      </c>
      <c r="H578" s="13">
        <v>0</v>
      </c>
      <c r="I578" s="13">
        <v>246.49</v>
      </c>
      <c r="J578" s="24">
        <v>45875</v>
      </c>
      <c r="K578" s="13">
        <v>20</v>
      </c>
      <c r="L578" s="13">
        <v>4.8</v>
      </c>
      <c r="M578" s="13" t="b">
        <v>0</v>
      </c>
      <c r="O578" s="13">
        <f t="shared" si="8"/>
        <v>4.8</v>
      </c>
    </row>
    <row r="579" spans="1:15" x14ac:dyDescent="0.25">
      <c r="A579" s="13" t="s">
        <v>591</v>
      </c>
      <c r="B579" s="13" t="s">
        <v>2192</v>
      </c>
      <c r="C579" s="13" t="s">
        <v>2200</v>
      </c>
      <c r="D579" s="13" t="s">
        <v>2206</v>
      </c>
      <c r="F579" s="13" t="s">
        <v>2220</v>
      </c>
      <c r="G579" s="13">
        <v>52.41</v>
      </c>
      <c r="H579" s="13">
        <v>0</v>
      </c>
      <c r="I579" s="13">
        <v>52.41</v>
      </c>
      <c r="J579" s="24">
        <v>45875</v>
      </c>
      <c r="K579" s="13">
        <v>14</v>
      </c>
      <c r="M579" s="13" t="b">
        <v>0</v>
      </c>
      <c r="O579" s="13">
        <f t="shared" ref="O579:O642" si="9">IF(L579="",AVERAGEIFS($L$2:$L$2177,$B$2:$B$2177,B579,$C$2:$C$2177,C579),L579)</f>
        <v>2.7333333333333334</v>
      </c>
    </row>
    <row r="580" spans="1:15" x14ac:dyDescent="0.25">
      <c r="A580" s="13" t="s">
        <v>592</v>
      </c>
      <c r="B580" s="13" t="s">
        <v>2191</v>
      </c>
      <c r="C580" s="13" t="s">
        <v>2196</v>
      </c>
      <c r="D580" s="13" t="s">
        <v>2207</v>
      </c>
      <c r="E580" s="13" t="s">
        <v>2213</v>
      </c>
      <c r="F580" s="13" t="s">
        <v>2222</v>
      </c>
      <c r="G580" s="13">
        <v>33.770000000000003</v>
      </c>
      <c r="H580" s="13">
        <v>0</v>
      </c>
      <c r="I580" s="13">
        <v>33.770000000000003</v>
      </c>
      <c r="J580" s="24">
        <v>45875</v>
      </c>
      <c r="K580" s="13">
        <v>12</v>
      </c>
      <c r="L580" s="13">
        <v>3.8</v>
      </c>
      <c r="M580" s="13" t="b">
        <v>0</v>
      </c>
      <c r="O580" s="13">
        <f t="shared" si="9"/>
        <v>3.8</v>
      </c>
    </row>
    <row r="581" spans="1:15" x14ac:dyDescent="0.25">
      <c r="A581" s="13" t="s">
        <v>593</v>
      </c>
      <c r="B581" s="13" t="s">
        <v>2193</v>
      </c>
      <c r="C581" s="13" t="s">
        <v>2200</v>
      </c>
      <c r="D581" s="13" t="s">
        <v>2207</v>
      </c>
      <c r="E581" s="13" t="s">
        <v>2213</v>
      </c>
      <c r="F581" s="13" t="s">
        <v>2215</v>
      </c>
      <c r="G581" s="13">
        <v>96.7</v>
      </c>
      <c r="H581" s="13">
        <v>0</v>
      </c>
      <c r="I581" s="13">
        <v>96.7</v>
      </c>
      <c r="J581" s="24">
        <v>45875</v>
      </c>
      <c r="K581" s="13">
        <v>28</v>
      </c>
      <c r="L581" s="13">
        <v>3</v>
      </c>
      <c r="M581" s="13" t="b">
        <v>0</v>
      </c>
      <c r="O581" s="13">
        <f t="shared" si="9"/>
        <v>3</v>
      </c>
    </row>
    <row r="582" spans="1:15" x14ac:dyDescent="0.25">
      <c r="A582" s="13" t="s">
        <v>594</v>
      </c>
      <c r="B582" s="13" t="s">
        <v>2195</v>
      </c>
      <c r="C582" s="13" t="s">
        <v>2200</v>
      </c>
      <c r="D582" s="13" t="s">
        <v>2204</v>
      </c>
      <c r="E582" s="13" t="s">
        <v>2213</v>
      </c>
      <c r="F582" s="13" t="s">
        <v>2214</v>
      </c>
      <c r="G582" s="13">
        <v>95.81</v>
      </c>
      <c r="H582" s="13">
        <v>0</v>
      </c>
      <c r="I582" s="13">
        <v>95.81</v>
      </c>
      <c r="J582" s="24">
        <v>45786</v>
      </c>
      <c r="K582" s="13">
        <v>47</v>
      </c>
      <c r="L582" s="13">
        <v>4.9000000000000004</v>
      </c>
      <c r="M582" s="13" t="b">
        <v>0</v>
      </c>
      <c r="O582" s="13">
        <f t="shared" si="9"/>
        <v>4.9000000000000004</v>
      </c>
    </row>
    <row r="583" spans="1:15" x14ac:dyDescent="0.25">
      <c r="A583" s="13" t="s">
        <v>595</v>
      </c>
      <c r="B583" s="13" t="s">
        <v>2191</v>
      </c>
      <c r="C583" s="13" t="s">
        <v>2202</v>
      </c>
      <c r="D583" s="13" t="s">
        <v>2206</v>
      </c>
      <c r="E583" s="13" t="s">
        <v>2213</v>
      </c>
      <c r="F583" s="13" t="s">
        <v>2224</v>
      </c>
      <c r="G583" s="13">
        <v>41.58</v>
      </c>
      <c r="H583" s="13">
        <v>0</v>
      </c>
      <c r="I583" s="13">
        <v>41.58</v>
      </c>
      <c r="J583" s="24">
        <v>45875</v>
      </c>
      <c r="K583" s="13">
        <v>3</v>
      </c>
      <c r="L583" s="13">
        <v>1.6</v>
      </c>
      <c r="M583" s="13" t="b">
        <v>0</v>
      </c>
      <c r="O583" s="13">
        <f t="shared" si="9"/>
        <v>1.6</v>
      </c>
    </row>
    <row r="584" spans="1:15" x14ac:dyDescent="0.25">
      <c r="A584" s="13" t="s">
        <v>596</v>
      </c>
      <c r="B584" s="13" t="s">
        <v>2191</v>
      </c>
      <c r="C584" s="13" t="s">
        <v>2197</v>
      </c>
      <c r="D584" s="13" t="s">
        <v>2207</v>
      </c>
      <c r="E584" s="13" t="s">
        <v>2208</v>
      </c>
      <c r="F584" s="13" t="s">
        <v>2218</v>
      </c>
      <c r="G584" s="13">
        <v>46.67</v>
      </c>
      <c r="H584" s="13">
        <v>6.6</v>
      </c>
      <c r="I584" s="13">
        <v>43.59</v>
      </c>
      <c r="J584" s="24">
        <v>45875</v>
      </c>
      <c r="K584" s="13">
        <v>35</v>
      </c>
      <c r="L584" s="13">
        <v>1.3</v>
      </c>
      <c r="M584" s="13" t="b">
        <v>1</v>
      </c>
      <c r="N584" s="13" t="s">
        <v>2228</v>
      </c>
      <c r="O584" s="13">
        <f t="shared" si="9"/>
        <v>1.3</v>
      </c>
    </row>
    <row r="585" spans="1:15" x14ac:dyDescent="0.25">
      <c r="A585" s="13" t="s">
        <v>597</v>
      </c>
      <c r="B585" s="13" t="s">
        <v>2194</v>
      </c>
      <c r="C585" s="13" t="s">
        <v>2196</v>
      </c>
      <c r="D585" s="13" t="s">
        <v>2205</v>
      </c>
      <c r="E585" s="13" t="s">
        <v>2209</v>
      </c>
      <c r="F585" s="13" t="s">
        <v>2221</v>
      </c>
      <c r="G585" s="13">
        <v>25.98</v>
      </c>
      <c r="H585" s="13">
        <v>59.4</v>
      </c>
      <c r="I585" s="13">
        <v>10.55</v>
      </c>
      <c r="J585" s="24">
        <v>45875</v>
      </c>
      <c r="K585" s="13">
        <v>40</v>
      </c>
      <c r="M585" s="13" t="b">
        <v>0</v>
      </c>
      <c r="O585" s="13">
        <f t="shared" si="9"/>
        <v>2.9210526315789478</v>
      </c>
    </row>
    <row r="586" spans="1:15" x14ac:dyDescent="0.25">
      <c r="A586" s="13" t="s">
        <v>598</v>
      </c>
      <c r="B586" s="13" t="s">
        <v>2190</v>
      </c>
      <c r="C586" s="13" t="s">
        <v>2197</v>
      </c>
      <c r="D586" s="13" t="s">
        <v>2207</v>
      </c>
      <c r="E586" s="13" t="s">
        <v>2209</v>
      </c>
      <c r="F586" s="13" t="s">
        <v>2221</v>
      </c>
      <c r="G586" s="13">
        <v>204.82</v>
      </c>
      <c r="H586" s="13">
        <v>14</v>
      </c>
      <c r="I586" s="13">
        <v>176.15</v>
      </c>
      <c r="J586" s="24">
        <v>45875</v>
      </c>
      <c r="K586" s="13">
        <v>27</v>
      </c>
      <c r="L586" s="13">
        <v>3.8</v>
      </c>
      <c r="M586" s="13" t="b">
        <v>0</v>
      </c>
      <c r="O586" s="13">
        <f t="shared" si="9"/>
        <v>3.8</v>
      </c>
    </row>
    <row r="587" spans="1:15" x14ac:dyDescent="0.25">
      <c r="A587" s="13" t="s">
        <v>599</v>
      </c>
      <c r="B587" s="13" t="s">
        <v>2191</v>
      </c>
      <c r="C587" s="13" t="s">
        <v>2196</v>
      </c>
      <c r="D587" s="13" t="s">
        <v>2205</v>
      </c>
      <c r="E587" s="13" t="s">
        <v>2211</v>
      </c>
      <c r="F587" s="13" t="s">
        <v>2215</v>
      </c>
      <c r="G587" s="13">
        <v>43.43</v>
      </c>
      <c r="H587" s="13">
        <v>47.1</v>
      </c>
      <c r="I587" s="13">
        <v>22.97</v>
      </c>
      <c r="J587" s="24">
        <v>45875</v>
      </c>
      <c r="K587" s="13">
        <v>44</v>
      </c>
      <c r="L587" s="13">
        <v>4.7</v>
      </c>
      <c r="M587" s="13" t="b">
        <v>0</v>
      </c>
      <c r="O587" s="13">
        <f t="shared" si="9"/>
        <v>4.7</v>
      </c>
    </row>
    <row r="588" spans="1:15" x14ac:dyDescent="0.25">
      <c r="A588" s="13" t="s">
        <v>600</v>
      </c>
      <c r="B588" s="13" t="s">
        <v>2192</v>
      </c>
      <c r="C588" s="13" t="s">
        <v>2200</v>
      </c>
      <c r="D588" s="13" t="s">
        <v>2207</v>
      </c>
      <c r="F588" s="13" t="s">
        <v>2219</v>
      </c>
      <c r="G588" s="13">
        <v>40.5</v>
      </c>
      <c r="H588" s="13">
        <v>40.5</v>
      </c>
      <c r="I588" s="13">
        <v>24.1</v>
      </c>
      <c r="J588" s="24">
        <v>45875</v>
      </c>
      <c r="K588" s="13">
        <v>25</v>
      </c>
      <c r="L588" s="13">
        <v>2.9</v>
      </c>
      <c r="M588" s="13" t="b">
        <v>0</v>
      </c>
      <c r="O588" s="13">
        <f t="shared" si="9"/>
        <v>2.9</v>
      </c>
    </row>
    <row r="589" spans="1:15" x14ac:dyDescent="0.25">
      <c r="A589" s="13" t="s">
        <v>601</v>
      </c>
      <c r="B589" s="13" t="s">
        <v>2194</v>
      </c>
      <c r="C589" s="13" t="s">
        <v>2203</v>
      </c>
      <c r="D589" s="13" t="s">
        <v>2205</v>
      </c>
      <c r="E589" s="13" t="s">
        <v>2213</v>
      </c>
      <c r="F589" s="13" t="s">
        <v>2214</v>
      </c>
      <c r="G589" s="13">
        <v>73.59</v>
      </c>
      <c r="H589" s="13">
        <v>16.600000000000001</v>
      </c>
      <c r="I589" s="13">
        <v>61.37</v>
      </c>
      <c r="J589" s="24">
        <v>45875</v>
      </c>
      <c r="K589" s="13">
        <v>34</v>
      </c>
      <c r="L589" s="13">
        <v>4</v>
      </c>
      <c r="M589" s="13" t="b">
        <v>0</v>
      </c>
      <c r="O589" s="13">
        <f t="shared" si="9"/>
        <v>4</v>
      </c>
    </row>
    <row r="590" spans="1:15" x14ac:dyDescent="0.25">
      <c r="A590" s="13" t="s">
        <v>602</v>
      </c>
      <c r="B590" s="13" t="s">
        <v>2192</v>
      </c>
      <c r="C590" s="13" t="s">
        <v>2201</v>
      </c>
      <c r="D590" s="13" t="s">
        <v>2207</v>
      </c>
      <c r="F590" s="13" t="s">
        <v>2222</v>
      </c>
      <c r="G590" s="13">
        <v>17.670000000000002</v>
      </c>
      <c r="H590" s="13">
        <v>0</v>
      </c>
      <c r="I590" s="13">
        <v>17.670000000000002</v>
      </c>
      <c r="J590" s="24">
        <v>45875</v>
      </c>
      <c r="K590" s="13">
        <v>29</v>
      </c>
      <c r="L590" s="13">
        <v>4.3</v>
      </c>
      <c r="M590" s="13" t="b">
        <v>0</v>
      </c>
      <c r="O590" s="13">
        <f t="shared" si="9"/>
        <v>4.3</v>
      </c>
    </row>
    <row r="591" spans="1:15" x14ac:dyDescent="0.25">
      <c r="A591" s="13" t="s">
        <v>603</v>
      </c>
      <c r="B591" s="13" t="s">
        <v>2195</v>
      </c>
      <c r="C591" s="13" t="s">
        <v>2202</v>
      </c>
      <c r="D591" s="13" t="s">
        <v>2205</v>
      </c>
      <c r="E591" s="13" t="s">
        <v>2210</v>
      </c>
      <c r="F591" s="13" t="s">
        <v>2220</v>
      </c>
      <c r="G591" s="13">
        <v>70.010000000000005</v>
      </c>
      <c r="H591" s="13">
        <v>28</v>
      </c>
      <c r="I591" s="13">
        <v>50.41</v>
      </c>
      <c r="J591" s="24">
        <v>45875</v>
      </c>
      <c r="K591" s="13">
        <v>23</v>
      </c>
      <c r="M591" s="13" t="b">
        <v>0</v>
      </c>
      <c r="O591" s="13">
        <f t="shared" si="9"/>
        <v>2.980952380952381</v>
      </c>
    </row>
    <row r="592" spans="1:15" x14ac:dyDescent="0.25">
      <c r="A592" s="13" t="s">
        <v>604</v>
      </c>
      <c r="B592" s="13" t="s">
        <v>2193</v>
      </c>
      <c r="C592" s="13" t="s">
        <v>2199</v>
      </c>
      <c r="D592" s="13" t="s">
        <v>2206</v>
      </c>
      <c r="E592" s="13" t="s">
        <v>2212</v>
      </c>
      <c r="F592" s="13" t="s">
        <v>2214</v>
      </c>
      <c r="G592" s="13">
        <v>79.319999999999993</v>
      </c>
      <c r="H592" s="13">
        <v>33.700000000000003</v>
      </c>
      <c r="I592" s="13">
        <v>52.59</v>
      </c>
      <c r="J592" s="24">
        <v>45875</v>
      </c>
      <c r="K592" s="13">
        <v>38</v>
      </c>
      <c r="L592" s="13">
        <v>3</v>
      </c>
      <c r="M592" s="13" t="b">
        <v>1</v>
      </c>
      <c r="N592" s="13" t="s">
        <v>2226</v>
      </c>
      <c r="O592" s="13">
        <f t="shared" si="9"/>
        <v>3</v>
      </c>
    </row>
    <row r="593" spans="1:15" x14ac:dyDescent="0.25">
      <c r="A593" s="13" t="s">
        <v>605</v>
      </c>
      <c r="B593" s="13" t="s">
        <v>2192</v>
      </c>
      <c r="C593" s="13" t="s">
        <v>2196</v>
      </c>
      <c r="D593" s="13" t="s">
        <v>2207</v>
      </c>
      <c r="F593" s="13" t="s">
        <v>2221</v>
      </c>
      <c r="G593" s="13">
        <v>45.24</v>
      </c>
      <c r="H593" s="13">
        <v>0</v>
      </c>
      <c r="I593" s="13">
        <v>45.24</v>
      </c>
      <c r="J593" s="24">
        <v>45875</v>
      </c>
      <c r="K593" s="13">
        <v>20</v>
      </c>
      <c r="L593" s="13">
        <v>3</v>
      </c>
      <c r="M593" s="13" t="b">
        <v>1</v>
      </c>
      <c r="N593" s="13" t="s">
        <v>2228</v>
      </c>
      <c r="O593" s="13">
        <f t="shared" si="9"/>
        <v>3</v>
      </c>
    </row>
    <row r="594" spans="1:15" x14ac:dyDescent="0.25">
      <c r="A594" s="13" t="s">
        <v>606</v>
      </c>
      <c r="B594" s="13" t="s">
        <v>2191</v>
      </c>
      <c r="C594" s="13" t="s">
        <v>2200</v>
      </c>
      <c r="D594" s="13" t="s">
        <v>2207</v>
      </c>
      <c r="E594" s="13" t="s">
        <v>2211</v>
      </c>
      <c r="F594" s="13" t="s">
        <v>2214</v>
      </c>
      <c r="G594" s="13">
        <v>63.51</v>
      </c>
      <c r="H594" s="13">
        <v>13.6</v>
      </c>
      <c r="I594" s="13">
        <v>54.87</v>
      </c>
      <c r="J594" s="24">
        <v>45875</v>
      </c>
      <c r="K594" s="13">
        <v>19</v>
      </c>
      <c r="M594" s="13" t="b">
        <v>0</v>
      </c>
      <c r="O594" s="13">
        <f t="shared" si="9"/>
        <v>2.9657142857142857</v>
      </c>
    </row>
    <row r="595" spans="1:15" x14ac:dyDescent="0.25">
      <c r="A595" s="13" t="s">
        <v>607</v>
      </c>
      <c r="B595" s="13" t="s">
        <v>2194</v>
      </c>
      <c r="C595" s="13" t="s">
        <v>2201</v>
      </c>
      <c r="D595" s="13" t="s">
        <v>2205</v>
      </c>
      <c r="E595" s="13" t="s">
        <v>2211</v>
      </c>
      <c r="F595" s="13" t="s">
        <v>2217</v>
      </c>
      <c r="G595" s="13">
        <v>55.23</v>
      </c>
      <c r="H595" s="13">
        <v>33.6</v>
      </c>
      <c r="I595" s="13">
        <v>36.67</v>
      </c>
      <c r="J595" s="24">
        <v>45875</v>
      </c>
      <c r="K595" s="13">
        <v>9</v>
      </c>
      <c r="M595" s="13" t="b">
        <v>0</v>
      </c>
      <c r="O595" s="13">
        <f t="shared" si="9"/>
        <v>3.0575757575757576</v>
      </c>
    </row>
    <row r="596" spans="1:15" x14ac:dyDescent="0.25">
      <c r="A596" s="13" t="s">
        <v>608</v>
      </c>
      <c r="B596" s="13" t="s">
        <v>2195</v>
      </c>
      <c r="C596" s="13" t="s">
        <v>2198</v>
      </c>
      <c r="D596" s="13" t="s">
        <v>2206</v>
      </c>
      <c r="E596" s="13" t="s">
        <v>2213</v>
      </c>
      <c r="F596" s="13" t="s">
        <v>2222</v>
      </c>
      <c r="G596" s="13">
        <v>137.59</v>
      </c>
      <c r="H596" s="13">
        <v>0</v>
      </c>
      <c r="I596" s="13">
        <v>137.59</v>
      </c>
      <c r="J596" s="24">
        <v>45875</v>
      </c>
      <c r="K596" s="13">
        <v>18</v>
      </c>
      <c r="M596" s="13" t="b">
        <v>0</v>
      </c>
      <c r="O596" s="13">
        <f t="shared" si="9"/>
        <v>2.9000000000000008</v>
      </c>
    </row>
    <row r="597" spans="1:15" x14ac:dyDescent="0.25">
      <c r="A597" s="13" t="s">
        <v>609</v>
      </c>
      <c r="B597" s="13" t="s">
        <v>2193</v>
      </c>
      <c r="C597" s="13" t="s">
        <v>2200</v>
      </c>
      <c r="D597" s="13" t="s">
        <v>2206</v>
      </c>
      <c r="F597" s="13" t="s">
        <v>2217</v>
      </c>
      <c r="G597" s="13">
        <v>65.8</v>
      </c>
      <c r="H597" s="13">
        <v>0</v>
      </c>
      <c r="I597" s="13">
        <v>65.8</v>
      </c>
      <c r="J597" s="24">
        <v>45875</v>
      </c>
      <c r="K597" s="13">
        <v>46</v>
      </c>
      <c r="L597" s="13">
        <v>3.2</v>
      </c>
      <c r="M597" s="13" t="b">
        <v>0</v>
      </c>
      <c r="O597" s="13">
        <f t="shared" si="9"/>
        <v>3.2</v>
      </c>
    </row>
    <row r="598" spans="1:15" x14ac:dyDescent="0.25">
      <c r="A598" s="13" t="s">
        <v>610</v>
      </c>
      <c r="B598" s="13" t="s">
        <v>2193</v>
      </c>
      <c r="C598" s="13" t="s">
        <v>2197</v>
      </c>
      <c r="D598" s="13" t="s">
        <v>2205</v>
      </c>
      <c r="E598" s="13" t="s">
        <v>2208</v>
      </c>
      <c r="F598" s="13" t="s">
        <v>2219</v>
      </c>
      <c r="G598" s="13">
        <v>88.42</v>
      </c>
      <c r="H598" s="13">
        <v>0</v>
      </c>
      <c r="I598" s="13">
        <v>88.42</v>
      </c>
      <c r="J598" s="24">
        <v>45875</v>
      </c>
      <c r="K598" s="13">
        <v>44</v>
      </c>
      <c r="L598" s="13">
        <v>3.4</v>
      </c>
      <c r="M598" s="13" t="b">
        <v>1</v>
      </c>
      <c r="N598" s="13" t="s">
        <v>2227</v>
      </c>
      <c r="O598" s="13">
        <f t="shared" si="9"/>
        <v>3.4</v>
      </c>
    </row>
    <row r="599" spans="1:15" x14ac:dyDescent="0.25">
      <c r="A599" s="13" t="s">
        <v>611</v>
      </c>
      <c r="B599" s="13" t="s">
        <v>2195</v>
      </c>
      <c r="C599" s="13" t="s">
        <v>2199</v>
      </c>
      <c r="D599" s="13" t="s">
        <v>2206</v>
      </c>
      <c r="E599" s="13" t="s">
        <v>2213</v>
      </c>
      <c r="F599" s="13" t="s">
        <v>2214</v>
      </c>
      <c r="G599" s="13">
        <v>75.540000000000006</v>
      </c>
      <c r="H599" s="13">
        <v>0</v>
      </c>
      <c r="I599" s="13">
        <v>75.540000000000006</v>
      </c>
      <c r="J599" s="24">
        <v>45875</v>
      </c>
      <c r="K599" s="13">
        <v>6</v>
      </c>
      <c r="L599" s="13">
        <v>4.5999999999999996</v>
      </c>
      <c r="M599" s="13" t="b">
        <v>0</v>
      </c>
      <c r="O599" s="13">
        <f t="shared" si="9"/>
        <v>4.5999999999999996</v>
      </c>
    </row>
    <row r="600" spans="1:15" x14ac:dyDescent="0.25">
      <c r="A600" s="13" t="s">
        <v>612</v>
      </c>
      <c r="B600" s="13" t="s">
        <v>2193</v>
      </c>
      <c r="C600" s="13" t="s">
        <v>2200</v>
      </c>
      <c r="D600" s="13" t="s">
        <v>2204</v>
      </c>
      <c r="E600" s="13" t="s">
        <v>2209</v>
      </c>
      <c r="F600" s="13" t="s">
        <v>2217</v>
      </c>
      <c r="G600" s="13">
        <v>185.13</v>
      </c>
      <c r="H600" s="13">
        <v>0</v>
      </c>
      <c r="I600" s="13">
        <v>185.13</v>
      </c>
      <c r="J600" s="24">
        <v>45786</v>
      </c>
      <c r="K600" s="13">
        <v>49</v>
      </c>
      <c r="L600" s="13">
        <v>4.9000000000000004</v>
      </c>
      <c r="M600" s="13" t="b">
        <v>0</v>
      </c>
      <c r="O600" s="13">
        <f t="shared" si="9"/>
        <v>4.9000000000000004</v>
      </c>
    </row>
    <row r="601" spans="1:15" x14ac:dyDescent="0.25">
      <c r="A601" s="13" t="s">
        <v>613</v>
      </c>
      <c r="B601" s="13" t="s">
        <v>2190</v>
      </c>
      <c r="C601" s="13" t="s">
        <v>2199</v>
      </c>
      <c r="D601" s="13" t="s">
        <v>2206</v>
      </c>
      <c r="E601" s="13" t="s">
        <v>2209</v>
      </c>
      <c r="F601" s="13" t="s">
        <v>2216</v>
      </c>
      <c r="G601" s="13">
        <v>132.58000000000001</v>
      </c>
      <c r="H601" s="13">
        <v>0</v>
      </c>
      <c r="I601" s="13">
        <v>132.58000000000001</v>
      </c>
      <c r="J601" s="24">
        <v>45875</v>
      </c>
      <c r="K601" s="13">
        <v>45</v>
      </c>
      <c r="L601" s="13">
        <v>1.6</v>
      </c>
      <c r="M601" s="13" t="b">
        <v>0</v>
      </c>
      <c r="O601" s="13">
        <f t="shared" si="9"/>
        <v>1.6</v>
      </c>
    </row>
    <row r="602" spans="1:15" x14ac:dyDescent="0.25">
      <c r="A602" s="13" t="s">
        <v>614</v>
      </c>
      <c r="B602" s="13" t="s">
        <v>2194</v>
      </c>
      <c r="C602" s="13" t="s">
        <v>2196</v>
      </c>
      <c r="D602" s="13" t="s">
        <v>2206</v>
      </c>
      <c r="E602" s="13" t="s">
        <v>2213</v>
      </c>
      <c r="F602" s="13" t="s">
        <v>2217</v>
      </c>
      <c r="G602" s="13">
        <v>93.38</v>
      </c>
      <c r="H602" s="13">
        <v>0</v>
      </c>
      <c r="I602" s="13">
        <v>93.38</v>
      </c>
      <c r="J602" s="24">
        <v>45875</v>
      </c>
      <c r="K602" s="13">
        <v>7</v>
      </c>
      <c r="L602" s="13">
        <v>3.5</v>
      </c>
      <c r="M602" s="13" t="b">
        <v>0</v>
      </c>
      <c r="O602" s="13">
        <f t="shared" si="9"/>
        <v>3.5</v>
      </c>
    </row>
    <row r="603" spans="1:15" x14ac:dyDescent="0.25">
      <c r="A603" s="13" t="s">
        <v>615</v>
      </c>
      <c r="B603" s="13" t="s">
        <v>2192</v>
      </c>
      <c r="C603" s="13" t="s">
        <v>2201</v>
      </c>
      <c r="D603" s="13" t="s">
        <v>2206</v>
      </c>
      <c r="F603" s="13" t="s">
        <v>2216</v>
      </c>
      <c r="G603" s="13">
        <v>47.28</v>
      </c>
      <c r="H603" s="13">
        <v>0</v>
      </c>
      <c r="I603" s="13">
        <v>47.28</v>
      </c>
      <c r="J603" s="24">
        <v>45875</v>
      </c>
      <c r="K603" s="13">
        <v>38</v>
      </c>
      <c r="L603" s="13">
        <v>4.2</v>
      </c>
      <c r="M603" s="13" t="b">
        <v>0</v>
      </c>
      <c r="O603" s="13">
        <f t="shared" si="9"/>
        <v>4.2</v>
      </c>
    </row>
    <row r="604" spans="1:15" x14ac:dyDescent="0.25">
      <c r="A604" s="13" t="s">
        <v>616</v>
      </c>
      <c r="B604" s="13" t="s">
        <v>2194</v>
      </c>
      <c r="C604" s="13" t="s">
        <v>2198</v>
      </c>
      <c r="D604" s="13" t="s">
        <v>2204</v>
      </c>
      <c r="E604" s="13" t="s">
        <v>2209</v>
      </c>
      <c r="F604" s="13" t="s">
        <v>2220</v>
      </c>
      <c r="G604" s="13">
        <v>59.88</v>
      </c>
      <c r="H604" s="13">
        <v>0</v>
      </c>
      <c r="I604" s="13">
        <v>59.88</v>
      </c>
      <c r="J604" s="24">
        <v>45577</v>
      </c>
      <c r="K604" s="13">
        <v>33</v>
      </c>
      <c r="L604" s="13">
        <v>2.9</v>
      </c>
      <c r="M604" s="13" t="b">
        <v>0</v>
      </c>
      <c r="O604" s="13">
        <f t="shared" si="9"/>
        <v>2.9</v>
      </c>
    </row>
    <row r="605" spans="1:15" x14ac:dyDescent="0.25">
      <c r="A605" s="13" t="s">
        <v>617</v>
      </c>
      <c r="B605" s="13" t="s">
        <v>2195</v>
      </c>
      <c r="C605" s="13" t="s">
        <v>2200</v>
      </c>
      <c r="D605" s="13" t="s">
        <v>2205</v>
      </c>
      <c r="E605" s="13" t="s">
        <v>2211</v>
      </c>
      <c r="F605" s="13" t="s">
        <v>2216</v>
      </c>
      <c r="G605" s="13">
        <v>140.07</v>
      </c>
      <c r="H605" s="13">
        <v>0</v>
      </c>
      <c r="I605" s="13">
        <v>140.07</v>
      </c>
      <c r="J605" s="24">
        <v>45875</v>
      </c>
      <c r="K605" s="13">
        <v>15</v>
      </c>
      <c r="L605" s="13">
        <v>2.7</v>
      </c>
      <c r="M605" s="13" t="b">
        <v>0</v>
      </c>
      <c r="O605" s="13">
        <f t="shared" si="9"/>
        <v>2.7</v>
      </c>
    </row>
    <row r="606" spans="1:15" x14ac:dyDescent="0.25">
      <c r="A606" s="13" t="s">
        <v>618</v>
      </c>
      <c r="B606" s="13" t="s">
        <v>2192</v>
      </c>
      <c r="C606" s="13" t="s">
        <v>2197</v>
      </c>
      <c r="D606" s="13" t="s">
        <v>2205</v>
      </c>
      <c r="F606" s="13" t="s">
        <v>2216</v>
      </c>
      <c r="G606" s="13">
        <v>66.599999999999994</v>
      </c>
      <c r="H606" s="13">
        <v>0</v>
      </c>
      <c r="I606" s="13">
        <v>66.599999999999994</v>
      </c>
      <c r="J606" s="24">
        <v>45875</v>
      </c>
      <c r="K606" s="13">
        <v>47</v>
      </c>
      <c r="L606" s="13">
        <v>4</v>
      </c>
      <c r="M606" s="13" t="b">
        <v>0</v>
      </c>
      <c r="O606" s="13">
        <f t="shared" si="9"/>
        <v>4</v>
      </c>
    </row>
    <row r="607" spans="1:15" x14ac:dyDescent="0.25">
      <c r="A607" s="13" t="s">
        <v>619</v>
      </c>
      <c r="B607" s="13" t="s">
        <v>2192</v>
      </c>
      <c r="C607" s="13" t="s">
        <v>2202</v>
      </c>
      <c r="D607" s="13" t="s">
        <v>2207</v>
      </c>
      <c r="F607" s="13" t="s">
        <v>2223</v>
      </c>
      <c r="G607" s="13">
        <v>39.82</v>
      </c>
      <c r="H607" s="13">
        <v>35.4</v>
      </c>
      <c r="I607" s="13">
        <v>25.72</v>
      </c>
      <c r="J607" s="24">
        <v>45875</v>
      </c>
      <c r="K607" s="13">
        <v>9</v>
      </c>
      <c r="L607" s="13">
        <v>4.5999999999999996</v>
      </c>
      <c r="M607" s="13" t="b">
        <v>0</v>
      </c>
      <c r="O607" s="13">
        <f t="shared" si="9"/>
        <v>4.5999999999999996</v>
      </c>
    </row>
    <row r="608" spans="1:15" x14ac:dyDescent="0.25">
      <c r="A608" s="13" t="s">
        <v>620</v>
      </c>
      <c r="B608" s="13" t="s">
        <v>2192</v>
      </c>
      <c r="C608" s="13" t="s">
        <v>2196</v>
      </c>
      <c r="D608" s="13" t="s">
        <v>2206</v>
      </c>
      <c r="F608" s="13" t="s">
        <v>2214</v>
      </c>
      <c r="G608" s="13">
        <v>70.739999999999995</v>
      </c>
      <c r="H608" s="13">
        <v>0</v>
      </c>
      <c r="I608" s="13">
        <v>70.739999999999995</v>
      </c>
      <c r="J608" s="24">
        <v>45875</v>
      </c>
      <c r="K608" s="13">
        <v>49</v>
      </c>
      <c r="L608" s="13">
        <v>1.8</v>
      </c>
      <c r="M608" s="13" t="b">
        <v>0</v>
      </c>
      <c r="O608" s="13">
        <f t="shared" si="9"/>
        <v>1.8</v>
      </c>
    </row>
    <row r="609" spans="1:15" x14ac:dyDescent="0.25">
      <c r="A609" s="13" t="s">
        <v>621</v>
      </c>
      <c r="B609" s="13" t="s">
        <v>2195</v>
      </c>
      <c r="C609" s="13" t="s">
        <v>2196</v>
      </c>
      <c r="D609" s="13" t="s">
        <v>2204</v>
      </c>
      <c r="E609" s="13" t="s">
        <v>2213</v>
      </c>
      <c r="F609" s="13" t="s">
        <v>2214</v>
      </c>
      <c r="G609" s="13">
        <v>95.33</v>
      </c>
      <c r="H609" s="13">
        <v>0</v>
      </c>
      <c r="I609" s="13">
        <v>95.33</v>
      </c>
      <c r="J609" s="24">
        <v>45815</v>
      </c>
      <c r="K609" s="13">
        <v>36</v>
      </c>
      <c r="M609" s="13" t="b">
        <v>1</v>
      </c>
      <c r="N609" s="13" t="s">
        <v>2228</v>
      </c>
      <c r="O609" s="13">
        <f t="shared" si="9"/>
        <v>3.0424242424242425</v>
      </c>
    </row>
    <row r="610" spans="1:15" x14ac:dyDescent="0.25">
      <c r="A610" s="13" t="s">
        <v>622</v>
      </c>
      <c r="B610" s="13" t="s">
        <v>2192</v>
      </c>
      <c r="C610" s="13" t="s">
        <v>2203</v>
      </c>
      <c r="D610" s="13" t="s">
        <v>2204</v>
      </c>
      <c r="F610" s="13" t="s">
        <v>2214</v>
      </c>
      <c r="G610" s="13">
        <v>32.619999999999997</v>
      </c>
      <c r="H610" s="13">
        <v>29.1</v>
      </c>
      <c r="I610" s="13">
        <v>23.13</v>
      </c>
      <c r="J610" s="24">
        <v>45865</v>
      </c>
      <c r="K610" s="13">
        <v>9</v>
      </c>
      <c r="L610" s="13">
        <v>1.4</v>
      </c>
      <c r="M610" s="13" t="b">
        <v>0</v>
      </c>
      <c r="O610" s="13">
        <f t="shared" si="9"/>
        <v>1.4</v>
      </c>
    </row>
    <row r="611" spans="1:15" x14ac:dyDescent="0.25">
      <c r="A611" s="13" t="s">
        <v>623</v>
      </c>
      <c r="B611" s="13" t="s">
        <v>2194</v>
      </c>
      <c r="C611" s="13" t="s">
        <v>2199</v>
      </c>
      <c r="D611" s="13" t="s">
        <v>2207</v>
      </c>
      <c r="E611" s="13" t="s">
        <v>2208</v>
      </c>
      <c r="F611" s="13" t="s">
        <v>2223</v>
      </c>
      <c r="G611" s="13">
        <v>41.07</v>
      </c>
      <c r="H611" s="13">
        <v>0</v>
      </c>
      <c r="I611" s="13">
        <v>41.07</v>
      </c>
      <c r="J611" s="24">
        <v>45875</v>
      </c>
      <c r="K611" s="13">
        <v>10</v>
      </c>
      <c r="L611" s="13">
        <v>4.8</v>
      </c>
      <c r="M611" s="13" t="b">
        <v>0</v>
      </c>
      <c r="O611" s="13">
        <f t="shared" si="9"/>
        <v>4.8</v>
      </c>
    </row>
    <row r="612" spans="1:15" x14ac:dyDescent="0.25">
      <c r="A612" s="13" t="s">
        <v>624</v>
      </c>
      <c r="B612" s="13" t="s">
        <v>2194</v>
      </c>
      <c r="C612" s="13" t="s">
        <v>2196</v>
      </c>
      <c r="D612" s="13" t="s">
        <v>2205</v>
      </c>
      <c r="E612" s="13" t="s">
        <v>2208</v>
      </c>
      <c r="F612" s="13" t="s">
        <v>2218</v>
      </c>
      <c r="G612" s="13">
        <v>43.1</v>
      </c>
      <c r="H612" s="13">
        <v>0</v>
      </c>
      <c r="I612" s="13">
        <v>43.1</v>
      </c>
      <c r="J612" s="24">
        <v>45875</v>
      </c>
      <c r="K612" s="13">
        <v>34</v>
      </c>
      <c r="L612" s="13">
        <v>4.9000000000000004</v>
      </c>
      <c r="M612" s="13" t="b">
        <v>0</v>
      </c>
      <c r="O612" s="13">
        <f t="shared" si="9"/>
        <v>4.9000000000000004</v>
      </c>
    </row>
    <row r="613" spans="1:15" x14ac:dyDescent="0.25">
      <c r="A613" s="13" t="s">
        <v>625</v>
      </c>
      <c r="B613" s="13" t="s">
        <v>2190</v>
      </c>
      <c r="C613" s="13" t="s">
        <v>2201</v>
      </c>
      <c r="D613" s="13" t="s">
        <v>2205</v>
      </c>
      <c r="E613" s="13" t="s">
        <v>2211</v>
      </c>
      <c r="F613" s="13" t="s">
        <v>2222</v>
      </c>
      <c r="G613" s="13">
        <v>102.03</v>
      </c>
      <c r="H613" s="13">
        <v>27.9</v>
      </c>
      <c r="I613" s="13">
        <v>73.56</v>
      </c>
      <c r="J613" s="24">
        <v>45875</v>
      </c>
      <c r="K613" s="13">
        <v>21</v>
      </c>
      <c r="L613" s="13">
        <v>2.2000000000000002</v>
      </c>
      <c r="M613" s="13" t="b">
        <v>1</v>
      </c>
      <c r="N613" s="13" t="s">
        <v>2226</v>
      </c>
      <c r="O613" s="13">
        <f t="shared" si="9"/>
        <v>2.2000000000000002</v>
      </c>
    </row>
    <row r="614" spans="1:15" x14ac:dyDescent="0.25">
      <c r="A614" s="13" t="s">
        <v>626</v>
      </c>
      <c r="B614" s="13" t="s">
        <v>2192</v>
      </c>
      <c r="C614" s="13" t="s">
        <v>2199</v>
      </c>
      <c r="D614" s="13" t="s">
        <v>2205</v>
      </c>
      <c r="F614" s="13" t="s">
        <v>2214</v>
      </c>
      <c r="G614" s="13">
        <v>54.11</v>
      </c>
      <c r="H614" s="13">
        <v>0</v>
      </c>
      <c r="I614" s="13">
        <v>54.11</v>
      </c>
      <c r="J614" s="24">
        <v>45875</v>
      </c>
      <c r="K614" s="13">
        <v>15</v>
      </c>
      <c r="L614" s="13">
        <v>2.6</v>
      </c>
      <c r="M614" s="13" t="b">
        <v>0</v>
      </c>
      <c r="O614" s="13">
        <f t="shared" si="9"/>
        <v>2.6</v>
      </c>
    </row>
    <row r="615" spans="1:15" x14ac:dyDescent="0.25">
      <c r="A615" s="13" t="s">
        <v>627</v>
      </c>
      <c r="B615" s="13" t="s">
        <v>2192</v>
      </c>
      <c r="C615" s="13" t="s">
        <v>2199</v>
      </c>
      <c r="D615" s="13" t="s">
        <v>2205</v>
      </c>
      <c r="F615" s="13" t="s">
        <v>2223</v>
      </c>
      <c r="G615" s="13">
        <v>43.5</v>
      </c>
      <c r="H615" s="13">
        <v>0</v>
      </c>
      <c r="I615" s="13">
        <v>43.5</v>
      </c>
      <c r="J615" s="24">
        <v>45875</v>
      </c>
      <c r="K615" s="13">
        <v>35</v>
      </c>
      <c r="L615" s="13">
        <v>2.8</v>
      </c>
      <c r="M615" s="13" t="b">
        <v>0</v>
      </c>
      <c r="O615" s="13">
        <f t="shared" si="9"/>
        <v>2.8</v>
      </c>
    </row>
    <row r="616" spans="1:15" x14ac:dyDescent="0.25">
      <c r="A616" s="13" t="s">
        <v>628</v>
      </c>
      <c r="B616" s="13" t="s">
        <v>2192</v>
      </c>
      <c r="C616" s="13" t="s">
        <v>2198</v>
      </c>
      <c r="D616" s="13" t="s">
        <v>2205</v>
      </c>
      <c r="F616" s="13" t="s">
        <v>2215</v>
      </c>
      <c r="G616" s="13">
        <v>66</v>
      </c>
      <c r="H616" s="13">
        <v>0</v>
      </c>
      <c r="I616" s="13">
        <v>66</v>
      </c>
      <c r="J616" s="24">
        <v>45875</v>
      </c>
      <c r="K616" s="13">
        <v>19</v>
      </c>
      <c r="L616" s="13">
        <v>2.6</v>
      </c>
      <c r="M616" s="13" t="b">
        <v>0</v>
      </c>
      <c r="O616" s="13">
        <f t="shared" si="9"/>
        <v>2.6</v>
      </c>
    </row>
    <row r="617" spans="1:15" x14ac:dyDescent="0.25">
      <c r="A617" s="13" t="s">
        <v>629</v>
      </c>
      <c r="B617" s="13" t="s">
        <v>2194</v>
      </c>
      <c r="C617" s="13" t="s">
        <v>2198</v>
      </c>
      <c r="D617" s="13" t="s">
        <v>2207</v>
      </c>
      <c r="E617" s="13" t="s">
        <v>2213</v>
      </c>
      <c r="F617" s="13" t="s">
        <v>2217</v>
      </c>
      <c r="G617" s="13">
        <v>38.85</v>
      </c>
      <c r="H617" s="13">
        <v>0</v>
      </c>
      <c r="I617" s="13">
        <v>38.85</v>
      </c>
      <c r="J617" s="24">
        <v>45875</v>
      </c>
      <c r="K617" s="13">
        <v>10</v>
      </c>
      <c r="L617" s="13">
        <v>3.8</v>
      </c>
      <c r="M617" s="13" t="b">
        <v>0</v>
      </c>
      <c r="O617" s="13">
        <f t="shared" si="9"/>
        <v>3.8</v>
      </c>
    </row>
    <row r="618" spans="1:15" x14ac:dyDescent="0.25">
      <c r="A618" s="13" t="s">
        <v>630</v>
      </c>
      <c r="B618" s="13" t="s">
        <v>2192</v>
      </c>
      <c r="C618" s="13" t="s">
        <v>2196</v>
      </c>
      <c r="D618" s="13" t="s">
        <v>2207</v>
      </c>
      <c r="F618" s="13" t="s">
        <v>2221</v>
      </c>
      <c r="G618" s="13">
        <v>61.29</v>
      </c>
      <c r="H618" s="13">
        <v>0</v>
      </c>
      <c r="I618" s="13">
        <v>61.29</v>
      </c>
      <c r="J618" s="24">
        <v>45875</v>
      </c>
      <c r="K618" s="13">
        <v>15</v>
      </c>
      <c r="L618" s="13">
        <v>4</v>
      </c>
      <c r="M618" s="13" t="b">
        <v>0</v>
      </c>
      <c r="O618" s="13">
        <f t="shared" si="9"/>
        <v>4</v>
      </c>
    </row>
    <row r="619" spans="1:15" x14ac:dyDescent="0.25">
      <c r="A619" s="13" t="s">
        <v>631</v>
      </c>
      <c r="B619" s="13" t="s">
        <v>2194</v>
      </c>
      <c r="C619" s="13" t="s">
        <v>2200</v>
      </c>
      <c r="D619" s="13" t="s">
        <v>2204</v>
      </c>
      <c r="E619" s="13" t="s">
        <v>2212</v>
      </c>
      <c r="F619" s="13" t="s">
        <v>2221</v>
      </c>
      <c r="G619" s="13">
        <v>90.66</v>
      </c>
      <c r="H619" s="13">
        <v>0</v>
      </c>
      <c r="I619" s="13">
        <v>90.66</v>
      </c>
      <c r="J619" s="24">
        <v>45736</v>
      </c>
      <c r="K619" s="13">
        <v>49</v>
      </c>
      <c r="L619" s="13">
        <v>2.4</v>
      </c>
      <c r="M619" s="13" t="b">
        <v>1</v>
      </c>
      <c r="N619" s="13" t="s">
        <v>2225</v>
      </c>
      <c r="O619" s="13">
        <f t="shared" si="9"/>
        <v>2.4</v>
      </c>
    </row>
    <row r="620" spans="1:15" x14ac:dyDescent="0.25">
      <c r="A620" s="13" t="s">
        <v>632</v>
      </c>
      <c r="B620" s="13" t="s">
        <v>2195</v>
      </c>
      <c r="C620" s="13" t="s">
        <v>2199</v>
      </c>
      <c r="D620" s="13" t="s">
        <v>2206</v>
      </c>
      <c r="E620" s="13" t="s">
        <v>2208</v>
      </c>
      <c r="F620" s="13" t="s">
        <v>2220</v>
      </c>
      <c r="G620" s="13">
        <v>119.96</v>
      </c>
      <c r="H620" s="13">
        <v>0</v>
      </c>
      <c r="I620" s="13">
        <v>119.96</v>
      </c>
      <c r="J620" s="24">
        <v>45875</v>
      </c>
      <c r="K620" s="13">
        <v>5</v>
      </c>
      <c r="L620" s="13">
        <v>5</v>
      </c>
      <c r="M620" s="13" t="b">
        <v>0</v>
      </c>
      <c r="O620" s="13">
        <f t="shared" si="9"/>
        <v>5</v>
      </c>
    </row>
    <row r="621" spans="1:15" x14ac:dyDescent="0.25">
      <c r="A621" s="13" t="s">
        <v>633</v>
      </c>
      <c r="B621" s="13" t="s">
        <v>2193</v>
      </c>
      <c r="C621" s="13" t="s">
        <v>2203</v>
      </c>
      <c r="D621" s="13" t="s">
        <v>2206</v>
      </c>
      <c r="E621" s="13" t="s">
        <v>2211</v>
      </c>
      <c r="F621" s="13" t="s">
        <v>2214</v>
      </c>
      <c r="G621" s="13">
        <v>130.21</v>
      </c>
      <c r="H621" s="13">
        <v>0</v>
      </c>
      <c r="I621" s="13">
        <v>130.21</v>
      </c>
      <c r="J621" s="24">
        <v>45875</v>
      </c>
      <c r="K621" s="13">
        <v>50</v>
      </c>
      <c r="L621" s="13">
        <v>4.7</v>
      </c>
      <c r="M621" s="13" t="b">
        <v>0</v>
      </c>
      <c r="O621" s="13">
        <f t="shared" si="9"/>
        <v>4.7</v>
      </c>
    </row>
    <row r="622" spans="1:15" x14ac:dyDescent="0.25">
      <c r="A622" s="13" t="s">
        <v>634</v>
      </c>
      <c r="B622" s="13" t="s">
        <v>2191</v>
      </c>
      <c r="C622" s="13" t="s">
        <v>2198</v>
      </c>
      <c r="D622" s="13" t="s">
        <v>2205</v>
      </c>
      <c r="E622" s="13" t="s">
        <v>2212</v>
      </c>
      <c r="F622" s="13" t="s">
        <v>2214</v>
      </c>
      <c r="G622" s="13">
        <v>49.68</v>
      </c>
      <c r="H622" s="13">
        <v>0</v>
      </c>
      <c r="I622" s="13">
        <v>49.68</v>
      </c>
      <c r="J622" s="24">
        <v>45875</v>
      </c>
      <c r="K622" s="13">
        <v>15</v>
      </c>
      <c r="L622" s="13">
        <v>2.8</v>
      </c>
      <c r="M622" s="13" t="b">
        <v>0</v>
      </c>
      <c r="O622" s="13">
        <f t="shared" si="9"/>
        <v>2.8</v>
      </c>
    </row>
    <row r="623" spans="1:15" x14ac:dyDescent="0.25">
      <c r="A623" s="13" t="s">
        <v>635</v>
      </c>
      <c r="B623" s="13" t="s">
        <v>2192</v>
      </c>
      <c r="C623" s="13" t="s">
        <v>2196</v>
      </c>
      <c r="D623" s="13" t="s">
        <v>2204</v>
      </c>
      <c r="F623" s="13" t="s">
        <v>2223</v>
      </c>
      <c r="G623" s="13">
        <v>46.58</v>
      </c>
      <c r="H623" s="13">
        <v>0</v>
      </c>
      <c r="I623" s="13">
        <v>46.58</v>
      </c>
      <c r="J623" s="24">
        <v>45560</v>
      </c>
      <c r="K623" s="13">
        <v>42</v>
      </c>
      <c r="L623" s="13">
        <v>1.7</v>
      </c>
      <c r="M623" s="13" t="b">
        <v>0</v>
      </c>
      <c r="O623" s="13">
        <f t="shared" si="9"/>
        <v>1.7</v>
      </c>
    </row>
    <row r="624" spans="1:15" x14ac:dyDescent="0.25">
      <c r="A624" s="13" t="s">
        <v>636</v>
      </c>
      <c r="B624" s="13" t="s">
        <v>2192</v>
      </c>
      <c r="C624" s="13" t="s">
        <v>2199</v>
      </c>
      <c r="D624" s="13" t="s">
        <v>2207</v>
      </c>
      <c r="F624" s="13" t="s">
        <v>2224</v>
      </c>
      <c r="G624" s="13">
        <v>69.88</v>
      </c>
      <c r="H624" s="13">
        <v>0</v>
      </c>
      <c r="I624" s="13">
        <v>69.88</v>
      </c>
      <c r="J624" s="24">
        <v>45875</v>
      </c>
      <c r="K624" s="13">
        <v>8</v>
      </c>
      <c r="L624" s="13">
        <v>2.8</v>
      </c>
      <c r="M624" s="13" t="b">
        <v>0</v>
      </c>
      <c r="O624" s="13">
        <f t="shared" si="9"/>
        <v>2.8</v>
      </c>
    </row>
    <row r="625" spans="1:15" x14ac:dyDescent="0.25">
      <c r="A625" s="13" t="s">
        <v>637</v>
      </c>
      <c r="B625" s="13" t="s">
        <v>2192</v>
      </c>
      <c r="C625" s="13" t="s">
        <v>2203</v>
      </c>
      <c r="D625" s="13" t="s">
        <v>2206</v>
      </c>
      <c r="F625" s="13" t="s">
        <v>2220</v>
      </c>
      <c r="G625" s="13">
        <v>32.15</v>
      </c>
      <c r="H625" s="13">
        <v>0</v>
      </c>
      <c r="I625" s="13">
        <v>32.15</v>
      </c>
      <c r="J625" s="24">
        <v>45875</v>
      </c>
      <c r="K625" s="13">
        <v>17</v>
      </c>
      <c r="L625" s="13">
        <v>1.9</v>
      </c>
      <c r="M625" s="13" t="b">
        <v>1</v>
      </c>
      <c r="N625" s="13" t="s">
        <v>2228</v>
      </c>
      <c r="O625" s="13">
        <f t="shared" si="9"/>
        <v>1.9</v>
      </c>
    </row>
    <row r="626" spans="1:15" x14ac:dyDescent="0.25">
      <c r="A626" s="13" t="s">
        <v>638</v>
      </c>
      <c r="B626" s="13" t="s">
        <v>2194</v>
      </c>
      <c r="C626" s="13" t="s">
        <v>2203</v>
      </c>
      <c r="D626" s="13" t="s">
        <v>2207</v>
      </c>
      <c r="E626" s="13" t="s">
        <v>2210</v>
      </c>
      <c r="F626" s="13" t="s">
        <v>2216</v>
      </c>
      <c r="G626" s="13">
        <v>36.340000000000003</v>
      </c>
      <c r="H626" s="13">
        <v>0</v>
      </c>
      <c r="I626" s="13">
        <v>36.340000000000003</v>
      </c>
      <c r="J626" s="24">
        <v>45875</v>
      </c>
      <c r="K626" s="13">
        <v>6</v>
      </c>
      <c r="L626" s="13">
        <v>4.5</v>
      </c>
      <c r="M626" s="13" t="b">
        <v>1</v>
      </c>
      <c r="N626" s="13" t="s">
        <v>2227</v>
      </c>
      <c r="O626" s="13">
        <f t="shared" si="9"/>
        <v>4.5</v>
      </c>
    </row>
    <row r="627" spans="1:15" x14ac:dyDescent="0.25">
      <c r="A627" s="13" t="s">
        <v>639</v>
      </c>
      <c r="B627" s="13" t="s">
        <v>2194</v>
      </c>
      <c r="C627" s="13" t="s">
        <v>2199</v>
      </c>
      <c r="D627" s="13" t="s">
        <v>2206</v>
      </c>
      <c r="E627" s="13" t="s">
        <v>2213</v>
      </c>
      <c r="F627" s="13" t="s">
        <v>2221</v>
      </c>
      <c r="G627" s="13">
        <v>93.01</v>
      </c>
      <c r="H627" s="13">
        <v>0</v>
      </c>
      <c r="I627" s="13">
        <v>93.01</v>
      </c>
      <c r="J627" s="24">
        <v>45875</v>
      </c>
      <c r="K627" s="13">
        <v>34</v>
      </c>
      <c r="L627" s="13">
        <v>1.4</v>
      </c>
      <c r="M627" s="13" t="b">
        <v>0</v>
      </c>
      <c r="O627" s="13">
        <f t="shared" si="9"/>
        <v>1.4</v>
      </c>
    </row>
    <row r="628" spans="1:15" x14ac:dyDescent="0.25">
      <c r="A628" s="13" t="s">
        <v>640</v>
      </c>
      <c r="B628" s="13" t="s">
        <v>2191</v>
      </c>
      <c r="C628" s="13" t="s">
        <v>2202</v>
      </c>
      <c r="D628" s="13" t="s">
        <v>2205</v>
      </c>
      <c r="E628" s="13" t="s">
        <v>2210</v>
      </c>
      <c r="F628" s="13" t="s">
        <v>2224</v>
      </c>
      <c r="G628" s="13">
        <v>75</v>
      </c>
      <c r="H628" s="13">
        <v>0</v>
      </c>
      <c r="I628" s="13">
        <v>75</v>
      </c>
      <c r="J628" s="24">
        <v>45875</v>
      </c>
      <c r="K628" s="13">
        <v>19</v>
      </c>
      <c r="L628" s="13">
        <v>1.6</v>
      </c>
      <c r="M628" s="13" t="b">
        <v>0</v>
      </c>
      <c r="O628" s="13">
        <f t="shared" si="9"/>
        <v>1.6</v>
      </c>
    </row>
    <row r="629" spans="1:15" x14ac:dyDescent="0.25">
      <c r="A629" s="13" t="s">
        <v>641</v>
      </c>
      <c r="B629" s="13" t="s">
        <v>2190</v>
      </c>
      <c r="C629" s="13" t="s">
        <v>2196</v>
      </c>
      <c r="D629" s="13" t="s">
        <v>2206</v>
      </c>
      <c r="E629" s="13" t="s">
        <v>2213</v>
      </c>
      <c r="F629" s="13" t="s">
        <v>2219</v>
      </c>
      <c r="G629" s="13">
        <v>81.63</v>
      </c>
      <c r="H629" s="13">
        <v>12.4</v>
      </c>
      <c r="I629" s="13">
        <v>71.510000000000005</v>
      </c>
      <c r="J629" s="24">
        <v>45875</v>
      </c>
      <c r="K629" s="13">
        <v>3</v>
      </c>
      <c r="M629" s="13" t="b">
        <v>0</v>
      </c>
      <c r="O629" s="13">
        <f t="shared" si="9"/>
        <v>2.7030303030303036</v>
      </c>
    </row>
    <row r="630" spans="1:15" x14ac:dyDescent="0.25">
      <c r="A630" s="13" t="s">
        <v>642</v>
      </c>
      <c r="B630" s="13" t="s">
        <v>2194</v>
      </c>
      <c r="C630" s="13" t="s">
        <v>2197</v>
      </c>
      <c r="D630" s="13" t="s">
        <v>2204</v>
      </c>
      <c r="E630" s="13" t="s">
        <v>2208</v>
      </c>
      <c r="F630" s="13" t="s">
        <v>2218</v>
      </c>
      <c r="G630" s="13">
        <v>109.81</v>
      </c>
      <c r="H630" s="13">
        <v>0</v>
      </c>
      <c r="I630" s="13">
        <v>109.81</v>
      </c>
      <c r="J630" s="24">
        <v>45862</v>
      </c>
      <c r="K630" s="13">
        <v>17</v>
      </c>
      <c r="L630" s="13">
        <v>1.9</v>
      </c>
      <c r="M630" s="13" t="b">
        <v>0</v>
      </c>
      <c r="O630" s="13">
        <f t="shared" si="9"/>
        <v>1.9</v>
      </c>
    </row>
    <row r="631" spans="1:15" x14ac:dyDescent="0.25">
      <c r="A631" s="13" t="s">
        <v>643</v>
      </c>
      <c r="B631" s="13" t="s">
        <v>2194</v>
      </c>
      <c r="C631" s="13" t="s">
        <v>2201</v>
      </c>
      <c r="D631" s="13" t="s">
        <v>2206</v>
      </c>
      <c r="F631" s="13" t="s">
        <v>2216</v>
      </c>
      <c r="G631" s="13">
        <v>47.7</v>
      </c>
      <c r="H631" s="13">
        <v>0</v>
      </c>
      <c r="I631" s="13">
        <v>47.7</v>
      </c>
      <c r="J631" s="24">
        <v>45875</v>
      </c>
      <c r="K631" s="13">
        <v>14</v>
      </c>
      <c r="L631" s="13">
        <v>2.2999999999999998</v>
      </c>
      <c r="M631" s="13" t="b">
        <v>0</v>
      </c>
      <c r="O631" s="13">
        <f t="shared" si="9"/>
        <v>2.2999999999999998</v>
      </c>
    </row>
    <row r="632" spans="1:15" x14ac:dyDescent="0.25">
      <c r="A632" s="13" t="s">
        <v>644</v>
      </c>
      <c r="B632" s="13" t="s">
        <v>2191</v>
      </c>
      <c r="C632" s="13" t="s">
        <v>2198</v>
      </c>
      <c r="D632" s="13" t="s">
        <v>2205</v>
      </c>
      <c r="E632" s="13" t="s">
        <v>2210</v>
      </c>
      <c r="F632" s="13" t="s">
        <v>2214</v>
      </c>
      <c r="G632" s="13">
        <v>96.08</v>
      </c>
      <c r="H632" s="13">
        <v>0</v>
      </c>
      <c r="I632" s="13">
        <v>96.08</v>
      </c>
      <c r="J632" s="24">
        <v>45875</v>
      </c>
      <c r="K632" s="13">
        <v>7</v>
      </c>
      <c r="L632" s="13">
        <v>2.5</v>
      </c>
      <c r="M632" s="13" t="b">
        <v>0</v>
      </c>
      <c r="O632" s="13">
        <f t="shared" si="9"/>
        <v>2.5</v>
      </c>
    </row>
    <row r="633" spans="1:15" x14ac:dyDescent="0.25">
      <c r="A633" s="13" t="s">
        <v>645</v>
      </c>
      <c r="B633" s="13" t="s">
        <v>2191</v>
      </c>
      <c r="C633" s="13" t="s">
        <v>2200</v>
      </c>
      <c r="D633" s="13" t="s">
        <v>2205</v>
      </c>
      <c r="E633" s="13" t="s">
        <v>2212</v>
      </c>
      <c r="F633" s="13" t="s">
        <v>2224</v>
      </c>
      <c r="G633" s="13">
        <v>28</v>
      </c>
      <c r="H633" s="13">
        <v>2.6</v>
      </c>
      <c r="I633" s="13">
        <v>27.27</v>
      </c>
      <c r="J633" s="24">
        <v>45875</v>
      </c>
      <c r="K633" s="13">
        <v>2</v>
      </c>
      <c r="M633" s="13" t="b">
        <v>0</v>
      </c>
      <c r="O633" s="13">
        <f t="shared" si="9"/>
        <v>2.9657142857142857</v>
      </c>
    </row>
    <row r="634" spans="1:15" x14ac:dyDescent="0.25">
      <c r="A634" s="13" t="s">
        <v>646</v>
      </c>
      <c r="B634" s="13" t="s">
        <v>2194</v>
      </c>
      <c r="C634" s="13" t="s">
        <v>2196</v>
      </c>
      <c r="D634" s="13" t="s">
        <v>2205</v>
      </c>
      <c r="E634" s="13" t="s">
        <v>2210</v>
      </c>
      <c r="F634" s="13" t="s">
        <v>2224</v>
      </c>
      <c r="G634" s="13">
        <v>52.43</v>
      </c>
      <c r="H634" s="13">
        <v>6.4</v>
      </c>
      <c r="I634" s="13">
        <v>49.07</v>
      </c>
      <c r="J634" s="24">
        <v>45875</v>
      </c>
      <c r="K634" s="13">
        <v>42</v>
      </c>
      <c r="L634" s="13">
        <v>2.6</v>
      </c>
      <c r="M634" s="13" t="b">
        <v>0</v>
      </c>
      <c r="O634" s="13">
        <f t="shared" si="9"/>
        <v>2.6</v>
      </c>
    </row>
    <row r="635" spans="1:15" x14ac:dyDescent="0.25">
      <c r="A635" s="13" t="s">
        <v>647</v>
      </c>
      <c r="B635" s="13" t="s">
        <v>2192</v>
      </c>
      <c r="C635" s="13" t="s">
        <v>2202</v>
      </c>
      <c r="D635" s="13" t="s">
        <v>2207</v>
      </c>
      <c r="F635" s="13" t="s">
        <v>2215</v>
      </c>
      <c r="G635" s="13">
        <v>67.95</v>
      </c>
      <c r="H635" s="13">
        <v>18.3</v>
      </c>
      <c r="I635" s="13">
        <v>55.52</v>
      </c>
      <c r="J635" s="24">
        <v>45875</v>
      </c>
      <c r="K635" s="13">
        <v>37</v>
      </c>
      <c r="M635" s="13" t="b">
        <v>0</v>
      </c>
      <c r="O635" s="13">
        <f t="shared" si="9"/>
        <v>3.2720930232558145</v>
      </c>
    </row>
    <row r="636" spans="1:15" x14ac:dyDescent="0.25">
      <c r="A636" s="13" t="s">
        <v>648</v>
      </c>
      <c r="B636" s="13" t="s">
        <v>2195</v>
      </c>
      <c r="C636" s="13" t="s">
        <v>2201</v>
      </c>
      <c r="D636" s="13" t="s">
        <v>2206</v>
      </c>
      <c r="F636" s="13" t="s">
        <v>2214</v>
      </c>
      <c r="G636" s="13">
        <v>131.91999999999999</v>
      </c>
      <c r="H636" s="13">
        <v>0</v>
      </c>
      <c r="I636" s="13">
        <v>131.91999999999999</v>
      </c>
      <c r="J636" s="24">
        <v>45875</v>
      </c>
      <c r="K636" s="13">
        <v>10</v>
      </c>
      <c r="L636" s="13">
        <v>2.5</v>
      </c>
      <c r="M636" s="13" t="b">
        <v>0</v>
      </c>
      <c r="O636" s="13">
        <f t="shared" si="9"/>
        <v>2.5</v>
      </c>
    </row>
    <row r="637" spans="1:15" x14ac:dyDescent="0.25">
      <c r="A637" s="13" t="s">
        <v>649</v>
      </c>
      <c r="B637" s="13" t="s">
        <v>2190</v>
      </c>
      <c r="C637" s="13" t="s">
        <v>2201</v>
      </c>
      <c r="D637" s="13" t="s">
        <v>2204</v>
      </c>
      <c r="E637" s="13" t="s">
        <v>2212</v>
      </c>
      <c r="F637" s="13" t="s">
        <v>2217</v>
      </c>
      <c r="G637" s="13">
        <v>205.77</v>
      </c>
      <c r="H637" s="13">
        <v>0</v>
      </c>
      <c r="I637" s="13">
        <v>205.77</v>
      </c>
      <c r="J637" s="24">
        <v>45688</v>
      </c>
      <c r="K637" s="13">
        <v>38</v>
      </c>
      <c r="L637" s="13">
        <v>1</v>
      </c>
      <c r="M637" s="13" t="b">
        <v>0</v>
      </c>
      <c r="O637" s="13">
        <f t="shared" si="9"/>
        <v>1</v>
      </c>
    </row>
    <row r="638" spans="1:15" x14ac:dyDescent="0.25">
      <c r="A638" s="13" t="s">
        <v>650</v>
      </c>
      <c r="B638" s="13" t="s">
        <v>2191</v>
      </c>
      <c r="C638" s="13" t="s">
        <v>2197</v>
      </c>
      <c r="D638" s="13" t="s">
        <v>2205</v>
      </c>
      <c r="E638" s="13" t="s">
        <v>2208</v>
      </c>
      <c r="F638" s="13" t="s">
        <v>2217</v>
      </c>
      <c r="G638" s="13">
        <v>97.88</v>
      </c>
      <c r="H638" s="13">
        <v>11.3</v>
      </c>
      <c r="I638" s="13">
        <v>86.82</v>
      </c>
      <c r="J638" s="24">
        <v>45875</v>
      </c>
      <c r="K638" s="13">
        <v>27</v>
      </c>
      <c r="L638" s="13">
        <v>1.3</v>
      </c>
      <c r="M638" s="13" t="b">
        <v>0</v>
      </c>
      <c r="O638" s="13">
        <f t="shared" si="9"/>
        <v>1.3</v>
      </c>
    </row>
    <row r="639" spans="1:15" x14ac:dyDescent="0.25">
      <c r="A639" s="13" t="s">
        <v>651</v>
      </c>
      <c r="B639" s="13" t="s">
        <v>2193</v>
      </c>
      <c r="C639" s="13" t="s">
        <v>2196</v>
      </c>
      <c r="D639" s="13" t="s">
        <v>2207</v>
      </c>
      <c r="E639" s="13" t="s">
        <v>2209</v>
      </c>
      <c r="F639" s="13" t="s">
        <v>2218</v>
      </c>
      <c r="G639" s="13">
        <v>109.55</v>
      </c>
      <c r="H639" s="13">
        <v>0</v>
      </c>
      <c r="I639" s="13">
        <v>109.55</v>
      </c>
      <c r="J639" s="24">
        <v>45875</v>
      </c>
      <c r="K639" s="13">
        <v>32</v>
      </c>
      <c r="L639" s="13">
        <v>1.4</v>
      </c>
      <c r="M639" s="13" t="b">
        <v>0</v>
      </c>
      <c r="O639" s="13">
        <f t="shared" si="9"/>
        <v>1.4</v>
      </c>
    </row>
    <row r="640" spans="1:15" x14ac:dyDescent="0.25">
      <c r="A640" s="13" t="s">
        <v>652</v>
      </c>
      <c r="B640" s="13" t="s">
        <v>2194</v>
      </c>
      <c r="C640" s="13" t="s">
        <v>2196</v>
      </c>
      <c r="D640" s="13" t="s">
        <v>2206</v>
      </c>
      <c r="E640" s="13" t="s">
        <v>2209</v>
      </c>
      <c r="F640" s="13" t="s">
        <v>2218</v>
      </c>
      <c r="G640" s="13">
        <v>52.94</v>
      </c>
      <c r="H640" s="13">
        <v>10.6</v>
      </c>
      <c r="I640" s="13">
        <v>47.33</v>
      </c>
      <c r="J640" s="24">
        <v>45875</v>
      </c>
      <c r="K640" s="13">
        <v>50</v>
      </c>
      <c r="L640" s="13">
        <v>2.7</v>
      </c>
      <c r="M640" s="13" t="b">
        <v>0</v>
      </c>
      <c r="O640" s="13">
        <f t="shared" si="9"/>
        <v>2.7</v>
      </c>
    </row>
    <row r="641" spans="1:15" x14ac:dyDescent="0.25">
      <c r="A641" s="13" t="s">
        <v>653</v>
      </c>
      <c r="B641" s="13" t="s">
        <v>2194</v>
      </c>
      <c r="C641" s="13" t="s">
        <v>2198</v>
      </c>
      <c r="D641" s="13" t="s">
        <v>2205</v>
      </c>
      <c r="E641" s="13" t="s">
        <v>2212</v>
      </c>
      <c r="F641" s="13" t="s">
        <v>2215</v>
      </c>
      <c r="G641" s="13">
        <v>70.83</v>
      </c>
      <c r="H641" s="13">
        <v>18</v>
      </c>
      <c r="I641" s="13">
        <v>58.08</v>
      </c>
      <c r="J641" s="24">
        <v>45875</v>
      </c>
      <c r="K641" s="13">
        <v>21</v>
      </c>
      <c r="L641" s="13">
        <v>2.9</v>
      </c>
      <c r="M641" s="13" t="b">
        <v>0</v>
      </c>
      <c r="O641" s="13">
        <f t="shared" si="9"/>
        <v>2.9</v>
      </c>
    </row>
    <row r="642" spans="1:15" x14ac:dyDescent="0.25">
      <c r="A642" s="13" t="s">
        <v>654</v>
      </c>
      <c r="B642" s="13" t="s">
        <v>2195</v>
      </c>
      <c r="C642" s="13" t="s">
        <v>2199</v>
      </c>
      <c r="D642" s="13" t="s">
        <v>2206</v>
      </c>
      <c r="E642" s="13" t="s">
        <v>2209</v>
      </c>
      <c r="F642" s="13" t="s">
        <v>2222</v>
      </c>
      <c r="G642" s="13">
        <v>53.17</v>
      </c>
      <c r="H642" s="13">
        <v>0</v>
      </c>
      <c r="I642" s="13">
        <v>53.17</v>
      </c>
      <c r="J642" s="24">
        <v>45875</v>
      </c>
      <c r="K642" s="13">
        <v>14</v>
      </c>
      <c r="L642" s="13">
        <v>4.5</v>
      </c>
      <c r="M642" s="13" t="b">
        <v>1</v>
      </c>
      <c r="N642" s="13" t="s">
        <v>2229</v>
      </c>
      <c r="O642" s="13">
        <f t="shared" si="9"/>
        <v>4.5</v>
      </c>
    </row>
    <row r="643" spans="1:15" x14ac:dyDescent="0.25">
      <c r="A643" s="13" t="s">
        <v>655</v>
      </c>
      <c r="B643" s="13" t="s">
        <v>2194</v>
      </c>
      <c r="C643" s="13" t="s">
        <v>2198</v>
      </c>
      <c r="D643" s="13" t="s">
        <v>2207</v>
      </c>
      <c r="E643" s="13" t="s">
        <v>2212</v>
      </c>
      <c r="F643" s="13" t="s">
        <v>2221</v>
      </c>
      <c r="G643" s="13">
        <v>119.56</v>
      </c>
      <c r="H643" s="13">
        <v>46.2</v>
      </c>
      <c r="I643" s="13">
        <v>64.319999999999993</v>
      </c>
      <c r="J643" s="24">
        <v>45875</v>
      </c>
      <c r="K643" s="13">
        <v>14</v>
      </c>
      <c r="M643" s="13" t="b">
        <v>0</v>
      </c>
      <c r="O643" s="13">
        <f t="shared" ref="O643:O706" si="10">IF(L643="",AVERAGEIFS($L$2:$L$2177,$B$2:$B$2177,B643,$C$2:$C$2177,C643),L643)</f>
        <v>3.0384615384615379</v>
      </c>
    </row>
    <row r="644" spans="1:15" x14ac:dyDescent="0.25">
      <c r="A644" s="13" t="s">
        <v>656</v>
      </c>
      <c r="B644" s="13" t="s">
        <v>2195</v>
      </c>
      <c r="C644" s="13" t="s">
        <v>2199</v>
      </c>
      <c r="D644" s="13" t="s">
        <v>2205</v>
      </c>
      <c r="E644" s="13" t="s">
        <v>2210</v>
      </c>
      <c r="F644" s="13" t="s">
        <v>2219</v>
      </c>
      <c r="G644" s="13">
        <v>144.43</v>
      </c>
      <c r="H644" s="13">
        <v>0</v>
      </c>
      <c r="I644" s="13">
        <v>144.43</v>
      </c>
      <c r="J644" s="24">
        <v>45875</v>
      </c>
      <c r="K644" s="13">
        <v>41</v>
      </c>
      <c r="L644" s="13">
        <v>3.6</v>
      </c>
      <c r="M644" s="13" t="b">
        <v>0</v>
      </c>
      <c r="O644" s="13">
        <f t="shared" si="10"/>
        <v>3.6</v>
      </c>
    </row>
    <row r="645" spans="1:15" x14ac:dyDescent="0.25">
      <c r="A645" s="13" t="s">
        <v>657</v>
      </c>
      <c r="B645" s="13" t="s">
        <v>2190</v>
      </c>
      <c r="C645" s="13" t="s">
        <v>2199</v>
      </c>
      <c r="D645" s="13" t="s">
        <v>2204</v>
      </c>
      <c r="E645" s="13" t="s">
        <v>2210</v>
      </c>
      <c r="F645" s="13" t="s">
        <v>2223</v>
      </c>
      <c r="G645" s="13">
        <v>172.93</v>
      </c>
      <c r="H645" s="13">
        <v>0</v>
      </c>
      <c r="I645" s="13">
        <v>172.93</v>
      </c>
      <c r="J645" s="24">
        <v>45759</v>
      </c>
      <c r="K645" s="13">
        <v>43</v>
      </c>
      <c r="L645" s="13">
        <v>4.7</v>
      </c>
      <c r="M645" s="13" t="b">
        <v>1</v>
      </c>
      <c r="N645" s="13" t="s">
        <v>2228</v>
      </c>
      <c r="O645" s="13">
        <f t="shared" si="10"/>
        <v>4.7</v>
      </c>
    </row>
    <row r="646" spans="1:15" x14ac:dyDescent="0.25">
      <c r="A646" s="13" t="s">
        <v>658</v>
      </c>
      <c r="B646" s="13" t="s">
        <v>2190</v>
      </c>
      <c r="C646" s="13" t="s">
        <v>2202</v>
      </c>
      <c r="D646" s="13" t="s">
        <v>2205</v>
      </c>
      <c r="E646" s="13" t="s">
        <v>2208</v>
      </c>
      <c r="F646" s="13" t="s">
        <v>2221</v>
      </c>
      <c r="G646" s="13">
        <v>191.95</v>
      </c>
      <c r="H646" s="13">
        <v>40.4</v>
      </c>
      <c r="I646" s="13">
        <v>114.4</v>
      </c>
      <c r="J646" s="24">
        <v>45875</v>
      </c>
      <c r="K646" s="13">
        <v>21</v>
      </c>
      <c r="L646" s="13">
        <v>2.9</v>
      </c>
      <c r="M646" s="13" t="b">
        <v>0</v>
      </c>
      <c r="O646" s="13">
        <f t="shared" si="10"/>
        <v>2.9</v>
      </c>
    </row>
    <row r="647" spans="1:15" x14ac:dyDescent="0.25">
      <c r="A647" s="13" t="s">
        <v>659</v>
      </c>
      <c r="B647" s="13" t="s">
        <v>2195</v>
      </c>
      <c r="C647" s="13" t="s">
        <v>2200</v>
      </c>
      <c r="D647" s="13" t="s">
        <v>2205</v>
      </c>
      <c r="E647" s="13" t="s">
        <v>2213</v>
      </c>
      <c r="F647" s="13" t="s">
        <v>2216</v>
      </c>
      <c r="G647" s="13">
        <v>128.56</v>
      </c>
      <c r="H647" s="13">
        <v>0</v>
      </c>
      <c r="I647" s="13">
        <v>128.56</v>
      </c>
      <c r="J647" s="24">
        <v>45875</v>
      </c>
      <c r="K647" s="13">
        <v>45</v>
      </c>
      <c r="L647" s="13">
        <v>2.4</v>
      </c>
      <c r="M647" s="13" t="b">
        <v>0</v>
      </c>
      <c r="O647" s="13">
        <f t="shared" si="10"/>
        <v>2.4</v>
      </c>
    </row>
    <row r="648" spans="1:15" x14ac:dyDescent="0.25">
      <c r="A648" s="13" t="s">
        <v>660</v>
      </c>
      <c r="B648" s="13" t="s">
        <v>2195</v>
      </c>
      <c r="C648" s="13" t="s">
        <v>2200</v>
      </c>
      <c r="D648" s="13" t="s">
        <v>2207</v>
      </c>
      <c r="E648" s="13" t="s">
        <v>2209</v>
      </c>
      <c r="F648" s="13" t="s">
        <v>2217</v>
      </c>
      <c r="G648" s="13">
        <v>123.08</v>
      </c>
      <c r="H648" s="13">
        <v>53</v>
      </c>
      <c r="I648" s="13">
        <v>57.85</v>
      </c>
      <c r="J648" s="24">
        <v>45875</v>
      </c>
      <c r="K648" s="13">
        <v>38</v>
      </c>
      <c r="L648" s="13">
        <v>2.5</v>
      </c>
      <c r="M648" s="13" t="b">
        <v>0</v>
      </c>
      <c r="O648" s="13">
        <f t="shared" si="10"/>
        <v>2.5</v>
      </c>
    </row>
    <row r="649" spans="1:15" x14ac:dyDescent="0.25">
      <c r="A649" s="13" t="s">
        <v>661</v>
      </c>
      <c r="B649" s="13" t="s">
        <v>2190</v>
      </c>
      <c r="C649" s="13" t="s">
        <v>2201</v>
      </c>
      <c r="D649" s="13" t="s">
        <v>2204</v>
      </c>
      <c r="E649" s="13" t="s">
        <v>2210</v>
      </c>
      <c r="F649" s="13" t="s">
        <v>2223</v>
      </c>
      <c r="G649" s="13">
        <v>119.78</v>
      </c>
      <c r="H649" s="13">
        <v>0</v>
      </c>
      <c r="I649" s="13">
        <v>119.78</v>
      </c>
      <c r="J649" s="24">
        <v>45751</v>
      </c>
      <c r="K649" s="13">
        <v>22</v>
      </c>
      <c r="L649" s="13">
        <v>1.5</v>
      </c>
      <c r="M649" s="13" t="b">
        <v>1</v>
      </c>
      <c r="N649" s="13" t="s">
        <v>2225</v>
      </c>
      <c r="O649" s="13">
        <f t="shared" si="10"/>
        <v>1.5</v>
      </c>
    </row>
    <row r="650" spans="1:15" x14ac:dyDescent="0.25">
      <c r="A650" s="13" t="s">
        <v>662</v>
      </c>
      <c r="B650" s="13" t="s">
        <v>2194</v>
      </c>
      <c r="C650" s="13" t="s">
        <v>2198</v>
      </c>
      <c r="D650" s="13" t="s">
        <v>2207</v>
      </c>
      <c r="E650" s="13" t="s">
        <v>2212</v>
      </c>
      <c r="F650" s="13" t="s">
        <v>2217</v>
      </c>
      <c r="G650" s="13">
        <v>110.6</v>
      </c>
      <c r="H650" s="13">
        <v>0</v>
      </c>
      <c r="I650" s="13">
        <v>110.6</v>
      </c>
      <c r="J650" s="24">
        <v>45875</v>
      </c>
      <c r="K650" s="13">
        <v>19</v>
      </c>
      <c r="M650" s="13" t="b">
        <v>1</v>
      </c>
      <c r="N650" s="13" t="s">
        <v>2225</v>
      </c>
      <c r="O650" s="13">
        <f t="shared" si="10"/>
        <v>3.0384615384615379</v>
      </c>
    </row>
    <row r="651" spans="1:15" x14ac:dyDescent="0.25">
      <c r="A651" s="13" t="s">
        <v>663</v>
      </c>
      <c r="B651" s="13" t="s">
        <v>2191</v>
      </c>
      <c r="C651" s="13" t="s">
        <v>2196</v>
      </c>
      <c r="D651" s="13" t="s">
        <v>2204</v>
      </c>
      <c r="E651" s="13" t="s">
        <v>2210</v>
      </c>
      <c r="F651" s="13" t="s">
        <v>2223</v>
      </c>
      <c r="G651" s="13">
        <v>58.16</v>
      </c>
      <c r="H651" s="13">
        <v>0</v>
      </c>
      <c r="I651" s="13">
        <v>58.16</v>
      </c>
      <c r="J651" s="24">
        <v>45840</v>
      </c>
      <c r="K651" s="13">
        <v>29</v>
      </c>
      <c r="L651" s="13">
        <v>4.0999999999999996</v>
      </c>
      <c r="M651" s="13" t="b">
        <v>0</v>
      </c>
      <c r="O651" s="13">
        <f t="shared" si="10"/>
        <v>4.0999999999999996</v>
      </c>
    </row>
    <row r="652" spans="1:15" x14ac:dyDescent="0.25">
      <c r="A652" s="13" t="s">
        <v>664</v>
      </c>
      <c r="B652" s="13" t="s">
        <v>2190</v>
      </c>
      <c r="C652" s="13" t="s">
        <v>2199</v>
      </c>
      <c r="D652" s="13" t="s">
        <v>2206</v>
      </c>
      <c r="E652" s="13" t="s">
        <v>2210</v>
      </c>
      <c r="F652" s="13" t="s">
        <v>2220</v>
      </c>
      <c r="G652" s="13">
        <v>208.82</v>
      </c>
      <c r="H652" s="13">
        <v>0</v>
      </c>
      <c r="I652" s="13">
        <v>208.82</v>
      </c>
      <c r="J652" s="24">
        <v>45875</v>
      </c>
      <c r="K652" s="13">
        <v>45</v>
      </c>
      <c r="L652" s="13">
        <v>1.8</v>
      </c>
      <c r="M652" s="13" t="b">
        <v>0</v>
      </c>
      <c r="O652" s="13">
        <f t="shared" si="10"/>
        <v>1.8</v>
      </c>
    </row>
    <row r="653" spans="1:15" x14ac:dyDescent="0.25">
      <c r="A653" s="13" t="s">
        <v>665</v>
      </c>
      <c r="B653" s="13" t="s">
        <v>2193</v>
      </c>
      <c r="C653" s="13" t="s">
        <v>2201</v>
      </c>
      <c r="D653" s="13" t="s">
        <v>2205</v>
      </c>
      <c r="E653" s="13" t="s">
        <v>2213</v>
      </c>
      <c r="F653" s="13" t="s">
        <v>2216</v>
      </c>
      <c r="G653" s="13">
        <v>192.74</v>
      </c>
      <c r="H653" s="13">
        <v>0</v>
      </c>
      <c r="I653" s="13">
        <v>192.74</v>
      </c>
      <c r="J653" s="24">
        <v>45875</v>
      </c>
      <c r="K653" s="13">
        <v>43</v>
      </c>
      <c r="L653" s="13">
        <v>4.3</v>
      </c>
      <c r="M653" s="13" t="b">
        <v>0</v>
      </c>
      <c r="O653" s="13">
        <f t="shared" si="10"/>
        <v>4.3</v>
      </c>
    </row>
    <row r="654" spans="1:15" x14ac:dyDescent="0.25">
      <c r="A654" s="13" t="s">
        <v>666</v>
      </c>
      <c r="B654" s="13" t="s">
        <v>2192</v>
      </c>
      <c r="C654" s="13" t="s">
        <v>2202</v>
      </c>
      <c r="D654" s="13" t="s">
        <v>2206</v>
      </c>
      <c r="F654" s="13" t="s">
        <v>2214</v>
      </c>
      <c r="G654" s="13">
        <v>71.819999999999993</v>
      </c>
      <c r="H654" s="13">
        <v>18.399999999999999</v>
      </c>
      <c r="I654" s="13">
        <v>58.61</v>
      </c>
      <c r="J654" s="24">
        <v>45875</v>
      </c>
      <c r="K654" s="13">
        <v>50</v>
      </c>
      <c r="L654" s="13">
        <v>1.9</v>
      </c>
      <c r="M654" s="13" t="b">
        <v>0</v>
      </c>
      <c r="O654" s="13">
        <f t="shared" si="10"/>
        <v>1.9</v>
      </c>
    </row>
    <row r="655" spans="1:15" x14ac:dyDescent="0.25">
      <c r="A655" s="13" t="s">
        <v>667</v>
      </c>
      <c r="B655" s="13" t="s">
        <v>2193</v>
      </c>
      <c r="C655" s="13" t="s">
        <v>2196</v>
      </c>
      <c r="D655" s="13" t="s">
        <v>2207</v>
      </c>
      <c r="E655" s="13" t="s">
        <v>2212</v>
      </c>
      <c r="F655" s="13" t="s">
        <v>2214</v>
      </c>
      <c r="G655" s="13">
        <v>145.4</v>
      </c>
      <c r="H655" s="13">
        <v>0</v>
      </c>
      <c r="I655" s="13">
        <v>145.4</v>
      </c>
      <c r="J655" s="24">
        <v>45875</v>
      </c>
      <c r="K655" s="13">
        <v>14</v>
      </c>
      <c r="L655" s="13">
        <v>2</v>
      </c>
      <c r="M655" s="13" t="b">
        <v>0</v>
      </c>
      <c r="O655" s="13">
        <f t="shared" si="10"/>
        <v>2</v>
      </c>
    </row>
    <row r="656" spans="1:15" x14ac:dyDescent="0.25">
      <c r="A656" s="13" t="s">
        <v>668</v>
      </c>
      <c r="B656" s="13" t="s">
        <v>2194</v>
      </c>
      <c r="C656" s="13" t="s">
        <v>2199</v>
      </c>
      <c r="D656" s="13" t="s">
        <v>2207</v>
      </c>
      <c r="E656" s="13" t="s">
        <v>2211</v>
      </c>
      <c r="F656" s="13" t="s">
        <v>2224</v>
      </c>
      <c r="G656" s="13">
        <v>51.94</v>
      </c>
      <c r="H656" s="13">
        <v>0</v>
      </c>
      <c r="I656" s="13">
        <v>51.94</v>
      </c>
      <c r="J656" s="24">
        <v>45875</v>
      </c>
      <c r="K656" s="13">
        <v>9</v>
      </c>
      <c r="L656" s="13">
        <v>3.2</v>
      </c>
      <c r="M656" s="13" t="b">
        <v>0</v>
      </c>
      <c r="O656" s="13">
        <f t="shared" si="10"/>
        <v>3.2</v>
      </c>
    </row>
    <row r="657" spans="1:15" x14ac:dyDescent="0.25">
      <c r="A657" s="13" t="s">
        <v>669</v>
      </c>
      <c r="B657" s="13" t="s">
        <v>2192</v>
      </c>
      <c r="C657" s="13" t="s">
        <v>2201</v>
      </c>
      <c r="D657" s="13" t="s">
        <v>2204</v>
      </c>
      <c r="F657" s="13" t="s">
        <v>2216</v>
      </c>
      <c r="G657" s="13">
        <v>77.48</v>
      </c>
      <c r="H657" s="13">
        <v>0</v>
      </c>
      <c r="I657" s="13">
        <v>77.48</v>
      </c>
      <c r="J657" s="24">
        <v>45572</v>
      </c>
      <c r="K657" s="13">
        <v>49</v>
      </c>
      <c r="L657" s="13">
        <v>3.3</v>
      </c>
      <c r="M657" s="13" t="b">
        <v>1</v>
      </c>
      <c r="N657" s="13" t="s">
        <v>2228</v>
      </c>
      <c r="O657" s="13">
        <f t="shared" si="10"/>
        <v>3.3</v>
      </c>
    </row>
    <row r="658" spans="1:15" x14ac:dyDescent="0.25">
      <c r="A658" s="13" t="s">
        <v>670</v>
      </c>
      <c r="B658" s="13" t="s">
        <v>2195</v>
      </c>
      <c r="C658" s="13" t="s">
        <v>2199</v>
      </c>
      <c r="D658" s="13" t="s">
        <v>2207</v>
      </c>
      <c r="E658" s="13" t="s">
        <v>2209</v>
      </c>
      <c r="F658" s="13" t="s">
        <v>2216</v>
      </c>
      <c r="G658" s="13">
        <v>59.66</v>
      </c>
      <c r="H658" s="13">
        <v>45.2</v>
      </c>
      <c r="I658" s="13">
        <v>32.69</v>
      </c>
      <c r="J658" s="24">
        <v>45875</v>
      </c>
      <c r="K658" s="13">
        <v>14</v>
      </c>
      <c r="L658" s="13">
        <v>2.6</v>
      </c>
      <c r="M658" s="13" t="b">
        <v>0</v>
      </c>
      <c r="O658" s="13">
        <f t="shared" si="10"/>
        <v>2.6</v>
      </c>
    </row>
    <row r="659" spans="1:15" x14ac:dyDescent="0.25">
      <c r="A659" s="13" t="s">
        <v>671</v>
      </c>
      <c r="B659" s="13" t="s">
        <v>2194</v>
      </c>
      <c r="C659" s="13" t="s">
        <v>2197</v>
      </c>
      <c r="D659" s="13" t="s">
        <v>2207</v>
      </c>
      <c r="E659" s="13" t="s">
        <v>2210</v>
      </c>
      <c r="F659" s="13" t="s">
        <v>2214</v>
      </c>
      <c r="G659" s="13">
        <v>102.07</v>
      </c>
      <c r="H659" s="13">
        <v>0</v>
      </c>
      <c r="I659" s="13">
        <v>102.07</v>
      </c>
      <c r="J659" s="24">
        <v>45875</v>
      </c>
      <c r="K659" s="13">
        <v>26</v>
      </c>
      <c r="M659" s="13" t="b">
        <v>1</v>
      </c>
      <c r="N659" s="13" t="s">
        <v>2225</v>
      </c>
      <c r="O659" s="13">
        <f t="shared" si="10"/>
        <v>3.0846153846153843</v>
      </c>
    </row>
    <row r="660" spans="1:15" x14ac:dyDescent="0.25">
      <c r="A660" s="13" t="s">
        <v>672</v>
      </c>
      <c r="B660" s="13" t="s">
        <v>2192</v>
      </c>
      <c r="C660" s="13" t="s">
        <v>2198</v>
      </c>
      <c r="D660" s="13" t="s">
        <v>2204</v>
      </c>
      <c r="F660" s="13" t="s">
        <v>2218</v>
      </c>
      <c r="G660" s="13">
        <v>48.57</v>
      </c>
      <c r="H660" s="13">
        <v>0</v>
      </c>
      <c r="I660" s="13">
        <v>48.57</v>
      </c>
      <c r="J660" s="24">
        <v>45632</v>
      </c>
      <c r="K660" s="13">
        <v>12</v>
      </c>
      <c r="L660" s="13">
        <v>4.7</v>
      </c>
      <c r="M660" s="13" t="b">
        <v>0</v>
      </c>
      <c r="O660" s="13">
        <f t="shared" si="10"/>
        <v>4.7</v>
      </c>
    </row>
    <row r="661" spans="1:15" x14ac:dyDescent="0.25">
      <c r="A661" s="13" t="s">
        <v>673</v>
      </c>
      <c r="B661" s="13" t="s">
        <v>2193</v>
      </c>
      <c r="C661" s="13" t="s">
        <v>2202</v>
      </c>
      <c r="D661" s="13" t="s">
        <v>2207</v>
      </c>
      <c r="E661" s="13" t="s">
        <v>2213</v>
      </c>
      <c r="F661" s="13" t="s">
        <v>2222</v>
      </c>
      <c r="G661" s="13">
        <v>121.55</v>
      </c>
      <c r="H661" s="13">
        <v>0</v>
      </c>
      <c r="I661" s="13">
        <v>121.55</v>
      </c>
      <c r="J661" s="24">
        <v>45875</v>
      </c>
      <c r="K661" s="13">
        <v>16</v>
      </c>
      <c r="M661" s="13" t="b">
        <v>1</v>
      </c>
      <c r="N661" s="13" t="s">
        <v>2227</v>
      </c>
      <c r="O661" s="13">
        <f t="shared" si="10"/>
        <v>2.9083333333333328</v>
      </c>
    </row>
    <row r="662" spans="1:15" x14ac:dyDescent="0.25">
      <c r="A662" s="13" t="s">
        <v>674</v>
      </c>
      <c r="B662" s="13" t="s">
        <v>2192</v>
      </c>
      <c r="C662" s="13" t="s">
        <v>2201</v>
      </c>
      <c r="D662" s="13" t="s">
        <v>2205</v>
      </c>
      <c r="F662" s="13" t="s">
        <v>2222</v>
      </c>
      <c r="G662" s="13">
        <v>59.22</v>
      </c>
      <c r="H662" s="13">
        <v>44.8</v>
      </c>
      <c r="I662" s="13">
        <v>32.69</v>
      </c>
      <c r="J662" s="24">
        <v>45875</v>
      </c>
      <c r="K662" s="13">
        <v>21</v>
      </c>
      <c r="L662" s="13">
        <v>2</v>
      </c>
      <c r="M662" s="13" t="b">
        <v>0</v>
      </c>
      <c r="O662" s="13">
        <f t="shared" si="10"/>
        <v>2</v>
      </c>
    </row>
    <row r="663" spans="1:15" x14ac:dyDescent="0.25">
      <c r="A663" s="13" t="s">
        <v>675</v>
      </c>
      <c r="B663" s="13" t="s">
        <v>2191</v>
      </c>
      <c r="C663" s="13" t="s">
        <v>2201</v>
      </c>
      <c r="D663" s="13" t="s">
        <v>2204</v>
      </c>
      <c r="E663" s="13" t="s">
        <v>2212</v>
      </c>
      <c r="F663" s="13" t="s">
        <v>2221</v>
      </c>
      <c r="G663" s="13">
        <v>58.5</v>
      </c>
      <c r="H663" s="13">
        <v>2.1</v>
      </c>
      <c r="I663" s="13">
        <v>57.27</v>
      </c>
      <c r="J663" s="24">
        <v>45800</v>
      </c>
      <c r="K663" s="13">
        <v>24</v>
      </c>
      <c r="L663" s="13">
        <v>3.9</v>
      </c>
      <c r="M663" s="13" t="b">
        <v>0</v>
      </c>
      <c r="O663" s="13">
        <f t="shared" si="10"/>
        <v>3.9</v>
      </c>
    </row>
    <row r="664" spans="1:15" x14ac:dyDescent="0.25">
      <c r="A664" s="13" t="s">
        <v>676</v>
      </c>
      <c r="B664" s="13" t="s">
        <v>2192</v>
      </c>
      <c r="C664" s="13" t="s">
        <v>2203</v>
      </c>
      <c r="D664" s="13" t="s">
        <v>2206</v>
      </c>
      <c r="F664" s="13" t="s">
        <v>2220</v>
      </c>
      <c r="G664" s="13">
        <v>73.849999999999994</v>
      </c>
      <c r="H664" s="13">
        <v>0</v>
      </c>
      <c r="I664" s="13">
        <v>73.849999999999994</v>
      </c>
      <c r="J664" s="24">
        <v>45875</v>
      </c>
      <c r="K664" s="13">
        <v>46</v>
      </c>
      <c r="L664" s="13">
        <v>2</v>
      </c>
      <c r="M664" s="13" t="b">
        <v>0</v>
      </c>
      <c r="O664" s="13">
        <f t="shared" si="10"/>
        <v>2</v>
      </c>
    </row>
    <row r="665" spans="1:15" x14ac:dyDescent="0.25">
      <c r="A665" s="13" t="s">
        <v>677</v>
      </c>
      <c r="B665" s="13" t="s">
        <v>2194</v>
      </c>
      <c r="C665" s="13" t="s">
        <v>2200</v>
      </c>
      <c r="D665" s="13" t="s">
        <v>2207</v>
      </c>
      <c r="E665" s="13" t="s">
        <v>2211</v>
      </c>
      <c r="F665" s="13" t="s">
        <v>2214</v>
      </c>
      <c r="G665" s="13">
        <v>114.32</v>
      </c>
      <c r="H665" s="13">
        <v>36.5</v>
      </c>
      <c r="I665" s="13">
        <v>72.59</v>
      </c>
      <c r="J665" s="24">
        <v>45875</v>
      </c>
      <c r="K665" s="13">
        <v>41</v>
      </c>
      <c r="L665" s="13">
        <v>4.0999999999999996</v>
      </c>
      <c r="M665" s="13" t="b">
        <v>0</v>
      </c>
      <c r="O665" s="13">
        <f t="shared" si="10"/>
        <v>4.0999999999999996</v>
      </c>
    </row>
    <row r="666" spans="1:15" x14ac:dyDescent="0.25">
      <c r="A666" s="13" t="s">
        <v>678</v>
      </c>
      <c r="B666" s="13" t="s">
        <v>2194</v>
      </c>
      <c r="C666" s="13" t="s">
        <v>2203</v>
      </c>
      <c r="D666" s="13" t="s">
        <v>2207</v>
      </c>
      <c r="E666" s="13" t="s">
        <v>2212</v>
      </c>
      <c r="F666" s="13" t="s">
        <v>2218</v>
      </c>
      <c r="G666" s="13">
        <v>91.4</v>
      </c>
      <c r="H666" s="13">
        <v>11</v>
      </c>
      <c r="I666" s="13">
        <v>81.349999999999994</v>
      </c>
      <c r="J666" s="24">
        <v>45875</v>
      </c>
      <c r="K666" s="13">
        <v>18</v>
      </c>
      <c r="L666" s="13">
        <v>1.6</v>
      </c>
      <c r="M666" s="13" t="b">
        <v>0</v>
      </c>
      <c r="O666" s="13">
        <f t="shared" si="10"/>
        <v>1.6</v>
      </c>
    </row>
    <row r="667" spans="1:15" x14ac:dyDescent="0.25">
      <c r="A667" s="13" t="s">
        <v>679</v>
      </c>
      <c r="B667" s="13" t="s">
        <v>2192</v>
      </c>
      <c r="C667" s="13" t="s">
        <v>2203</v>
      </c>
      <c r="D667" s="13" t="s">
        <v>2205</v>
      </c>
      <c r="F667" s="13" t="s">
        <v>2222</v>
      </c>
      <c r="G667" s="13">
        <v>69.77</v>
      </c>
      <c r="H667" s="13">
        <v>0</v>
      </c>
      <c r="I667" s="13">
        <v>69.77</v>
      </c>
      <c r="J667" s="24">
        <v>45875</v>
      </c>
      <c r="K667" s="13">
        <v>30</v>
      </c>
      <c r="M667" s="13" t="b">
        <v>1</v>
      </c>
      <c r="N667" s="13" t="s">
        <v>2225</v>
      </c>
      <c r="O667" s="13">
        <f t="shared" si="10"/>
        <v>2.8636363636363633</v>
      </c>
    </row>
    <row r="668" spans="1:15" x14ac:dyDescent="0.25">
      <c r="A668" s="13" t="s">
        <v>680</v>
      </c>
      <c r="B668" s="13" t="s">
        <v>2191</v>
      </c>
      <c r="C668" s="13" t="s">
        <v>2200</v>
      </c>
      <c r="D668" s="13" t="s">
        <v>2207</v>
      </c>
      <c r="E668" s="13" t="s">
        <v>2209</v>
      </c>
      <c r="F668" s="13" t="s">
        <v>2216</v>
      </c>
      <c r="G668" s="13">
        <v>72.95</v>
      </c>
      <c r="H668" s="13">
        <v>0</v>
      </c>
      <c r="I668" s="13">
        <v>72.95</v>
      </c>
      <c r="J668" s="24">
        <v>45875</v>
      </c>
      <c r="K668" s="13">
        <v>27</v>
      </c>
      <c r="L668" s="13">
        <v>4.8</v>
      </c>
      <c r="M668" s="13" t="b">
        <v>0</v>
      </c>
      <c r="O668" s="13">
        <f t="shared" si="10"/>
        <v>4.8</v>
      </c>
    </row>
    <row r="669" spans="1:15" x14ac:dyDescent="0.25">
      <c r="A669" s="13" t="s">
        <v>681</v>
      </c>
      <c r="B669" s="13" t="s">
        <v>2194</v>
      </c>
      <c r="C669" s="13" t="s">
        <v>2201</v>
      </c>
      <c r="D669" s="13" t="s">
        <v>2207</v>
      </c>
      <c r="E669" s="13" t="s">
        <v>2208</v>
      </c>
      <c r="F669" s="13" t="s">
        <v>2221</v>
      </c>
      <c r="G669" s="13">
        <v>63.99</v>
      </c>
      <c r="H669" s="13">
        <v>42.2</v>
      </c>
      <c r="I669" s="13">
        <v>36.99</v>
      </c>
      <c r="J669" s="24">
        <v>45875</v>
      </c>
      <c r="K669" s="13">
        <v>35</v>
      </c>
      <c r="L669" s="13">
        <v>3.2</v>
      </c>
      <c r="M669" s="13" t="b">
        <v>0</v>
      </c>
      <c r="O669" s="13">
        <f t="shared" si="10"/>
        <v>3.2</v>
      </c>
    </row>
    <row r="670" spans="1:15" x14ac:dyDescent="0.25">
      <c r="A670" s="13" t="s">
        <v>682</v>
      </c>
      <c r="B670" s="13" t="s">
        <v>2195</v>
      </c>
      <c r="C670" s="13" t="s">
        <v>2198</v>
      </c>
      <c r="D670" s="13" t="s">
        <v>2207</v>
      </c>
      <c r="E670" s="13" t="s">
        <v>2208</v>
      </c>
      <c r="F670" s="13" t="s">
        <v>2219</v>
      </c>
      <c r="G670" s="13">
        <v>74.84</v>
      </c>
      <c r="H670" s="13">
        <v>51.9</v>
      </c>
      <c r="I670" s="13">
        <v>36</v>
      </c>
      <c r="J670" s="24">
        <v>45875</v>
      </c>
      <c r="K670" s="13">
        <v>35</v>
      </c>
      <c r="L670" s="13">
        <v>2.5</v>
      </c>
      <c r="M670" s="13" t="b">
        <v>0</v>
      </c>
      <c r="O670" s="13">
        <f t="shared" si="10"/>
        <v>2.5</v>
      </c>
    </row>
    <row r="671" spans="1:15" x14ac:dyDescent="0.25">
      <c r="A671" s="13" t="s">
        <v>683</v>
      </c>
      <c r="B671" s="13" t="s">
        <v>2190</v>
      </c>
      <c r="C671" s="13" t="s">
        <v>2200</v>
      </c>
      <c r="D671" s="13" t="s">
        <v>2204</v>
      </c>
      <c r="E671" s="13" t="s">
        <v>2212</v>
      </c>
      <c r="F671" s="13" t="s">
        <v>2216</v>
      </c>
      <c r="G671" s="13">
        <v>158.84</v>
      </c>
      <c r="H671" s="13">
        <v>0</v>
      </c>
      <c r="I671" s="13">
        <v>158.84</v>
      </c>
      <c r="J671" s="24">
        <v>45763</v>
      </c>
      <c r="K671" s="13">
        <v>30</v>
      </c>
      <c r="L671" s="13">
        <v>4.5999999999999996</v>
      </c>
      <c r="M671" s="13" t="b">
        <v>0</v>
      </c>
      <c r="O671" s="13">
        <f t="shared" si="10"/>
        <v>4.5999999999999996</v>
      </c>
    </row>
    <row r="672" spans="1:15" x14ac:dyDescent="0.25">
      <c r="A672" s="13" t="s">
        <v>684</v>
      </c>
      <c r="B672" s="13" t="s">
        <v>2193</v>
      </c>
      <c r="C672" s="13" t="s">
        <v>2199</v>
      </c>
      <c r="D672" s="13" t="s">
        <v>2204</v>
      </c>
      <c r="E672" s="13" t="s">
        <v>2213</v>
      </c>
      <c r="F672" s="13" t="s">
        <v>2224</v>
      </c>
      <c r="G672" s="13">
        <v>96.36</v>
      </c>
      <c r="H672" s="13">
        <v>58.6</v>
      </c>
      <c r="I672" s="13">
        <v>39.89</v>
      </c>
      <c r="J672" s="24">
        <v>45698</v>
      </c>
      <c r="K672" s="13">
        <v>16</v>
      </c>
      <c r="L672" s="13">
        <v>3.9</v>
      </c>
      <c r="M672" s="13" t="b">
        <v>0</v>
      </c>
      <c r="O672" s="13">
        <f t="shared" si="10"/>
        <v>3.9</v>
      </c>
    </row>
    <row r="673" spans="1:15" x14ac:dyDescent="0.25">
      <c r="A673" s="13" t="s">
        <v>685</v>
      </c>
      <c r="B673" s="13" t="s">
        <v>2194</v>
      </c>
      <c r="C673" s="13" t="s">
        <v>2200</v>
      </c>
      <c r="D673" s="13" t="s">
        <v>2204</v>
      </c>
      <c r="E673" s="13" t="s">
        <v>2212</v>
      </c>
      <c r="F673" s="13" t="s">
        <v>2223</v>
      </c>
      <c r="G673" s="13">
        <v>51.06</v>
      </c>
      <c r="H673" s="13">
        <v>13.9</v>
      </c>
      <c r="I673" s="13">
        <v>43.96</v>
      </c>
      <c r="J673" s="24">
        <v>45520</v>
      </c>
      <c r="K673" s="13">
        <v>16</v>
      </c>
      <c r="L673" s="13">
        <v>1.3</v>
      </c>
      <c r="M673" s="13" t="b">
        <v>0</v>
      </c>
      <c r="O673" s="13">
        <f t="shared" si="10"/>
        <v>1.3</v>
      </c>
    </row>
    <row r="674" spans="1:15" x14ac:dyDescent="0.25">
      <c r="A674" s="13" t="s">
        <v>686</v>
      </c>
      <c r="B674" s="13" t="s">
        <v>2194</v>
      </c>
      <c r="C674" s="13" t="s">
        <v>2198</v>
      </c>
      <c r="D674" s="13" t="s">
        <v>2207</v>
      </c>
      <c r="E674" s="13" t="s">
        <v>2209</v>
      </c>
      <c r="F674" s="13" t="s">
        <v>2222</v>
      </c>
      <c r="G674" s="13">
        <v>49.75</v>
      </c>
      <c r="H674" s="13">
        <v>26.4</v>
      </c>
      <c r="I674" s="13">
        <v>36.619999999999997</v>
      </c>
      <c r="J674" s="24">
        <v>45875</v>
      </c>
      <c r="K674" s="13">
        <v>24</v>
      </c>
      <c r="L674" s="13">
        <v>3.8</v>
      </c>
      <c r="M674" s="13" t="b">
        <v>0</v>
      </c>
      <c r="O674" s="13">
        <f t="shared" si="10"/>
        <v>3.8</v>
      </c>
    </row>
    <row r="675" spans="1:15" x14ac:dyDescent="0.25">
      <c r="A675" s="13" t="s">
        <v>687</v>
      </c>
      <c r="B675" s="13" t="s">
        <v>2195</v>
      </c>
      <c r="C675" s="13" t="s">
        <v>2199</v>
      </c>
      <c r="D675" s="13" t="s">
        <v>2204</v>
      </c>
      <c r="E675" s="13" t="s">
        <v>2212</v>
      </c>
      <c r="F675" s="13" t="s">
        <v>2215</v>
      </c>
      <c r="G675" s="13">
        <v>148.97999999999999</v>
      </c>
      <c r="H675" s="13">
        <v>0</v>
      </c>
      <c r="I675" s="13">
        <v>148.97999999999999</v>
      </c>
      <c r="J675" s="24">
        <v>45591</v>
      </c>
      <c r="K675" s="13">
        <v>11</v>
      </c>
      <c r="L675" s="13">
        <v>2.2000000000000002</v>
      </c>
      <c r="M675" s="13" t="b">
        <v>1</v>
      </c>
      <c r="N675" s="13" t="s">
        <v>2230</v>
      </c>
      <c r="O675" s="13">
        <f t="shared" si="10"/>
        <v>2.2000000000000002</v>
      </c>
    </row>
    <row r="676" spans="1:15" x14ac:dyDescent="0.25">
      <c r="A676" s="13" t="s">
        <v>688</v>
      </c>
      <c r="B676" s="13" t="s">
        <v>2192</v>
      </c>
      <c r="C676" s="13" t="s">
        <v>2202</v>
      </c>
      <c r="D676" s="13" t="s">
        <v>2205</v>
      </c>
      <c r="F676" s="13" t="s">
        <v>2218</v>
      </c>
      <c r="G676" s="13">
        <v>72.239999999999995</v>
      </c>
      <c r="H676" s="13">
        <v>0</v>
      </c>
      <c r="I676" s="13">
        <v>72.239999999999995</v>
      </c>
      <c r="J676" s="24">
        <v>45875</v>
      </c>
      <c r="K676" s="13">
        <v>35</v>
      </c>
      <c r="L676" s="13">
        <v>4.0999999999999996</v>
      </c>
      <c r="M676" s="13" t="b">
        <v>0</v>
      </c>
      <c r="O676" s="13">
        <f t="shared" si="10"/>
        <v>4.0999999999999996</v>
      </c>
    </row>
    <row r="677" spans="1:15" x14ac:dyDescent="0.25">
      <c r="A677" s="13" t="s">
        <v>689</v>
      </c>
      <c r="B677" s="13" t="s">
        <v>2191</v>
      </c>
      <c r="C677" s="13" t="s">
        <v>2199</v>
      </c>
      <c r="D677" s="13" t="s">
        <v>2205</v>
      </c>
      <c r="E677" s="13" t="s">
        <v>2212</v>
      </c>
      <c r="F677" s="13" t="s">
        <v>2219</v>
      </c>
      <c r="G677" s="13">
        <v>94.92</v>
      </c>
      <c r="H677" s="13">
        <v>0</v>
      </c>
      <c r="I677" s="13">
        <v>94.92</v>
      </c>
      <c r="J677" s="24">
        <v>45875</v>
      </c>
      <c r="K677" s="13">
        <v>5</v>
      </c>
      <c r="L677" s="13">
        <v>3.3</v>
      </c>
      <c r="M677" s="13" t="b">
        <v>0</v>
      </c>
      <c r="O677" s="13">
        <f t="shared" si="10"/>
        <v>3.3</v>
      </c>
    </row>
    <row r="678" spans="1:15" x14ac:dyDescent="0.25">
      <c r="A678" s="13" t="s">
        <v>690</v>
      </c>
      <c r="B678" s="13" t="s">
        <v>2190</v>
      </c>
      <c r="C678" s="13" t="s">
        <v>2198</v>
      </c>
      <c r="D678" s="13" t="s">
        <v>2206</v>
      </c>
      <c r="E678" s="13" t="s">
        <v>2211</v>
      </c>
      <c r="F678" s="13" t="s">
        <v>2224</v>
      </c>
      <c r="G678" s="13">
        <v>91.08</v>
      </c>
      <c r="H678" s="13">
        <v>0</v>
      </c>
      <c r="I678" s="13">
        <v>91.08</v>
      </c>
      <c r="J678" s="24">
        <v>45875</v>
      </c>
      <c r="K678" s="13">
        <v>47</v>
      </c>
      <c r="L678" s="13">
        <v>4.9000000000000004</v>
      </c>
      <c r="M678" s="13" t="b">
        <v>0</v>
      </c>
      <c r="O678" s="13">
        <f t="shared" si="10"/>
        <v>4.9000000000000004</v>
      </c>
    </row>
    <row r="679" spans="1:15" x14ac:dyDescent="0.25">
      <c r="A679" s="13" t="s">
        <v>691</v>
      </c>
      <c r="B679" s="13" t="s">
        <v>2192</v>
      </c>
      <c r="C679" s="13" t="s">
        <v>2198</v>
      </c>
      <c r="D679" s="13" t="s">
        <v>2206</v>
      </c>
      <c r="F679" s="13" t="s">
        <v>2224</v>
      </c>
      <c r="G679" s="13">
        <v>49.72</v>
      </c>
      <c r="H679" s="13">
        <v>58.3</v>
      </c>
      <c r="I679" s="13">
        <v>20.73</v>
      </c>
      <c r="J679" s="24">
        <v>45875</v>
      </c>
      <c r="K679" s="13">
        <v>4</v>
      </c>
      <c r="L679" s="13">
        <v>1.6</v>
      </c>
      <c r="M679" s="13" t="b">
        <v>0</v>
      </c>
      <c r="O679" s="13">
        <f t="shared" si="10"/>
        <v>1.6</v>
      </c>
    </row>
    <row r="680" spans="1:15" x14ac:dyDescent="0.25">
      <c r="A680" s="13" t="s">
        <v>692</v>
      </c>
      <c r="B680" s="13" t="s">
        <v>2192</v>
      </c>
      <c r="C680" s="13" t="s">
        <v>2202</v>
      </c>
      <c r="D680" s="13" t="s">
        <v>2205</v>
      </c>
      <c r="F680" s="13" t="s">
        <v>2223</v>
      </c>
      <c r="G680" s="13">
        <v>23.09</v>
      </c>
      <c r="H680" s="13">
        <v>7.1</v>
      </c>
      <c r="I680" s="13">
        <v>21.45</v>
      </c>
      <c r="J680" s="24">
        <v>45875</v>
      </c>
      <c r="K680" s="13">
        <v>11</v>
      </c>
      <c r="L680" s="13">
        <v>1.2</v>
      </c>
      <c r="M680" s="13" t="b">
        <v>0</v>
      </c>
      <c r="O680" s="13">
        <f t="shared" si="10"/>
        <v>1.2</v>
      </c>
    </row>
    <row r="681" spans="1:15" x14ac:dyDescent="0.25">
      <c r="A681" s="13" t="s">
        <v>693</v>
      </c>
      <c r="B681" s="13" t="s">
        <v>2192</v>
      </c>
      <c r="C681" s="13" t="s">
        <v>2196</v>
      </c>
      <c r="D681" s="13" t="s">
        <v>2204</v>
      </c>
      <c r="F681" s="13" t="s">
        <v>2214</v>
      </c>
      <c r="G681" s="13">
        <v>49.95</v>
      </c>
      <c r="H681" s="13">
        <v>0</v>
      </c>
      <c r="I681" s="13">
        <v>49.95</v>
      </c>
      <c r="J681" s="24">
        <v>45552</v>
      </c>
      <c r="K681" s="13">
        <v>29</v>
      </c>
      <c r="L681" s="13">
        <v>4.3</v>
      </c>
      <c r="M681" s="13" t="b">
        <v>0</v>
      </c>
      <c r="O681" s="13">
        <f t="shared" si="10"/>
        <v>4.3</v>
      </c>
    </row>
    <row r="682" spans="1:15" x14ac:dyDescent="0.25">
      <c r="A682" s="13" t="s">
        <v>694</v>
      </c>
      <c r="B682" s="13" t="s">
        <v>2192</v>
      </c>
      <c r="C682" s="13" t="s">
        <v>2203</v>
      </c>
      <c r="D682" s="13" t="s">
        <v>2205</v>
      </c>
      <c r="F682" s="13" t="s">
        <v>2220</v>
      </c>
      <c r="G682" s="13">
        <v>25.7</v>
      </c>
      <c r="H682" s="13">
        <v>0</v>
      </c>
      <c r="I682" s="13">
        <v>25.7</v>
      </c>
      <c r="J682" s="24">
        <v>45875</v>
      </c>
      <c r="K682" s="13">
        <v>38</v>
      </c>
      <c r="L682" s="13">
        <v>3.2</v>
      </c>
      <c r="M682" s="13" t="b">
        <v>1</v>
      </c>
      <c r="N682" s="13" t="s">
        <v>2228</v>
      </c>
      <c r="O682" s="13">
        <f t="shared" si="10"/>
        <v>3.2</v>
      </c>
    </row>
    <row r="683" spans="1:15" x14ac:dyDescent="0.25">
      <c r="A683" s="13" t="s">
        <v>695</v>
      </c>
      <c r="B683" s="13" t="s">
        <v>2193</v>
      </c>
      <c r="C683" s="13" t="s">
        <v>2199</v>
      </c>
      <c r="D683" s="13" t="s">
        <v>2207</v>
      </c>
      <c r="E683" s="13" t="s">
        <v>2212</v>
      </c>
      <c r="F683" s="13" t="s">
        <v>2220</v>
      </c>
      <c r="G683" s="13">
        <v>175.22</v>
      </c>
      <c r="H683" s="13">
        <v>0</v>
      </c>
      <c r="I683" s="13">
        <v>175.22</v>
      </c>
      <c r="J683" s="24">
        <v>45875</v>
      </c>
      <c r="K683" s="13">
        <v>8</v>
      </c>
      <c r="L683" s="13">
        <v>4.9000000000000004</v>
      </c>
      <c r="M683" s="13" t="b">
        <v>0</v>
      </c>
      <c r="O683" s="13">
        <f t="shared" si="10"/>
        <v>4.9000000000000004</v>
      </c>
    </row>
    <row r="684" spans="1:15" x14ac:dyDescent="0.25">
      <c r="A684" s="13" t="s">
        <v>696</v>
      </c>
      <c r="B684" s="13" t="s">
        <v>2194</v>
      </c>
      <c r="C684" s="13" t="s">
        <v>2201</v>
      </c>
      <c r="D684" s="13" t="s">
        <v>2207</v>
      </c>
      <c r="E684" s="13" t="s">
        <v>2212</v>
      </c>
      <c r="F684" s="13" t="s">
        <v>2218</v>
      </c>
      <c r="G684" s="13">
        <v>37.57</v>
      </c>
      <c r="H684" s="13">
        <v>0</v>
      </c>
      <c r="I684" s="13">
        <v>37.57</v>
      </c>
      <c r="J684" s="24">
        <v>45875</v>
      </c>
      <c r="K684" s="13">
        <v>18</v>
      </c>
      <c r="L684" s="13">
        <v>1.9</v>
      </c>
      <c r="M684" s="13" t="b">
        <v>0</v>
      </c>
      <c r="O684" s="13">
        <f t="shared" si="10"/>
        <v>1.9</v>
      </c>
    </row>
    <row r="685" spans="1:15" x14ac:dyDescent="0.25">
      <c r="A685" s="13" t="s">
        <v>697</v>
      </c>
      <c r="B685" s="13" t="s">
        <v>2190</v>
      </c>
      <c r="C685" s="13" t="s">
        <v>2196</v>
      </c>
      <c r="D685" s="13" t="s">
        <v>2204</v>
      </c>
      <c r="E685" s="13" t="s">
        <v>2213</v>
      </c>
      <c r="F685" s="13" t="s">
        <v>2220</v>
      </c>
      <c r="G685" s="13">
        <v>245.87</v>
      </c>
      <c r="H685" s="13">
        <v>0</v>
      </c>
      <c r="I685" s="13">
        <v>245.87</v>
      </c>
      <c r="J685" s="24">
        <v>45832</v>
      </c>
      <c r="K685" s="13">
        <v>27</v>
      </c>
      <c r="L685" s="13">
        <v>2.6</v>
      </c>
      <c r="M685" s="13" t="b">
        <v>0</v>
      </c>
      <c r="O685" s="13">
        <f t="shared" si="10"/>
        <v>2.6</v>
      </c>
    </row>
    <row r="686" spans="1:15" x14ac:dyDescent="0.25">
      <c r="A686" s="13" t="s">
        <v>698</v>
      </c>
      <c r="B686" s="13" t="s">
        <v>2194</v>
      </c>
      <c r="C686" s="13" t="s">
        <v>2198</v>
      </c>
      <c r="D686" s="13" t="s">
        <v>2205</v>
      </c>
      <c r="E686" s="13" t="s">
        <v>2212</v>
      </c>
      <c r="F686" s="13" t="s">
        <v>2214</v>
      </c>
      <c r="G686" s="13">
        <v>116.92</v>
      </c>
      <c r="H686" s="13">
        <v>0</v>
      </c>
      <c r="I686" s="13">
        <v>116.92</v>
      </c>
      <c r="J686" s="24">
        <v>45875</v>
      </c>
      <c r="K686" s="13">
        <v>13</v>
      </c>
      <c r="L686" s="13">
        <v>3.2</v>
      </c>
      <c r="M686" s="13" t="b">
        <v>0</v>
      </c>
      <c r="O686" s="13">
        <f t="shared" si="10"/>
        <v>3.2</v>
      </c>
    </row>
    <row r="687" spans="1:15" x14ac:dyDescent="0.25">
      <c r="A687" s="13" t="s">
        <v>699</v>
      </c>
      <c r="B687" s="13" t="s">
        <v>2195</v>
      </c>
      <c r="C687" s="13" t="s">
        <v>2201</v>
      </c>
      <c r="D687" s="13" t="s">
        <v>2205</v>
      </c>
      <c r="E687" s="13" t="s">
        <v>2209</v>
      </c>
      <c r="F687" s="13" t="s">
        <v>2215</v>
      </c>
      <c r="G687" s="13">
        <v>103.11</v>
      </c>
      <c r="H687" s="13">
        <v>0</v>
      </c>
      <c r="I687" s="13">
        <v>103.11</v>
      </c>
      <c r="J687" s="24">
        <v>45875</v>
      </c>
      <c r="K687" s="13">
        <v>17</v>
      </c>
      <c r="M687" s="13" t="b">
        <v>0</v>
      </c>
      <c r="O687" s="13">
        <f t="shared" si="10"/>
        <v>3.1874999999999991</v>
      </c>
    </row>
    <row r="688" spans="1:15" x14ac:dyDescent="0.25">
      <c r="A688" s="13" t="s">
        <v>700</v>
      </c>
      <c r="B688" s="13" t="s">
        <v>2190</v>
      </c>
      <c r="C688" s="13" t="s">
        <v>2197</v>
      </c>
      <c r="D688" s="13" t="s">
        <v>2206</v>
      </c>
      <c r="E688" s="13" t="s">
        <v>2213</v>
      </c>
      <c r="F688" s="13" t="s">
        <v>2223</v>
      </c>
      <c r="G688" s="13">
        <v>238.89</v>
      </c>
      <c r="H688" s="13">
        <v>0.5</v>
      </c>
      <c r="I688" s="13">
        <v>237.7</v>
      </c>
      <c r="J688" s="24">
        <v>45875</v>
      </c>
      <c r="K688" s="13">
        <v>28</v>
      </c>
      <c r="L688" s="13">
        <v>2.7</v>
      </c>
      <c r="M688" s="13" t="b">
        <v>0</v>
      </c>
      <c r="O688" s="13">
        <f t="shared" si="10"/>
        <v>2.7</v>
      </c>
    </row>
    <row r="689" spans="1:15" x14ac:dyDescent="0.25">
      <c r="A689" s="13" t="s">
        <v>701</v>
      </c>
      <c r="B689" s="13" t="s">
        <v>2193</v>
      </c>
      <c r="C689" s="13" t="s">
        <v>2197</v>
      </c>
      <c r="D689" s="13" t="s">
        <v>2207</v>
      </c>
      <c r="E689" s="13" t="s">
        <v>2212</v>
      </c>
      <c r="F689" s="13" t="s">
        <v>2215</v>
      </c>
      <c r="G689" s="13">
        <v>86.81</v>
      </c>
      <c r="H689" s="13">
        <v>12.6</v>
      </c>
      <c r="I689" s="13">
        <v>75.87</v>
      </c>
      <c r="J689" s="24">
        <v>45875</v>
      </c>
      <c r="K689" s="13">
        <v>6</v>
      </c>
      <c r="L689" s="13">
        <v>1.7</v>
      </c>
      <c r="M689" s="13" t="b">
        <v>0</v>
      </c>
      <c r="O689" s="13">
        <f t="shared" si="10"/>
        <v>1.7</v>
      </c>
    </row>
    <row r="690" spans="1:15" x14ac:dyDescent="0.25">
      <c r="A690" s="13" t="s">
        <v>702</v>
      </c>
      <c r="B690" s="13" t="s">
        <v>2194</v>
      </c>
      <c r="C690" s="13" t="s">
        <v>2199</v>
      </c>
      <c r="D690" s="13" t="s">
        <v>2207</v>
      </c>
      <c r="E690" s="13" t="s">
        <v>2212</v>
      </c>
      <c r="F690" s="13" t="s">
        <v>2219</v>
      </c>
      <c r="G690" s="13">
        <v>58.8</v>
      </c>
      <c r="H690" s="13">
        <v>11.8</v>
      </c>
      <c r="I690" s="13">
        <v>51.86</v>
      </c>
      <c r="J690" s="24">
        <v>45875</v>
      </c>
      <c r="K690" s="13">
        <v>8</v>
      </c>
      <c r="M690" s="13" t="b">
        <v>0</v>
      </c>
      <c r="O690" s="13">
        <f t="shared" si="10"/>
        <v>2.8142857142857149</v>
      </c>
    </row>
    <row r="691" spans="1:15" x14ac:dyDescent="0.25">
      <c r="A691" s="13" t="s">
        <v>703</v>
      </c>
      <c r="B691" s="13" t="s">
        <v>2194</v>
      </c>
      <c r="C691" s="13" t="s">
        <v>2201</v>
      </c>
      <c r="D691" s="13" t="s">
        <v>2204</v>
      </c>
      <c r="E691" s="13" t="s">
        <v>2208</v>
      </c>
      <c r="F691" s="13" t="s">
        <v>2221</v>
      </c>
      <c r="G691" s="13">
        <v>41.65</v>
      </c>
      <c r="H691" s="13">
        <v>52</v>
      </c>
      <c r="I691" s="13">
        <v>19.989999999999998</v>
      </c>
      <c r="J691" s="24">
        <v>45793</v>
      </c>
      <c r="K691" s="13">
        <v>20</v>
      </c>
      <c r="L691" s="13">
        <v>1.2</v>
      </c>
      <c r="M691" s="13" t="b">
        <v>0</v>
      </c>
      <c r="O691" s="13">
        <f t="shared" si="10"/>
        <v>1.2</v>
      </c>
    </row>
    <row r="692" spans="1:15" x14ac:dyDescent="0.25">
      <c r="A692" s="13" t="s">
        <v>704</v>
      </c>
      <c r="B692" s="13" t="s">
        <v>2191</v>
      </c>
      <c r="C692" s="13" t="s">
        <v>2200</v>
      </c>
      <c r="D692" s="13" t="s">
        <v>2204</v>
      </c>
      <c r="E692" s="13" t="s">
        <v>2208</v>
      </c>
      <c r="F692" s="13" t="s">
        <v>2216</v>
      </c>
      <c r="G692" s="13">
        <v>61.67</v>
      </c>
      <c r="H692" s="13">
        <v>46.4</v>
      </c>
      <c r="I692" s="13">
        <v>33.06</v>
      </c>
      <c r="J692" s="24">
        <v>45853</v>
      </c>
      <c r="K692" s="13">
        <v>50</v>
      </c>
      <c r="L692" s="13">
        <v>2.7</v>
      </c>
      <c r="M692" s="13" t="b">
        <v>0</v>
      </c>
      <c r="O692" s="13">
        <f t="shared" si="10"/>
        <v>2.7</v>
      </c>
    </row>
    <row r="693" spans="1:15" x14ac:dyDescent="0.25">
      <c r="A693" s="13" t="s">
        <v>705</v>
      </c>
      <c r="B693" s="13" t="s">
        <v>2194</v>
      </c>
      <c r="C693" s="13" t="s">
        <v>2200</v>
      </c>
      <c r="D693" s="13" t="s">
        <v>2206</v>
      </c>
      <c r="E693" s="13" t="s">
        <v>2212</v>
      </c>
      <c r="F693" s="13" t="s">
        <v>2216</v>
      </c>
      <c r="G693" s="13">
        <v>40.39</v>
      </c>
      <c r="H693" s="13">
        <v>0</v>
      </c>
      <c r="I693" s="13">
        <v>40.39</v>
      </c>
      <c r="J693" s="24">
        <v>45875</v>
      </c>
      <c r="K693" s="13">
        <v>16</v>
      </c>
      <c r="M693" s="13" t="b">
        <v>0</v>
      </c>
      <c r="O693" s="13">
        <f t="shared" si="10"/>
        <v>3.0659090909090896</v>
      </c>
    </row>
    <row r="694" spans="1:15" x14ac:dyDescent="0.25">
      <c r="A694" s="13" t="s">
        <v>706</v>
      </c>
      <c r="B694" s="13" t="s">
        <v>2191</v>
      </c>
      <c r="C694" s="13" t="s">
        <v>2201</v>
      </c>
      <c r="D694" s="13" t="s">
        <v>2206</v>
      </c>
      <c r="E694" s="13" t="s">
        <v>2211</v>
      </c>
      <c r="F694" s="13" t="s">
        <v>2223</v>
      </c>
      <c r="G694" s="13">
        <v>95.13</v>
      </c>
      <c r="H694" s="13">
        <v>45.4</v>
      </c>
      <c r="I694" s="13">
        <v>51.94</v>
      </c>
      <c r="J694" s="24">
        <v>45875</v>
      </c>
      <c r="K694" s="13">
        <v>46</v>
      </c>
      <c r="L694" s="13">
        <v>2.5</v>
      </c>
      <c r="M694" s="13" t="b">
        <v>0</v>
      </c>
      <c r="O694" s="13">
        <f t="shared" si="10"/>
        <v>2.5</v>
      </c>
    </row>
    <row r="695" spans="1:15" x14ac:dyDescent="0.25">
      <c r="A695" s="13" t="s">
        <v>707</v>
      </c>
      <c r="B695" s="13" t="s">
        <v>2194</v>
      </c>
      <c r="C695" s="13" t="s">
        <v>2196</v>
      </c>
      <c r="D695" s="13" t="s">
        <v>2206</v>
      </c>
      <c r="E695" s="13" t="s">
        <v>2210</v>
      </c>
      <c r="F695" s="13" t="s">
        <v>2220</v>
      </c>
      <c r="G695" s="13">
        <v>115.14</v>
      </c>
      <c r="H695" s="13">
        <v>0</v>
      </c>
      <c r="I695" s="13">
        <v>115.14</v>
      </c>
      <c r="J695" s="24">
        <v>45875</v>
      </c>
      <c r="K695" s="13">
        <v>43</v>
      </c>
      <c r="L695" s="13">
        <v>2.5</v>
      </c>
      <c r="M695" s="13" t="b">
        <v>0</v>
      </c>
      <c r="O695" s="13">
        <f t="shared" si="10"/>
        <v>2.5</v>
      </c>
    </row>
    <row r="696" spans="1:15" x14ac:dyDescent="0.25">
      <c r="A696" s="13" t="s">
        <v>708</v>
      </c>
      <c r="B696" s="13" t="s">
        <v>2191</v>
      </c>
      <c r="C696" s="13" t="s">
        <v>2200</v>
      </c>
      <c r="D696" s="13" t="s">
        <v>2207</v>
      </c>
      <c r="F696" s="13" t="s">
        <v>2221</v>
      </c>
      <c r="G696" s="13">
        <v>59.58</v>
      </c>
      <c r="H696" s="13">
        <v>0</v>
      </c>
      <c r="I696" s="13">
        <v>59.58</v>
      </c>
      <c r="J696" s="24">
        <v>45875</v>
      </c>
      <c r="K696" s="13">
        <v>27</v>
      </c>
      <c r="L696" s="13">
        <v>3.3</v>
      </c>
      <c r="M696" s="13" t="b">
        <v>0</v>
      </c>
      <c r="O696" s="13">
        <f t="shared" si="10"/>
        <v>3.3</v>
      </c>
    </row>
    <row r="697" spans="1:15" x14ac:dyDescent="0.25">
      <c r="A697" s="13" t="s">
        <v>709</v>
      </c>
      <c r="B697" s="13" t="s">
        <v>2193</v>
      </c>
      <c r="C697" s="13" t="s">
        <v>2197</v>
      </c>
      <c r="D697" s="13" t="s">
        <v>2204</v>
      </c>
      <c r="E697" s="13" t="s">
        <v>2213</v>
      </c>
      <c r="F697" s="13" t="s">
        <v>2223</v>
      </c>
      <c r="G697" s="13">
        <v>169.89</v>
      </c>
      <c r="H697" s="13">
        <v>0</v>
      </c>
      <c r="I697" s="13">
        <v>169.89</v>
      </c>
      <c r="J697" s="24">
        <v>45852</v>
      </c>
      <c r="K697" s="13">
        <v>12</v>
      </c>
      <c r="L697" s="13">
        <v>1.2</v>
      </c>
      <c r="M697" s="13" t="b">
        <v>0</v>
      </c>
      <c r="O697" s="13">
        <f t="shared" si="10"/>
        <v>1.2</v>
      </c>
    </row>
    <row r="698" spans="1:15" x14ac:dyDescent="0.25">
      <c r="A698" s="13" t="s">
        <v>710</v>
      </c>
      <c r="B698" s="13" t="s">
        <v>2193</v>
      </c>
      <c r="C698" s="13" t="s">
        <v>2199</v>
      </c>
      <c r="D698" s="13" t="s">
        <v>2205</v>
      </c>
      <c r="E698" s="13" t="s">
        <v>2210</v>
      </c>
      <c r="F698" s="13" t="s">
        <v>2216</v>
      </c>
      <c r="G698" s="13">
        <v>117.38</v>
      </c>
      <c r="H698" s="13">
        <v>22.5</v>
      </c>
      <c r="I698" s="13">
        <v>90.97</v>
      </c>
      <c r="J698" s="24">
        <v>45875</v>
      </c>
      <c r="K698" s="13">
        <v>42</v>
      </c>
      <c r="L698" s="13">
        <v>2.8</v>
      </c>
      <c r="M698" s="13" t="b">
        <v>1</v>
      </c>
      <c r="N698" s="13" t="s">
        <v>2225</v>
      </c>
      <c r="O698" s="13">
        <f t="shared" si="10"/>
        <v>2.8</v>
      </c>
    </row>
    <row r="699" spans="1:15" x14ac:dyDescent="0.25">
      <c r="A699" s="13" t="s">
        <v>711</v>
      </c>
      <c r="B699" s="13" t="s">
        <v>2191</v>
      </c>
      <c r="C699" s="13" t="s">
        <v>2199</v>
      </c>
      <c r="D699" s="13" t="s">
        <v>2205</v>
      </c>
      <c r="E699" s="13" t="s">
        <v>2210</v>
      </c>
      <c r="F699" s="13" t="s">
        <v>2215</v>
      </c>
      <c r="G699" s="13">
        <v>118.95</v>
      </c>
      <c r="H699" s="13">
        <v>0</v>
      </c>
      <c r="I699" s="13">
        <v>118.95</v>
      </c>
      <c r="J699" s="24">
        <v>45875</v>
      </c>
      <c r="K699" s="13">
        <v>18</v>
      </c>
      <c r="L699" s="13">
        <v>1.9</v>
      </c>
      <c r="M699" s="13" t="b">
        <v>1</v>
      </c>
      <c r="N699" s="13" t="s">
        <v>2228</v>
      </c>
      <c r="O699" s="13">
        <f t="shared" si="10"/>
        <v>1.9</v>
      </c>
    </row>
    <row r="700" spans="1:15" x14ac:dyDescent="0.25">
      <c r="A700" s="13" t="s">
        <v>712</v>
      </c>
      <c r="B700" s="13" t="s">
        <v>2192</v>
      </c>
      <c r="C700" s="13" t="s">
        <v>2197</v>
      </c>
      <c r="D700" s="13" t="s">
        <v>2206</v>
      </c>
      <c r="F700" s="13" t="s">
        <v>2214</v>
      </c>
      <c r="G700" s="13">
        <v>39.299999999999997</v>
      </c>
      <c r="H700" s="13">
        <v>0</v>
      </c>
      <c r="I700" s="13">
        <v>39.299999999999997</v>
      </c>
      <c r="J700" s="24">
        <v>45875</v>
      </c>
      <c r="K700" s="13">
        <v>39</v>
      </c>
      <c r="M700" s="13" t="b">
        <v>0</v>
      </c>
      <c r="O700" s="13">
        <f t="shared" si="10"/>
        <v>3.1288461538461547</v>
      </c>
    </row>
    <row r="701" spans="1:15" x14ac:dyDescent="0.25">
      <c r="A701" s="13" t="s">
        <v>713</v>
      </c>
      <c r="B701" s="13" t="s">
        <v>2191</v>
      </c>
      <c r="C701" s="13" t="s">
        <v>2200</v>
      </c>
      <c r="D701" s="13" t="s">
        <v>2205</v>
      </c>
      <c r="E701" s="13" t="s">
        <v>2209</v>
      </c>
      <c r="F701" s="13" t="s">
        <v>2221</v>
      </c>
      <c r="G701" s="13">
        <v>74.3</v>
      </c>
      <c r="H701" s="13">
        <v>0</v>
      </c>
      <c r="I701" s="13">
        <v>74.3</v>
      </c>
      <c r="J701" s="24">
        <v>45875</v>
      </c>
      <c r="K701" s="13">
        <v>31</v>
      </c>
      <c r="L701" s="13">
        <v>3.8</v>
      </c>
      <c r="M701" s="13" t="b">
        <v>1</v>
      </c>
      <c r="N701" s="13" t="s">
        <v>2230</v>
      </c>
      <c r="O701" s="13">
        <f t="shared" si="10"/>
        <v>3.8</v>
      </c>
    </row>
    <row r="702" spans="1:15" x14ac:dyDescent="0.25">
      <c r="A702" s="13" t="s">
        <v>714</v>
      </c>
      <c r="B702" s="13" t="s">
        <v>2194</v>
      </c>
      <c r="C702" s="13" t="s">
        <v>2200</v>
      </c>
      <c r="D702" s="13" t="s">
        <v>2204</v>
      </c>
      <c r="E702" s="13" t="s">
        <v>2212</v>
      </c>
      <c r="F702" s="13" t="s">
        <v>2224</v>
      </c>
      <c r="G702" s="13">
        <v>62.97</v>
      </c>
      <c r="H702" s="13">
        <v>0</v>
      </c>
      <c r="I702" s="13">
        <v>62.97</v>
      </c>
      <c r="J702" s="24">
        <v>45803</v>
      </c>
      <c r="K702" s="13">
        <v>5</v>
      </c>
      <c r="L702" s="13">
        <v>3.5</v>
      </c>
      <c r="M702" s="13" t="b">
        <v>0</v>
      </c>
      <c r="O702" s="13">
        <f t="shared" si="10"/>
        <v>3.5</v>
      </c>
    </row>
    <row r="703" spans="1:15" x14ac:dyDescent="0.25">
      <c r="A703" s="13" t="s">
        <v>715</v>
      </c>
      <c r="B703" s="13" t="s">
        <v>2192</v>
      </c>
      <c r="C703" s="13" t="s">
        <v>2200</v>
      </c>
      <c r="D703" s="13" t="s">
        <v>2207</v>
      </c>
      <c r="F703" s="13" t="s">
        <v>2218</v>
      </c>
      <c r="G703" s="13">
        <v>73.599999999999994</v>
      </c>
      <c r="H703" s="13">
        <v>0</v>
      </c>
      <c r="I703" s="13">
        <v>73.599999999999994</v>
      </c>
      <c r="J703" s="24">
        <v>45875</v>
      </c>
      <c r="K703" s="13">
        <v>1</v>
      </c>
      <c r="L703" s="13">
        <v>1.8</v>
      </c>
      <c r="M703" s="13" t="b">
        <v>0</v>
      </c>
      <c r="O703" s="13">
        <f t="shared" si="10"/>
        <v>1.8</v>
      </c>
    </row>
    <row r="704" spans="1:15" x14ac:dyDescent="0.25">
      <c r="A704" s="13" t="s">
        <v>716</v>
      </c>
      <c r="B704" s="13" t="s">
        <v>2192</v>
      </c>
      <c r="C704" s="13" t="s">
        <v>2199</v>
      </c>
      <c r="D704" s="13" t="s">
        <v>2204</v>
      </c>
      <c r="F704" s="13" t="s">
        <v>2216</v>
      </c>
      <c r="G704" s="13">
        <v>77.849999999999994</v>
      </c>
      <c r="H704" s="13">
        <v>34.9</v>
      </c>
      <c r="I704" s="13">
        <v>50.68</v>
      </c>
      <c r="J704" s="24">
        <v>45874</v>
      </c>
      <c r="K704" s="13">
        <v>11</v>
      </c>
      <c r="M704" s="13" t="b">
        <v>0</v>
      </c>
      <c r="O704" s="13">
        <f t="shared" si="10"/>
        <v>2.5131578947368416</v>
      </c>
    </row>
    <row r="705" spans="1:15" x14ac:dyDescent="0.25">
      <c r="A705" s="13" t="s">
        <v>717</v>
      </c>
      <c r="B705" s="13" t="s">
        <v>2191</v>
      </c>
      <c r="C705" s="13" t="s">
        <v>2203</v>
      </c>
      <c r="D705" s="13" t="s">
        <v>2207</v>
      </c>
      <c r="F705" s="13" t="s">
        <v>2214</v>
      </c>
      <c r="G705" s="13">
        <v>94.31</v>
      </c>
      <c r="H705" s="13">
        <v>0</v>
      </c>
      <c r="I705" s="13">
        <v>94.31</v>
      </c>
      <c r="J705" s="24">
        <v>45875</v>
      </c>
      <c r="K705" s="13">
        <v>20</v>
      </c>
      <c r="L705" s="13">
        <v>3</v>
      </c>
      <c r="M705" s="13" t="b">
        <v>0</v>
      </c>
      <c r="O705" s="13">
        <f t="shared" si="10"/>
        <v>3</v>
      </c>
    </row>
    <row r="706" spans="1:15" x14ac:dyDescent="0.25">
      <c r="A706" s="13" t="s">
        <v>718</v>
      </c>
      <c r="B706" s="13" t="s">
        <v>2194</v>
      </c>
      <c r="C706" s="13" t="s">
        <v>2201</v>
      </c>
      <c r="D706" s="13" t="s">
        <v>2204</v>
      </c>
      <c r="F706" s="13" t="s">
        <v>2222</v>
      </c>
      <c r="G706" s="13">
        <v>60.36</v>
      </c>
      <c r="H706" s="13">
        <v>0</v>
      </c>
      <c r="I706" s="13">
        <v>60.36</v>
      </c>
      <c r="J706" s="24">
        <v>45536</v>
      </c>
      <c r="K706" s="13">
        <v>35</v>
      </c>
      <c r="L706" s="13">
        <v>3.3</v>
      </c>
      <c r="M706" s="13" t="b">
        <v>0</v>
      </c>
      <c r="O706" s="13">
        <f t="shared" si="10"/>
        <v>3.3</v>
      </c>
    </row>
    <row r="707" spans="1:15" x14ac:dyDescent="0.25">
      <c r="A707" s="13" t="s">
        <v>719</v>
      </c>
      <c r="B707" s="13" t="s">
        <v>2194</v>
      </c>
      <c r="C707" s="13" t="s">
        <v>2199</v>
      </c>
      <c r="D707" s="13" t="s">
        <v>2207</v>
      </c>
      <c r="E707" s="13" t="s">
        <v>2211</v>
      </c>
      <c r="F707" s="13" t="s">
        <v>2224</v>
      </c>
      <c r="G707" s="13">
        <v>94.85</v>
      </c>
      <c r="H707" s="13">
        <v>0</v>
      </c>
      <c r="I707" s="13">
        <v>94.85</v>
      </c>
      <c r="J707" s="24">
        <v>45875</v>
      </c>
      <c r="K707" s="13">
        <v>28</v>
      </c>
      <c r="L707" s="13">
        <v>1.5</v>
      </c>
      <c r="M707" s="13" t="b">
        <v>0</v>
      </c>
      <c r="O707" s="13">
        <f t="shared" ref="O707:O770" si="11">IF(L707="",AVERAGEIFS($L$2:$L$2177,$B$2:$B$2177,B707,$C$2:$C$2177,C707),L707)</f>
        <v>1.5</v>
      </c>
    </row>
    <row r="708" spans="1:15" x14ac:dyDescent="0.25">
      <c r="A708" s="13" t="s">
        <v>720</v>
      </c>
      <c r="B708" s="13" t="s">
        <v>2192</v>
      </c>
      <c r="C708" s="13" t="s">
        <v>2197</v>
      </c>
      <c r="D708" s="13" t="s">
        <v>2205</v>
      </c>
      <c r="F708" s="13" t="s">
        <v>2219</v>
      </c>
      <c r="G708" s="13">
        <v>30.52</v>
      </c>
      <c r="H708" s="13">
        <v>7.9</v>
      </c>
      <c r="I708" s="13">
        <v>28.11</v>
      </c>
      <c r="J708" s="24">
        <v>45875</v>
      </c>
      <c r="K708" s="13">
        <v>43</v>
      </c>
      <c r="L708" s="13">
        <v>4.7</v>
      </c>
      <c r="M708" s="13" t="b">
        <v>0</v>
      </c>
      <c r="O708" s="13">
        <f t="shared" si="11"/>
        <v>4.7</v>
      </c>
    </row>
    <row r="709" spans="1:15" x14ac:dyDescent="0.25">
      <c r="A709" s="13" t="s">
        <v>721</v>
      </c>
      <c r="B709" s="13" t="s">
        <v>2195</v>
      </c>
      <c r="C709" s="13" t="s">
        <v>2199</v>
      </c>
      <c r="D709" s="13" t="s">
        <v>2207</v>
      </c>
      <c r="E709" s="13" t="s">
        <v>2212</v>
      </c>
      <c r="F709" s="13" t="s">
        <v>2222</v>
      </c>
      <c r="G709" s="13">
        <v>97.06</v>
      </c>
      <c r="H709" s="13">
        <v>0</v>
      </c>
      <c r="I709" s="13">
        <v>97.06</v>
      </c>
      <c r="J709" s="24">
        <v>45875</v>
      </c>
      <c r="K709" s="13">
        <v>24</v>
      </c>
      <c r="L709" s="13">
        <v>3.9</v>
      </c>
      <c r="M709" s="13" t="b">
        <v>0</v>
      </c>
      <c r="O709" s="13">
        <f t="shared" si="11"/>
        <v>3.9</v>
      </c>
    </row>
    <row r="710" spans="1:15" x14ac:dyDescent="0.25">
      <c r="A710" s="13" t="s">
        <v>722</v>
      </c>
      <c r="B710" s="13" t="s">
        <v>2194</v>
      </c>
      <c r="C710" s="13" t="s">
        <v>2203</v>
      </c>
      <c r="D710" s="13" t="s">
        <v>2207</v>
      </c>
      <c r="E710" s="13" t="s">
        <v>2213</v>
      </c>
      <c r="F710" s="13" t="s">
        <v>2223</v>
      </c>
      <c r="G710" s="13">
        <v>57.85</v>
      </c>
      <c r="H710" s="13">
        <v>35.4</v>
      </c>
      <c r="I710" s="13">
        <v>37.369999999999997</v>
      </c>
      <c r="J710" s="24">
        <v>45875</v>
      </c>
      <c r="K710" s="13">
        <v>17</v>
      </c>
      <c r="M710" s="13" t="b">
        <v>0</v>
      </c>
      <c r="O710" s="13">
        <f t="shared" si="11"/>
        <v>3.1021739130434773</v>
      </c>
    </row>
    <row r="711" spans="1:15" x14ac:dyDescent="0.25">
      <c r="A711" s="13" t="s">
        <v>723</v>
      </c>
      <c r="B711" s="13" t="s">
        <v>2191</v>
      </c>
      <c r="C711" s="13" t="s">
        <v>2196</v>
      </c>
      <c r="D711" s="13" t="s">
        <v>2206</v>
      </c>
      <c r="E711" s="13" t="s">
        <v>2213</v>
      </c>
      <c r="F711" s="13" t="s">
        <v>2217</v>
      </c>
      <c r="G711" s="13">
        <v>51.35</v>
      </c>
      <c r="H711" s="13">
        <v>19.7</v>
      </c>
      <c r="I711" s="13">
        <v>41.23</v>
      </c>
      <c r="J711" s="24">
        <v>45875</v>
      </c>
      <c r="K711" s="13">
        <v>39</v>
      </c>
      <c r="L711" s="13">
        <v>1.3</v>
      </c>
      <c r="M711" s="13" t="b">
        <v>0</v>
      </c>
      <c r="O711" s="13">
        <f t="shared" si="11"/>
        <v>1.3</v>
      </c>
    </row>
    <row r="712" spans="1:15" x14ac:dyDescent="0.25">
      <c r="A712" s="13" t="s">
        <v>724</v>
      </c>
      <c r="B712" s="13" t="s">
        <v>2192</v>
      </c>
      <c r="C712" s="13" t="s">
        <v>2201</v>
      </c>
      <c r="D712" s="13" t="s">
        <v>2204</v>
      </c>
      <c r="F712" s="13" t="s">
        <v>2216</v>
      </c>
      <c r="G712" s="13">
        <v>61.34</v>
      </c>
      <c r="H712" s="13">
        <v>45.4</v>
      </c>
      <c r="I712" s="13">
        <v>33.49</v>
      </c>
      <c r="J712" s="24">
        <v>45691</v>
      </c>
      <c r="K712" s="13">
        <v>46</v>
      </c>
      <c r="M712" s="13" t="b">
        <v>0</v>
      </c>
      <c r="O712" s="13">
        <f t="shared" si="11"/>
        <v>3.2731707317073173</v>
      </c>
    </row>
    <row r="713" spans="1:15" x14ac:dyDescent="0.25">
      <c r="A713" s="13" t="s">
        <v>725</v>
      </c>
      <c r="B713" s="13" t="s">
        <v>2190</v>
      </c>
      <c r="C713" s="13" t="s">
        <v>2198</v>
      </c>
      <c r="D713" s="13" t="s">
        <v>2207</v>
      </c>
      <c r="E713" s="13" t="s">
        <v>2209</v>
      </c>
      <c r="F713" s="13" t="s">
        <v>2223</v>
      </c>
      <c r="G713" s="13">
        <v>189.28</v>
      </c>
      <c r="H713" s="13">
        <v>0</v>
      </c>
      <c r="I713" s="13">
        <v>189.28</v>
      </c>
      <c r="J713" s="24">
        <v>45875</v>
      </c>
      <c r="K713" s="13">
        <v>41</v>
      </c>
      <c r="L713" s="13">
        <v>2.7</v>
      </c>
      <c r="M713" s="13" t="b">
        <v>1</v>
      </c>
      <c r="N713" s="13" t="s">
        <v>2230</v>
      </c>
      <c r="O713" s="13">
        <f t="shared" si="11"/>
        <v>2.7</v>
      </c>
    </row>
    <row r="714" spans="1:15" x14ac:dyDescent="0.25">
      <c r="A714" s="13" t="s">
        <v>726</v>
      </c>
      <c r="B714" s="13" t="s">
        <v>2191</v>
      </c>
      <c r="C714" s="13" t="s">
        <v>2198</v>
      </c>
      <c r="D714" s="13" t="s">
        <v>2207</v>
      </c>
      <c r="E714" s="13" t="s">
        <v>2211</v>
      </c>
      <c r="F714" s="13" t="s">
        <v>2223</v>
      </c>
      <c r="G714" s="13">
        <v>86.67</v>
      </c>
      <c r="H714" s="13">
        <v>35.799999999999997</v>
      </c>
      <c r="I714" s="13">
        <v>55.64</v>
      </c>
      <c r="J714" s="24">
        <v>45875</v>
      </c>
      <c r="K714" s="13">
        <v>2</v>
      </c>
      <c r="L714" s="13">
        <v>4.9000000000000004</v>
      </c>
      <c r="M714" s="13" t="b">
        <v>0</v>
      </c>
      <c r="O714" s="13">
        <f t="shared" si="11"/>
        <v>4.9000000000000004</v>
      </c>
    </row>
    <row r="715" spans="1:15" x14ac:dyDescent="0.25">
      <c r="A715" s="13" t="s">
        <v>727</v>
      </c>
      <c r="B715" s="13" t="s">
        <v>2194</v>
      </c>
      <c r="C715" s="13" t="s">
        <v>2201</v>
      </c>
      <c r="D715" s="13" t="s">
        <v>2204</v>
      </c>
      <c r="E715" s="13" t="s">
        <v>2210</v>
      </c>
      <c r="F715" s="13" t="s">
        <v>2222</v>
      </c>
      <c r="G715" s="13">
        <v>102.84</v>
      </c>
      <c r="H715" s="13">
        <v>0</v>
      </c>
      <c r="I715" s="13">
        <v>102.84</v>
      </c>
      <c r="J715" s="24">
        <v>45545</v>
      </c>
      <c r="K715" s="13">
        <v>27</v>
      </c>
      <c r="L715" s="13">
        <v>1.8</v>
      </c>
      <c r="M715" s="13" t="b">
        <v>0</v>
      </c>
      <c r="O715" s="13">
        <f t="shared" si="11"/>
        <v>1.8</v>
      </c>
    </row>
    <row r="716" spans="1:15" x14ac:dyDescent="0.25">
      <c r="A716" s="13" t="s">
        <v>728</v>
      </c>
      <c r="B716" s="13" t="s">
        <v>2190</v>
      </c>
      <c r="C716" s="13" t="s">
        <v>2196</v>
      </c>
      <c r="D716" s="13" t="s">
        <v>2206</v>
      </c>
      <c r="E716" s="13" t="s">
        <v>2211</v>
      </c>
      <c r="F716" s="13" t="s">
        <v>2220</v>
      </c>
      <c r="G716" s="13">
        <v>225.21</v>
      </c>
      <c r="H716" s="13">
        <v>0</v>
      </c>
      <c r="I716" s="13">
        <v>225.21</v>
      </c>
      <c r="J716" s="24">
        <v>45875</v>
      </c>
      <c r="K716" s="13">
        <v>27</v>
      </c>
      <c r="L716" s="13">
        <v>3.1</v>
      </c>
      <c r="M716" s="13" t="b">
        <v>1</v>
      </c>
      <c r="N716" s="13" t="s">
        <v>2229</v>
      </c>
      <c r="O716" s="13">
        <f t="shared" si="11"/>
        <v>3.1</v>
      </c>
    </row>
    <row r="717" spans="1:15" x14ac:dyDescent="0.25">
      <c r="A717" s="13" t="s">
        <v>729</v>
      </c>
      <c r="B717" s="13" t="s">
        <v>2195</v>
      </c>
      <c r="C717" s="13" t="s">
        <v>2197</v>
      </c>
      <c r="D717" s="13" t="s">
        <v>2205</v>
      </c>
      <c r="E717" s="13" t="s">
        <v>2208</v>
      </c>
      <c r="F717" s="13" t="s">
        <v>2218</v>
      </c>
      <c r="G717" s="13">
        <v>48.91</v>
      </c>
      <c r="H717" s="13">
        <v>27.8</v>
      </c>
      <c r="I717" s="13">
        <v>35.31</v>
      </c>
      <c r="J717" s="24">
        <v>45875</v>
      </c>
      <c r="K717" s="13">
        <v>0</v>
      </c>
      <c r="L717" s="13">
        <v>4.0999999999999996</v>
      </c>
      <c r="M717" s="13" t="b">
        <v>0</v>
      </c>
      <c r="O717" s="13">
        <f t="shared" si="11"/>
        <v>4.0999999999999996</v>
      </c>
    </row>
    <row r="718" spans="1:15" x14ac:dyDescent="0.25">
      <c r="A718" s="13" t="s">
        <v>730</v>
      </c>
      <c r="B718" s="13" t="s">
        <v>2190</v>
      </c>
      <c r="C718" s="13" t="s">
        <v>2203</v>
      </c>
      <c r="D718" s="13" t="s">
        <v>2206</v>
      </c>
      <c r="E718" s="13" t="s">
        <v>2209</v>
      </c>
      <c r="F718" s="13" t="s">
        <v>2215</v>
      </c>
      <c r="G718" s="13">
        <v>145.93</v>
      </c>
      <c r="H718" s="13">
        <v>0</v>
      </c>
      <c r="I718" s="13">
        <v>145.93</v>
      </c>
      <c r="J718" s="24">
        <v>45875</v>
      </c>
      <c r="K718" s="13">
        <v>19</v>
      </c>
      <c r="L718" s="13">
        <v>1.5</v>
      </c>
      <c r="M718" s="13" t="b">
        <v>0</v>
      </c>
      <c r="O718" s="13">
        <f t="shared" si="11"/>
        <v>1.5</v>
      </c>
    </row>
    <row r="719" spans="1:15" x14ac:dyDescent="0.25">
      <c r="A719" s="13" t="s">
        <v>731</v>
      </c>
      <c r="B719" s="13" t="s">
        <v>2190</v>
      </c>
      <c r="C719" s="13" t="s">
        <v>2198</v>
      </c>
      <c r="D719" s="13" t="s">
        <v>2205</v>
      </c>
      <c r="F719" s="13" t="s">
        <v>2220</v>
      </c>
      <c r="G719" s="13">
        <v>225.92</v>
      </c>
      <c r="H719" s="13">
        <v>43.7</v>
      </c>
      <c r="I719" s="13">
        <v>127.19</v>
      </c>
      <c r="J719" s="24">
        <v>45875</v>
      </c>
      <c r="K719" s="13">
        <v>30</v>
      </c>
      <c r="L719" s="13">
        <v>3.2</v>
      </c>
      <c r="M719" s="13" t="b">
        <v>0</v>
      </c>
      <c r="O719" s="13">
        <f t="shared" si="11"/>
        <v>3.2</v>
      </c>
    </row>
    <row r="720" spans="1:15" x14ac:dyDescent="0.25">
      <c r="A720" s="13" t="s">
        <v>732</v>
      </c>
      <c r="B720" s="13" t="s">
        <v>2190</v>
      </c>
      <c r="C720" s="13" t="s">
        <v>2197</v>
      </c>
      <c r="D720" s="13" t="s">
        <v>2207</v>
      </c>
      <c r="E720" s="13" t="s">
        <v>2208</v>
      </c>
      <c r="F720" s="13" t="s">
        <v>2220</v>
      </c>
      <c r="G720" s="13">
        <v>202.18</v>
      </c>
      <c r="H720" s="13">
        <v>39.700000000000003</v>
      </c>
      <c r="I720" s="13">
        <v>121.91</v>
      </c>
      <c r="J720" s="24">
        <v>45875</v>
      </c>
      <c r="K720" s="13">
        <v>20</v>
      </c>
      <c r="L720" s="13">
        <v>4.0999999999999996</v>
      </c>
      <c r="M720" s="13" t="b">
        <v>0</v>
      </c>
      <c r="O720" s="13">
        <f t="shared" si="11"/>
        <v>4.0999999999999996</v>
      </c>
    </row>
    <row r="721" spans="1:15" x14ac:dyDescent="0.25">
      <c r="A721" s="13" t="s">
        <v>733</v>
      </c>
      <c r="B721" s="13" t="s">
        <v>2191</v>
      </c>
      <c r="C721" s="13" t="s">
        <v>2197</v>
      </c>
      <c r="D721" s="13" t="s">
        <v>2206</v>
      </c>
      <c r="E721" s="13" t="s">
        <v>2208</v>
      </c>
      <c r="F721" s="13" t="s">
        <v>2219</v>
      </c>
      <c r="G721" s="13">
        <v>51.85</v>
      </c>
      <c r="H721" s="13">
        <v>0</v>
      </c>
      <c r="I721" s="13">
        <v>51.85</v>
      </c>
      <c r="J721" s="24">
        <v>45875</v>
      </c>
      <c r="K721" s="13">
        <v>28</v>
      </c>
      <c r="M721" s="13" t="b">
        <v>0</v>
      </c>
      <c r="O721" s="13">
        <f t="shared" si="11"/>
        <v>3.34</v>
      </c>
    </row>
    <row r="722" spans="1:15" x14ac:dyDescent="0.25">
      <c r="A722" s="13" t="s">
        <v>734</v>
      </c>
      <c r="B722" s="13" t="s">
        <v>2191</v>
      </c>
      <c r="C722" s="13" t="s">
        <v>2197</v>
      </c>
      <c r="D722" s="13" t="s">
        <v>2207</v>
      </c>
      <c r="E722" s="13" t="s">
        <v>2209</v>
      </c>
      <c r="F722" s="13" t="s">
        <v>2218</v>
      </c>
      <c r="G722" s="13">
        <v>75.34</v>
      </c>
      <c r="H722" s="13">
        <v>0</v>
      </c>
      <c r="I722" s="13">
        <v>75.34</v>
      </c>
      <c r="J722" s="24">
        <v>45875</v>
      </c>
      <c r="K722" s="13">
        <v>21</v>
      </c>
      <c r="M722" s="13" t="b">
        <v>0</v>
      </c>
      <c r="O722" s="13">
        <f t="shared" si="11"/>
        <v>3.34</v>
      </c>
    </row>
    <row r="723" spans="1:15" x14ac:dyDescent="0.25">
      <c r="A723" s="13" t="s">
        <v>735</v>
      </c>
      <c r="B723" s="13" t="s">
        <v>2193</v>
      </c>
      <c r="C723" s="13" t="s">
        <v>2202</v>
      </c>
      <c r="D723" s="13" t="s">
        <v>2204</v>
      </c>
      <c r="E723" s="13" t="s">
        <v>2210</v>
      </c>
      <c r="F723" s="13" t="s">
        <v>2215</v>
      </c>
      <c r="G723" s="13">
        <v>92.09</v>
      </c>
      <c r="H723" s="13">
        <v>54.9</v>
      </c>
      <c r="I723" s="13">
        <v>41.53</v>
      </c>
      <c r="J723" s="24">
        <v>45676</v>
      </c>
      <c r="K723" s="13">
        <v>44</v>
      </c>
      <c r="L723" s="13">
        <v>2.2000000000000002</v>
      </c>
      <c r="M723" s="13" t="b">
        <v>0</v>
      </c>
      <c r="O723" s="13">
        <f t="shared" si="11"/>
        <v>2.2000000000000002</v>
      </c>
    </row>
    <row r="724" spans="1:15" x14ac:dyDescent="0.25">
      <c r="A724" s="13" t="s">
        <v>736</v>
      </c>
      <c r="B724" s="13" t="s">
        <v>2192</v>
      </c>
      <c r="C724" s="13" t="s">
        <v>2196</v>
      </c>
      <c r="D724" s="13" t="s">
        <v>2206</v>
      </c>
      <c r="F724" s="13" t="s">
        <v>2219</v>
      </c>
      <c r="G724" s="13">
        <v>56.39</v>
      </c>
      <c r="H724" s="13">
        <v>0</v>
      </c>
      <c r="I724" s="13">
        <v>56.39</v>
      </c>
      <c r="J724" s="24">
        <v>45875</v>
      </c>
      <c r="K724" s="13">
        <v>49</v>
      </c>
      <c r="L724" s="13">
        <v>4.2</v>
      </c>
      <c r="M724" s="13" t="b">
        <v>0</v>
      </c>
      <c r="O724" s="13">
        <f t="shared" si="11"/>
        <v>4.2</v>
      </c>
    </row>
    <row r="725" spans="1:15" x14ac:dyDescent="0.25">
      <c r="A725" s="13" t="s">
        <v>737</v>
      </c>
      <c r="B725" s="13" t="s">
        <v>2191</v>
      </c>
      <c r="C725" s="13" t="s">
        <v>2199</v>
      </c>
      <c r="D725" s="13" t="s">
        <v>2206</v>
      </c>
      <c r="E725" s="13" t="s">
        <v>2209</v>
      </c>
      <c r="F725" s="13" t="s">
        <v>2215</v>
      </c>
      <c r="G725" s="13">
        <v>108.75</v>
      </c>
      <c r="H725" s="13">
        <v>0</v>
      </c>
      <c r="I725" s="13">
        <v>108.75</v>
      </c>
      <c r="J725" s="24">
        <v>45875</v>
      </c>
      <c r="K725" s="13">
        <v>38</v>
      </c>
      <c r="L725" s="13">
        <v>3.8</v>
      </c>
      <c r="M725" s="13" t="b">
        <v>0</v>
      </c>
      <c r="O725" s="13">
        <f t="shared" si="11"/>
        <v>3.8</v>
      </c>
    </row>
    <row r="726" spans="1:15" x14ac:dyDescent="0.25">
      <c r="A726" s="13" t="s">
        <v>738</v>
      </c>
      <c r="B726" s="13" t="s">
        <v>2195</v>
      </c>
      <c r="C726" s="13" t="s">
        <v>2197</v>
      </c>
      <c r="D726" s="13" t="s">
        <v>2204</v>
      </c>
      <c r="E726" s="13" t="s">
        <v>2210</v>
      </c>
      <c r="F726" s="13" t="s">
        <v>2214</v>
      </c>
      <c r="G726" s="13">
        <v>156.85</v>
      </c>
      <c r="H726" s="13">
        <v>0</v>
      </c>
      <c r="I726" s="13">
        <v>156.85</v>
      </c>
      <c r="J726" s="24">
        <v>45748</v>
      </c>
      <c r="K726" s="13">
        <v>48</v>
      </c>
      <c r="L726" s="13">
        <v>3.4</v>
      </c>
      <c r="M726" s="13" t="b">
        <v>0</v>
      </c>
      <c r="O726" s="13">
        <f t="shared" si="11"/>
        <v>3.4</v>
      </c>
    </row>
    <row r="727" spans="1:15" x14ac:dyDescent="0.25">
      <c r="A727" s="13" t="s">
        <v>739</v>
      </c>
      <c r="B727" s="13" t="s">
        <v>2190</v>
      </c>
      <c r="C727" s="13" t="s">
        <v>2197</v>
      </c>
      <c r="D727" s="13" t="s">
        <v>2204</v>
      </c>
      <c r="E727" s="13" t="s">
        <v>2212</v>
      </c>
      <c r="F727" s="13" t="s">
        <v>2224</v>
      </c>
      <c r="G727" s="13">
        <v>168.13</v>
      </c>
      <c r="H727" s="13">
        <v>0</v>
      </c>
      <c r="I727" s="13">
        <v>168.13</v>
      </c>
      <c r="J727" s="24">
        <v>45765</v>
      </c>
      <c r="K727" s="13">
        <v>42</v>
      </c>
      <c r="L727" s="13">
        <v>2.5</v>
      </c>
      <c r="M727" s="13" t="b">
        <v>0</v>
      </c>
      <c r="O727" s="13">
        <f t="shared" si="11"/>
        <v>2.5</v>
      </c>
    </row>
    <row r="728" spans="1:15" x14ac:dyDescent="0.25">
      <c r="A728" s="13" t="s">
        <v>740</v>
      </c>
      <c r="B728" s="13" t="s">
        <v>2193</v>
      </c>
      <c r="C728" s="13" t="s">
        <v>2203</v>
      </c>
      <c r="D728" s="13" t="s">
        <v>2207</v>
      </c>
      <c r="E728" s="13" t="s">
        <v>2210</v>
      </c>
      <c r="F728" s="13" t="s">
        <v>2220</v>
      </c>
      <c r="G728" s="13">
        <v>145.79</v>
      </c>
      <c r="H728" s="13">
        <v>57</v>
      </c>
      <c r="I728" s="13">
        <v>62.69</v>
      </c>
      <c r="J728" s="24">
        <v>45875</v>
      </c>
      <c r="K728" s="13">
        <v>46</v>
      </c>
      <c r="M728" s="13" t="b">
        <v>0</v>
      </c>
      <c r="O728" s="13">
        <f t="shared" si="11"/>
        <v>3.2576923076923077</v>
      </c>
    </row>
    <row r="729" spans="1:15" x14ac:dyDescent="0.25">
      <c r="A729" s="13" t="s">
        <v>741</v>
      </c>
      <c r="B729" s="13" t="s">
        <v>2194</v>
      </c>
      <c r="C729" s="13" t="s">
        <v>2202</v>
      </c>
      <c r="D729" s="13" t="s">
        <v>2205</v>
      </c>
      <c r="E729" s="13" t="s">
        <v>2210</v>
      </c>
      <c r="F729" s="13" t="s">
        <v>2217</v>
      </c>
      <c r="G729" s="13">
        <v>54.14</v>
      </c>
      <c r="H729" s="13">
        <v>0</v>
      </c>
      <c r="I729" s="13">
        <v>54.14</v>
      </c>
      <c r="J729" s="24">
        <v>45875</v>
      </c>
      <c r="K729" s="13">
        <v>32</v>
      </c>
      <c r="M729" s="13" t="b">
        <v>0</v>
      </c>
      <c r="O729" s="13">
        <f t="shared" si="11"/>
        <v>3.1799999999999997</v>
      </c>
    </row>
    <row r="730" spans="1:15" x14ac:dyDescent="0.25">
      <c r="A730" s="13" t="s">
        <v>742</v>
      </c>
      <c r="B730" s="13" t="s">
        <v>2192</v>
      </c>
      <c r="C730" s="13" t="s">
        <v>2196</v>
      </c>
      <c r="D730" s="13" t="s">
        <v>2206</v>
      </c>
      <c r="F730" s="13" t="s">
        <v>2222</v>
      </c>
      <c r="G730" s="13">
        <v>45.64</v>
      </c>
      <c r="H730" s="13">
        <v>0</v>
      </c>
      <c r="I730" s="13">
        <v>45.64</v>
      </c>
      <c r="J730" s="24">
        <v>45875</v>
      </c>
      <c r="K730" s="13">
        <v>36</v>
      </c>
      <c r="L730" s="13">
        <v>3.6</v>
      </c>
      <c r="M730" s="13" t="b">
        <v>1</v>
      </c>
      <c r="N730" s="13" t="s">
        <v>2226</v>
      </c>
      <c r="O730" s="13">
        <f t="shared" si="11"/>
        <v>3.6</v>
      </c>
    </row>
    <row r="731" spans="1:15" x14ac:dyDescent="0.25">
      <c r="A731" s="13" t="s">
        <v>743</v>
      </c>
      <c r="B731" s="13" t="s">
        <v>2194</v>
      </c>
      <c r="C731" s="13" t="s">
        <v>2199</v>
      </c>
      <c r="D731" s="13" t="s">
        <v>2206</v>
      </c>
      <c r="E731" s="13" t="s">
        <v>2210</v>
      </c>
      <c r="F731" s="13" t="s">
        <v>2214</v>
      </c>
      <c r="G731" s="13">
        <v>46.76</v>
      </c>
      <c r="H731" s="13">
        <v>0</v>
      </c>
      <c r="I731" s="13">
        <v>46.76</v>
      </c>
      <c r="J731" s="24">
        <v>45875</v>
      </c>
      <c r="K731" s="13">
        <v>38</v>
      </c>
      <c r="L731" s="13">
        <v>2.7</v>
      </c>
      <c r="M731" s="13" t="b">
        <v>0</v>
      </c>
      <c r="O731" s="13">
        <f t="shared" si="11"/>
        <v>2.7</v>
      </c>
    </row>
    <row r="732" spans="1:15" x14ac:dyDescent="0.25">
      <c r="A732" s="13" t="s">
        <v>744</v>
      </c>
      <c r="B732" s="13" t="s">
        <v>2195</v>
      </c>
      <c r="C732" s="13" t="s">
        <v>2198</v>
      </c>
      <c r="D732" s="13" t="s">
        <v>2205</v>
      </c>
      <c r="F732" s="13" t="s">
        <v>2218</v>
      </c>
      <c r="G732" s="13">
        <v>75.23</v>
      </c>
      <c r="H732" s="13">
        <v>0</v>
      </c>
      <c r="I732" s="13">
        <v>75.23</v>
      </c>
      <c r="J732" s="24">
        <v>45875</v>
      </c>
      <c r="K732" s="13">
        <v>42</v>
      </c>
      <c r="L732" s="13">
        <v>1.7</v>
      </c>
      <c r="M732" s="13" t="b">
        <v>1</v>
      </c>
      <c r="N732" s="13" t="s">
        <v>2228</v>
      </c>
      <c r="O732" s="13">
        <f t="shared" si="11"/>
        <v>1.7</v>
      </c>
    </row>
    <row r="733" spans="1:15" x14ac:dyDescent="0.25">
      <c r="A733" s="13" t="s">
        <v>745</v>
      </c>
      <c r="B733" s="13" t="s">
        <v>2195</v>
      </c>
      <c r="C733" s="13" t="s">
        <v>2199</v>
      </c>
      <c r="D733" s="13" t="s">
        <v>2207</v>
      </c>
      <c r="E733" s="13" t="s">
        <v>2208</v>
      </c>
      <c r="F733" s="13" t="s">
        <v>2217</v>
      </c>
      <c r="G733" s="13">
        <v>70.38</v>
      </c>
      <c r="H733" s="13">
        <v>0</v>
      </c>
      <c r="I733" s="13">
        <v>70.38</v>
      </c>
      <c r="J733" s="24">
        <v>45875</v>
      </c>
      <c r="K733" s="13">
        <v>37</v>
      </c>
      <c r="L733" s="13">
        <v>2</v>
      </c>
      <c r="M733" s="13" t="b">
        <v>0</v>
      </c>
      <c r="O733" s="13">
        <f t="shared" si="11"/>
        <v>2</v>
      </c>
    </row>
    <row r="734" spans="1:15" x14ac:dyDescent="0.25">
      <c r="A734" s="13" t="s">
        <v>746</v>
      </c>
      <c r="B734" s="13" t="s">
        <v>2194</v>
      </c>
      <c r="C734" s="13" t="s">
        <v>2200</v>
      </c>
      <c r="D734" s="13" t="s">
        <v>2207</v>
      </c>
      <c r="E734" s="13" t="s">
        <v>2213</v>
      </c>
      <c r="F734" s="13" t="s">
        <v>2215</v>
      </c>
      <c r="G734" s="13">
        <v>76.040000000000006</v>
      </c>
      <c r="H734" s="13">
        <v>0</v>
      </c>
      <c r="I734" s="13">
        <v>76.040000000000006</v>
      </c>
      <c r="J734" s="24">
        <v>45875</v>
      </c>
      <c r="K734" s="13">
        <v>13</v>
      </c>
      <c r="L734" s="13">
        <v>4.4000000000000004</v>
      </c>
      <c r="M734" s="13" t="b">
        <v>0</v>
      </c>
      <c r="O734" s="13">
        <f t="shared" si="11"/>
        <v>4.4000000000000004</v>
      </c>
    </row>
    <row r="735" spans="1:15" x14ac:dyDescent="0.25">
      <c r="A735" s="13" t="s">
        <v>747</v>
      </c>
      <c r="B735" s="13" t="s">
        <v>2193</v>
      </c>
      <c r="C735" s="13" t="s">
        <v>2197</v>
      </c>
      <c r="D735" s="13" t="s">
        <v>2207</v>
      </c>
      <c r="E735" s="13" t="s">
        <v>2212</v>
      </c>
      <c r="F735" s="13" t="s">
        <v>2216</v>
      </c>
      <c r="G735" s="13">
        <v>110.82</v>
      </c>
      <c r="H735" s="13">
        <v>15.7</v>
      </c>
      <c r="I735" s="13">
        <v>93.42</v>
      </c>
      <c r="J735" s="24">
        <v>45875</v>
      </c>
      <c r="K735" s="13">
        <v>43</v>
      </c>
      <c r="M735" s="13" t="b">
        <v>1</v>
      </c>
      <c r="N735" s="13" t="s">
        <v>2226</v>
      </c>
      <c r="O735" s="13">
        <f t="shared" si="11"/>
        <v>2.8205128205128198</v>
      </c>
    </row>
    <row r="736" spans="1:15" x14ac:dyDescent="0.25">
      <c r="A736" s="13" t="s">
        <v>748</v>
      </c>
      <c r="B736" s="13" t="s">
        <v>2192</v>
      </c>
      <c r="C736" s="13" t="s">
        <v>2203</v>
      </c>
      <c r="D736" s="13" t="s">
        <v>2206</v>
      </c>
      <c r="F736" s="13" t="s">
        <v>2222</v>
      </c>
      <c r="G736" s="13">
        <v>47.47</v>
      </c>
      <c r="H736" s="13">
        <v>0</v>
      </c>
      <c r="I736" s="13">
        <v>47.47</v>
      </c>
      <c r="J736" s="24">
        <v>45875</v>
      </c>
      <c r="K736" s="13">
        <v>42</v>
      </c>
      <c r="L736" s="13">
        <v>4.7</v>
      </c>
      <c r="M736" s="13" t="b">
        <v>0</v>
      </c>
      <c r="O736" s="13">
        <f t="shared" si="11"/>
        <v>4.7</v>
      </c>
    </row>
    <row r="737" spans="1:15" x14ac:dyDescent="0.25">
      <c r="A737" s="13" t="s">
        <v>749</v>
      </c>
      <c r="B737" s="13" t="s">
        <v>2192</v>
      </c>
      <c r="C737" s="13" t="s">
        <v>2202</v>
      </c>
      <c r="D737" s="13" t="s">
        <v>2204</v>
      </c>
      <c r="F737" s="13" t="s">
        <v>2214</v>
      </c>
      <c r="G737" s="13">
        <v>79.94</v>
      </c>
      <c r="H737" s="13">
        <v>0</v>
      </c>
      <c r="I737" s="13">
        <v>79.94</v>
      </c>
      <c r="J737" s="24">
        <v>45869</v>
      </c>
      <c r="K737" s="13">
        <v>26</v>
      </c>
      <c r="L737" s="13">
        <v>3.8</v>
      </c>
      <c r="M737" s="13" t="b">
        <v>0</v>
      </c>
      <c r="O737" s="13">
        <f t="shared" si="11"/>
        <v>3.8</v>
      </c>
    </row>
    <row r="738" spans="1:15" x14ac:dyDescent="0.25">
      <c r="A738" s="13" t="s">
        <v>750</v>
      </c>
      <c r="B738" s="13" t="s">
        <v>2194</v>
      </c>
      <c r="C738" s="13" t="s">
        <v>2198</v>
      </c>
      <c r="D738" s="13" t="s">
        <v>2206</v>
      </c>
      <c r="E738" s="13" t="s">
        <v>2211</v>
      </c>
      <c r="F738" s="13" t="s">
        <v>2222</v>
      </c>
      <c r="G738" s="13">
        <v>74.67</v>
      </c>
      <c r="H738" s="13">
        <v>0</v>
      </c>
      <c r="I738" s="13">
        <v>74.67</v>
      </c>
      <c r="J738" s="24">
        <v>45875</v>
      </c>
      <c r="K738" s="13">
        <v>15</v>
      </c>
      <c r="L738" s="13">
        <v>4.5999999999999996</v>
      </c>
      <c r="M738" s="13" t="b">
        <v>0</v>
      </c>
      <c r="O738" s="13">
        <f t="shared" si="11"/>
        <v>4.5999999999999996</v>
      </c>
    </row>
    <row r="739" spans="1:15" x14ac:dyDescent="0.25">
      <c r="A739" s="13" t="s">
        <v>751</v>
      </c>
      <c r="B739" s="13" t="s">
        <v>2195</v>
      </c>
      <c r="C739" s="13" t="s">
        <v>2203</v>
      </c>
      <c r="D739" s="13" t="s">
        <v>2206</v>
      </c>
      <c r="E739" s="13" t="s">
        <v>2211</v>
      </c>
      <c r="F739" s="13" t="s">
        <v>2224</v>
      </c>
      <c r="G739" s="13">
        <v>63.79</v>
      </c>
      <c r="H739" s="13">
        <v>35.5</v>
      </c>
      <c r="I739" s="13">
        <v>41.14</v>
      </c>
      <c r="J739" s="24">
        <v>45875</v>
      </c>
      <c r="K739" s="13">
        <v>15</v>
      </c>
      <c r="L739" s="13">
        <v>3.1</v>
      </c>
      <c r="M739" s="13" t="b">
        <v>1</v>
      </c>
      <c r="N739" s="13" t="s">
        <v>2228</v>
      </c>
      <c r="O739" s="13">
        <f t="shared" si="11"/>
        <v>3.1</v>
      </c>
    </row>
    <row r="740" spans="1:15" x14ac:dyDescent="0.25">
      <c r="A740" s="13" t="s">
        <v>752</v>
      </c>
      <c r="B740" s="13" t="s">
        <v>2194</v>
      </c>
      <c r="C740" s="13" t="s">
        <v>2201</v>
      </c>
      <c r="D740" s="13" t="s">
        <v>2206</v>
      </c>
      <c r="E740" s="13" t="s">
        <v>2211</v>
      </c>
      <c r="F740" s="13" t="s">
        <v>2224</v>
      </c>
      <c r="G740" s="13">
        <v>49.6</v>
      </c>
      <c r="H740" s="13">
        <v>0</v>
      </c>
      <c r="I740" s="13">
        <v>49.6</v>
      </c>
      <c r="J740" s="24">
        <v>45875</v>
      </c>
      <c r="K740" s="13">
        <v>32</v>
      </c>
      <c r="L740" s="13">
        <v>4.7</v>
      </c>
      <c r="M740" s="13" t="b">
        <v>0</v>
      </c>
      <c r="O740" s="13">
        <f t="shared" si="11"/>
        <v>4.7</v>
      </c>
    </row>
    <row r="741" spans="1:15" x14ac:dyDescent="0.25">
      <c r="A741" s="13" t="s">
        <v>753</v>
      </c>
      <c r="B741" s="13" t="s">
        <v>2191</v>
      </c>
      <c r="C741" s="13" t="s">
        <v>2196</v>
      </c>
      <c r="D741" s="13" t="s">
        <v>2204</v>
      </c>
      <c r="E741" s="13" t="s">
        <v>2208</v>
      </c>
      <c r="F741" s="13" t="s">
        <v>2214</v>
      </c>
      <c r="G741" s="13">
        <v>57.91</v>
      </c>
      <c r="H741" s="13">
        <v>0</v>
      </c>
      <c r="I741" s="13">
        <v>57.91</v>
      </c>
      <c r="J741" s="24">
        <v>45729</v>
      </c>
      <c r="K741" s="13">
        <v>33</v>
      </c>
      <c r="L741" s="13">
        <v>3.9</v>
      </c>
      <c r="M741" s="13" t="b">
        <v>0</v>
      </c>
      <c r="O741" s="13">
        <f t="shared" si="11"/>
        <v>3.9</v>
      </c>
    </row>
    <row r="742" spans="1:15" x14ac:dyDescent="0.25">
      <c r="A742" s="13" t="s">
        <v>754</v>
      </c>
      <c r="B742" s="13" t="s">
        <v>2195</v>
      </c>
      <c r="C742" s="13" t="s">
        <v>2197</v>
      </c>
      <c r="D742" s="13" t="s">
        <v>2207</v>
      </c>
      <c r="E742" s="13" t="s">
        <v>2208</v>
      </c>
      <c r="F742" s="13" t="s">
        <v>2215</v>
      </c>
      <c r="G742" s="13">
        <v>135.99</v>
      </c>
      <c r="H742" s="13">
        <v>0</v>
      </c>
      <c r="I742" s="13">
        <v>135.99</v>
      </c>
      <c r="J742" s="24">
        <v>45875</v>
      </c>
      <c r="K742" s="13">
        <v>34</v>
      </c>
      <c r="L742" s="13">
        <v>3</v>
      </c>
      <c r="M742" s="13" t="b">
        <v>0</v>
      </c>
      <c r="O742" s="13">
        <f t="shared" si="11"/>
        <v>3</v>
      </c>
    </row>
    <row r="743" spans="1:15" x14ac:dyDescent="0.25">
      <c r="A743" s="13" t="s">
        <v>755</v>
      </c>
      <c r="B743" s="13" t="s">
        <v>2195</v>
      </c>
      <c r="C743" s="13" t="s">
        <v>2199</v>
      </c>
      <c r="D743" s="13" t="s">
        <v>2205</v>
      </c>
      <c r="E743" s="13" t="s">
        <v>2210</v>
      </c>
      <c r="F743" s="13" t="s">
        <v>2223</v>
      </c>
      <c r="G743" s="13">
        <v>53.49</v>
      </c>
      <c r="H743" s="13">
        <v>21.8</v>
      </c>
      <c r="I743" s="13">
        <v>41.83</v>
      </c>
      <c r="J743" s="24">
        <v>45875</v>
      </c>
      <c r="K743" s="13">
        <v>41</v>
      </c>
      <c r="L743" s="13">
        <v>2.1</v>
      </c>
      <c r="M743" s="13" t="b">
        <v>0</v>
      </c>
      <c r="O743" s="13">
        <f t="shared" si="11"/>
        <v>2.1</v>
      </c>
    </row>
    <row r="744" spans="1:15" x14ac:dyDescent="0.25">
      <c r="A744" s="13" t="s">
        <v>756</v>
      </c>
      <c r="B744" s="13" t="s">
        <v>2191</v>
      </c>
      <c r="C744" s="13" t="s">
        <v>2203</v>
      </c>
      <c r="D744" s="13" t="s">
        <v>2207</v>
      </c>
      <c r="E744" s="13" t="s">
        <v>2210</v>
      </c>
      <c r="F744" s="13" t="s">
        <v>2215</v>
      </c>
      <c r="G744" s="13">
        <v>113.29</v>
      </c>
      <c r="H744" s="13">
        <v>34</v>
      </c>
      <c r="I744" s="13">
        <v>74.77</v>
      </c>
      <c r="J744" s="24">
        <v>45875</v>
      </c>
      <c r="K744" s="13">
        <v>10</v>
      </c>
      <c r="M744" s="13" t="b">
        <v>0</v>
      </c>
      <c r="O744" s="13">
        <f t="shared" si="11"/>
        <v>2.6870967741935483</v>
      </c>
    </row>
    <row r="745" spans="1:15" x14ac:dyDescent="0.25">
      <c r="A745" s="13" t="s">
        <v>757</v>
      </c>
      <c r="B745" s="13" t="s">
        <v>2191</v>
      </c>
      <c r="C745" s="13" t="s">
        <v>2200</v>
      </c>
      <c r="D745" s="13" t="s">
        <v>2205</v>
      </c>
      <c r="E745" s="13" t="s">
        <v>2209</v>
      </c>
      <c r="F745" s="13" t="s">
        <v>2217</v>
      </c>
      <c r="G745" s="13">
        <v>110.87</v>
      </c>
      <c r="H745" s="13">
        <v>6</v>
      </c>
      <c r="I745" s="13">
        <v>104.22</v>
      </c>
      <c r="J745" s="24">
        <v>45875</v>
      </c>
      <c r="K745" s="13">
        <v>15</v>
      </c>
      <c r="M745" s="13" t="b">
        <v>0</v>
      </c>
      <c r="O745" s="13">
        <f t="shared" si="11"/>
        <v>2.9657142857142857</v>
      </c>
    </row>
    <row r="746" spans="1:15" x14ac:dyDescent="0.25">
      <c r="A746" s="13" t="s">
        <v>758</v>
      </c>
      <c r="B746" s="13" t="s">
        <v>2191</v>
      </c>
      <c r="C746" s="13" t="s">
        <v>2201</v>
      </c>
      <c r="D746" s="13" t="s">
        <v>2206</v>
      </c>
      <c r="F746" s="13" t="s">
        <v>2222</v>
      </c>
      <c r="G746" s="13">
        <v>94.3</v>
      </c>
      <c r="H746" s="13">
        <v>0</v>
      </c>
      <c r="I746" s="13">
        <v>94.3</v>
      </c>
      <c r="J746" s="24">
        <v>45875</v>
      </c>
      <c r="K746" s="13">
        <v>16</v>
      </c>
      <c r="M746" s="13" t="b">
        <v>0</v>
      </c>
      <c r="O746" s="13">
        <f t="shared" si="11"/>
        <v>2.9846153846153847</v>
      </c>
    </row>
    <row r="747" spans="1:15" x14ac:dyDescent="0.25">
      <c r="A747" s="13" t="s">
        <v>759</v>
      </c>
      <c r="B747" s="13" t="s">
        <v>2192</v>
      </c>
      <c r="C747" s="13" t="s">
        <v>2203</v>
      </c>
      <c r="D747" s="13" t="s">
        <v>2204</v>
      </c>
      <c r="F747" s="13" t="s">
        <v>2214</v>
      </c>
      <c r="G747" s="13">
        <v>37.94</v>
      </c>
      <c r="H747" s="13">
        <v>0</v>
      </c>
      <c r="I747" s="13">
        <v>37.94</v>
      </c>
      <c r="J747" s="24">
        <v>45573</v>
      </c>
      <c r="K747" s="13">
        <v>9</v>
      </c>
      <c r="L747" s="13">
        <v>4.5999999999999996</v>
      </c>
      <c r="M747" s="13" t="b">
        <v>0</v>
      </c>
      <c r="O747" s="13">
        <f t="shared" si="11"/>
        <v>4.5999999999999996</v>
      </c>
    </row>
    <row r="748" spans="1:15" x14ac:dyDescent="0.25">
      <c r="A748" s="13" t="s">
        <v>760</v>
      </c>
      <c r="B748" s="13" t="s">
        <v>2190</v>
      </c>
      <c r="C748" s="13" t="s">
        <v>2201</v>
      </c>
      <c r="D748" s="13" t="s">
        <v>2205</v>
      </c>
      <c r="E748" s="13" t="s">
        <v>2211</v>
      </c>
      <c r="F748" s="13" t="s">
        <v>2218</v>
      </c>
      <c r="G748" s="13">
        <v>200.24</v>
      </c>
      <c r="H748" s="13">
        <v>23</v>
      </c>
      <c r="I748" s="13">
        <v>154.18</v>
      </c>
      <c r="J748" s="24">
        <v>45875</v>
      </c>
      <c r="K748" s="13">
        <v>38</v>
      </c>
      <c r="M748" s="13" t="b">
        <v>0</v>
      </c>
      <c r="O748" s="13">
        <f t="shared" si="11"/>
        <v>3.0305555555555546</v>
      </c>
    </row>
    <row r="749" spans="1:15" x14ac:dyDescent="0.25">
      <c r="A749" s="13" t="s">
        <v>761</v>
      </c>
      <c r="B749" s="13" t="s">
        <v>2192</v>
      </c>
      <c r="C749" s="13" t="s">
        <v>2203</v>
      </c>
      <c r="D749" s="13" t="s">
        <v>2205</v>
      </c>
      <c r="F749" s="13" t="s">
        <v>2223</v>
      </c>
      <c r="G749" s="13">
        <v>43.45</v>
      </c>
      <c r="H749" s="13">
        <v>0</v>
      </c>
      <c r="I749" s="13">
        <v>43.45</v>
      </c>
      <c r="J749" s="24">
        <v>45875</v>
      </c>
      <c r="K749" s="13">
        <v>50</v>
      </c>
      <c r="L749" s="13">
        <v>4</v>
      </c>
      <c r="M749" s="13" t="b">
        <v>0</v>
      </c>
      <c r="O749" s="13">
        <f t="shared" si="11"/>
        <v>4</v>
      </c>
    </row>
    <row r="750" spans="1:15" x14ac:dyDescent="0.25">
      <c r="A750" s="13" t="s">
        <v>762</v>
      </c>
      <c r="B750" s="13" t="s">
        <v>2194</v>
      </c>
      <c r="C750" s="13" t="s">
        <v>2203</v>
      </c>
      <c r="D750" s="13" t="s">
        <v>2207</v>
      </c>
      <c r="E750" s="13" t="s">
        <v>2209</v>
      </c>
      <c r="F750" s="13" t="s">
        <v>2214</v>
      </c>
      <c r="G750" s="13">
        <v>76.92</v>
      </c>
      <c r="H750" s="13">
        <v>9.6</v>
      </c>
      <c r="I750" s="13">
        <v>69.540000000000006</v>
      </c>
      <c r="J750" s="24">
        <v>45875</v>
      </c>
      <c r="K750" s="13">
        <v>20</v>
      </c>
      <c r="L750" s="13">
        <v>2</v>
      </c>
      <c r="M750" s="13" t="b">
        <v>0</v>
      </c>
      <c r="O750" s="13">
        <f t="shared" si="11"/>
        <v>2</v>
      </c>
    </row>
    <row r="751" spans="1:15" x14ac:dyDescent="0.25">
      <c r="A751" s="13" t="s">
        <v>763</v>
      </c>
      <c r="B751" s="13" t="s">
        <v>2192</v>
      </c>
      <c r="C751" s="13" t="s">
        <v>2203</v>
      </c>
      <c r="D751" s="13" t="s">
        <v>2206</v>
      </c>
      <c r="F751" s="13" t="s">
        <v>2217</v>
      </c>
      <c r="G751" s="13">
        <v>21.09</v>
      </c>
      <c r="H751" s="13">
        <v>0</v>
      </c>
      <c r="I751" s="13">
        <v>21.09</v>
      </c>
      <c r="J751" s="24">
        <v>45875</v>
      </c>
      <c r="K751" s="13">
        <v>33</v>
      </c>
      <c r="L751" s="13">
        <v>4.0999999999999996</v>
      </c>
      <c r="M751" s="13" t="b">
        <v>1</v>
      </c>
      <c r="N751" s="13" t="s">
        <v>2226</v>
      </c>
      <c r="O751" s="13">
        <f t="shared" si="11"/>
        <v>4.0999999999999996</v>
      </c>
    </row>
    <row r="752" spans="1:15" x14ac:dyDescent="0.25">
      <c r="A752" s="13" t="s">
        <v>764</v>
      </c>
      <c r="B752" s="13" t="s">
        <v>2195</v>
      </c>
      <c r="C752" s="13" t="s">
        <v>2198</v>
      </c>
      <c r="D752" s="13" t="s">
        <v>2205</v>
      </c>
      <c r="E752" s="13" t="s">
        <v>2208</v>
      </c>
      <c r="F752" s="13" t="s">
        <v>2220</v>
      </c>
      <c r="G752" s="13">
        <v>55.47</v>
      </c>
      <c r="H752" s="13">
        <v>0</v>
      </c>
      <c r="I752" s="13">
        <v>55.47</v>
      </c>
      <c r="J752" s="24">
        <v>45875</v>
      </c>
      <c r="K752" s="13">
        <v>18</v>
      </c>
      <c r="M752" s="13" t="b">
        <v>0</v>
      </c>
      <c r="O752" s="13">
        <f t="shared" si="11"/>
        <v>2.9000000000000008</v>
      </c>
    </row>
    <row r="753" spans="1:15" x14ac:dyDescent="0.25">
      <c r="A753" s="13" t="s">
        <v>765</v>
      </c>
      <c r="B753" s="13" t="s">
        <v>2190</v>
      </c>
      <c r="C753" s="13" t="s">
        <v>2200</v>
      </c>
      <c r="D753" s="13" t="s">
        <v>2204</v>
      </c>
      <c r="E753" s="13" t="s">
        <v>2211</v>
      </c>
      <c r="F753" s="13" t="s">
        <v>2217</v>
      </c>
      <c r="G753" s="13">
        <v>122.53</v>
      </c>
      <c r="H753" s="13">
        <v>0</v>
      </c>
      <c r="I753" s="13">
        <v>122.53</v>
      </c>
      <c r="J753" s="24">
        <v>45556</v>
      </c>
      <c r="K753" s="13">
        <v>25</v>
      </c>
      <c r="M753" s="13" t="b">
        <v>0</v>
      </c>
      <c r="O753" s="13">
        <f t="shared" si="11"/>
        <v>2.9228571428571426</v>
      </c>
    </row>
    <row r="754" spans="1:15" x14ac:dyDescent="0.25">
      <c r="A754" s="13" t="s">
        <v>766</v>
      </c>
      <c r="B754" s="13" t="s">
        <v>2192</v>
      </c>
      <c r="C754" s="13" t="s">
        <v>2197</v>
      </c>
      <c r="D754" s="13" t="s">
        <v>2207</v>
      </c>
      <c r="F754" s="13" t="s">
        <v>2221</v>
      </c>
      <c r="G754" s="13">
        <v>61.13</v>
      </c>
      <c r="H754" s="13">
        <v>0</v>
      </c>
      <c r="I754" s="13">
        <v>61.13</v>
      </c>
      <c r="J754" s="24">
        <v>45875</v>
      </c>
      <c r="K754" s="13">
        <v>34</v>
      </c>
      <c r="L754" s="13">
        <v>2.6</v>
      </c>
      <c r="M754" s="13" t="b">
        <v>0</v>
      </c>
      <c r="O754" s="13">
        <f t="shared" si="11"/>
        <v>2.6</v>
      </c>
    </row>
    <row r="755" spans="1:15" x14ac:dyDescent="0.25">
      <c r="A755" s="13" t="s">
        <v>767</v>
      </c>
      <c r="B755" s="13" t="s">
        <v>2190</v>
      </c>
      <c r="C755" s="13" t="s">
        <v>2197</v>
      </c>
      <c r="D755" s="13" t="s">
        <v>2204</v>
      </c>
      <c r="E755" s="13" t="s">
        <v>2212</v>
      </c>
      <c r="F755" s="13" t="s">
        <v>2224</v>
      </c>
      <c r="G755" s="13">
        <v>127.59</v>
      </c>
      <c r="H755" s="13">
        <v>0</v>
      </c>
      <c r="I755" s="13">
        <v>127.59</v>
      </c>
      <c r="J755" s="24">
        <v>45785</v>
      </c>
      <c r="K755" s="13">
        <v>1</v>
      </c>
      <c r="L755" s="13">
        <v>4.9000000000000004</v>
      </c>
      <c r="M755" s="13" t="b">
        <v>0</v>
      </c>
      <c r="O755" s="13">
        <f t="shared" si="11"/>
        <v>4.9000000000000004</v>
      </c>
    </row>
    <row r="756" spans="1:15" x14ac:dyDescent="0.25">
      <c r="A756" s="13" t="s">
        <v>768</v>
      </c>
      <c r="B756" s="13" t="s">
        <v>2192</v>
      </c>
      <c r="C756" s="13" t="s">
        <v>2201</v>
      </c>
      <c r="D756" s="13" t="s">
        <v>2207</v>
      </c>
      <c r="F756" s="13" t="s">
        <v>2222</v>
      </c>
      <c r="G756" s="13">
        <v>73.040000000000006</v>
      </c>
      <c r="H756" s="13">
        <v>0</v>
      </c>
      <c r="I756" s="13">
        <v>73.040000000000006</v>
      </c>
      <c r="J756" s="24">
        <v>45875</v>
      </c>
      <c r="K756" s="13">
        <v>44</v>
      </c>
      <c r="L756" s="13">
        <v>4.2</v>
      </c>
      <c r="M756" s="13" t="b">
        <v>0</v>
      </c>
      <c r="O756" s="13">
        <f t="shared" si="11"/>
        <v>4.2</v>
      </c>
    </row>
    <row r="757" spans="1:15" x14ac:dyDescent="0.25">
      <c r="A757" s="13" t="s">
        <v>769</v>
      </c>
      <c r="B757" s="13" t="s">
        <v>2190</v>
      </c>
      <c r="C757" s="13" t="s">
        <v>2197</v>
      </c>
      <c r="D757" s="13" t="s">
        <v>2205</v>
      </c>
      <c r="E757" s="13" t="s">
        <v>2208</v>
      </c>
      <c r="F757" s="13" t="s">
        <v>2221</v>
      </c>
      <c r="G757" s="13">
        <v>129.46</v>
      </c>
      <c r="H757" s="13">
        <v>0</v>
      </c>
      <c r="I757" s="13">
        <v>129.46</v>
      </c>
      <c r="J757" s="24">
        <v>45875</v>
      </c>
      <c r="K757" s="13">
        <v>32</v>
      </c>
      <c r="L757" s="13">
        <v>4</v>
      </c>
      <c r="M757" s="13" t="b">
        <v>0</v>
      </c>
      <c r="O757" s="13">
        <f t="shared" si="11"/>
        <v>4</v>
      </c>
    </row>
    <row r="758" spans="1:15" x14ac:dyDescent="0.25">
      <c r="A758" s="13" t="s">
        <v>770</v>
      </c>
      <c r="B758" s="13" t="s">
        <v>2192</v>
      </c>
      <c r="C758" s="13" t="s">
        <v>2198</v>
      </c>
      <c r="D758" s="13" t="s">
        <v>2205</v>
      </c>
      <c r="F758" s="13" t="s">
        <v>2217</v>
      </c>
      <c r="G758" s="13">
        <v>51.3</v>
      </c>
      <c r="H758" s="13">
        <v>0</v>
      </c>
      <c r="I758" s="13">
        <v>51.3</v>
      </c>
      <c r="J758" s="24">
        <v>45875</v>
      </c>
      <c r="K758" s="13">
        <v>33</v>
      </c>
      <c r="M758" s="13" t="b">
        <v>0</v>
      </c>
      <c r="O758" s="13">
        <f t="shared" si="11"/>
        <v>2.8694444444444449</v>
      </c>
    </row>
    <row r="759" spans="1:15" x14ac:dyDescent="0.25">
      <c r="A759" s="13" t="s">
        <v>771</v>
      </c>
      <c r="B759" s="13" t="s">
        <v>2195</v>
      </c>
      <c r="C759" s="13" t="s">
        <v>2200</v>
      </c>
      <c r="D759" s="13" t="s">
        <v>2204</v>
      </c>
      <c r="E759" s="13" t="s">
        <v>2209</v>
      </c>
      <c r="F759" s="13" t="s">
        <v>2218</v>
      </c>
      <c r="G759" s="13">
        <v>173</v>
      </c>
      <c r="H759" s="13">
        <v>0</v>
      </c>
      <c r="I759" s="13">
        <v>173</v>
      </c>
      <c r="J759" s="24">
        <v>45759</v>
      </c>
      <c r="K759" s="13">
        <v>13</v>
      </c>
      <c r="L759" s="13">
        <v>3.9</v>
      </c>
      <c r="M759" s="13" t="b">
        <v>0</v>
      </c>
      <c r="O759" s="13">
        <f t="shared" si="11"/>
        <v>3.9</v>
      </c>
    </row>
    <row r="760" spans="1:15" x14ac:dyDescent="0.25">
      <c r="A760" s="13" t="s">
        <v>772</v>
      </c>
      <c r="B760" s="13" t="s">
        <v>2192</v>
      </c>
      <c r="C760" s="13" t="s">
        <v>2197</v>
      </c>
      <c r="D760" s="13" t="s">
        <v>2207</v>
      </c>
      <c r="F760" s="13" t="s">
        <v>2220</v>
      </c>
      <c r="G760" s="13">
        <v>70.72</v>
      </c>
      <c r="H760" s="13">
        <v>0</v>
      </c>
      <c r="I760" s="13">
        <v>70.72</v>
      </c>
      <c r="J760" s="24">
        <v>45875</v>
      </c>
      <c r="K760" s="13">
        <v>18</v>
      </c>
      <c r="L760" s="13">
        <v>2.8</v>
      </c>
      <c r="M760" s="13" t="b">
        <v>0</v>
      </c>
      <c r="O760" s="13">
        <f t="shared" si="11"/>
        <v>2.8</v>
      </c>
    </row>
    <row r="761" spans="1:15" x14ac:dyDescent="0.25">
      <c r="A761" s="13" t="s">
        <v>773</v>
      </c>
      <c r="B761" s="13" t="s">
        <v>2195</v>
      </c>
      <c r="C761" s="13" t="s">
        <v>2203</v>
      </c>
      <c r="D761" s="13" t="s">
        <v>2207</v>
      </c>
      <c r="E761" s="13" t="s">
        <v>2210</v>
      </c>
      <c r="F761" s="13" t="s">
        <v>2216</v>
      </c>
      <c r="G761" s="13">
        <v>126.37</v>
      </c>
      <c r="H761" s="13">
        <v>0</v>
      </c>
      <c r="I761" s="13">
        <v>126.37</v>
      </c>
      <c r="J761" s="24">
        <v>45875</v>
      </c>
      <c r="K761" s="13">
        <v>42</v>
      </c>
      <c r="L761" s="13">
        <v>2</v>
      </c>
      <c r="M761" s="13" t="b">
        <v>0</v>
      </c>
      <c r="O761" s="13">
        <f t="shared" si="11"/>
        <v>2</v>
      </c>
    </row>
    <row r="762" spans="1:15" x14ac:dyDescent="0.25">
      <c r="A762" s="13" t="s">
        <v>774</v>
      </c>
      <c r="B762" s="13" t="s">
        <v>2194</v>
      </c>
      <c r="C762" s="13" t="s">
        <v>2196</v>
      </c>
      <c r="D762" s="13" t="s">
        <v>2205</v>
      </c>
      <c r="E762" s="13" t="s">
        <v>2211</v>
      </c>
      <c r="F762" s="13" t="s">
        <v>2219</v>
      </c>
      <c r="G762" s="13">
        <v>84.19</v>
      </c>
      <c r="H762" s="13">
        <v>9.6</v>
      </c>
      <c r="I762" s="13">
        <v>76.11</v>
      </c>
      <c r="J762" s="24">
        <v>45875</v>
      </c>
      <c r="K762" s="13">
        <v>45</v>
      </c>
      <c r="L762" s="13">
        <v>2.1</v>
      </c>
      <c r="M762" s="13" t="b">
        <v>0</v>
      </c>
      <c r="O762" s="13">
        <f t="shared" si="11"/>
        <v>2.1</v>
      </c>
    </row>
    <row r="763" spans="1:15" x14ac:dyDescent="0.25">
      <c r="A763" s="13" t="s">
        <v>775</v>
      </c>
      <c r="B763" s="13" t="s">
        <v>2192</v>
      </c>
      <c r="C763" s="13" t="s">
        <v>2203</v>
      </c>
      <c r="D763" s="13" t="s">
        <v>2207</v>
      </c>
      <c r="F763" s="13" t="s">
        <v>2215</v>
      </c>
      <c r="G763" s="13">
        <v>59.39</v>
      </c>
      <c r="H763" s="13">
        <v>44.6</v>
      </c>
      <c r="I763" s="13">
        <v>32.9</v>
      </c>
      <c r="J763" s="24">
        <v>45875</v>
      </c>
      <c r="K763" s="13">
        <v>41</v>
      </c>
      <c r="L763" s="13">
        <v>2.2999999999999998</v>
      </c>
      <c r="M763" s="13" t="b">
        <v>1</v>
      </c>
      <c r="N763" s="13" t="s">
        <v>2225</v>
      </c>
      <c r="O763" s="13">
        <f t="shared" si="11"/>
        <v>2.2999999999999998</v>
      </c>
    </row>
    <row r="764" spans="1:15" x14ac:dyDescent="0.25">
      <c r="A764" s="13" t="s">
        <v>776</v>
      </c>
      <c r="B764" s="13" t="s">
        <v>2190</v>
      </c>
      <c r="C764" s="13" t="s">
        <v>2199</v>
      </c>
      <c r="D764" s="13" t="s">
        <v>2206</v>
      </c>
      <c r="E764" s="13" t="s">
        <v>2213</v>
      </c>
      <c r="F764" s="13" t="s">
        <v>2220</v>
      </c>
      <c r="G764" s="13">
        <v>195.38</v>
      </c>
      <c r="H764" s="13">
        <v>0.3</v>
      </c>
      <c r="I764" s="13">
        <v>194.79</v>
      </c>
      <c r="J764" s="24">
        <v>45875</v>
      </c>
      <c r="K764" s="13">
        <v>30</v>
      </c>
      <c r="L764" s="13">
        <v>2.9</v>
      </c>
      <c r="M764" s="13" t="b">
        <v>0</v>
      </c>
      <c r="O764" s="13">
        <f t="shared" si="11"/>
        <v>2.9</v>
      </c>
    </row>
    <row r="765" spans="1:15" x14ac:dyDescent="0.25">
      <c r="A765" s="13" t="s">
        <v>777</v>
      </c>
      <c r="B765" s="13" t="s">
        <v>2195</v>
      </c>
      <c r="C765" s="13" t="s">
        <v>2202</v>
      </c>
      <c r="D765" s="13" t="s">
        <v>2204</v>
      </c>
      <c r="E765" s="13" t="s">
        <v>2210</v>
      </c>
      <c r="F765" s="13" t="s">
        <v>2217</v>
      </c>
      <c r="G765" s="13">
        <v>107.64</v>
      </c>
      <c r="H765" s="13">
        <v>7.5</v>
      </c>
      <c r="I765" s="13">
        <v>99.57</v>
      </c>
      <c r="J765" s="24">
        <v>45545</v>
      </c>
      <c r="K765" s="13">
        <v>21</v>
      </c>
      <c r="L765" s="13">
        <v>4.5999999999999996</v>
      </c>
      <c r="M765" s="13" t="b">
        <v>0</v>
      </c>
      <c r="O765" s="13">
        <f t="shared" si="11"/>
        <v>4.5999999999999996</v>
      </c>
    </row>
    <row r="766" spans="1:15" x14ac:dyDescent="0.25">
      <c r="A766" s="13" t="s">
        <v>778</v>
      </c>
      <c r="B766" s="13" t="s">
        <v>2193</v>
      </c>
      <c r="C766" s="13" t="s">
        <v>2200</v>
      </c>
      <c r="D766" s="13" t="s">
        <v>2204</v>
      </c>
      <c r="E766" s="13" t="s">
        <v>2209</v>
      </c>
      <c r="F766" s="13" t="s">
        <v>2219</v>
      </c>
      <c r="G766" s="13">
        <v>63.12</v>
      </c>
      <c r="H766" s="13">
        <v>0</v>
      </c>
      <c r="I766" s="13">
        <v>63.12</v>
      </c>
      <c r="J766" s="24">
        <v>45604</v>
      </c>
      <c r="K766" s="13">
        <v>35</v>
      </c>
      <c r="L766" s="13">
        <v>2.9</v>
      </c>
      <c r="M766" s="13" t="b">
        <v>0</v>
      </c>
      <c r="O766" s="13">
        <f t="shared" si="11"/>
        <v>2.9</v>
      </c>
    </row>
    <row r="767" spans="1:15" x14ac:dyDescent="0.25">
      <c r="A767" s="13" t="s">
        <v>779</v>
      </c>
      <c r="B767" s="13" t="s">
        <v>2194</v>
      </c>
      <c r="C767" s="13" t="s">
        <v>2202</v>
      </c>
      <c r="D767" s="13" t="s">
        <v>2206</v>
      </c>
      <c r="E767" s="13" t="s">
        <v>2209</v>
      </c>
      <c r="F767" s="13" t="s">
        <v>2219</v>
      </c>
      <c r="G767" s="13">
        <v>58.91</v>
      </c>
      <c r="H767" s="13">
        <v>0</v>
      </c>
      <c r="I767" s="13">
        <v>58.91</v>
      </c>
      <c r="J767" s="24">
        <v>45875</v>
      </c>
      <c r="K767" s="13">
        <v>17</v>
      </c>
      <c r="L767" s="13">
        <v>2</v>
      </c>
      <c r="M767" s="13" t="b">
        <v>0</v>
      </c>
      <c r="O767" s="13">
        <f t="shared" si="11"/>
        <v>2</v>
      </c>
    </row>
    <row r="768" spans="1:15" x14ac:dyDescent="0.25">
      <c r="A768" s="13" t="s">
        <v>780</v>
      </c>
      <c r="B768" s="13" t="s">
        <v>2194</v>
      </c>
      <c r="C768" s="13" t="s">
        <v>2200</v>
      </c>
      <c r="D768" s="13" t="s">
        <v>2207</v>
      </c>
      <c r="E768" s="13" t="s">
        <v>2209</v>
      </c>
      <c r="F768" s="13" t="s">
        <v>2220</v>
      </c>
      <c r="G768" s="13">
        <v>93.27</v>
      </c>
      <c r="H768" s="13">
        <v>0</v>
      </c>
      <c r="I768" s="13">
        <v>93.27</v>
      </c>
      <c r="J768" s="24">
        <v>45875</v>
      </c>
      <c r="K768" s="13">
        <v>18</v>
      </c>
      <c r="L768" s="13">
        <v>3.7</v>
      </c>
      <c r="M768" s="13" t="b">
        <v>0</v>
      </c>
      <c r="O768" s="13">
        <f t="shared" si="11"/>
        <v>3.7</v>
      </c>
    </row>
    <row r="769" spans="1:15" x14ac:dyDescent="0.25">
      <c r="A769" s="13" t="s">
        <v>781</v>
      </c>
      <c r="B769" s="13" t="s">
        <v>2195</v>
      </c>
      <c r="C769" s="13" t="s">
        <v>2203</v>
      </c>
      <c r="D769" s="13" t="s">
        <v>2204</v>
      </c>
      <c r="E769" s="13" t="s">
        <v>2208</v>
      </c>
      <c r="F769" s="13" t="s">
        <v>2220</v>
      </c>
      <c r="G769" s="13">
        <v>147.88</v>
      </c>
      <c r="H769" s="13">
        <v>36.799999999999997</v>
      </c>
      <c r="I769" s="13">
        <v>93.46</v>
      </c>
      <c r="J769" s="24">
        <v>45543</v>
      </c>
      <c r="K769" s="13">
        <v>37</v>
      </c>
      <c r="L769" s="13">
        <v>3.3</v>
      </c>
      <c r="M769" s="13" t="b">
        <v>0</v>
      </c>
      <c r="O769" s="13">
        <f t="shared" si="11"/>
        <v>3.3</v>
      </c>
    </row>
    <row r="770" spans="1:15" x14ac:dyDescent="0.25">
      <c r="A770" s="13" t="s">
        <v>782</v>
      </c>
      <c r="B770" s="13" t="s">
        <v>2191</v>
      </c>
      <c r="C770" s="13" t="s">
        <v>2197</v>
      </c>
      <c r="D770" s="13" t="s">
        <v>2206</v>
      </c>
      <c r="E770" s="13" t="s">
        <v>2209</v>
      </c>
      <c r="F770" s="13" t="s">
        <v>2218</v>
      </c>
      <c r="G770" s="13">
        <v>30.53</v>
      </c>
      <c r="H770" s="13">
        <v>0</v>
      </c>
      <c r="I770" s="13">
        <v>30.53</v>
      </c>
      <c r="J770" s="24">
        <v>45875</v>
      </c>
      <c r="K770" s="13">
        <v>25</v>
      </c>
      <c r="L770" s="13">
        <v>2.5</v>
      </c>
      <c r="M770" s="13" t="b">
        <v>0</v>
      </c>
      <c r="O770" s="13">
        <f t="shared" si="11"/>
        <v>2.5</v>
      </c>
    </row>
    <row r="771" spans="1:15" x14ac:dyDescent="0.25">
      <c r="A771" s="13" t="s">
        <v>783</v>
      </c>
      <c r="B771" s="13" t="s">
        <v>2191</v>
      </c>
      <c r="C771" s="13" t="s">
        <v>2196</v>
      </c>
      <c r="D771" s="13" t="s">
        <v>2206</v>
      </c>
      <c r="E771" s="13" t="s">
        <v>2210</v>
      </c>
      <c r="F771" s="13" t="s">
        <v>2217</v>
      </c>
      <c r="G771" s="13">
        <v>104.96</v>
      </c>
      <c r="H771" s="13">
        <v>1.6</v>
      </c>
      <c r="I771" s="13">
        <v>103.28</v>
      </c>
      <c r="J771" s="24">
        <v>45875</v>
      </c>
      <c r="K771" s="13">
        <v>33</v>
      </c>
      <c r="L771" s="13">
        <v>2</v>
      </c>
      <c r="M771" s="13" t="b">
        <v>0</v>
      </c>
      <c r="O771" s="13">
        <f t="shared" ref="O771:O834" si="12">IF(L771="",AVERAGEIFS($L$2:$L$2177,$B$2:$B$2177,B771,$C$2:$C$2177,C771),L771)</f>
        <v>2</v>
      </c>
    </row>
    <row r="772" spans="1:15" x14ac:dyDescent="0.25">
      <c r="A772" s="13" t="s">
        <v>784</v>
      </c>
      <c r="B772" s="13" t="s">
        <v>2195</v>
      </c>
      <c r="C772" s="13" t="s">
        <v>2200</v>
      </c>
      <c r="D772" s="13" t="s">
        <v>2205</v>
      </c>
      <c r="E772" s="13" t="s">
        <v>2212</v>
      </c>
      <c r="F772" s="13" t="s">
        <v>2219</v>
      </c>
      <c r="G772" s="13">
        <v>75.52</v>
      </c>
      <c r="H772" s="13">
        <v>0</v>
      </c>
      <c r="I772" s="13">
        <v>75.52</v>
      </c>
      <c r="J772" s="24">
        <v>45875</v>
      </c>
      <c r="K772" s="13">
        <v>2</v>
      </c>
      <c r="L772" s="13">
        <v>2.8</v>
      </c>
      <c r="M772" s="13" t="b">
        <v>0</v>
      </c>
      <c r="O772" s="13">
        <f t="shared" si="12"/>
        <v>2.8</v>
      </c>
    </row>
    <row r="773" spans="1:15" x14ac:dyDescent="0.25">
      <c r="A773" s="13" t="s">
        <v>785</v>
      </c>
      <c r="B773" s="13" t="s">
        <v>2194</v>
      </c>
      <c r="C773" s="13" t="s">
        <v>2202</v>
      </c>
      <c r="D773" s="13" t="s">
        <v>2205</v>
      </c>
      <c r="E773" s="13" t="s">
        <v>2213</v>
      </c>
      <c r="F773" s="13" t="s">
        <v>2214</v>
      </c>
      <c r="G773" s="13">
        <v>54.7</v>
      </c>
      <c r="H773" s="13">
        <v>0</v>
      </c>
      <c r="I773" s="13">
        <v>54.7</v>
      </c>
      <c r="J773" s="24">
        <v>45875</v>
      </c>
      <c r="K773" s="13">
        <v>18</v>
      </c>
      <c r="L773" s="13">
        <v>4.2</v>
      </c>
      <c r="M773" s="13" t="b">
        <v>0</v>
      </c>
      <c r="O773" s="13">
        <f t="shared" si="12"/>
        <v>4.2</v>
      </c>
    </row>
    <row r="774" spans="1:15" x14ac:dyDescent="0.25">
      <c r="A774" s="13" t="s">
        <v>786</v>
      </c>
      <c r="B774" s="13" t="s">
        <v>2193</v>
      </c>
      <c r="C774" s="13" t="s">
        <v>2201</v>
      </c>
      <c r="D774" s="13" t="s">
        <v>2207</v>
      </c>
      <c r="E774" s="13" t="s">
        <v>2212</v>
      </c>
      <c r="F774" s="13" t="s">
        <v>2216</v>
      </c>
      <c r="G774" s="13">
        <v>126.25</v>
      </c>
      <c r="H774" s="13">
        <v>25.9</v>
      </c>
      <c r="I774" s="13">
        <v>93.55</v>
      </c>
      <c r="J774" s="24">
        <v>45875</v>
      </c>
      <c r="K774" s="13">
        <v>40</v>
      </c>
      <c r="L774" s="13">
        <v>1.5</v>
      </c>
      <c r="M774" s="13" t="b">
        <v>1</v>
      </c>
      <c r="N774" s="13" t="s">
        <v>2226</v>
      </c>
      <c r="O774" s="13">
        <f t="shared" si="12"/>
        <v>1.5</v>
      </c>
    </row>
    <row r="775" spans="1:15" x14ac:dyDescent="0.25">
      <c r="A775" s="13" t="s">
        <v>787</v>
      </c>
      <c r="B775" s="13" t="s">
        <v>2193</v>
      </c>
      <c r="C775" s="13" t="s">
        <v>2198</v>
      </c>
      <c r="D775" s="13" t="s">
        <v>2207</v>
      </c>
      <c r="E775" s="13" t="s">
        <v>2212</v>
      </c>
      <c r="F775" s="13" t="s">
        <v>2219</v>
      </c>
      <c r="G775" s="13">
        <v>63.86</v>
      </c>
      <c r="H775" s="13">
        <v>52.8</v>
      </c>
      <c r="I775" s="13">
        <v>30.14</v>
      </c>
      <c r="J775" s="24">
        <v>45875</v>
      </c>
      <c r="K775" s="13">
        <v>23</v>
      </c>
      <c r="M775" s="13" t="b">
        <v>0</v>
      </c>
      <c r="O775" s="13">
        <f t="shared" si="12"/>
        <v>3.1936170212765949</v>
      </c>
    </row>
    <row r="776" spans="1:15" x14ac:dyDescent="0.25">
      <c r="A776" s="13" t="s">
        <v>788</v>
      </c>
      <c r="B776" s="13" t="s">
        <v>2192</v>
      </c>
      <c r="C776" s="13" t="s">
        <v>2197</v>
      </c>
      <c r="D776" s="13" t="s">
        <v>2205</v>
      </c>
      <c r="F776" s="13" t="s">
        <v>2214</v>
      </c>
      <c r="G776" s="13">
        <v>75.930000000000007</v>
      </c>
      <c r="H776" s="13">
        <v>0</v>
      </c>
      <c r="I776" s="13">
        <v>75.930000000000007</v>
      </c>
      <c r="J776" s="24">
        <v>45875</v>
      </c>
      <c r="K776" s="13">
        <v>32</v>
      </c>
      <c r="L776" s="13">
        <v>3.1</v>
      </c>
      <c r="M776" s="13" t="b">
        <v>0</v>
      </c>
      <c r="O776" s="13">
        <f t="shared" si="12"/>
        <v>3.1</v>
      </c>
    </row>
    <row r="777" spans="1:15" x14ac:dyDescent="0.25">
      <c r="A777" s="13" t="s">
        <v>789</v>
      </c>
      <c r="B777" s="13" t="s">
        <v>2191</v>
      </c>
      <c r="C777" s="13" t="s">
        <v>2196</v>
      </c>
      <c r="D777" s="13" t="s">
        <v>2206</v>
      </c>
      <c r="E777" s="13" t="s">
        <v>2213</v>
      </c>
      <c r="F777" s="13" t="s">
        <v>2224</v>
      </c>
      <c r="G777" s="13">
        <v>82.51</v>
      </c>
      <c r="H777" s="13">
        <v>27.3</v>
      </c>
      <c r="I777" s="13">
        <v>59.98</v>
      </c>
      <c r="J777" s="24">
        <v>45875</v>
      </c>
      <c r="K777" s="13">
        <v>9</v>
      </c>
      <c r="L777" s="13">
        <v>3.8</v>
      </c>
      <c r="M777" s="13" t="b">
        <v>0</v>
      </c>
      <c r="O777" s="13">
        <f t="shared" si="12"/>
        <v>3.8</v>
      </c>
    </row>
    <row r="778" spans="1:15" x14ac:dyDescent="0.25">
      <c r="A778" s="13" t="s">
        <v>790</v>
      </c>
      <c r="B778" s="13" t="s">
        <v>2194</v>
      </c>
      <c r="C778" s="13" t="s">
        <v>2198</v>
      </c>
      <c r="D778" s="13" t="s">
        <v>2206</v>
      </c>
      <c r="E778" s="13" t="s">
        <v>2211</v>
      </c>
      <c r="F778" s="13" t="s">
        <v>2220</v>
      </c>
      <c r="G778" s="13">
        <v>46.02</v>
      </c>
      <c r="H778" s="13">
        <v>0</v>
      </c>
      <c r="I778" s="13">
        <v>46.02</v>
      </c>
      <c r="J778" s="24">
        <v>45875</v>
      </c>
      <c r="K778" s="13">
        <v>21</v>
      </c>
      <c r="L778" s="13">
        <v>1.1000000000000001</v>
      </c>
      <c r="M778" s="13" t="b">
        <v>0</v>
      </c>
      <c r="O778" s="13">
        <f t="shared" si="12"/>
        <v>1.1000000000000001</v>
      </c>
    </row>
    <row r="779" spans="1:15" x14ac:dyDescent="0.25">
      <c r="A779" s="13" t="s">
        <v>791</v>
      </c>
      <c r="B779" s="13" t="s">
        <v>2195</v>
      </c>
      <c r="C779" s="13" t="s">
        <v>2199</v>
      </c>
      <c r="D779" s="13" t="s">
        <v>2205</v>
      </c>
      <c r="E779" s="13" t="s">
        <v>2211</v>
      </c>
      <c r="F779" s="13" t="s">
        <v>2224</v>
      </c>
      <c r="G779" s="13">
        <v>125.67</v>
      </c>
      <c r="H779" s="13">
        <v>45.5</v>
      </c>
      <c r="I779" s="13">
        <v>68.489999999999995</v>
      </c>
      <c r="J779" s="24">
        <v>45875</v>
      </c>
      <c r="K779" s="13">
        <v>27</v>
      </c>
      <c r="L779" s="13">
        <v>1.6</v>
      </c>
      <c r="M779" s="13" t="b">
        <v>0</v>
      </c>
      <c r="O779" s="13">
        <f t="shared" si="12"/>
        <v>1.6</v>
      </c>
    </row>
    <row r="780" spans="1:15" x14ac:dyDescent="0.25">
      <c r="A780" s="13" t="s">
        <v>792</v>
      </c>
      <c r="B780" s="13" t="s">
        <v>2193</v>
      </c>
      <c r="C780" s="13" t="s">
        <v>2199</v>
      </c>
      <c r="D780" s="13" t="s">
        <v>2205</v>
      </c>
      <c r="E780" s="13" t="s">
        <v>2210</v>
      </c>
      <c r="F780" s="13" t="s">
        <v>2214</v>
      </c>
      <c r="G780" s="13">
        <v>65.61</v>
      </c>
      <c r="H780" s="13">
        <v>50.7</v>
      </c>
      <c r="I780" s="13">
        <v>32.35</v>
      </c>
      <c r="J780" s="24">
        <v>45875</v>
      </c>
      <c r="K780" s="13">
        <v>23</v>
      </c>
      <c r="L780" s="13">
        <v>1.1000000000000001</v>
      </c>
      <c r="M780" s="13" t="b">
        <v>0</v>
      </c>
      <c r="O780" s="13">
        <f t="shared" si="12"/>
        <v>1.1000000000000001</v>
      </c>
    </row>
    <row r="781" spans="1:15" x14ac:dyDescent="0.25">
      <c r="A781" s="13" t="s">
        <v>793</v>
      </c>
      <c r="B781" s="13" t="s">
        <v>2195</v>
      </c>
      <c r="C781" s="13" t="s">
        <v>2198</v>
      </c>
      <c r="D781" s="13" t="s">
        <v>2207</v>
      </c>
      <c r="E781" s="13" t="s">
        <v>2212</v>
      </c>
      <c r="F781" s="13" t="s">
        <v>2221</v>
      </c>
      <c r="G781" s="13">
        <v>91.61</v>
      </c>
      <c r="H781" s="13">
        <v>0</v>
      </c>
      <c r="I781" s="13">
        <v>91.61</v>
      </c>
      <c r="J781" s="24">
        <v>45875</v>
      </c>
      <c r="K781" s="13">
        <v>31</v>
      </c>
      <c r="L781" s="13">
        <v>1.4</v>
      </c>
      <c r="M781" s="13" t="b">
        <v>0</v>
      </c>
      <c r="O781" s="13">
        <f t="shared" si="12"/>
        <v>1.4</v>
      </c>
    </row>
    <row r="782" spans="1:15" x14ac:dyDescent="0.25">
      <c r="A782" s="13" t="s">
        <v>794</v>
      </c>
      <c r="B782" s="13" t="s">
        <v>2190</v>
      </c>
      <c r="C782" s="13" t="s">
        <v>2200</v>
      </c>
      <c r="D782" s="13" t="s">
        <v>2207</v>
      </c>
      <c r="E782" s="13" t="s">
        <v>2212</v>
      </c>
      <c r="F782" s="13" t="s">
        <v>2215</v>
      </c>
      <c r="G782" s="13">
        <v>162.78</v>
      </c>
      <c r="H782" s="13">
        <v>0</v>
      </c>
      <c r="I782" s="13">
        <v>162.78</v>
      </c>
      <c r="J782" s="24">
        <v>45875</v>
      </c>
      <c r="K782" s="13">
        <v>0</v>
      </c>
      <c r="M782" s="13" t="b">
        <v>0</v>
      </c>
      <c r="O782" s="13">
        <f t="shared" si="12"/>
        <v>2.9228571428571426</v>
      </c>
    </row>
    <row r="783" spans="1:15" x14ac:dyDescent="0.25">
      <c r="A783" s="13" t="s">
        <v>795</v>
      </c>
      <c r="B783" s="13" t="s">
        <v>2190</v>
      </c>
      <c r="C783" s="13" t="s">
        <v>2199</v>
      </c>
      <c r="D783" s="13" t="s">
        <v>2205</v>
      </c>
      <c r="E783" s="13" t="s">
        <v>2213</v>
      </c>
      <c r="F783" s="13" t="s">
        <v>2218</v>
      </c>
      <c r="G783" s="13">
        <v>134.35</v>
      </c>
      <c r="H783" s="13">
        <v>35.299999999999997</v>
      </c>
      <c r="I783" s="13">
        <v>86.92</v>
      </c>
      <c r="J783" s="24">
        <v>45875</v>
      </c>
      <c r="K783" s="13">
        <v>36</v>
      </c>
      <c r="M783" s="13" t="b">
        <v>0</v>
      </c>
      <c r="O783" s="13">
        <f t="shared" si="12"/>
        <v>2.4137931034482762</v>
      </c>
    </row>
    <row r="784" spans="1:15" x14ac:dyDescent="0.25">
      <c r="A784" s="13" t="s">
        <v>796</v>
      </c>
      <c r="B784" s="13" t="s">
        <v>2194</v>
      </c>
      <c r="C784" s="13" t="s">
        <v>2199</v>
      </c>
      <c r="D784" s="13" t="s">
        <v>2204</v>
      </c>
      <c r="F784" s="13" t="s">
        <v>2218</v>
      </c>
      <c r="G784" s="13">
        <v>77.739999999999995</v>
      </c>
      <c r="H784" s="13">
        <v>38.799999999999997</v>
      </c>
      <c r="I784" s="13">
        <v>47.58</v>
      </c>
      <c r="J784" s="24">
        <v>45849</v>
      </c>
      <c r="K784" s="13">
        <v>23</v>
      </c>
      <c r="L784" s="13">
        <v>4.3</v>
      </c>
      <c r="M784" s="13" t="b">
        <v>0</v>
      </c>
      <c r="O784" s="13">
        <f t="shared" si="12"/>
        <v>4.3</v>
      </c>
    </row>
    <row r="785" spans="1:15" x14ac:dyDescent="0.25">
      <c r="A785" s="13" t="s">
        <v>797</v>
      </c>
      <c r="B785" s="13" t="s">
        <v>2192</v>
      </c>
      <c r="C785" s="13" t="s">
        <v>2202</v>
      </c>
      <c r="D785" s="13" t="s">
        <v>2207</v>
      </c>
      <c r="F785" s="13" t="s">
        <v>2224</v>
      </c>
      <c r="G785" s="13">
        <v>49.33</v>
      </c>
      <c r="H785" s="13">
        <v>59.9</v>
      </c>
      <c r="I785" s="13">
        <v>19.78</v>
      </c>
      <c r="J785" s="24">
        <v>45875</v>
      </c>
      <c r="K785" s="13">
        <v>47</v>
      </c>
      <c r="M785" s="13" t="b">
        <v>0</v>
      </c>
      <c r="O785" s="13">
        <f t="shared" si="12"/>
        <v>3.2720930232558145</v>
      </c>
    </row>
    <row r="786" spans="1:15" x14ac:dyDescent="0.25">
      <c r="A786" s="13" t="s">
        <v>798</v>
      </c>
      <c r="B786" s="13" t="s">
        <v>2190</v>
      </c>
      <c r="C786" s="13" t="s">
        <v>2203</v>
      </c>
      <c r="D786" s="13" t="s">
        <v>2207</v>
      </c>
      <c r="E786" s="13" t="s">
        <v>2210</v>
      </c>
      <c r="F786" s="13" t="s">
        <v>2218</v>
      </c>
      <c r="G786" s="13">
        <v>231.52</v>
      </c>
      <c r="H786" s="13">
        <v>17.3</v>
      </c>
      <c r="I786" s="13">
        <v>191.47</v>
      </c>
      <c r="J786" s="24">
        <v>45875</v>
      </c>
      <c r="K786" s="13">
        <v>49</v>
      </c>
      <c r="L786" s="13">
        <v>2.1</v>
      </c>
      <c r="M786" s="13" t="b">
        <v>0</v>
      </c>
      <c r="O786" s="13">
        <f t="shared" si="12"/>
        <v>2.1</v>
      </c>
    </row>
    <row r="787" spans="1:15" x14ac:dyDescent="0.25">
      <c r="A787" s="13" t="s">
        <v>799</v>
      </c>
      <c r="B787" s="13" t="s">
        <v>2190</v>
      </c>
      <c r="C787" s="13" t="s">
        <v>2202</v>
      </c>
      <c r="D787" s="13" t="s">
        <v>2205</v>
      </c>
      <c r="E787" s="13" t="s">
        <v>2208</v>
      </c>
      <c r="F787" s="13" t="s">
        <v>2217</v>
      </c>
      <c r="G787" s="13">
        <v>140.1</v>
      </c>
      <c r="H787" s="13">
        <v>0</v>
      </c>
      <c r="I787" s="13">
        <v>140.1</v>
      </c>
      <c r="J787" s="24">
        <v>45875</v>
      </c>
      <c r="K787" s="13">
        <v>14</v>
      </c>
      <c r="L787" s="13">
        <v>3.9</v>
      </c>
      <c r="M787" s="13" t="b">
        <v>0</v>
      </c>
      <c r="O787" s="13">
        <f t="shared" si="12"/>
        <v>3.9</v>
      </c>
    </row>
    <row r="788" spans="1:15" x14ac:dyDescent="0.25">
      <c r="A788" s="13" t="s">
        <v>800</v>
      </c>
      <c r="B788" s="13" t="s">
        <v>2195</v>
      </c>
      <c r="C788" s="13" t="s">
        <v>2201</v>
      </c>
      <c r="D788" s="13" t="s">
        <v>2207</v>
      </c>
      <c r="E788" s="13" t="s">
        <v>2210</v>
      </c>
      <c r="F788" s="13" t="s">
        <v>2215</v>
      </c>
      <c r="G788" s="13">
        <v>117.38</v>
      </c>
      <c r="H788" s="13">
        <v>27.8</v>
      </c>
      <c r="I788" s="13">
        <v>84.75</v>
      </c>
      <c r="J788" s="24">
        <v>45875</v>
      </c>
      <c r="K788" s="13">
        <v>34</v>
      </c>
      <c r="L788" s="13">
        <v>2.8</v>
      </c>
      <c r="M788" s="13" t="b">
        <v>1</v>
      </c>
      <c r="N788" s="13" t="s">
        <v>2228</v>
      </c>
      <c r="O788" s="13">
        <f t="shared" si="12"/>
        <v>2.8</v>
      </c>
    </row>
    <row r="789" spans="1:15" x14ac:dyDescent="0.25">
      <c r="A789" s="13" t="s">
        <v>801</v>
      </c>
      <c r="B789" s="13" t="s">
        <v>2191</v>
      </c>
      <c r="C789" s="13" t="s">
        <v>2201</v>
      </c>
      <c r="D789" s="13" t="s">
        <v>2204</v>
      </c>
      <c r="E789" s="13" t="s">
        <v>2210</v>
      </c>
      <c r="F789" s="13" t="s">
        <v>2223</v>
      </c>
      <c r="G789" s="13">
        <v>83.98</v>
      </c>
      <c r="H789" s="13">
        <v>0</v>
      </c>
      <c r="I789" s="13">
        <v>83.98</v>
      </c>
      <c r="J789" s="24">
        <v>45533</v>
      </c>
      <c r="K789" s="13">
        <v>23</v>
      </c>
      <c r="L789" s="13">
        <v>1.9</v>
      </c>
      <c r="M789" s="13" t="b">
        <v>0</v>
      </c>
      <c r="O789" s="13">
        <f t="shared" si="12"/>
        <v>1.9</v>
      </c>
    </row>
    <row r="790" spans="1:15" x14ac:dyDescent="0.25">
      <c r="A790" s="13" t="s">
        <v>802</v>
      </c>
      <c r="B790" s="13" t="s">
        <v>2195</v>
      </c>
      <c r="C790" s="13" t="s">
        <v>2200</v>
      </c>
      <c r="D790" s="13" t="s">
        <v>2204</v>
      </c>
      <c r="E790" s="13" t="s">
        <v>2208</v>
      </c>
      <c r="F790" s="13" t="s">
        <v>2222</v>
      </c>
      <c r="G790" s="13">
        <v>111.67</v>
      </c>
      <c r="H790" s="13">
        <v>53.5</v>
      </c>
      <c r="I790" s="13">
        <v>51.93</v>
      </c>
      <c r="J790" s="24">
        <v>45693</v>
      </c>
      <c r="K790" s="13">
        <v>19</v>
      </c>
      <c r="M790" s="13" t="b">
        <v>0</v>
      </c>
      <c r="O790" s="13">
        <f t="shared" si="12"/>
        <v>3.1051282051282048</v>
      </c>
    </row>
    <row r="791" spans="1:15" x14ac:dyDescent="0.25">
      <c r="A791" s="13" t="s">
        <v>803</v>
      </c>
      <c r="B791" s="13" t="s">
        <v>2194</v>
      </c>
      <c r="C791" s="13" t="s">
        <v>2200</v>
      </c>
      <c r="D791" s="13" t="s">
        <v>2207</v>
      </c>
      <c r="E791" s="13" t="s">
        <v>2210</v>
      </c>
      <c r="F791" s="13" t="s">
        <v>2217</v>
      </c>
      <c r="G791" s="13">
        <v>25.16</v>
      </c>
      <c r="H791" s="13">
        <v>0</v>
      </c>
      <c r="I791" s="13">
        <v>25.16</v>
      </c>
      <c r="J791" s="24">
        <v>45875</v>
      </c>
      <c r="K791" s="13">
        <v>37</v>
      </c>
      <c r="L791" s="13">
        <v>2.8</v>
      </c>
      <c r="M791" s="13" t="b">
        <v>0</v>
      </c>
      <c r="O791" s="13">
        <f t="shared" si="12"/>
        <v>2.8</v>
      </c>
    </row>
    <row r="792" spans="1:15" x14ac:dyDescent="0.25">
      <c r="A792" s="13" t="s">
        <v>804</v>
      </c>
      <c r="B792" s="13" t="s">
        <v>2190</v>
      </c>
      <c r="C792" s="13" t="s">
        <v>2198</v>
      </c>
      <c r="D792" s="13" t="s">
        <v>2206</v>
      </c>
      <c r="E792" s="13" t="s">
        <v>2208</v>
      </c>
      <c r="F792" s="13" t="s">
        <v>2219</v>
      </c>
      <c r="G792" s="13">
        <v>175.82</v>
      </c>
      <c r="H792" s="13">
        <v>23</v>
      </c>
      <c r="I792" s="13">
        <v>135.38</v>
      </c>
      <c r="J792" s="24">
        <v>45875</v>
      </c>
      <c r="K792" s="13">
        <v>1</v>
      </c>
      <c r="L792" s="13">
        <v>3.7</v>
      </c>
      <c r="M792" s="13" t="b">
        <v>0</v>
      </c>
      <c r="O792" s="13">
        <f t="shared" si="12"/>
        <v>3.7</v>
      </c>
    </row>
    <row r="793" spans="1:15" x14ac:dyDescent="0.25">
      <c r="A793" s="13" t="s">
        <v>805</v>
      </c>
      <c r="B793" s="13" t="s">
        <v>2191</v>
      </c>
      <c r="C793" s="13" t="s">
        <v>2199</v>
      </c>
      <c r="D793" s="13" t="s">
        <v>2207</v>
      </c>
      <c r="E793" s="13" t="s">
        <v>2212</v>
      </c>
      <c r="F793" s="13" t="s">
        <v>2220</v>
      </c>
      <c r="G793" s="13">
        <v>53.25</v>
      </c>
      <c r="H793" s="13">
        <v>37.5</v>
      </c>
      <c r="I793" s="13">
        <v>33.28</v>
      </c>
      <c r="J793" s="24">
        <v>45875</v>
      </c>
      <c r="K793" s="13">
        <v>33</v>
      </c>
      <c r="L793" s="13">
        <v>4.3</v>
      </c>
      <c r="M793" s="13" t="b">
        <v>0</v>
      </c>
      <c r="O793" s="13">
        <f t="shared" si="12"/>
        <v>4.3</v>
      </c>
    </row>
    <row r="794" spans="1:15" x14ac:dyDescent="0.25">
      <c r="A794" s="13" t="s">
        <v>806</v>
      </c>
      <c r="B794" s="13" t="s">
        <v>2190</v>
      </c>
      <c r="C794" s="13" t="s">
        <v>2198</v>
      </c>
      <c r="D794" s="13" t="s">
        <v>2206</v>
      </c>
      <c r="E794" s="13" t="s">
        <v>2213</v>
      </c>
      <c r="F794" s="13" t="s">
        <v>2223</v>
      </c>
      <c r="G794" s="13">
        <v>215.19</v>
      </c>
      <c r="H794" s="13">
        <v>43</v>
      </c>
      <c r="I794" s="13">
        <v>122.66</v>
      </c>
      <c r="J794" s="24">
        <v>45875</v>
      </c>
      <c r="K794" s="13">
        <v>48</v>
      </c>
      <c r="L794" s="13">
        <v>2.5</v>
      </c>
      <c r="M794" s="13" t="b">
        <v>0</v>
      </c>
      <c r="O794" s="13">
        <f t="shared" si="12"/>
        <v>2.5</v>
      </c>
    </row>
    <row r="795" spans="1:15" x14ac:dyDescent="0.25">
      <c r="A795" s="13" t="s">
        <v>807</v>
      </c>
      <c r="B795" s="13" t="s">
        <v>2194</v>
      </c>
      <c r="C795" s="13" t="s">
        <v>2196</v>
      </c>
      <c r="D795" s="13" t="s">
        <v>2207</v>
      </c>
      <c r="E795" s="13" t="s">
        <v>2210</v>
      </c>
      <c r="F795" s="13" t="s">
        <v>2215</v>
      </c>
      <c r="G795" s="13">
        <v>78.41</v>
      </c>
      <c r="H795" s="13">
        <v>20.7</v>
      </c>
      <c r="I795" s="13">
        <v>62.18</v>
      </c>
      <c r="J795" s="24">
        <v>45875</v>
      </c>
      <c r="K795" s="13">
        <v>9</v>
      </c>
      <c r="L795" s="13">
        <v>4.4000000000000004</v>
      </c>
      <c r="M795" s="13" t="b">
        <v>0</v>
      </c>
      <c r="O795" s="13">
        <f t="shared" si="12"/>
        <v>4.4000000000000004</v>
      </c>
    </row>
    <row r="796" spans="1:15" x14ac:dyDescent="0.25">
      <c r="A796" s="13" t="s">
        <v>808</v>
      </c>
      <c r="B796" s="13" t="s">
        <v>2193</v>
      </c>
      <c r="C796" s="13" t="s">
        <v>2196</v>
      </c>
      <c r="D796" s="13" t="s">
        <v>2207</v>
      </c>
      <c r="E796" s="13" t="s">
        <v>2211</v>
      </c>
      <c r="F796" s="13" t="s">
        <v>2215</v>
      </c>
      <c r="G796" s="13">
        <v>173.15</v>
      </c>
      <c r="H796" s="13">
        <v>0</v>
      </c>
      <c r="I796" s="13">
        <v>173.15</v>
      </c>
      <c r="J796" s="24">
        <v>45875</v>
      </c>
      <c r="K796" s="13">
        <v>45</v>
      </c>
      <c r="L796" s="13">
        <v>2.2000000000000002</v>
      </c>
      <c r="M796" s="13" t="b">
        <v>0</v>
      </c>
      <c r="O796" s="13">
        <f t="shared" si="12"/>
        <v>2.2000000000000002</v>
      </c>
    </row>
    <row r="797" spans="1:15" x14ac:dyDescent="0.25">
      <c r="A797" s="13" t="s">
        <v>809</v>
      </c>
      <c r="B797" s="13" t="s">
        <v>2192</v>
      </c>
      <c r="C797" s="13" t="s">
        <v>2196</v>
      </c>
      <c r="D797" s="13" t="s">
        <v>2206</v>
      </c>
      <c r="F797" s="13" t="s">
        <v>2219</v>
      </c>
      <c r="G797" s="13">
        <v>16.84</v>
      </c>
      <c r="H797" s="13">
        <v>36.6</v>
      </c>
      <c r="I797" s="13">
        <v>10.68</v>
      </c>
      <c r="J797" s="24">
        <v>45875</v>
      </c>
      <c r="K797" s="13">
        <v>34</v>
      </c>
      <c r="L797" s="13">
        <v>1.7</v>
      </c>
      <c r="M797" s="13" t="b">
        <v>0</v>
      </c>
      <c r="O797" s="13">
        <f t="shared" si="12"/>
        <v>1.7</v>
      </c>
    </row>
    <row r="798" spans="1:15" x14ac:dyDescent="0.25">
      <c r="A798" s="13" t="s">
        <v>810</v>
      </c>
      <c r="B798" s="13" t="s">
        <v>2190</v>
      </c>
      <c r="C798" s="13" t="s">
        <v>2203</v>
      </c>
      <c r="D798" s="13" t="s">
        <v>2207</v>
      </c>
      <c r="E798" s="13" t="s">
        <v>2210</v>
      </c>
      <c r="F798" s="13" t="s">
        <v>2223</v>
      </c>
      <c r="G798" s="13">
        <v>128.6</v>
      </c>
      <c r="H798" s="13">
        <v>0</v>
      </c>
      <c r="I798" s="13">
        <v>128.6</v>
      </c>
      <c r="J798" s="24">
        <v>45875</v>
      </c>
      <c r="K798" s="13">
        <v>11</v>
      </c>
      <c r="L798" s="13">
        <v>2.2999999999999998</v>
      </c>
      <c r="M798" s="13" t="b">
        <v>0</v>
      </c>
      <c r="O798" s="13">
        <f t="shared" si="12"/>
        <v>2.2999999999999998</v>
      </c>
    </row>
    <row r="799" spans="1:15" x14ac:dyDescent="0.25">
      <c r="A799" s="13" t="s">
        <v>811</v>
      </c>
      <c r="B799" s="13" t="s">
        <v>2190</v>
      </c>
      <c r="C799" s="13" t="s">
        <v>2201</v>
      </c>
      <c r="D799" s="13" t="s">
        <v>2204</v>
      </c>
      <c r="E799" s="13" t="s">
        <v>2211</v>
      </c>
      <c r="F799" s="13" t="s">
        <v>2220</v>
      </c>
      <c r="G799" s="13">
        <v>131.74</v>
      </c>
      <c r="H799" s="13">
        <v>0</v>
      </c>
      <c r="I799" s="13">
        <v>131.74</v>
      </c>
      <c r="J799" s="24">
        <v>45548</v>
      </c>
      <c r="K799" s="13">
        <v>46</v>
      </c>
      <c r="L799" s="13">
        <v>4.5999999999999996</v>
      </c>
      <c r="M799" s="13" t="b">
        <v>0</v>
      </c>
      <c r="O799" s="13">
        <f t="shared" si="12"/>
        <v>4.5999999999999996</v>
      </c>
    </row>
    <row r="800" spans="1:15" x14ac:dyDescent="0.25">
      <c r="A800" s="13" t="s">
        <v>812</v>
      </c>
      <c r="B800" s="13" t="s">
        <v>2194</v>
      </c>
      <c r="C800" s="13" t="s">
        <v>2203</v>
      </c>
      <c r="D800" s="13" t="s">
        <v>2207</v>
      </c>
      <c r="E800" s="13" t="s">
        <v>2211</v>
      </c>
      <c r="F800" s="13" t="s">
        <v>2217</v>
      </c>
      <c r="G800" s="13">
        <v>28.15</v>
      </c>
      <c r="H800" s="13">
        <v>12.7</v>
      </c>
      <c r="I800" s="13">
        <v>24.57</v>
      </c>
      <c r="J800" s="24">
        <v>45875</v>
      </c>
      <c r="K800" s="13">
        <v>13</v>
      </c>
      <c r="L800" s="13">
        <v>3.9</v>
      </c>
      <c r="M800" s="13" t="b">
        <v>0</v>
      </c>
      <c r="O800" s="13">
        <f t="shared" si="12"/>
        <v>3.9</v>
      </c>
    </row>
    <row r="801" spans="1:15" x14ac:dyDescent="0.25">
      <c r="A801" s="13" t="s">
        <v>813</v>
      </c>
      <c r="B801" s="13" t="s">
        <v>2190</v>
      </c>
      <c r="C801" s="13" t="s">
        <v>2203</v>
      </c>
      <c r="D801" s="13" t="s">
        <v>2205</v>
      </c>
      <c r="E801" s="13" t="s">
        <v>2208</v>
      </c>
      <c r="F801" s="13" t="s">
        <v>2214</v>
      </c>
      <c r="G801" s="13">
        <v>165.1</v>
      </c>
      <c r="H801" s="13">
        <v>58.4</v>
      </c>
      <c r="I801" s="13">
        <v>68.680000000000007</v>
      </c>
      <c r="J801" s="24">
        <v>45875</v>
      </c>
      <c r="K801" s="13">
        <v>29</v>
      </c>
      <c r="L801" s="13">
        <v>1.2</v>
      </c>
      <c r="M801" s="13" t="b">
        <v>0</v>
      </c>
      <c r="O801" s="13">
        <f t="shared" si="12"/>
        <v>1.2</v>
      </c>
    </row>
    <row r="802" spans="1:15" x14ac:dyDescent="0.25">
      <c r="A802" s="13" t="s">
        <v>814</v>
      </c>
      <c r="B802" s="13" t="s">
        <v>2191</v>
      </c>
      <c r="C802" s="13" t="s">
        <v>2199</v>
      </c>
      <c r="D802" s="13" t="s">
        <v>2204</v>
      </c>
      <c r="E802" s="13" t="s">
        <v>2208</v>
      </c>
      <c r="F802" s="13" t="s">
        <v>2218</v>
      </c>
      <c r="G802" s="13">
        <v>49.62</v>
      </c>
      <c r="H802" s="13">
        <v>0.8</v>
      </c>
      <c r="I802" s="13">
        <v>49.22</v>
      </c>
      <c r="J802" s="24">
        <v>45613</v>
      </c>
      <c r="K802" s="13">
        <v>22</v>
      </c>
      <c r="L802" s="13">
        <v>2.2999999999999998</v>
      </c>
      <c r="M802" s="13" t="b">
        <v>0</v>
      </c>
      <c r="O802" s="13">
        <f t="shared" si="12"/>
        <v>2.2999999999999998</v>
      </c>
    </row>
    <row r="803" spans="1:15" x14ac:dyDescent="0.25">
      <c r="A803" s="13" t="s">
        <v>815</v>
      </c>
      <c r="B803" s="13" t="s">
        <v>2191</v>
      </c>
      <c r="C803" s="13" t="s">
        <v>2198</v>
      </c>
      <c r="D803" s="13" t="s">
        <v>2206</v>
      </c>
      <c r="E803" s="13" t="s">
        <v>2208</v>
      </c>
      <c r="F803" s="13" t="s">
        <v>2216</v>
      </c>
      <c r="G803" s="13">
        <v>98.52</v>
      </c>
      <c r="H803" s="13">
        <v>18.899999999999999</v>
      </c>
      <c r="I803" s="13">
        <v>79.900000000000006</v>
      </c>
      <c r="J803" s="24">
        <v>45875</v>
      </c>
      <c r="K803" s="13">
        <v>37</v>
      </c>
      <c r="L803" s="13">
        <v>4.0999999999999996</v>
      </c>
      <c r="M803" s="13" t="b">
        <v>1</v>
      </c>
      <c r="N803" s="13" t="s">
        <v>2230</v>
      </c>
      <c r="O803" s="13">
        <f t="shared" si="12"/>
        <v>4.0999999999999996</v>
      </c>
    </row>
    <row r="804" spans="1:15" x14ac:dyDescent="0.25">
      <c r="A804" s="13" t="s">
        <v>816</v>
      </c>
      <c r="B804" s="13" t="s">
        <v>2193</v>
      </c>
      <c r="C804" s="13" t="s">
        <v>2199</v>
      </c>
      <c r="D804" s="13" t="s">
        <v>2206</v>
      </c>
      <c r="E804" s="13" t="s">
        <v>2210</v>
      </c>
      <c r="F804" s="13" t="s">
        <v>2220</v>
      </c>
      <c r="G804" s="13">
        <v>94.19</v>
      </c>
      <c r="H804" s="13">
        <v>30.8</v>
      </c>
      <c r="I804" s="13">
        <v>65.180000000000007</v>
      </c>
      <c r="J804" s="24">
        <v>45875</v>
      </c>
      <c r="K804" s="13">
        <v>31</v>
      </c>
      <c r="L804" s="13">
        <v>1.4</v>
      </c>
      <c r="M804" s="13" t="b">
        <v>0</v>
      </c>
      <c r="O804" s="13">
        <f t="shared" si="12"/>
        <v>1.4</v>
      </c>
    </row>
    <row r="805" spans="1:15" x14ac:dyDescent="0.25">
      <c r="A805" s="13" t="s">
        <v>817</v>
      </c>
      <c r="B805" s="13" t="s">
        <v>2192</v>
      </c>
      <c r="C805" s="13" t="s">
        <v>2203</v>
      </c>
      <c r="D805" s="13" t="s">
        <v>2205</v>
      </c>
      <c r="F805" s="13" t="s">
        <v>2218</v>
      </c>
      <c r="G805" s="13">
        <v>23.5</v>
      </c>
      <c r="H805" s="13">
        <v>0</v>
      </c>
      <c r="I805" s="13">
        <v>23.5</v>
      </c>
      <c r="J805" s="24">
        <v>45875</v>
      </c>
      <c r="K805" s="13">
        <v>14</v>
      </c>
      <c r="L805" s="13">
        <v>3.9</v>
      </c>
      <c r="M805" s="13" t="b">
        <v>1</v>
      </c>
      <c r="N805" s="13" t="s">
        <v>2228</v>
      </c>
      <c r="O805" s="13">
        <f t="shared" si="12"/>
        <v>3.9</v>
      </c>
    </row>
    <row r="806" spans="1:15" x14ac:dyDescent="0.25">
      <c r="A806" s="13" t="s">
        <v>818</v>
      </c>
      <c r="B806" s="13" t="s">
        <v>2194</v>
      </c>
      <c r="C806" s="13" t="s">
        <v>2196</v>
      </c>
      <c r="D806" s="13" t="s">
        <v>2206</v>
      </c>
      <c r="E806" s="13" t="s">
        <v>2210</v>
      </c>
      <c r="F806" s="13" t="s">
        <v>2221</v>
      </c>
      <c r="G806" s="13">
        <v>109.36</v>
      </c>
      <c r="H806" s="13">
        <v>0</v>
      </c>
      <c r="I806" s="13">
        <v>109.36</v>
      </c>
      <c r="J806" s="24">
        <v>45875</v>
      </c>
      <c r="K806" s="13">
        <v>0</v>
      </c>
      <c r="L806" s="13">
        <v>1.1000000000000001</v>
      </c>
      <c r="M806" s="13" t="b">
        <v>0</v>
      </c>
      <c r="O806" s="13">
        <f t="shared" si="12"/>
        <v>1.1000000000000001</v>
      </c>
    </row>
    <row r="807" spans="1:15" x14ac:dyDescent="0.25">
      <c r="A807" s="13" t="s">
        <v>819</v>
      </c>
      <c r="B807" s="13" t="s">
        <v>2192</v>
      </c>
      <c r="C807" s="13" t="s">
        <v>2200</v>
      </c>
      <c r="D807" s="13" t="s">
        <v>2206</v>
      </c>
      <c r="F807" s="13" t="s">
        <v>2219</v>
      </c>
      <c r="G807" s="13">
        <v>69.73</v>
      </c>
      <c r="H807" s="13">
        <v>0</v>
      </c>
      <c r="I807" s="13">
        <v>69.73</v>
      </c>
      <c r="J807" s="24">
        <v>45875</v>
      </c>
      <c r="K807" s="13">
        <v>7</v>
      </c>
      <c r="L807" s="13">
        <v>1.1000000000000001</v>
      </c>
      <c r="M807" s="13" t="b">
        <v>1</v>
      </c>
      <c r="N807" s="13" t="s">
        <v>2225</v>
      </c>
      <c r="O807" s="13">
        <f t="shared" si="12"/>
        <v>1.1000000000000001</v>
      </c>
    </row>
    <row r="808" spans="1:15" x14ac:dyDescent="0.25">
      <c r="A808" s="13" t="s">
        <v>820</v>
      </c>
      <c r="B808" s="13" t="s">
        <v>2193</v>
      </c>
      <c r="C808" s="13" t="s">
        <v>2200</v>
      </c>
      <c r="D808" s="13" t="s">
        <v>2207</v>
      </c>
      <c r="E808" s="13" t="s">
        <v>2212</v>
      </c>
      <c r="F808" s="13" t="s">
        <v>2220</v>
      </c>
      <c r="G808" s="13">
        <v>199.03</v>
      </c>
      <c r="H808" s="13">
        <v>57.3</v>
      </c>
      <c r="I808" s="13">
        <v>84.99</v>
      </c>
      <c r="J808" s="24">
        <v>45875</v>
      </c>
      <c r="K808" s="13">
        <v>37</v>
      </c>
      <c r="L808" s="13">
        <v>3.4</v>
      </c>
      <c r="M808" s="13" t="b">
        <v>0</v>
      </c>
      <c r="O808" s="13">
        <f t="shared" si="12"/>
        <v>3.4</v>
      </c>
    </row>
    <row r="809" spans="1:15" x14ac:dyDescent="0.25">
      <c r="A809" s="13" t="s">
        <v>821</v>
      </c>
      <c r="B809" s="13" t="s">
        <v>2194</v>
      </c>
      <c r="C809" s="13" t="s">
        <v>2202</v>
      </c>
      <c r="D809" s="13" t="s">
        <v>2204</v>
      </c>
      <c r="E809" s="13" t="s">
        <v>2213</v>
      </c>
      <c r="F809" s="13" t="s">
        <v>2217</v>
      </c>
      <c r="G809" s="13">
        <v>82.32</v>
      </c>
      <c r="H809" s="13">
        <v>56.7</v>
      </c>
      <c r="I809" s="13">
        <v>35.64</v>
      </c>
      <c r="J809" s="24">
        <v>45649</v>
      </c>
      <c r="K809" s="13">
        <v>41</v>
      </c>
      <c r="M809" s="13" t="b">
        <v>0</v>
      </c>
      <c r="O809" s="13">
        <f t="shared" si="12"/>
        <v>3.1799999999999997</v>
      </c>
    </row>
    <row r="810" spans="1:15" x14ac:dyDescent="0.25">
      <c r="A810" s="13" t="s">
        <v>822</v>
      </c>
      <c r="B810" s="13" t="s">
        <v>2194</v>
      </c>
      <c r="C810" s="13" t="s">
        <v>2197</v>
      </c>
      <c r="D810" s="13" t="s">
        <v>2204</v>
      </c>
      <c r="E810" s="13" t="s">
        <v>2213</v>
      </c>
      <c r="F810" s="13" t="s">
        <v>2222</v>
      </c>
      <c r="G810" s="13">
        <v>52.42</v>
      </c>
      <c r="H810" s="13">
        <v>9.9</v>
      </c>
      <c r="I810" s="13">
        <v>47.23</v>
      </c>
      <c r="J810" s="24">
        <v>45581</v>
      </c>
      <c r="K810" s="13">
        <v>42</v>
      </c>
      <c r="L810" s="13">
        <v>3.5</v>
      </c>
      <c r="M810" s="13" t="b">
        <v>0</v>
      </c>
      <c r="O810" s="13">
        <f t="shared" si="12"/>
        <v>3.5</v>
      </c>
    </row>
    <row r="811" spans="1:15" x14ac:dyDescent="0.25">
      <c r="A811" s="13" t="s">
        <v>823</v>
      </c>
      <c r="B811" s="13" t="s">
        <v>2190</v>
      </c>
      <c r="C811" s="13" t="s">
        <v>2201</v>
      </c>
      <c r="D811" s="13" t="s">
        <v>2206</v>
      </c>
      <c r="E811" s="13" t="s">
        <v>2210</v>
      </c>
      <c r="F811" s="13" t="s">
        <v>2217</v>
      </c>
      <c r="G811" s="13">
        <v>180.49</v>
      </c>
      <c r="H811" s="13">
        <v>0</v>
      </c>
      <c r="I811" s="13">
        <v>180.49</v>
      </c>
      <c r="J811" s="24">
        <v>45875</v>
      </c>
      <c r="K811" s="13">
        <v>18</v>
      </c>
      <c r="L811" s="13">
        <v>2.5</v>
      </c>
      <c r="M811" s="13" t="b">
        <v>1</v>
      </c>
      <c r="N811" s="13" t="s">
        <v>2230</v>
      </c>
      <c r="O811" s="13">
        <f t="shared" si="12"/>
        <v>2.5</v>
      </c>
    </row>
    <row r="812" spans="1:15" x14ac:dyDescent="0.25">
      <c r="A812" s="13" t="s">
        <v>824</v>
      </c>
      <c r="B812" s="13" t="s">
        <v>2195</v>
      </c>
      <c r="C812" s="13" t="s">
        <v>2201</v>
      </c>
      <c r="D812" s="13" t="s">
        <v>2206</v>
      </c>
      <c r="E812" s="13" t="s">
        <v>2208</v>
      </c>
      <c r="F812" s="13" t="s">
        <v>2217</v>
      </c>
      <c r="G812" s="13">
        <v>63.02</v>
      </c>
      <c r="H812" s="13">
        <v>0</v>
      </c>
      <c r="I812" s="13">
        <v>63.02</v>
      </c>
      <c r="J812" s="24">
        <v>45875</v>
      </c>
      <c r="K812" s="13">
        <v>37</v>
      </c>
      <c r="L812" s="13">
        <v>2.5</v>
      </c>
      <c r="M812" s="13" t="b">
        <v>0</v>
      </c>
      <c r="O812" s="13">
        <f t="shared" si="12"/>
        <v>2.5</v>
      </c>
    </row>
    <row r="813" spans="1:15" x14ac:dyDescent="0.25">
      <c r="A813" s="13" t="s">
        <v>825</v>
      </c>
      <c r="B813" s="13" t="s">
        <v>2191</v>
      </c>
      <c r="C813" s="13" t="s">
        <v>2199</v>
      </c>
      <c r="D813" s="13" t="s">
        <v>2204</v>
      </c>
      <c r="E813" s="13" t="s">
        <v>2208</v>
      </c>
      <c r="F813" s="13" t="s">
        <v>2214</v>
      </c>
      <c r="G813" s="13">
        <v>97.05</v>
      </c>
      <c r="H813" s="13">
        <v>0</v>
      </c>
      <c r="I813" s="13">
        <v>97.05</v>
      </c>
      <c r="J813" s="24">
        <v>45651</v>
      </c>
      <c r="K813" s="13">
        <v>9</v>
      </c>
      <c r="M813" s="13" t="b">
        <v>0</v>
      </c>
      <c r="O813" s="13">
        <f t="shared" si="12"/>
        <v>2.9742857142857138</v>
      </c>
    </row>
    <row r="814" spans="1:15" x14ac:dyDescent="0.25">
      <c r="A814" s="13" t="s">
        <v>826</v>
      </c>
      <c r="B814" s="13" t="s">
        <v>2194</v>
      </c>
      <c r="C814" s="13" t="s">
        <v>2196</v>
      </c>
      <c r="D814" s="13" t="s">
        <v>2205</v>
      </c>
      <c r="E814" s="13" t="s">
        <v>2211</v>
      </c>
      <c r="F814" s="13" t="s">
        <v>2215</v>
      </c>
      <c r="G814" s="13">
        <v>79.62</v>
      </c>
      <c r="H814" s="13">
        <v>0</v>
      </c>
      <c r="I814" s="13">
        <v>79.62</v>
      </c>
      <c r="J814" s="24">
        <v>45875</v>
      </c>
      <c r="K814" s="13">
        <v>37</v>
      </c>
      <c r="L814" s="13">
        <v>4.0999999999999996</v>
      </c>
      <c r="M814" s="13" t="b">
        <v>0</v>
      </c>
      <c r="O814" s="13">
        <f t="shared" si="12"/>
        <v>4.0999999999999996</v>
      </c>
    </row>
    <row r="815" spans="1:15" x14ac:dyDescent="0.25">
      <c r="A815" s="13" t="s">
        <v>827</v>
      </c>
      <c r="B815" s="13" t="s">
        <v>2195</v>
      </c>
      <c r="C815" s="13" t="s">
        <v>2196</v>
      </c>
      <c r="D815" s="13" t="s">
        <v>2205</v>
      </c>
      <c r="E815" s="13" t="s">
        <v>2213</v>
      </c>
      <c r="F815" s="13" t="s">
        <v>2214</v>
      </c>
      <c r="G815" s="13">
        <v>82.5</v>
      </c>
      <c r="H815" s="13">
        <v>0</v>
      </c>
      <c r="I815" s="13">
        <v>82.5</v>
      </c>
      <c r="J815" s="24">
        <v>45875</v>
      </c>
      <c r="K815" s="13">
        <v>0</v>
      </c>
      <c r="M815" s="13" t="b">
        <v>0</v>
      </c>
      <c r="O815" s="13">
        <f t="shared" si="12"/>
        <v>3.0424242424242425</v>
      </c>
    </row>
    <row r="816" spans="1:15" x14ac:dyDescent="0.25">
      <c r="A816" s="13" t="s">
        <v>828</v>
      </c>
      <c r="B816" s="13" t="s">
        <v>2194</v>
      </c>
      <c r="C816" s="13" t="s">
        <v>2201</v>
      </c>
      <c r="D816" s="13" t="s">
        <v>2204</v>
      </c>
      <c r="E816" s="13" t="s">
        <v>2209</v>
      </c>
      <c r="F816" s="13" t="s">
        <v>2223</v>
      </c>
      <c r="G816" s="13">
        <v>117.18</v>
      </c>
      <c r="H816" s="13">
        <v>13.7</v>
      </c>
      <c r="I816" s="13">
        <v>101.13</v>
      </c>
      <c r="J816" s="24">
        <v>45871</v>
      </c>
      <c r="K816" s="13">
        <v>5</v>
      </c>
      <c r="L816" s="13">
        <v>4.8</v>
      </c>
      <c r="M816" s="13" t="b">
        <v>0</v>
      </c>
      <c r="O816" s="13">
        <f t="shared" si="12"/>
        <v>4.8</v>
      </c>
    </row>
    <row r="817" spans="1:15" x14ac:dyDescent="0.25">
      <c r="A817" s="13" t="s">
        <v>829</v>
      </c>
      <c r="B817" s="13" t="s">
        <v>2190</v>
      </c>
      <c r="C817" s="13" t="s">
        <v>2201</v>
      </c>
      <c r="D817" s="13" t="s">
        <v>2204</v>
      </c>
      <c r="E817" s="13" t="s">
        <v>2212</v>
      </c>
      <c r="F817" s="13" t="s">
        <v>2224</v>
      </c>
      <c r="G817" s="13">
        <v>174.05</v>
      </c>
      <c r="H817" s="13">
        <v>0</v>
      </c>
      <c r="I817" s="13">
        <v>174.05</v>
      </c>
      <c r="J817" s="24">
        <v>45760</v>
      </c>
      <c r="K817" s="13">
        <v>9</v>
      </c>
      <c r="M817" s="13" t="b">
        <v>0</v>
      </c>
      <c r="O817" s="13">
        <f t="shared" si="12"/>
        <v>3.0305555555555546</v>
      </c>
    </row>
    <row r="818" spans="1:15" x14ac:dyDescent="0.25">
      <c r="A818" s="13" t="s">
        <v>830</v>
      </c>
      <c r="B818" s="13" t="s">
        <v>2194</v>
      </c>
      <c r="C818" s="13" t="s">
        <v>2203</v>
      </c>
      <c r="D818" s="13" t="s">
        <v>2204</v>
      </c>
      <c r="E818" s="13" t="s">
        <v>2212</v>
      </c>
      <c r="F818" s="13" t="s">
        <v>2224</v>
      </c>
      <c r="G818" s="13">
        <v>58.29</v>
      </c>
      <c r="H818" s="13">
        <v>0</v>
      </c>
      <c r="I818" s="13">
        <v>58.29</v>
      </c>
      <c r="J818" s="24">
        <v>45664</v>
      </c>
      <c r="K818" s="13">
        <v>22</v>
      </c>
      <c r="L818" s="13">
        <v>2.2999999999999998</v>
      </c>
      <c r="M818" s="13" t="b">
        <v>0</v>
      </c>
      <c r="O818" s="13">
        <f t="shared" si="12"/>
        <v>2.2999999999999998</v>
      </c>
    </row>
    <row r="819" spans="1:15" x14ac:dyDescent="0.25">
      <c r="A819" s="13" t="s">
        <v>831</v>
      </c>
      <c r="B819" s="13" t="s">
        <v>2194</v>
      </c>
      <c r="C819" s="13" t="s">
        <v>2200</v>
      </c>
      <c r="D819" s="13" t="s">
        <v>2207</v>
      </c>
      <c r="E819" s="13" t="s">
        <v>2213</v>
      </c>
      <c r="F819" s="13" t="s">
        <v>2217</v>
      </c>
      <c r="G819" s="13">
        <v>61.42</v>
      </c>
      <c r="H819" s="13">
        <v>57.5</v>
      </c>
      <c r="I819" s="13">
        <v>26.1</v>
      </c>
      <c r="J819" s="24">
        <v>45875</v>
      </c>
      <c r="K819" s="13">
        <v>3</v>
      </c>
      <c r="L819" s="13">
        <v>4.8</v>
      </c>
      <c r="M819" s="13" t="b">
        <v>0</v>
      </c>
      <c r="O819" s="13">
        <f t="shared" si="12"/>
        <v>4.8</v>
      </c>
    </row>
    <row r="820" spans="1:15" x14ac:dyDescent="0.25">
      <c r="A820" s="13" t="s">
        <v>832</v>
      </c>
      <c r="B820" s="13" t="s">
        <v>2192</v>
      </c>
      <c r="C820" s="13" t="s">
        <v>2196</v>
      </c>
      <c r="D820" s="13" t="s">
        <v>2205</v>
      </c>
      <c r="F820" s="13" t="s">
        <v>2215</v>
      </c>
      <c r="G820" s="13">
        <v>20.239999999999998</v>
      </c>
      <c r="H820" s="13">
        <v>0</v>
      </c>
      <c r="I820" s="13">
        <v>20.239999999999998</v>
      </c>
      <c r="J820" s="24">
        <v>45875</v>
      </c>
      <c r="K820" s="13">
        <v>20</v>
      </c>
      <c r="L820" s="13">
        <v>4.0999999999999996</v>
      </c>
      <c r="M820" s="13" t="b">
        <v>0</v>
      </c>
      <c r="O820" s="13">
        <f t="shared" si="12"/>
        <v>4.0999999999999996</v>
      </c>
    </row>
    <row r="821" spans="1:15" x14ac:dyDescent="0.25">
      <c r="A821" s="13" t="s">
        <v>833</v>
      </c>
      <c r="B821" s="13" t="s">
        <v>2194</v>
      </c>
      <c r="C821" s="13" t="s">
        <v>2196</v>
      </c>
      <c r="D821" s="13" t="s">
        <v>2206</v>
      </c>
      <c r="E821" s="13" t="s">
        <v>2209</v>
      </c>
      <c r="F821" s="13" t="s">
        <v>2214</v>
      </c>
      <c r="G821" s="13">
        <v>88.58</v>
      </c>
      <c r="H821" s="13">
        <v>0</v>
      </c>
      <c r="I821" s="13">
        <v>88.58</v>
      </c>
      <c r="J821" s="24">
        <v>45875</v>
      </c>
      <c r="K821" s="13">
        <v>50</v>
      </c>
      <c r="M821" s="13" t="b">
        <v>0</v>
      </c>
      <c r="O821" s="13">
        <f t="shared" si="12"/>
        <v>2.9210526315789478</v>
      </c>
    </row>
    <row r="822" spans="1:15" x14ac:dyDescent="0.25">
      <c r="A822" s="13" t="s">
        <v>834</v>
      </c>
      <c r="B822" s="13" t="s">
        <v>2194</v>
      </c>
      <c r="C822" s="13" t="s">
        <v>2201</v>
      </c>
      <c r="D822" s="13" t="s">
        <v>2205</v>
      </c>
      <c r="E822" s="13" t="s">
        <v>2211</v>
      </c>
      <c r="F822" s="13" t="s">
        <v>2223</v>
      </c>
      <c r="G822" s="13">
        <v>67.92</v>
      </c>
      <c r="H822" s="13">
        <v>0</v>
      </c>
      <c r="I822" s="13">
        <v>67.92</v>
      </c>
      <c r="J822" s="24">
        <v>45875</v>
      </c>
      <c r="K822" s="13">
        <v>23</v>
      </c>
      <c r="L822" s="13">
        <v>1.8</v>
      </c>
      <c r="M822" s="13" t="b">
        <v>1</v>
      </c>
      <c r="N822" s="13" t="s">
        <v>2226</v>
      </c>
      <c r="O822" s="13">
        <f t="shared" si="12"/>
        <v>1.8</v>
      </c>
    </row>
    <row r="823" spans="1:15" x14ac:dyDescent="0.25">
      <c r="A823" s="13" t="s">
        <v>835</v>
      </c>
      <c r="B823" s="13" t="s">
        <v>2192</v>
      </c>
      <c r="C823" s="13" t="s">
        <v>2201</v>
      </c>
      <c r="D823" s="13" t="s">
        <v>2206</v>
      </c>
      <c r="F823" s="13" t="s">
        <v>2217</v>
      </c>
      <c r="G823" s="13">
        <v>25.39</v>
      </c>
      <c r="H823" s="13">
        <v>0</v>
      </c>
      <c r="I823" s="13">
        <v>25.39</v>
      </c>
      <c r="J823" s="24">
        <v>45875</v>
      </c>
      <c r="K823" s="13">
        <v>42</v>
      </c>
      <c r="L823" s="13">
        <v>1.8</v>
      </c>
      <c r="M823" s="13" t="b">
        <v>0</v>
      </c>
      <c r="O823" s="13">
        <f t="shared" si="12"/>
        <v>1.8</v>
      </c>
    </row>
    <row r="824" spans="1:15" x14ac:dyDescent="0.25">
      <c r="A824" s="13" t="s">
        <v>836</v>
      </c>
      <c r="B824" s="13" t="s">
        <v>2195</v>
      </c>
      <c r="C824" s="13" t="s">
        <v>2203</v>
      </c>
      <c r="D824" s="13" t="s">
        <v>2205</v>
      </c>
      <c r="E824" s="13" t="s">
        <v>2210</v>
      </c>
      <c r="F824" s="13" t="s">
        <v>2216</v>
      </c>
      <c r="G824" s="13">
        <v>115.89</v>
      </c>
      <c r="H824" s="13">
        <v>39.4</v>
      </c>
      <c r="I824" s="13">
        <v>70.23</v>
      </c>
      <c r="J824" s="24">
        <v>45875</v>
      </c>
      <c r="K824" s="13">
        <v>14</v>
      </c>
      <c r="L824" s="13">
        <v>3.8</v>
      </c>
      <c r="M824" s="13" t="b">
        <v>1</v>
      </c>
      <c r="N824" s="13" t="s">
        <v>2227</v>
      </c>
      <c r="O824" s="13">
        <f t="shared" si="12"/>
        <v>3.8</v>
      </c>
    </row>
    <row r="825" spans="1:15" x14ac:dyDescent="0.25">
      <c r="A825" s="13" t="s">
        <v>837</v>
      </c>
      <c r="B825" s="13" t="s">
        <v>2194</v>
      </c>
      <c r="C825" s="13" t="s">
        <v>2203</v>
      </c>
      <c r="D825" s="13" t="s">
        <v>2207</v>
      </c>
      <c r="E825" s="13" t="s">
        <v>2208</v>
      </c>
      <c r="F825" s="13" t="s">
        <v>2219</v>
      </c>
      <c r="G825" s="13">
        <v>103.94</v>
      </c>
      <c r="H825" s="13">
        <v>16.100000000000001</v>
      </c>
      <c r="I825" s="13">
        <v>87.21</v>
      </c>
      <c r="J825" s="24">
        <v>45875</v>
      </c>
      <c r="K825" s="13">
        <v>6</v>
      </c>
      <c r="L825" s="13">
        <v>4.9000000000000004</v>
      </c>
      <c r="M825" s="13" t="b">
        <v>1</v>
      </c>
      <c r="N825" s="13" t="s">
        <v>2229</v>
      </c>
      <c r="O825" s="13">
        <f t="shared" si="12"/>
        <v>4.9000000000000004</v>
      </c>
    </row>
    <row r="826" spans="1:15" x14ac:dyDescent="0.25">
      <c r="A826" s="13" t="s">
        <v>838</v>
      </c>
      <c r="B826" s="13" t="s">
        <v>2193</v>
      </c>
      <c r="C826" s="13" t="s">
        <v>2202</v>
      </c>
      <c r="D826" s="13" t="s">
        <v>2205</v>
      </c>
      <c r="E826" s="13" t="s">
        <v>2209</v>
      </c>
      <c r="F826" s="13" t="s">
        <v>2214</v>
      </c>
      <c r="G826" s="13">
        <v>94.72</v>
      </c>
      <c r="H826" s="13">
        <v>20.5</v>
      </c>
      <c r="I826" s="13">
        <v>75.3</v>
      </c>
      <c r="J826" s="24">
        <v>45875</v>
      </c>
      <c r="K826" s="13">
        <v>24</v>
      </c>
      <c r="L826" s="13">
        <v>3.6</v>
      </c>
      <c r="M826" s="13" t="b">
        <v>0</v>
      </c>
      <c r="O826" s="13">
        <f t="shared" si="12"/>
        <v>3.6</v>
      </c>
    </row>
    <row r="827" spans="1:15" x14ac:dyDescent="0.25">
      <c r="A827" s="13" t="s">
        <v>839</v>
      </c>
      <c r="B827" s="13" t="s">
        <v>2192</v>
      </c>
      <c r="C827" s="13" t="s">
        <v>2201</v>
      </c>
      <c r="D827" s="13" t="s">
        <v>2206</v>
      </c>
      <c r="F827" s="13" t="s">
        <v>2215</v>
      </c>
      <c r="G827" s="13">
        <v>23.28</v>
      </c>
      <c r="H827" s="13">
        <v>0</v>
      </c>
      <c r="I827" s="13">
        <v>23.28</v>
      </c>
      <c r="J827" s="24">
        <v>45875</v>
      </c>
      <c r="K827" s="13">
        <v>44</v>
      </c>
      <c r="L827" s="13">
        <v>3.1</v>
      </c>
      <c r="M827" s="13" t="b">
        <v>1</v>
      </c>
      <c r="N827" s="13" t="s">
        <v>2228</v>
      </c>
      <c r="O827" s="13">
        <f t="shared" si="12"/>
        <v>3.1</v>
      </c>
    </row>
    <row r="828" spans="1:15" x14ac:dyDescent="0.25">
      <c r="A828" s="13" t="s">
        <v>840</v>
      </c>
      <c r="B828" s="13" t="s">
        <v>2191</v>
      </c>
      <c r="C828" s="13" t="s">
        <v>2202</v>
      </c>
      <c r="D828" s="13" t="s">
        <v>2207</v>
      </c>
      <c r="E828" s="13" t="s">
        <v>2210</v>
      </c>
      <c r="F828" s="13" t="s">
        <v>2215</v>
      </c>
      <c r="G828" s="13">
        <v>90.73</v>
      </c>
      <c r="H828" s="13">
        <v>0</v>
      </c>
      <c r="I828" s="13">
        <v>90.73</v>
      </c>
      <c r="J828" s="24">
        <v>45875</v>
      </c>
      <c r="K828" s="13">
        <v>14</v>
      </c>
      <c r="L828" s="13">
        <v>1.1000000000000001</v>
      </c>
      <c r="M828" s="13" t="b">
        <v>0</v>
      </c>
      <c r="O828" s="13">
        <f t="shared" si="12"/>
        <v>1.1000000000000001</v>
      </c>
    </row>
    <row r="829" spans="1:15" x14ac:dyDescent="0.25">
      <c r="A829" s="13" t="s">
        <v>841</v>
      </c>
      <c r="B829" s="13" t="s">
        <v>2194</v>
      </c>
      <c r="C829" s="13" t="s">
        <v>2200</v>
      </c>
      <c r="D829" s="13" t="s">
        <v>2206</v>
      </c>
      <c r="E829" s="13" t="s">
        <v>2211</v>
      </c>
      <c r="F829" s="13" t="s">
        <v>2220</v>
      </c>
      <c r="G829" s="13">
        <v>25.74</v>
      </c>
      <c r="H829" s="13">
        <v>0</v>
      </c>
      <c r="I829" s="13">
        <v>25.74</v>
      </c>
      <c r="J829" s="24">
        <v>45875</v>
      </c>
      <c r="K829" s="13">
        <v>33</v>
      </c>
      <c r="L829" s="13">
        <v>1.1000000000000001</v>
      </c>
      <c r="M829" s="13" t="b">
        <v>1</v>
      </c>
      <c r="N829" s="13" t="s">
        <v>2225</v>
      </c>
      <c r="O829" s="13">
        <f t="shared" si="12"/>
        <v>1.1000000000000001</v>
      </c>
    </row>
    <row r="830" spans="1:15" x14ac:dyDescent="0.25">
      <c r="A830" s="13" t="s">
        <v>842</v>
      </c>
      <c r="B830" s="13" t="s">
        <v>2193</v>
      </c>
      <c r="C830" s="13" t="s">
        <v>2201</v>
      </c>
      <c r="D830" s="13" t="s">
        <v>2204</v>
      </c>
      <c r="E830" s="13" t="s">
        <v>2208</v>
      </c>
      <c r="F830" s="13" t="s">
        <v>2218</v>
      </c>
      <c r="G830" s="13">
        <v>162.97</v>
      </c>
      <c r="H830" s="13">
        <v>0</v>
      </c>
      <c r="I830" s="13">
        <v>162.97</v>
      </c>
      <c r="J830" s="24">
        <v>45618</v>
      </c>
      <c r="K830" s="13">
        <v>47</v>
      </c>
      <c r="L830" s="13">
        <v>2.2000000000000002</v>
      </c>
      <c r="M830" s="13" t="b">
        <v>1</v>
      </c>
      <c r="N830" s="13" t="s">
        <v>2230</v>
      </c>
      <c r="O830" s="13">
        <f t="shared" si="12"/>
        <v>2.2000000000000002</v>
      </c>
    </row>
    <row r="831" spans="1:15" x14ac:dyDescent="0.25">
      <c r="A831" s="13" t="s">
        <v>843</v>
      </c>
      <c r="B831" s="13" t="s">
        <v>2192</v>
      </c>
      <c r="C831" s="13" t="s">
        <v>2200</v>
      </c>
      <c r="D831" s="13" t="s">
        <v>2205</v>
      </c>
      <c r="F831" s="13" t="s">
        <v>2216</v>
      </c>
      <c r="G831" s="13">
        <v>50.33</v>
      </c>
      <c r="H831" s="13">
        <v>8.6999999999999993</v>
      </c>
      <c r="I831" s="13">
        <v>45.95</v>
      </c>
      <c r="J831" s="24">
        <v>45875</v>
      </c>
      <c r="K831" s="13">
        <v>14</v>
      </c>
      <c r="L831" s="13">
        <v>1.3</v>
      </c>
      <c r="M831" s="13" t="b">
        <v>0</v>
      </c>
      <c r="O831" s="13">
        <f t="shared" si="12"/>
        <v>1.3</v>
      </c>
    </row>
    <row r="832" spans="1:15" x14ac:dyDescent="0.25">
      <c r="A832" s="13" t="s">
        <v>844</v>
      </c>
      <c r="B832" s="13" t="s">
        <v>2193</v>
      </c>
      <c r="C832" s="13" t="s">
        <v>2197</v>
      </c>
      <c r="D832" s="13" t="s">
        <v>2204</v>
      </c>
      <c r="F832" s="13" t="s">
        <v>2215</v>
      </c>
      <c r="G832" s="13">
        <v>60.38</v>
      </c>
      <c r="H832" s="13">
        <v>0</v>
      </c>
      <c r="I832" s="13">
        <v>60.38</v>
      </c>
      <c r="J832" s="24">
        <v>45776</v>
      </c>
      <c r="K832" s="13">
        <v>0</v>
      </c>
      <c r="M832" s="13" t="b">
        <v>0</v>
      </c>
      <c r="O832" s="13">
        <f t="shared" si="12"/>
        <v>2.8205128205128198</v>
      </c>
    </row>
    <row r="833" spans="1:15" x14ac:dyDescent="0.25">
      <c r="A833" s="13" t="s">
        <v>845</v>
      </c>
      <c r="B833" s="13" t="s">
        <v>2191</v>
      </c>
      <c r="C833" s="13" t="s">
        <v>2197</v>
      </c>
      <c r="D833" s="13" t="s">
        <v>2207</v>
      </c>
      <c r="E833" s="13" t="s">
        <v>2211</v>
      </c>
      <c r="F833" s="13" t="s">
        <v>2216</v>
      </c>
      <c r="G833" s="13">
        <v>103.65</v>
      </c>
      <c r="H833" s="13">
        <v>0</v>
      </c>
      <c r="I833" s="13">
        <v>103.65</v>
      </c>
      <c r="J833" s="24">
        <v>45875</v>
      </c>
      <c r="K833" s="13">
        <v>29</v>
      </c>
      <c r="L833" s="13">
        <v>3.7</v>
      </c>
      <c r="M833" s="13" t="b">
        <v>0</v>
      </c>
      <c r="O833" s="13">
        <f t="shared" si="12"/>
        <v>3.7</v>
      </c>
    </row>
    <row r="834" spans="1:15" x14ac:dyDescent="0.25">
      <c r="A834" s="13" t="s">
        <v>846</v>
      </c>
      <c r="B834" s="13" t="s">
        <v>2194</v>
      </c>
      <c r="C834" s="13" t="s">
        <v>2202</v>
      </c>
      <c r="D834" s="13" t="s">
        <v>2204</v>
      </c>
      <c r="E834" s="13" t="s">
        <v>2209</v>
      </c>
      <c r="F834" s="13" t="s">
        <v>2221</v>
      </c>
      <c r="G834" s="13">
        <v>75.14</v>
      </c>
      <c r="H834" s="13">
        <v>0</v>
      </c>
      <c r="I834" s="13">
        <v>75.14</v>
      </c>
      <c r="J834" s="24">
        <v>45684</v>
      </c>
      <c r="K834" s="13">
        <v>41</v>
      </c>
      <c r="M834" s="13" t="b">
        <v>1</v>
      </c>
      <c r="N834" s="13" t="s">
        <v>2229</v>
      </c>
      <c r="O834" s="13">
        <f t="shared" si="12"/>
        <v>3.1799999999999997</v>
      </c>
    </row>
    <row r="835" spans="1:15" x14ac:dyDescent="0.25">
      <c r="A835" s="13" t="s">
        <v>847</v>
      </c>
      <c r="B835" s="13" t="s">
        <v>2193</v>
      </c>
      <c r="C835" s="13" t="s">
        <v>2200</v>
      </c>
      <c r="D835" s="13" t="s">
        <v>2205</v>
      </c>
      <c r="E835" s="13" t="s">
        <v>2210</v>
      </c>
      <c r="F835" s="13" t="s">
        <v>2215</v>
      </c>
      <c r="G835" s="13">
        <v>88</v>
      </c>
      <c r="H835" s="13">
        <v>0</v>
      </c>
      <c r="I835" s="13">
        <v>88</v>
      </c>
      <c r="J835" s="24">
        <v>45875</v>
      </c>
      <c r="K835" s="13">
        <v>2</v>
      </c>
      <c r="L835" s="13">
        <v>1.9</v>
      </c>
      <c r="M835" s="13" t="b">
        <v>0</v>
      </c>
      <c r="O835" s="13">
        <f t="shared" ref="O835:O898" si="13">IF(L835="",AVERAGEIFS($L$2:$L$2177,$B$2:$B$2177,B835,$C$2:$C$2177,C835),L835)</f>
        <v>1.9</v>
      </c>
    </row>
    <row r="836" spans="1:15" x14ac:dyDescent="0.25">
      <c r="A836" s="13" t="s">
        <v>848</v>
      </c>
      <c r="B836" s="13" t="s">
        <v>2195</v>
      </c>
      <c r="C836" s="13" t="s">
        <v>2201</v>
      </c>
      <c r="D836" s="13" t="s">
        <v>2205</v>
      </c>
      <c r="E836" s="13" t="s">
        <v>2212</v>
      </c>
      <c r="F836" s="13" t="s">
        <v>2214</v>
      </c>
      <c r="G836" s="13">
        <v>69.540000000000006</v>
      </c>
      <c r="H836" s="13">
        <v>0</v>
      </c>
      <c r="I836" s="13">
        <v>69.540000000000006</v>
      </c>
      <c r="J836" s="24">
        <v>45875</v>
      </c>
      <c r="K836" s="13">
        <v>21</v>
      </c>
      <c r="M836" s="13" t="b">
        <v>0</v>
      </c>
      <c r="O836" s="13">
        <f t="shared" si="13"/>
        <v>3.1874999999999991</v>
      </c>
    </row>
    <row r="837" spans="1:15" x14ac:dyDescent="0.25">
      <c r="A837" s="13" t="s">
        <v>849</v>
      </c>
      <c r="B837" s="13" t="s">
        <v>2190</v>
      </c>
      <c r="C837" s="13" t="s">
        <v>2199</v>
      </c>
      <c r="D837" s="13" t="s">
        <v>2205</v>
      </c>
      <c r="E837" s="13" t="s">
        <v>2212</v>
      </c>
      <c r="F837" s="13" t="s">
        <v>2215</v>
      </c>
      <c r="G837" s="13">
        <v>209.52</v>
      </c>
      <c r="H837" s="13">
        <v>0</v>
      </c>
      <c r="I837" s="13">
        <v>209.52</v>
      </c>
      <c r="J837" s="24">
        <v>45875</v>
      </c>
      <c r="K837" s="13">
        <v>48</v>
      </c>
      <c r="L837" s="13">
        <v>2.6</v>
      </c>
      <c r="M837" s="13" t="b">
        <v>0</v>
      </c>
      <c r="O837" s="13">
        <f t="shared" si="13"/>
        <v>2.6</v>
      </c>
    </row>
    <row r="838" spans="1:15" x14ac:dyDescent="0.25">
      <c r="A838" s="13" t="s">
        <v>850</v>
      </c>
      <c r="B838" s="13" t="s">
        <v>2193</v>
      </c>
      <c r="C838" s="13" t="s">
        <v>2200</v>
      </c>
      <c r="D838" s="13" t="s">
        <v>2206</v>
      </c>
      <c r="E838" s="13" t="s">
        <v>2211</v>
      </c>
      <c r="F838" s="13" t="s">
        <v>2221</v>
      </c>
      <c r="G838" s="13">
        <v>97.42</v>
      </c>
      <c r="H838" s="13">
        <v>0</v>
      </c>
      <c r="I838" s="13">
        <v>97.42</v>
      </c>
      <c r="J838" s="24">
        <v>45875</v>
      </c>
      <c r="K838" s="13">
        <v>35</v>
      </c>
      <c r="L838" s="13">
        <v>2</v>
      </c>
      <c r="M838" s="13" t="b">
        <v>0</v>
      </c>
      <c r="O838" s="13">
        <f t="shared" si="13"/>
        <v>2</v>
      </c>
    </row>
    <row r="839" spans="1:15" x14ac:dyDescent="0.25">
      <c r="A839" s="13" t="s">
        <v>851</v>
      </c>
      <c r="B839" s="13" t="s">
        <v>2195</v>
      </c>
      <c r="C839" s="13" t="s">
        <v>2197</v>
      </c>
      <c r="D839" s="13" t="s">
        <v>2205</v>
      </c>
      <c r="E839" s="13" t="s">
        <v>2212</v>
      </c>
      <c r="F839" s="13" t="s">
        <v>2217</v>
      </c>
      <c r="G839" s="13">
        <v>154.6</v>
      </c>
      <c r="H839" s="13">
        <v>0</v>
      </c>
      <c r="I839" s="13">
        <v>154.6</v>
      </c>
      <c r="J839" s="24">
        <v>45875</v>
      </c>
      <c r="K839" s="13">
        <v>38</v>
      </c>
      <c r="L839" s="13">
        <v>4.5</v>
      </c>
      <c r="M839" s="13" t="b">
        <v>1</v>
      </c>
      <c r="N839" s="13" t="s">
        <v>2229</v>
      </c>
      <c r="O839" s="13">
        <f t="shared" si="13"/>
        <v>4.5</v>
      </c>
    </row>
    <row r="840" spans="1:15" x14ac:dyDescent="0.25">
      <c r="A840" s="13" t="s">
        <v>852</v>
      </c>
      <c r="B840" s="13" t="s">
        <v>2194</v>
      </c>
      <c r="C840" s="13" t="s">
        <v>2196</v>
      </c>
      <c r="D840" s="13" t="s">
        <v>2207</v>
      </c>
      <c r="E840" s="13" t="s">
        <v>2208</v>
      </c>
      <c r="F840" s="13" t="s">
        <v>2217</v>
      </c>
      <c r="G840" s="13">
        <v>81.59</v>
      </c>
      <c r="H840" s="13">
        <v>38</v>
      </c>
      <c r="I840" s="13">
        <v>50.59</v>
      </c>
      <c r="J840" s="24">
        <v>45875</v>
      </c>
      <c r="K840" s="13">
        <v>31</v>
      </c>
      <c r="L840" s="13">
        <v>1.2</v>
      </c>
      <c r="M840" s="13" t="b">
        <v>0</v>
      </c>
      <c r="O840" s="13">
        <f t="shared" si="13"/>
        <v>1.2</v>
      </c>
    </row>
    <row r="841" spans="1:15" x14ac:dyDescent="0.25">
      <c r="A841" s="13" t="s">
        <v>853</v>
      </c>
      <c r="B841" s="13" t="s">
        <v>2192</v>
      </c>
      <c r="C841" s="13" t="s">
        <v>2199</v>
      </c>
      <c r="D841" s="13" t="s">
        <v>2205</v>
      </c>
      <c r="F841" s="13" t="s">
        <v>2224</v>
      </c>
      <c r="G841" s="13">
        <v>48.04</v>
      </c>
      <c r="H841" s="13">
        <v>0</v>
      </c>
      <c r="I841" s="13">
        <v>48.04</v>
      </c>
      <c r="J841" s="24">
        <v>45875</v>
      </c>
      <c r="K841" s="13">
        <v>46</v>
      </c>
      <c r="L841" s="13">
        <v>4.8</v>
      </c>
      <c r="M841" s="13" t="b">
        <v>0</v>
      </c>
      <c r="O841" s="13">
        <f t="shared" si="13"/>
        <v>4.8</v>
      </c>
    </row>
    <row r="842" spans="1:15" x14ac:dyDescent="0.25">
      <c r="A842" s="13" t="s">
        <v>854</v>
      </c>
      <c r="B842" s="13" t="s">
        <v>2191</v>
      </c>
      <c r="C842" s="13" t="s">
        <v>2198</v>
      </c>
      <c r="D842" s="13" t="s">
        <v>2206</v>
      </c>
      <c r="E842" s="13" t="s">
        <v>2210</v>
      </c>
      <c r="F842" s="13" t="s">
        <v>2220</v>
      </c>
      <c r="G842" s="13">
        <v>70.77</v>
      </c>
      <c r="H842" s="13">
        <v>0</v>
      </c>
      <c r="I842" s="13">
        <v>70.77</v>
      </c>
      <c r="J842" s="24">
        <v>45875</v>
      </c>
      <c r="K842" s="13">
        <v>5</v>
      </c>
      <c r="L842" s="13">
        <v>3.7</v>
      </c>
      <c r="M842" s="13" t="b">
        <v>0</v>
      </c>
      <c r="O842" s="13">
        <f t="shared" si="13"/>
        <v>3.7</v>
      </c>
    </row>
    <row r="843" spans="1:15" x14ac:dyDescent="0.25">
      <c r="A843" s="13" t="s">
        <v>855</v>
      </c>
      <c r="B843" s="13" t="s">
        <v>2190</v>
      </c>
      <c r="C843" s="13" t="s">
        <v>2203</v>
      </c>
      <c r="D843" s="13" t="s">
        <v>2206</v>
      </c>
      <c r="E843" s="13" t="s">
        <v>2210</v>
      </c>
      <c r="F843" s="13" t="s">
        <v>2218</v>
      </c>
      <c r="G843" s="13">
        <v>103.49</v>
      </c>
      <c r="H843" s="13">
        <v>0</v>
      </c>
      <c r="I843" s="13">
        <v>103.49</v>
      </c>
      <c r="J843" s="24">
        <v>45875</v>
      </c>
      <c r="K843" s="13">
        <v>12</v>
      </c>
      <c r="L843" s="13">
        <v>1.8</v>
      </c>
      <c r="M843" s="13" t="b">
        <v>0</v>
      </c>
      <c r="O843" s="13">
        <f t="shared" si="13"/>
        <v>1.8</v>
      </c>
    </row>
    <row r="844" spans="1:15" x14ac:dyDescent="0.25">
      <c r="A844" s="13" t="s">
        <v>856</v>
      </c>
      <c r="B844" s="13" t="s">
        <v>2190</v>
      </c>
      <c r="C844" s="13" t="s">
        <v>2197</v>
      </c>
      <c r="D844" s="13" t="s">
        <v>2204</v>
      </c>
      <c r="E844" s="13" t="s">
        <v>2209</v>
      </c>
      <c r="F844" s="13" t="s">
        <v>2223</v>
      </c>
      <c r="G844" s="13">
        <v>138.88999999999999</v>
      </c>
      <c r="H844" s="13">
        <v>0</v>
      </c>
      <c r="I844" s="13">
        <v>138.88999999999999</v>
      </c>
      <c r="J844" s="24">
        <v>45687</v>
      </c>
      <c r="K844" s="13">
        <v>10</v>
      </c>
      <c r="M844" s="13" t="b">
        <v>0</v>
      </c>
      <c r="O844" s="13">
        <f t="shared" si="13"/>
        <v>3.15</v>
      </c>
    </row>
    <row r="845" spans="1:15" x14ac:dyDescent="0.25">
      <c r="A845" s="13" t="s">
        <v>857</v>
      </c>
      <c r="B845" s="13" t="s">
        <v>2192</v>
      </c>
      <c r="C845" s="13" t="s">
        <v>2200</v>
      </c>
      <c r="D845" s="13" t="s">
        <v>2205</v>
      </c>
      <c r="F845" s="13" t="s">
        <v>2220</v>
      </c>
      <c r="G845" s="13">
        <v>73.510000000000005</v>
      </c>
      <c r="H845" s="13">
        <v>32.200000000000003</v>
      </c>
      <c r="I845" s="13">
        <v>49.84</v>
      </c>
      <c r="J845" s="24">
        <v>45875</v>
      </c>
      <c r="K845" s="13">
        <v>17</v>
      </c>
      <c r="M845" s="13" t="b">
        <v>1</v>
      </c>
      <c r="N845" s="13" t="s">
        <v>2230</v>
      </c>
      <c r="O845" s="13">
        <f t="shared" si="13"/>
        <v>2.7333333333333334</v>
      </c>
    </row>
    <row r="846" spans="1:15" x14ac:dyDescent="0.25">
      <c r="A846" s="13" t="s">
        <v>858</v>
      </c>
      <c r="B846" s="13" t="s">
        <v>2194</v>
      </c>
      <c r="C846" s="13" t="s">
        <v>2196</v>
      </c>
      <c r="D846" s="13" t="s">
        <v>2204</v>
      </c>
      <c r="E846" s="13" t="s">
        <v>2213</v>
      </c>
      <c r="F846" s="13" t="s">
        <v>2223</v>
      </c>
      <c r="G846" s="13">
        <v>82.37</v>
      </c>
      <c r="H846" s="13">
        <v>0</v>
      </c>
      <c r="I846" s="13">
        <v>82.37</v>
      </c>
      <c r="J846" s="24">
        <v>45812</v>
      </c>
      <c r="K846" s="13">
        <v>49</v>
      </c>
      <c r="L846" s="13">
        <v>3.3</v>
      </c>
      <c r="M846" s="13" t="b">
        <v>0</v>
      </c>
      <c r="O846" s="13">
        <f t="shared" si="13"/>
        <v>3.3</v>
      </c>
    </row>
    <row r="847" spans="1:15" x14ac:dyDescent="0.25">
      <c r="A847" s="13" t="s">
        <v>859</v>
      </c>
      <c r="B847" s="13" t="s">
        <v>2195</v>
      </c>
      <c r="C847" s="13" t="s">
        <v>2201</v>
      </c>
      <c r="D847" s="13" t="s">
        <v>2207</v>
      </c>
      <c r="E847" s="13" t="s">
        <v>2212</v>
      </c>
      <c r="F847" s="13" t="s">
        <v>2222</v>
      </c>
      <c r="G847" s="13">
        <v>81.709999999999994</v>
      </c>
      <c r="H847" s="13">
        <v>18</v>
      </c>
      <c r="I847" s="13">
        <v>67</v>
      </c>
      <c r="J847" s="24">
        <v>45875</v>
      </c>
      <c r="K847" s="13">
        <v>28</v>
      </c>
      <c r="L847" s="13">
        <v>4.7</v>
      </c>
      <c r="M847" s="13" t="b">
        <v>0</v>
      </c>
      <c r="O847" s="13">
        <f t="shared" si="13"/>
        <v>4.7</v>
      </c>
    </row>
    <row r="848" spans="1:15" x14ac:dyDescent="0.25">
      <c r="A848" s="13" t="s">
        <v>860</v>
      </c>
      <c r="B848" s="13" t="s">
        <v>2195</v>
      </c>
      <c r="C848" s="13" t="s">
        <v>2198</v>
      </c>
      <c r="D848" s="13" t="s">
        <v>2205</v>
      </c>
      <c r="E848" s="13" t="s">
        <v>2211</v>
      </c>
      <c r="F848" s="13" t="s">
        <v>2222</v>
      </c>
      <c r="G848" s="13">
        <v>107.02</v>
      </c>
      <c r="H848" s="13">
        <v>10.6</v>
      </c>
      <c r="I848" s="13">
        <v>95.68</v>
      </c>
      <c r="J848" s="24">
        <v>45875</v>
      </c>
      <c r="K848" s="13">
        <v>6</v>
      </c>
      <c r="M848" s="13" t="b">
        <v>0</v>
      </c>
      <c r="O848" s="13">
        <f t="shared" si="13"/>
        <v>2.9000000000000008</v>
      </c>
    </row>
    <row r="849" spans="1:15" x14ac:dyDescent="0.25">
      <c r="A849" s="13" t="s">
        <v>861</v>
      </c>
      <c r="B849" s="13" t="s">
        <v>2194</v>
      </c>
      <c r="C849" s="13" t="s">
        <v>2200</v>
      </c>
      <c r="D849" s="13" t="s">
        <v>2207</v>
      </c>
      <c r="E849" s="13" t="s">
        <v>2208</v>
      </c>
      <c r="F849" s="13" t="s">
        <v>2215</v>
      </c>
      <c r="G849" s="13">
        <v>103.23</v>
      </c>
      <c r="H849" s="13">
        <v>18.7</v>
      </c>
      <c r="I849" s="13">
        <v>83.93</v>
      </c>
      <c r="J849" s="24">
        <v>45875</v>
      </c>
      <c r="K849" s="13">
        <v>6</v>
      </c>
      <c r="L849" s="13">
        <v>4</v>
      </c>
      <c r="M849" s="13" t="b">
        <v>0</v>
      </c>
      <c r="O849" s="13">
        <f t="shared" si="13"/>
        <v>4</v>
      </c>
    </row>
    <row r="850" spans="1:15" x14ac:dyDescent="0.25">
      <c r="A850" s="13" t="s">
        <v>862</v>
      </c>
      <c r="B850" s="13" t="s">
        <v>2191</v>
      </c>
      <c r="C850" s="13" t="s">
        <v>2202</v>
      </c>
      <c r="D850" s="13" t="s">
        <v>2206</v>
      </c>
      <c r="E850" s="13" t="s">
        <v>2209</v>
      </c>
      <c r="F850" s="13" t="s">
        <v>2219</v>
      </c>
      <c r="G850" s="13">
        <v>100.48</v>
      </c>
      <c r="H850" s="13">
        <v>17.600000000000001</v>
      </c>
      <c r="I850" s="13">
        <v>82.8</v>
      </c>
      <c r="J850" s="24">
        <v>45875</v>
      </c>
      <c r="K850" s="13">
        <v>19</v>
      </c>
      <c r="M850" s="13" t="b">
        <v>0</v>
      </c>
      <c r="O850" s="13">
        <f t="shared" si="13"/>
        <v>2.9074999999999998</v>
      </c>
    </row>
    <row r="851" spans="1:15" x14ac:dyDescent="0.25">
      <c r="A851" s="13" t="s">
        <v>863</v>
      </c>
      <c r="B851" s="13" t="s">
        <v>2193</v>
      </c>
      <c r="C851" s="13" t="s">
        <v>2201</v>
      </c>
      <c r="D851" s="13" t="s">
        <v>2205</v>
      </c>
      <c r="E851" s="13" t="s">
        <v>2208</v>
      </c>
      <c r="F851" s="13" t="s">
        <v>2217</v>
      </c>
      <c r="G851" s="13">
        <v>160.87</v>
      </c>
      <c r="H851" s="13">
        <v>53.7</v>
      </c>
      <c r="I851" s="13">
        <v>74.48</v>
      </c>
      <c r="J851" s="24">
        <v>45875</v>
      </c>
      <c r="K851" s="13">
        <v>18</v>
      </c>
      <c r="M851" s="13" t="b">
        <v>0</v>
      </c>
      <c r="O851" s="13">
        <f t="shared" si="13"/>
        <v>3.0068965517241386</v>
      </c>
    </row>
    <row r="852" spans="1:15" x14ac:dyDescent="0.25">
      <c r="A852" s="13" t="s">
        <v>864</v>
      </c>
      <c r="B852" s="13" t="s">
        <v>2192</v>
      </c>
      <c r="C852" s="13" t="s">
        <v>2199</v>
      </c>
      <c r="D852" s="13" t="s">
        <v>2206</v>
      </c>
      <c r="F852" s="13" t="s">
        <v>2217</v>
      </c>
      <c r="G852" s="13">
        <v>78.39</v>
      </c>
      <c r="H852" s="13">
        <v>0</v>
      </c>
      <c r="I852" s="13">
        <v>78.39</v>
      </c>
      <c r="J852" s="24">
        <v>45875</v>
      </c>
      <c r="K852" s="13">
        <v>7</v>
      </c>
      <c r="L852" s="13">
        <v>4.2</v>
      </c>
      <c r="M852" s="13" t="b">
        <v>0</v>
      </c>
      <c r="O852" s="13">
        <f t="shared" si="13"/>
        <v>4.2</v>
      </c>
    </row>
    <row r="853" spans="1:15" x14ac:dyDescent="0.25">
      <c r="A853" s="13" t="s">
        <v>865</v>
      </c>
      <c r="B853" s="13" t="s">
        <v>2190</v>
      </c>
      <c r="C853" s="13" t="s">
        <v>2196</v>
      </c>
      <c r="D853" s="13" t="s">
        <v>2204</v>
      </c>
      <c r="E853" s="13" t="s">
        <v>2210</v>
      </c>
      <c r="F853" s="13" t="s">
        <v>2221</v>
      </c>
      <c r="G853" s="13">
        <v>168.38</v>
      </c>
      <c r="H853" s="13">
        <v>23.1</v>
      </c>
      <c r="I853" s="13">
        <v>129.47999999999999</v>
      </c>
      <c r="J853" s="24">
        <v>45812</v>
      </c>
      <c r="K853" s="13">
        <v>3</v>
      </c>
      <c r="L853" s="13">
        <v>2</v>
      </c>
      <c r="M853" s="13" t="b">
        <v>0</v>
      </c>
      <c r="O853" s="13">
        <f t="shared" si="13"/>
        <v>2</v>
      </c>
    </row>
    <row r="854" spans="1:15" x14ac:dyDescent="0.25">
      <c r="A854" s="13" t="s">
        <v>866</v>
      </c>
      <c r="B854" s="13" t="s">
        <v>2193</v>
      </c>
      <c r="C854" s="13" t="s">
        <v>2198</v>
      </c>
      <c r="D854" s="13" t="s">
        <v>2205</v>
      </c>
      <c r="E854" s="13" t="s">
        <v>2210</v>
      </c>
      <c r="F854" s="13" t="s">
        <v>2222</v>
      </c>
      <c r="G854" s="13">
        <v>128.35</v>
      </c>
      <c r="H854" s="13">
        <v>0</v>
      </c>
      <c r="I854" s="13">
        <v>128.35</v>
      </c>
      <c r="J854" s="24">
        <v>45875</v>
      </c>
      <c r="K854" s="13">
        <v>20</v>
      </c>
      <c r="L854" s="13">
        <v>2.5</v>
      </c>
      <c r="M854" s="13" t="b">
        <v>0</v>
      </c>
      <c r="O854" s="13">
        <f t="shared" si="13"/>
        <v>2.5</v>
      </c>
    </row>
    <row r="855" spans="1:15" x14ac:dyDescent="0.25">
      <c r="A855" s="13" t="s">
        <v>867</v>
      </c>
      <c r="B855" s="13" t="s">
        <v>2195</v>
      </c>
      <c r="C855" s="13" t="s">
        <v>2197</v>
      </c>
      <c r="D855" s="13" t="s">
        <v>2204</v>
      </c>
      <c r="E855" s="13" t="s">
        <v>2208</v>
      </c>
      <c r="F855" s="13" t="s">
        <v>2218</v>
      </c>
      <c r="G855" s="13">
        <v>138.16999999999999</v>
      </c>
      <c r="H855" s="13">
        <v>3</v>
      </c>
      <c r="I855" s="13">
        <v>134.02000000000001</v>
      </c>
      <c r="J855" s="24">
        <v>45751</v>
      </c>
      <c r="K855" s="13">
        <v>34</v>
      </c>
      <c r="L855" s="13">
        <v>4.0999999999999996</v>
      </c>
      <c r="M855" s="13" t="b">
        <v>0</v>
      </c>
      <c r="O855" s="13">
        <f t="shared" si="13"/>
        <v>4.0999999999999996</v>
      </c>
    </row>
    <row r="856" spans="1:15" x14ac:dyDescent="0.25">
      <c r="A856" s="13" t="s">
        <v>868</v>
      </c>
      <c r="B856" s="13" t="s">
        <v>2195</v>
      </c>
      <c r="C856" s="13" t="s">
        <v>2197</v>
      </c>
      <c r="D856" s="13" t="s">
        <v>2206</v>
      </c>
      <c r="E856" s="13" t="s">
        <v>2213</v>
      </c>
      <c r="F856" s="13" t="s">
        <v>2222</v>
      </c>
      <c r="G856" s="13">
        <v>52.45</v>
      </c>
      <c r="H856" s="13">
        <v>0</v>
      </c>
      <c r="I856" s="13">
        <v>52.45</v>
      </c>
      <c r="J856" s="24">
        <v>45875</v>
      </c>
      <c r="K856" s="13">
        <v>16</v>
      </c>
      <c r="L856" s="13">
        <v>1.7</v>
      </c>
      <c r="M856" s="13" t="b">
        <v>0</v>
      </c>
      <c r="O856" s="13">
        <f t="shared" si="13"/>
        <v>1.7</v>
      </c>
    </row>
    <row r="857" spans="1:15" x14ac:dyDescent="0.25">
      <c r="A857" s="13" t="s">
        <v>869</v>
      </c>
      <c r="B857" s="13" t="s">
        <v>2193</v>
      </c>
      <c r="C857" s="13" t="s">
        <v>2200</v>
      </c>
      <c r="D857" s="13" t="s">
        <v>2205</v>
      </c>
      <c r="E857" s="13" t="s">
        <v>2212</v>
      </c>
      <c r="F857" s="13" t="s">
        <v>2217</v>
      </c>
      <c r="G857" s="13">
        <v>171.53</v>
      </c>
      <c r="H857" s="13">
        <v>0</v>
      </c>
      <c r="I857" s="13">
        <v>171.53</v>
      </c>
      <c r="J857" s="24">
        <v>45875</v>
      </c>
      <c r="K857" s="13">
        <v>12</v>
      </c>
      <c r="L857" s="13">
        <v>4.8</v>
      </c>
      <c r="M857" s="13" t="b">
        <v>0</v>
      </c>
      <c r="O857" s="13">
        <f t="shared" si="13"/>
        <v>4.8</v>
      </c>
    </row>
    <row r="858" spans="1:15" x14ac:dyDescent="0.25">
      <c r="A858" s="13" t="s">
        <v>870</v>
      </c>
      <c r="B858" s="13" t="s">
        <v>2191</v>
      </c>
      <c r="C858" s="13" t="s">
        <v>2199</v>
      </c>
      <c r="D858" s="13" t="s">
        <v>2206</v>
      </c>
      <c r="E858" s="13" t="s">
        <v>2211</v>
      </c>
      <c r="F858" s="13" t="s">
        <v>2224</v>
      </c>
      <c r="G858" s="13">
        <v>81.23</v>
      </c>
      <c r="H858" s="13">
        <v>1.2</v>
      </c>
      <c r="I858" s="13">
        <v>80.260000000000005</v>
      </c>
      <c r="J858" s="24">
        <v>45875</v>
      </c>
      <c r="K858" s="13">
        <v>10</v>
      </c>
      <c r="L858" s="13">
        <v>4.9000000000000004</v>
      </c>
      <c r="M858" s="13" t="b">
        <v>0</v>
      </c>
      <c r="O858" s="13">
        <f t="shared" si="13"/>
        <v>4.9000000000000004</v>
      </c>
    </row>
    <row r="859" spans="1:15" x14ac:dyDescent="0.25">
      <c r="A859" s="13" t="s">
        <v>871</v>
      </c>
      <c r="B859" s="13" t="s">
        <v>2192</v>
      </c>
      <c r="C859" s="13" t="s">
        <v>2198</v>
      </c>
      <c r="D859" s="13" t="s">
        <v>2204</v>
      </c>
      <c r="F859" s="13" t="s">
        <v>2219</v>
      </c>
      <c r="G859" s="13">
        <v>31.37</v>
      </c>
      <c r="H859" s="13">
        <v>44.1</v>
      </c>
      <c r="I859" s="13">
        <v>17.54</v>
      </c>
      <c r="J859" s="24">
        <v>45548</v>
      </c>
      <c r="K859" s="13">
        <v>11</v>
      </c>
      <c r="L859" s="13">
        <v>3.4</v>
      </c>
      <c r="M859" s="13" t="b">
        <v>0</v>
      </c>
      <c r="O859" s="13">
        <f t="shared" si="13"/>
        <v>3.4</v>
      </c>
    </row>
    <row r="860" spans="1:15" x14ac:dyDescent="0.25">
      <c r="A860" s="13" t="s">
        <v>872</v>
      </c>
      <c r="B860" s="13" t="s">
        <v>2194</v>
      </c>
      <c r="C860" s="13" t="s">
        <v>2202</v>
      </c>
      <c r="D860" s="13" t="s">
        <v>2204</v>
      </c>
      <c r="E860" s="13" t="s">
        <v>2210</v>
      </c>
      <c r="F860" s="13" t="s">
        <v>2214</v>
      </c>
      <c r="G860" s="13">
        <v>93.89</v>
      </c>
      <c r="H860" s="13">
        <v>0</v>
      </c>
      <c r="I860" s="13">
        <v>93.89</v>
      </c>
      <c r="J860" s="24">
        <v>45691</v>
      </c>
      <c r="K860" s="13">
        <v>3</v>
      </c>
      <c r="L860" s="13">
        <v>1.8</v>
      </c>
      <c r="M860" s="13" t="b">
        <v>0</v>
      </c>
      <c r="O860" s="13">
        <f t="shared" si="13"/>
        <v>1.8</v>
      </c>
    </row>
    <row r="861" spans="1:15" x14ac:dyDescent="0.25">
      <c r="A861" s="13" t="s">
        <v>873</v>
      </c>
      <c r="B861" s="13" t="s">
        <v>2194</v>
      </c>
      <c r="C861" s="13" t="s">
        <v>2197</v>
      </c>
      <c r="D861" s="13" t="s">
        <v>2204</v>
      </c>
      <c r="E861" s="13" t="s">
        <v>2208</v>
      </c>
      <c r="F861" s="13" t="s">
        <v>2218</v>
      </c>
      <c r="G861" s="13">
        <v>54.84</v>
      </c>
      <c r="H861" s="13">
        <v>0</v>
      </c>
      <c r="I861" s="13">
        <v>54.84</v>
      </c>
      <c r="J861" s="24">
        <v>45557</v>
      </c>
      <c r="K861" s="13">
        <v>12</v>
      </c>
      <c r="L861" s="13">
        <v>3.2</v>
      </c>
      <c r="M861" s="13" t="b">
        <v>0</v>
      </c>
      <c r="O861" s="13">
        <f t="shared" si="13"/>
        <v>3.2</v>
      </c>
    </row>
    <row r="862" spans="1:15" x14ac:dyDescent="0.25">
      <c r="A862" s="13" t="s">
        <v>874</v>
      </c>
      <c r="B862" s="13" t="s">
        <v>2195</v>
      </c>
      <c r="C862" s="13" t="s">
        <v>2196</v>
      </c>
      <c r="D862" s="13" t="s">
        <v>2205</v>
      </c>
      <c r="E862" s="13" t="s">
        <v>2209</v>
      </c>
      <c r="F862" s="13" t="s">
        <v>2214</v>
      </c>
      <c r="G862" s="13">
        <v>140.34</v>
      </c>
      <c r="H862" s="13">
        <v>0</v>
      </c>
      <c r="I862" s="13">
        <v>140.34</v>
      </c>
      <c r="J862" s="24">
        <v>45875</v>
      </c>
      <c r="K862" s="13">
        <v>23</v>
      </c>
      <c r="L862" s="13">
        <v>2.8</v>
      </c>
      <c r="M862" s="13" t="b">
        <v>1</v>
      </c>
      <c r="N862" s="13" t="s">
        <v>2229</v>
      </c>
      <c r="O862" s="13">
        <f t="shared" si="13"/>
        <v>2.8</v>
      </c>
    </row>
    <row r="863" spans="1:15" x14ac:dyDescent="0.25">
      <c r="A863" s="13" t="s">
        <v>875</v>
      </c>
      <c r="B863" s="13" t="s">
        <v>2191</v>
      </c>
      <c r="C863" s="13" t="s">
        <v>2198</v>
      </c>
      <c r="D863" s="13" t="s">
        <v>2206</v>
      </c>
      <c r="E863" s="13" t="s">
        <v>2213</v>
      </c>
      <c r="F863" s="13" t="s">
        <v>2214</v>
      </c>
      <c r="G863" s="13">
        <v>51.88</v>
      </c>
      <c r="H863" s="13">
        <v>16.8</v>
      </c>
      <c r="I863" s="13">
        <v>43.16</v>
      </c>
      <c r="J863" s="24">
        <v>45875</v>
      </c>
      <c r="K863" s="13">
        <v>30</v>
      </c>
      <c r="L863" s="13">
        <v>1.5</v>
      </c>
      <c r="M863" s="13" t="b">
        <v>0</v>
      </c>
      <c r="O863" s="13">
        <f t="shared" si="13"/>
        <v>1.5</v>
      </c>
    </row>
    <row r="864" spans="1:15" x14ac:dyDescent="0.25">
      <c r="A864" s="13" t="s">
        <v>876</v>
      </c>
      <c r="B864" s="13" t="s">
        <v>2195</v>
      </c>
      <c r="C864" s="13" t="s">
        <v>2199</v>
      </c>
      <c r="D864" s="13" t="s">
        <v>2204</v>
      </c>
      <c r="E864" s="13" t="s">
        <v>2210</v>
      </c>
      <c r="F864" s="13" t="s">
        <v>2223</v>
      </c>
      <c r="G864" s="13">
        <v>136.19999999999999</v>
      </c>
      <c r="H864" s="13">
        <v>44.3</v>
      </c>
      <c r="I864" s="13">
        <v>75.86</v>
      </c>
      <c r="J864" s="24">
        <v>45617</v>
      </c>
      <c r="K864" s="13">
        <v>49</v>
      </c>
      <c r="M864" s="13" t="b">
        <v>0</v>
      </c>
      <c r="O864" s="13">
        <f t="shared" si="13"/>
        <v>2.8372093023255811</v>
      </c>
    </row>
    <row r="865" spans="1:15" x14ac:dyDescent="0.25">
      <c r="A865" s="13" t="s">
        <v>877</v>
      </c>
      <c r="B865" s="13" t="s">
        <v>2192</v>
      </c>
      <c r="C865" s="13" t="s">
        <v>2200</v>
      </c>
      <c r="D865" s="13" t="s">
        <v>2207</v>
      </c>
      <c r="F865" s="13" t="s">
        <v>2224</v>
      </c>
      <c r="G865" s="13">
        <v>71.19</v>
      </c>
      <c r="H865" s="13">
        <v>0</v>
      </c>
      <c r="I865" s="13">
        <v>71.19</v>
      </c>
      <c r="J865" s="24">
        <v>45875</v>
      </c>
      <c r="K865" s="13">
        <v>14</v>
      </c>
      <c r="L865" s="13">
        <v>2.8</v>
      </c>
      <c r="M865" s="13" t="b">
        <v>0</v>
      </c>
      <c r="O865" s="13">
        <f t="shared" si="13"/>
        <v>2.8</v>
      </c>
    </row>
    <row r="866" spans="1:15" x14ac:dyDescent="0.25">
      <c r="A866" s="13" t="s">
        <v>878</v>
      </c>
      <c r="B866" s="13" t="s">
        <v>2190</v>
      </c>
      <c r="C866" s="13" t="s">
        <v>2203</v>
      </c>
      <c r="D866" s="13" t="s">
        <v>2204</v>
      </c>
      <c r="E866" s="13" t="s">
        <v>2210</v>
      </c>
      <c r="F866" s="13" t="s">
        <v>2222</v>
      </c>
      <c r="G866" s="13">
        <v>241.37</v>
      </c>
      <c r="H866" s="13">
        <v>44.9</v>
      </c>
      <c r="I866" s="13">
        <v>132.99</v>
      </c>
      <c r="J866" s="24">
        <v>45792</v>
      </c>
      <c r="K866" s="13">
        <v>23</v>
      </c>
      <c r="L866" s="13">
        <v>2.1</v>
      </c>
      <c r="M866" s="13" t="b">
        <v>0</v>
      </c>
      <c r="O866" s="13">
        <f t="shared" si="13"/>
        <v>2.1</v>
      </c>
    </row>
    <row r="867" spans="1:15" x14ac:dyDescent="0.25">
      <c r="A867" s="13" t="s">
        <v>879</v>
      </c>
      <c r="B867" s="13" t="s">
        <v>2190</v>
      </c>
      <c r="C867" s="13" t="s">
        <v>2202</v>
      </c>
      <c r="D867" s="13" t="s">
        <v>2206</v>
      </c>
      <c r="E867" s="13" t="s">
        <v>2211</v>
      </c>
      <c r="F867" s="13" t="s">
        <v>2219</v>
      </c>
      <c r="G867" s="13">
        <v>198.26</v>
      </c>
      <c r="H867" s="13">
        <v>51.3</v>
      </c>
      <c r="I867" s="13">
        <v>96.55</v>
      </c>
      <c r="J867" s="24">
        <v>45875</v>
      </c>
      <c r="K867" s="13">
        <v>38</v>
      </c>
      <c r="M867" s="13" t="b">
        <v>0</v>
      </c>
      <c r="O867" s="13">
        <f t="shared" si="13"/>
        <v>2.9034482758620692</v>
      </c>
    </row>
    <row r="868" spans="1:15" x14ac:dyDescent="0.25">
      <c r="A868" s="13" t="s">
        <v>880</v>
      </c>
      <c r="B868" s="13" t="s">
        <v>2194</v>
      </c>
      <c r="C868" s="13" t="s">
        <v>2201</v>
      </c>
      <c r="D868" s="13" t="s">
        <v>2205</v>
      </c>
      <c r="E868" s="13" t="s">
        <v>2211</v>
      </c>
      <c r="F868" s="13" t="s">
        <v>2221</v>
      </c>
      <c r="G868" s="13">
        <v>64.069999999999993</v>
      </c>
      <c r="H868" s="13">
        <v>0</v>
      </c>
      <c r="I868" s="13">
        <v>64.069999999999993</v>
      </c>
      <c r="J868" s="24">
        <v>45875</v>
      </c>
      <c r="K868" s="13">
        <v>34</v>
      </c>
      <c r="M868" s="13" t="b">
        <v>0</v>
      </c>
      <c r="O868" s="13">
        <f t="shared" si="13"/>
        <v>3.0575757575757576</v>
      </c>
    </row>
    <row r="869" spans="1:15" x14ac:dyDescent="0.25">
      <c r="A869" s="13" t="s">
        <v>881</v>
      </c>
      <c r="B869" s="13" t="s">
        <v>2194</v>
      </c>
      <c r="C869" s="13" t="s">
        <v>2196</v>
      </c>
      <c r="D869" s="13" t="s">
        <v>2206</v>
      </c>
      <c r="E869" s="13" t="s">
        <v>2208</v>
      </c>
      <c r="F869" s="13" t="s">
        <v>2218</v>
      </c>
      <c r="G869" s="13">
        <v>110.15</v>
      </c>
      <c r="H869" s="13">
        <v>10.4</v>
      </c>
      <c r="I869" s="13">
        <v>98.69</v>
      </c>
      <c r="J869" s="24">
        <v>45875</v>
      </c>
      <c r="K869" s="13">
        <v>36</v>
      </c>
      <c r="L869" s="13">
        <v>1.6</v>
      </c>
      <c r="M869" s="13" t="b">
        <v>0</v>
      </c>
      <c r="O869" s="13">
        <f t="shared" si="13"/>
        <v>1.6</v>
      </c>
    </row>
    <row r="870" spans="1:15" x14ac:dyDescent="0.25">
      <c r="A870" s="13" t="s">
        <v>882</v>
      </c>
      <c r="B870" s="13" t="s">
        <v>2190</v>
      </c>
      <c r="C870" s="13" t="s">
        <v>2203</v>
      </c>
      <c r="D870" s="13" t="s">
        <v>2204</v>
      </c>
      <c r="E870" s="13" t="s">
        <v>2212</v>
      </c>
      <c r="F870" s="13" t="s">
        <v>2219</v>
      </c>
      <c r="G870" s="13">
        <v>120.68</v>
      </c>
      <c r="H870" s="13">
        <v>0</v>
      </c>
      <c r="I870" s="13">
        <v>120.68</v>
      </c>
      <c r="J870" s="24">
        <v>45647</v>
      </c>
      <c r="K870" s="13">
        <v>6</v>
      </c>
      <c r="L870" s="13">
        <v>1.9</v>
      </c>
      <c r="M870" s="13" t="b">
        <v>0</v>
      </c>
      <c r="O870" s="13">
        <f t="shared" si="13"/>
        <v>1.9</v>
      </c>
    </row>
    <row r="871" spans="1:15" x14ac:dyDescent="0.25">
      <c r="A871" s="13" t="s">
        <v>883</v>
      </c>
      <c r="B871" s="13" t="s">
        <v>2192</v>
      </c>
      <c r="C871" s="13" t="s">
        <v>2196</v>
      </c>
      <c r="D871" s="13" t="s">
        <v>2206</v>
      </c>
      <c r="F871" s="13" t="s">
        <v>2216</v>
      </c>
      <c r="G871" s="13">
        <v>69.180000000000007</v>
      </c>
      <c r="H871" s="13">
        <v>31</v>
      </c>
      <c r="I871" s="13">
        <v>47.73</v>
      </c>
      <c r="J871" s="24">
        <v>45875</v>
      </c>
      <c r="K871" s="13">
        <v>9</v>
      </c>
      <c r="L871" s="13">
        <v>2.7</v>
      </c>
      <c r="M871" s="13" t="b">
        <v>1</v>
      </c>
      <c r="N871" s="13" t="s">
        <v>2226</v>
      </c>
      <c r="O871" s="13">
        <f t="shared" si="13"/>
        <v>2.7</v>
      </c>
    </row>
    <row r="872" spans="1:15" x14ac:dyDescent="0.25">
      <c r="A872" s="13" t="s">
        <v>884</v>
      </c>
      <c r="B872" s="13" t="s">
        <v>2195</v>
      </c>
      <c r="C872" s="13" t="s">
        <v>2201</v>
      </c>
      <c r="D872" s="13" t="s">
        <v>2206</v>
      </c>
      <c r="E872" s="13" t="s">
        <v>2209</v>
      </c>
      <c r="F872" s="13" t="s">
        <v>2214</v>
      </c>
      <c r="G872" s="13">
        <v>134.77000000000001</v>
      </c>
      <c r="H872" s="13">
        <v>0</v>
      </c>
      <c r="I872" s="13">
        <v>134.77000000000001</v>
      </c>
      <c r="J872" s="24">
        <v>45875</v>
      </c>
      <c r="K872" s="13">
        <v>36</v>
      </c>
      <c r="L872" s="13">
        <v>4.8</v>
      </c>
      <c r="M872" s="13" t="b">
        <v>0</v>
      </c>
      <c r="O872" s="13">
        <f t="shared" si="13"/>
        <v>4.8</v>
      </c>
    </row>
    <row r="873" spans="1:15" x14ac:dyDescent="0.25">
      <c r="A873" s="13" t="s">
        <v>885</v>
      </c>
      <c r="B873" s="13" t="s">
        <v>2191</v>
      </c>
      <c r="C873" s="13" t="s">
        <v>2197</v>
      </c>
      <c r="D873" s="13" t="s">
        <v>2204</v>
      </c>
      <c r="E873" s="13" t="s">
        <v>2210</v>
      </c>
      <c r="F873" s="13" t="s">
        <v>2216</v>
      </c>
      <c r="G873" s="13">
        <v>29.93</v>
      </c>
      <c r="H873" s="13">
        <v>0</v>
      </c>
      <c r="I873" s="13">
        <v>29.93</v>
      </c>
      <c r="J873" s="24">
        <v>45575</v>
      </c>
      <c r="K873" s="13">
        <v>13</v>
      </c>
      <c r="M873" s="13" t="b">
        <v>0</v>
      </c>
      <c r="O873" s="13">
        <f t="shared" si="13"/>
        <v>3.34</v>
      </c>
    </row>
    <row r="874" spans="1:15" x14ac:dyDescent="0.25">
      <c r="A874" s="13" t="s">
        <v>886</v>
      </c>
      <c r="B874" s="13" t="s">
        <v>2192</v>
      </c>
      <c r="C874" s="13" t="s">
        <v>2202</v>
      </c>
      <c r="D874" s="13" t="s">
        <v>2205</v>
      </c>
      <c r="F874" s="13" t="s">
        <v>2217</v>
      </c>
      <c r="G874" s="13">
        <v>56.09</v>
      </c>
      <c r="H874" s="13">
        <v>0</v>
      </c>
      <c r="I874" s="13">
        <v>56.09</v>
      </c>
      <c r="J874" s="24">
        <v>45875</v>
      </c>
      <c r="K874" s="13">
        <v>21</v>
      </c>
      <c r="L874" s="13">
        <v>4.9000000000000004</v>
      </c>
      <c r="M874" s="13" t="b">
        <v>0</v>
      </c>
      <c r="O874" s="13">
        <f t="shared" si="13"/>
        <v>4.9000000000000004</v>
      </c>
    </row>
    <row r="875" spans="1:15" x14ac:dyDescent="0.25">
      <c r="A875" s="13" t="s">
        <v>887</v>
      </c>
      <c r="B875" s="13" t="s">
        <v>2193</v>
      </c>
      <c r="C875" s="13" t="s">
        <v>2202</v>
      </c>
      <c r="D875" s="13" t="s">
        <v>2206</v>
      </c>
      <c r="E875" s="13" t="s">
        <v>2212</v>
      </c>
      <c r="F875" s="13" t="s">
        <v>2220</v>
      </c>
      <c r="G875" s="13">
        <v>124.81</v>
      </c>
      <c r="H875" s="13">
        <v>33.1</v>
      </c>
      <c r="I875" s="13">
        <v>83.5</v>
      </c>
      <c r="J875" s="24">
        <v>45875</v>
      </c>
      <c r="K875" s="13">
        <v>45</v>
      </c>
      <c r="L875" s="13">
        <v>2.4</v>
      </c>
      <c r="M875" s="13" t="b">
        <v>0</v>
      </c>
      <c r="O875" s="13">
        <f t="shared" si="13"/>
        <v>2.4</v>
      </c>
    </row>
    <row r="876" spans="1:15" x14ac:dyDescent="0.25">
      <c r="A876" s="13" t="s">
        <v>888</v>
      </c>
      <c r="B876" s="13" t="s">
        <v>2195</v>
      </c>
      <c r="C876" s="13" t="s">
        <v>2196</v>
      </c>
      <c r="D876" s="13" t="s">
        <v>2204</v>
      </c>
      <c r="E876" s="13" t="s">
        <v>2213</v>
      </c>
      <c r="F876" s="13" t="s">
        <v>2217</v>
      </c>
      <c r="G876" s="13">
        <v>94.03</v>
      </c>
      <c r="H876" s="13">
        <v>56.1</v>
      </c>
      <c r="I876" s="13">
        <v>41.28</v>
      </c>
      <c r="J876" s="24">
        <v>45642</v>
      </c>
      <c r="K876" s="13">
        <v>16</v>
      </c>
      <c r="L876" s="13">
        <v>1.2</v>
      </c>
      <c r="M876" s="13" t="b">
        <v>0</v>
      </c>
      <c r="O876" s="13">
        <f t="shared" si="13"/>
        <v>1.2</v>
      </c>
    </row>
    <row r="877" spans="1:15" x14ac:dyDescent="0.25">
      <c r="A877" s="13" t="s">
        <v>889</v>
      </c>
      <c r="B877" s="13" t="s">
        <v>2193</v>
      </c>
      <c r="C877" s="13" t="s">
        <v>2196</v>
      </c>
      <c r="D877" s="13" t="s">
        <v>2206</v>
      </c>
      <c r="E877" s="13" t="s">
        <v>2212</v>
      </c>
      <c r="F877" s="13" t="s">
        <v>2214</v>
      </c>
      <c r="G877" s="13">
        <v>109.51</v>
      </c>
      <c r="H877" s="13">
        <v>8.1999999999999993</v>
      </c>
      <c r="I877" s="13">
        <v>100.53</v>
      </c>
      <c r="J877" s="24">
        <v>45875</v>
      </c>
      <c r="K877" s="13">
        <v>12</v>
      </c>
      <c r="M877" s="13" t="b">
        <v>0</v>
      </c>
      <c r="O877" s="13">
        <f t="shared" si="13"/>
        <v>2.9153846153846157</v>
      </c>
    </row>
    <row r="878" spans="1:15" x14ac:dyDescent="0.25">
      <c r="A878" s="13" t="s">
        <v>890</v>
      </c>
      <c r="B878" s="13" t="s">
        <v>2192</v>
      </c>
      <c r="C878" s="13" t="s">
        <v>2199</v>
      </c>
      <c r="D878" s="13" t="s">
        <v>2205</v>
      </c>
      <c r="F878" s="13" t="s">
        <v>2222</v>
      </c>
      <c r="G878" s="13">
        <v>31.13</v>
      </c>
      <c r="H878" s="13">
        <v>0</v>
      </c>
      <c r="I878" s="13">
        <v>31.13</v>
      </c>
      <c r="J878" s="24">
        <v>45875</v>
      </c>
      <c r="K878" s="13">
        <v>29</v>
      </c>
      <c r="L878" s="13">
        <v>4.7</v>
      </c>
      <c r="M878" s="13" t="b">
        <v>0</v>
      </c>
      <c r="O878" s="13">
        <f t="shared" si="13"/>
        <v>4.7</v>
      </c>
    </row>
    <row r="879" spans="1:15" x14ac:dyDescent="0.25">
      <c r="A879" s="13" t="s">
        <v>891</v>
      </c>
      <c r="B879" s="13" t="s">
        <v>2192</v>
      </c>
      <c r="C879" s="13" t="s">
        <v>2198</v>
      </c>
      <c r="D879" s="13" t="s">
        <v>2206</v>
      </c>
      <c r="F879" s="13" t="s">
        <v>2219</v>
      </c>
      <c r="G879" s="13">
        <v>66.3</v>
      </c>
      <c r="H879" s="13">
        <v>1.7</v>
      </c>
      <c r="I879" s="13">
        <v>65.17</v>
      </c>
      <c r="J879" s="24">
        <v>45875</v>
      </c>
      <c r="K879" s="13">
        <v>28</v>
      </c>
      <c r="L879" s="13">
        <v>1.6</v>
      </c>
      <c r="M879" s="13" t="b">
        <v>0</v>
      </c>
      <c r="O879" s="13">
        <f t="shared" si="13"/>
        <v>1.6</v>
      </c>
    </row>
    <row r="880" spans="1:15" x14ac:dyDescent="0.25">
      <c r="A880" s="13" t="s">
        <v>892</v>
      </c>
      <c r="B880" s="13" t="s">
        <v>2194</v>
      </c>
      <c r="C880" s="13" t="s">
        <v>2200</v>
      </c>
      <c r="D880" s="13" t="s">
        <v>2205</v>
      </c>
      <c r="E880" s="13" t="s">
        <v>2213</v>
      </c>
      <c r="F880" s="13" t="s">
        <v>2214</v>
      </c>
      <c r="G880" s="13">
        <v>66.63</v>
      </c>
      <c r="H880" s="13">
        <v>28.4</v>
      </c>
      <c r="I880" s="13">
        <v>47.71</v>
      </c>
      <c r="J880" s="24">
        <v>45875</v>
      </c>
      <c r="K880" s="13">
        <v>32</v>
      </c>
      <c r="L880" s="13">
        <v>2</v>
      </c>
      <c r="M880" s="13" t="b">
        <v>0</v>
      </c>
      <c r="O880" s="13">
        <f t="shared" si="13"/>
        <v>2</v>
      </c>
    </row>
    <row r="881" spans="1:15" x14ac:dyDescent="0.25">
      <c r="A881" s="13" t="s">
        <v>893</v>
      </c>
      <c r="B881" s="13" t="s">
        <v>2194</v>
      </c>
      <c r="C881" s="13" t="s">
        <v>2199</v>
      </c>
      <c r="D881" s="13" t="s">
        <v>2204</v>
      </c>
      <c r="E881" s="13" t="s">
        <v>2209</v>
      </c>
      <c r="F881" s="13" t="s">
        <v>2220</v>
      </c>
      <c r="G881" s="13">
        <v>117.63</v>
      </c>
      <c r="H881" s="13">
        <v>0</v>
      </c>
      <c r="I881" s="13">
        <v>117.63</v>
      </c>
      <c r="J881" s="24">
        <v>45563</v>
      </c>
      <c r="K881" s="13">
        <v>18</v>
      </c>
      <c r="L881" s="13">
        <v>1.2</v>
      </c>
      <c r="M881" s="13" t="b">
        <v>0</v>
      </c>
      <c r="O881" s="13">
        <f t="shared" si="13"/>
        <v>1.2</v>
      </c>
    </row>
    <row r="882" spans="1:15" x14ac:dyDescent="0.25">
      <c r="A882" s="13" t="s">
        <v>894</v>
      </c>
      <c r="B882" s="13" t="s">
        <v>2193</v>
      </c>
      <c r="C882" s="13" t="s">
        <v>2198</v>
      </c>
      <c r="D882" s="13" t="s">
        <v>2205</v>
      </c>
      <c r="E882" s="13" t="s">
        <v>2213</v>
      </c>
      <c r="F882" s="13" t="s">
        <v>2223</v>
      </c>
      <c r="G882" s="13">
        <v>174.53</v>
      </c>
      <c r="H882" s="13">
        <v>0</v>
      </c>
      <c r="I882" s="13">
        <v>174.53</v>
      </c>
      <c r="J882" s="24">
        <v>45875</v>
      </c>
      <c r="K882" s="13">
        <v>45</v>
      </c>
      <c r="M882" s="13" t="b">
        <v>0</v>
      </c>
      <c r="O882" s="13">
        <f t="shared" si="13"/>
        <v>3.1936170212765949</v>
      </c>
    </row>
    <row r="883" spans="1:15" x14ac:dyDescent="0.25">
      <c r="A883" s="13" t="s">
        <v>895</v>
      </c>
      <c r="B883" s="13" t="s">
        <v>2195</v>
      </c>
      <c r="C883" s="13" t="s">
        <v>2196</v>
      </c>
      <c r="D883" s="13" t="s">
        <v>2205</v>
      </c>
      <c r="E883" s="13" t="s">
        <v>2210</v>
      </c>
      <c r="F883" s="13" t="s">
        <v>2220</v>
      </c>
      <c r="G883" s="13">
        <v>152.65</v>
      </c>
      <c r="H883" s="13">
        <v>0</v>
      </c>
      <c r="I883" s="13">
        <v>152.65</v>
      </c>
      <c r="J883" s="24">
        <v>45875</v>
      </c>
      <c r="K883" s="13">
        <v>27</v>
      </c>
      <c r="L883" s="13">
        <v>3.7</v>
      </c>
      <c r="M883" s="13" t="b">
        <v>0</v>
      </c>
      <c r="O883" s="13">
        <f t="shared" si="13"/>
        <v>3.7</v>
      </c>
    </row>
    <row r="884" spans="1:15" x14ac:dyDescent="0.25">
      <c r="A884" s="13" t="s">
        <v>896</v>
      </c>
      <c r="B884" s="13" t="s">
        <v>2190</v>
      </c>
      <c r="C884" s="13" t="s">
        <v>2201</v>
      </c>
      <c r="D884" s="13" t="s">
        <v>2207</v>
      </c>
      <c r="E884" s="13" t="s">
        <v>2208</v>
      </c>
      <c r="F884" s="13" t="s">
        <v>2219</v>
      </c>
      <c r="G884" s="13">
        <v>83.24</v>
      </c>
      <c r="H884" s="13">
        <v>0</v>
      </c>
      <c r="I884" s="13">
        <v>83.24</v>
      </c>
      <c r="J884" s="24">
        <v>45875</v>
      </c>
      <c r="K884" s="13">
        <v>16</v>
      </c>
      <c r="M884" s="13" t="b">
        <v>0</v>
      </c>
      <c r="O884" s="13">
        <f t="shared" si="13"/>
        <v>3.0305555555555546</v>
      </c>
    </row>
    <row r="885" spans="1:15" x14ac:dyDescent="0.25">
      <c r="A885" s="13" t="s">
        <v>897</v>
      </c>
      <c r="B885" s="13" t="s">
        <v>2192</v>
      </c>
      <c r="C885" s="13" t="s">
        <v>2196</v>
      </c>
      <c r="D885" s="13" t="s">
        <v>2205</v>
      </c>
      <c r="F885" s="13" t="s">
        <v>2224</v>
      </c>
      <c r="G885" s="13">
        <v>40.18</v>
      </c>
      <c r="H885" s="13">
        <v>0</v>
      </c>
      <c r="I885" s="13">
        <v>40.18</v>
      </c>
      <c r="J885" s="24">
        <v>45875</v>
      </c>
      <c r="K885" s="13">
        <v>27</v>
      </c>
      <c r="L885" s="13">
        <v>4.7</v>
      </c>
      <c r="M885" s="13" t="b">
        <v>0</v>
      </c>
      <c r="O885" s="13">
        <f t="shared" si="13"/>
        <v>4.7</v>
      </c>
    </row>
    <row r="886" spans="1:15" x14ac:dyDescent="0.25">
      <c r="A886" s="13" t="s">
        <v>898</v>
      </c>
      <c r="B886" s="13" t="s">
        <v>2194</v>
      </c>
      <c r="C886" s="13" t="s">
        <v>2199</v>
      </c>
      <c r="D886" s="13" t="s">
        <v>2204</v>
      </c>
      <c r="E886" s="13" t="s">
        <v>2208</v>
      </c>
      <c r="F886" s="13" t="s">
        <v>2214</v>
      </c>
      <c r="G886" s="13">
        <v>73.77</v>
      </c>
      <c r="H886" s="13">
        <v>22.8</v>
      </c>
      <c r="I886" s="13">
        <v>56.95</v>
      </c>
      <c r="J886" s="24">
        <v>45522</v>
      </c>
      <c r="K886" s="13">
        <v>0</v>
      </c>
      <c r="M886" s="13" t="b">
        <v>0</v>
      </c>
      <c r="O886" s="13">
        <f t="shared" si="13"/>
        <v>2.8142857142857149</v>
      </c>
    </row>
    <row r="887" spans="1:15" x14ac:dyDescent="0.25">
      <c r="A887" s="13" t="s">
        <v>899</v>
      </c>
      <c r="B887" s="13" t="s">
        <v>2192</v>
      </c>
      <c r="C887" s="13" t="s">
        <v>2203</v>
      </c>
      <c r="D887" s="13" t="s">
        <v>2205</v>
      </c>
      <c r="F887" s="13" t="s">
        <v>2214</v>
      </c>
      <c r="G887" s="13">
        <v>71.3</v>
      </c>
      <c r="H887" s="13">
        <v>0</v>
      </c>
      <c r="I887" s="13">
        <v>71.3</v>
      </c>
      <c r="J887" s="24">
        <v>45875</v>
      </c>
      <c r="K887" s="13">
        <v>29</v>
      </c>
      <c r="M887" s="13" t="b">
        <v>0</v>
      </c>
      <c r="O887" s="13">
        <f t="shared" si="13"/>
        <v>2.8636363636363633</v>
      </c>
    </row>
    <row r="888" spans="1:15" x14ac:dyDescent="0.25">
      <c r="A888" s="13" t="s">
        <v>900</v>
      </c>
      <c r="B888" s="13" t="s">
        <v>2192</v>
      </c>
      <c r="C888" s="13" t="s">
        <v>2203</v>
      </c>
      <c r="D888" s="13" t="s">
        <v>2207</v>
      </c>
      <c r="F888" s="13" t="s">
        <v>2221</v>
      </c>
      <c r="G888" s="13">
        <v>50.3</v>
      </c>
      <c r="H888" s="13">
        <v>52.8</v>
      </c>
      <c r="I888" s="13">
        <v>23.74</v>
      </c>
      <c r="J888" s="24">
        <v>45875</v>
      </c>
      <c r="K888" s="13">
        <v>11</v>
      </c>
      <c r="M888" s="13" t="b">
        <v>0</v>
      </c>
      <c r="O888" s="13">
        <f t="shared" si="13"/>
        <v>2.8636363636363633</v>
      </c>
    </row>
    <row r="889" spans="1:15" x14ac:dyDescent="0.25">
      <c r="A889" s="13" t="s">
        <v>901</v>
      </c>
      <c r="B889" s="13" t="s">
        <v>2192</v>
      </c>
      <c r="C889" s="13" t="s">
        <v>2200</v>
      </c>
      <c r="D889" s="13" t="s">
        <v>2204</v>
      </c>
      <c r="F889" s="13" t="s">
        <v>2220</v>
      </c>
      <c r="G889" s="13">
        <v>46.97</v>
      </c>
      <c r="H889" s="13">
        <v>0</v>
      </c>
      <c r="I889" s="13">
        <v>46.97</v>
      </c>
      <c r="J889" s="24">
        <v>45712</v>
      </c>
      <c r="K889" s="13">
        <v>33</v>
      </c>
      <c r="L889" s="13">
        <v>2.6</v>
      </c>
      <c r="M889" s="13" t="b">
        <v>0</v>
      </c>
      <c r="O889" s="13">
        <f t="shared" si="13"/>
        <v>2.6</v>
      </c>
    </row>
    <row r="890" spans="1:15" x14ac:dyDescent="0.25">
      <c r="A890" s="13" t="s">
        <v>902</v>
      </c>
      <c r="B890" s="13" t="s">
        <v>2193</v>
      </c>
      <c r="C890" s="13" t="s">
        <v>2196</v>
      </c>
      <c r="D890" s="13" t="s">
        <v>2206</v>
      </c>
      <c r="F890" s="13" t="s">
        <v>2224</v>
      </c>
      <c r="G890" s="13">
        <v>162.9</v>
      </c>
      <c r="H890" s="13">
        <v>0</v>
      </c>
      <c r="I890" s="13">
        <v>162.9</v>
      </c>
      <c r="J890" s="24">
        <v>45875</v>
      </c>
      <c r="K890" s="13">
        <v>30</v>
      </c>
      <c r="L890" s="13">
        <v>1.9</v>
      </c>
      <c r="M890" s="13" t="b">
        <v>0</v>
      </c>
      <c r="O890" s="13">
        <f t="shared" si="13"/>
        <v>1.9</v>
      </c>
    </row>
    <row r="891" spans="1:15" x14ac:dyDescent="0.25">
      <c r="A891" s="13" t="s">
        <v>903</v>
      </c>
      <c r="B891" s="13" t="s">
        <v>2194</v>
      </c>
      <c r="C891" s="13" t="s">
        <v>2203</v>
      </c>
      <c r="D891" s="13" t="s">
        <v>2205</v>
      </c>
      <c r="E891" s="13" t="s">
        <v>2208</v>
      </c>
      <c r="F891" s="13" t="s">
        <v>2217</v>
      </c>
      <c r="G891" s="13">
        <v>57.14</v>
      </c>
      <c r="H891" s="13">
        <v>0</v>
      </c>
      <c r="I891" s="13">
        <v>57.14</v>
      </c>
      <c r="J891" s="24">
        <v>45875</v>
      </c>
      <c r="K891" s="13">
        <v>39</v>
      </c>
      <c r="L891" s="13">
        <v>1.4</v>
      </c>
      <c r="M891" s="13" t="b">
        <v>0</v>
      </c>
      <c r="O891" s="13">
        <f t="shared" si="13"/>
        <v>1.4</v>
      </c>
    </row>
    <row r="892" spans="1:15" x14ac:dyDescent="0.25">
      <c r="A892" s="13" t="s">
        <v>904</v>
      </c>
      <c r="B892" s="13" t="s">
        <v>2193</v>
      </c>
      <c r="C892" s="13" t="s">
        <v>2201</v>
      </c>
      <c r="D892" s="13" t="s">
        <v>2204</v>
      </c>
      <c r="E892" s="13" t="s">
        <v>2209</v>
      </c>
      <c r="F892" s="13" t="s">
        <v>2223</v>
      </c>
      <c r="G892" s="13">
        <v>93.6</v>
      </c>
      <c r="H892" s="13">
        <v>0</v>
      </c>
      <c r="I892" s="13">
        <v>93.6</v>
      </c>
      <c r="J892" s="24">
        <v>45544</v>
      </c>
      <c r="K892" s="13">
        <v>49</v>
      </c>
      <c r="L892" s="13">
        <v>4.3</v>
      </c>
      <c r="M892" s="13" t="b">
        <v>0</v>
      </c>
      <c r="O892" s="13">
        <f t="shared" si="13"/>
        <v>4.3</v>
      </c>
    </row>
    <row r="893" spans="1:15" x14ac:dyDescent="0.25">
      <c r="A893" s="13" t="s">
        <v>905</v>
      </c>
      <c r="B893" s="13" t="s">
        <v>2192</v>
      </c>
      <c r="C893" s="13" t="s">
        <v>2203</v>
      </c>
      <c r="D893" s="13" t="s">
        <v>2204</v>
      </c>
      <c r="F893" s="13" t="s">
        <v>2224</v>
      </c>
      <c r="G893" s="13">
        <v>64.56</v>
      </c>
      <c r="H893" s="13">
        <v>43</v>
      </c>
      <c r="I893" s="13">
        <v>36.799999999999997</v>
      </c>
      <c r="J893" s="24">
        <v>45510</v>
      </c>
      <c r="K893" s="13">
        <v>36</v>
      </c>
      <c r="L893" s="13">
        <v>3.9</v>
      </c>
      <c r="M893" s="13" t="b">
        <v>0</v>
      </c>
      <c r="O893" s="13">
        <f t="shared" si="13"/>
        <v>3.9</v>
      </c>
    </row>
    <row r="894" spans="1:15" x14ac:dyDescent="0.25">
      <c r="A894" s="13" t="s">
        <v>906</v>
      </c>
      <c r="B894" s="13" t="s">
        <v>2190</v>
      </c>
      <c r="C894" s="13" t="s">
        <v>2201</v>
      </c>
      <c r="D894" s="13" t="s">
        <v>2205</v>
      </c>
      <c r="E894" s="13" t="s">
        <v>2210</v>
      </c>
      <c r="F894" s="13" t="s">
        <v>2222</v>
      </c>
      <c r="G894" s="13">
        <v>142.34</v>
      </c>
      <c r="H894" s="13">
        <v>0</v>
      </c>
      <c r="I894" s="13">
        <v>142.34</v>
      </c>
      <c r="J894" s="24">
        <v>45875</v>
      </c>
      <c r="K894" s="13">
        <v>43</v>
      </c>
      <c r="M894" s="13" t="b">
        <v>0</v>
      </c>
      <c r="O894" s="13">
        <f t="shared" si="13"/>
        <v>3.0305555555555546</v>
      </c>
    </row>
    <row r="895" spans="1:15" x14ac:dyDescent="0.25">
      <c r="A895" s="13" t="s">
        <v>907</v>
      </c>
      <c r="B895" s="13" t="s">
        <v>2193</v>
      </c>
      <c r="C895" s="13" t="s">
        <v>2202</v>
      </c>
      <c r="D895" s="13" t="s">
        <v>2204</v>
      </c>
      <c r="E895" s="13" t="s">
        <v>2212</v>
      </c>
      <c r="F895" s="13" t="s">
        <v>2217</v>
      </c>
      <c r="G895" s="13">
        <v>111.02</v>
      </c>
      <c r="H895" s="13">
        <v>57.8</v>
      </c>
      <c r="I895" s="13">
        <v>46.85</v>
      </c>
      <c r="J895" s="24">
        <v>45796</v>
      </c>
      <c r="K895" s="13">
        <v>11</v>
      </c>
      <c r="L895" s="13">
        <v>2.2000000000000002</v>
      </c>
      <c r="M895" s="13" t="b">
        <v>0</v>
      </c>
      <c r="O895" s="13">
        <f t="shared" si="13"/>
        <v>2.2000000000000002</v>
      </c>
    </row>
    <row r="896" spans="1:15" x14ac:dyDescent="0.25">
      <c r="A896" s="13" t="s">
        <v>908</v>
      </c>
      <c r="B896" s="13" t="s">
        <v>2191</v>
      </c>
      <c r="C896" s="13" t="s">
        <v>2198</v>
      </c>
      <c r="D896" s="13" t="s">
        <v>2205</v>
      </c>
      <c r="F896" s="13" t="s">
        <v>2216</v>
      </c>
      <c r="G896" s="13">
        <v>29.16</v>
      </c>
      <c r="H896" s="13">
        <v>49</v>
      </c>
      <c r="I896" s="13">
        <v>14.87</v>
      </c>
      <c r="J896" s="24">
        <v>45875</v>
      </c>
      <c r="K896" s="13">
        <v>31</v>
      </c>
      <c r="M896" s="13" t="b">
        <v>0</v>
      </c>
      <c r="O896" s="13">
        <f t="shared" si="13"/>
        <v>2.953125</v>
      </c>
    </row>
    <row r="897" spans="1:15" x14ac:dyDescent="0.25">
      <c r="A897" s="13" t="s">
        <v>909</v>
      </c>
      <c r="B897" s="13" t="s">
        <v>2191</v>
      </c>
      <c r="C897" s="13" t="s">
        <v>2201</v>
      </c>
      <c r="D897" s="13" t="s">
        <v>2207</v>
      </c>
      <c r="E897" s="13" t="s">
        <v>2212</v>
      </c>
      <c r="F897" s="13" t="s">
        <v>2216</v>
      </c>
      <c r="G897" s="13">
        <v>30.46</v>
      </c>
      <c r="H897" s="13">
        <v>0</v>
      </c>
      <c r="I897" s="13">
        <v>30.46</v>
      </c>
      <c r="J897" s="24">
        <v>45875</v>
      </c>
      <c r="K897" s="13">
        <v>19</v>
      </c>
      <c r="L897" s="13">
        <v>1.2</v>
      </c>
      <c r="M897" s="13" t="b">
        <v>0</v>
      </c>
      <c r="O897" s="13">
        <f t="shared" si="13"/>
        <v>1.2</v>
      </c>
    </row>
    <row r="898" spans="1:15" x14ac:dyDescent="0.25">
      <c r="A898" s="13" t="s">
        <v>910</v>
      </c>
      <c r="B898" s="13" t="s">
        <v>2192</v>
      </c>
      <c r="C898" s="13" t="s">
        <v>2203</v>
      </c>
      <c r="D898" s="13" t="s">
        <v>2205</v>
      </c>
      <c r="F898" s="13" t="s">
        <v>2219</v>
      </c>
      <c r="G898" s="13">
        <v>31.32</v>
      </c>
      <c r="H898" s="13">
        <v>0</v>
      </c>
      <c r="I898" s="13">
        <v>31.32</v>
      </c>
      <c r="J898" s="24">
        <v>45875</v>
      </c>
      <c r="K898" s="13">
        <v>28</v>
      </c>
      <c r="L898" s="13">
        <v>2.7</v>
      </c>
      <c r="M898" s="13" t="b">
        <v>0</v>
      </c>
      <c r="O898" s="13">
        <f t="shared" si="13"/>
        <v>2.7</v>
      </c>
    </row>
    <row r="899" spans="1:15" x14ac:dyDescent="0.25">
      <c r="A899" s="13" t="s">
        <v>911</v>
      </c>
      <c r="B899" s="13" t="s">
        <v>2194</v>
      </c>
      <c r="C899" s="13" t="s">
        <v>2197</v>
      </c>
      <c r="D899" s="13" t="s">
        <v>2204</v>
      </c>
      <c r="E899" s="13" t="s">
        <v>2213</v>
      </c>
      <c r="F899" s="13" t="s">
        <v>2215</v>
      </c>
      <c r="G899" s="13">
        <v>61.78</v>
      </c>
      <c r="H899" s="13">
        <v>0</v>
      </c>
      <c r="I899" s="13">
        <v>61.78</v>
      </c>
      <c r="J899" s="24">
        <v>45868</v>
      </c>
      <c r="K899" s="13">
        <v>24</v>
      </c>
      <c r="L899" s="13">
        <v>3.5</v>
      </c>
      <c r="M899" s="13" t="b">
        <v>0</v>
      </c>
      <c r="O899" s="13">
        <f t="shared" ref="O899:O962" si="14">IF(L899="",AVERAGEIFS($L$2:$L$2177,$B$2:$B$2177,B899,$C$2:$C$2177,C899),L899)</f>
        <v>3.5</v>
      </c>
    </row>
    <row r="900" spans="1:15" x14ac:dyDescent="0.25">
      <c r="A900" s="13" t="s">
        <v>912</v>
      </c>
      <c r="B900" s="13" t="s">
        <v>2190</v>
      </c>
      <c r="C900" s="13" t="s">
        <v>2196</v>
      </c>
      <c r="D900" s="13" t="s">
        <v>2207</v>
      </c>
      <c r="E900" s="13" t="s">
        <v>2213</v>
      </c>
      <c r="F900" s="13" t="s">
        <v>2220</v>
      </c>
      <c r="G900" s="13">
        <v>126.27</v>
      </c>
      <c r="H900" s="13">
        <v>0</v>
      </c>
      <c r="I900" s="13">
        <v>126.27</v>
      </c>
      <c r="J900" s="24">
        <v>45875</v>
      </c>
      <c r="K900" s="13">
        <v>1</v>
      </c>
      <c r="L900" s="13">
        <v>4.7</v>
      </c>
      <c r="M900" s="13" t="b">
        <v>0</v>
      </c>
      <c r="O900" s="13">
        <f t="shared" si="14"/>
        <v>4.7</v>
      </c>
    </row>
    <row r="901" spans="1:15" x14ac:dyDescent="0.25">
      <c r="A901" s="13" t="s">
        <v>913</v>
      </c>
      <c r="B901" s="13" t="s">
        <v>2190</v>
      </c>
      <c r="C901" s="13" t="s">
        <v>2197</v>
      </c>
      <c r="D901" s="13" t="s">
        <v>2205</v>
      </c>
      <c r="E901" s="13" t="s">
        <v>2209</v>
      </c>
      <c r="F901" s="13" t="s">
        <v>2217</v>
      </c>
      <c r="G901" s="13">
        <v>147.53</v>
      </c>
      <c r="H901" s="13">
        <v>0</v>
      </c>
      <c r="I901" s="13">
        <v>147.53</v>
      </c>
      <c r="J901" s="24">
        <v>45875</v>
      </c>
      <c r="K901" s="13">
        <v>33</v>
      </c>
      <c r="L901" s="13">
        <v>4.7</v>
      </c>
      <c r="M901" s="13" t="b">
        <v>1</v>
      </c>
      <c r="N901" s="13" t="s">
        <v>2228</v>
      </c>
      <c r="O901" s="13">
        <f t="shared" si="14"/>
        <v>4.7</v>
      </c>
    </row>
    <row r="902" spans="1:15" x14ac:dyDescent="0.25">
      <c r="A902" s="13" t="s">
        <v>914</v>
      </c>
      <c r="B902" s="13" t="s">
        <v>2192</v>
      </c>
      <c r="C902" s="13" t="s">
        <v>2198</v>
      </c>
      <c r="D902" s="13" t="s">
        <v>2207</v>
      </c>
      <c r="F902" s="13" t="s">
        <v>2214</v>
      </c>
      <c r="G902" s="13">
        <v>36.979999999999997</v>
      </c>
      <c r="H902" s="13">
        <v>12.2</v>
      </c>
      <c r="I902" s="13">
        <v>32.47</v>
      </c>
      <c r="J902" s="24">
        <v>45875</v>
      </c>
      <c r="K902" s="13">
        <v>14</v>
      </c>
      <c r="L902" s="13">
        <v>4.8</v>
      </c>
      <c r="M902" s="13" t="b">
        <v>0</v>
      </c>
      <c r="O902" s="13">
        <f t="shared" si="14"/>
        <v>4.8</v>
      </c>
    </row>
    <row r="903" spans="1:15" x14ac:dyDescent="0.25">
      <c r="A903" s="13" t="s">
        <v>915</v>
      </c>
      <c r="B903" s="13" t="s">
        <v>2193</v>
      </c>
      <c r="C903" s="13" t="s">
        <v>2200</v>
      </c>
      <c r="D903" s="13" t="s">
        <v>2206</v>
      </c>
      <c r="E903" s="13" t="s">
        <v>2213</v>
      </c>
      <c r="F903" s="13" t="s">
        <v>2215</v>
      </c>
      <c r="G903" s="13">
        <v>172.41</v>
      </c>
      <c r="H903" s="13">
        <v>0</v>
      </c>
      <c r="I903" s="13">
        <v>172.41</v>
      </c>
      <c r="J903" s="24">
        <v>45875</v>
      </c>
      <c r="K903" s="13">
        <v>33</v>
      </c>
      <c r="L903" s="13">
        <v>2.2999999999999998</v>
      </c>
      <c r="M903" s="13" t="b">
        <v>0</v>
      </c>
      <c r="O903" s="13">
        <f t="shared" si="14"/>
        <v>2.2999999999999998</v>
      </c>
    </row>
    <row r="904" spans="1:15" x14ac:dyDescent="0.25">
      <c r="A904" s="13" t="s">
        <v>916</v>
      </c>
      <c r="B904" s="13" t="s">
        <v>2192</v>
      </c>
      <c r="C904" s="13" t="s">
        <v>2200</v>
      </c>
      <c r="D904" s="13" t="s">
        <v>2204</v>
      </c>
      <c r="F904" s="13" t="s">
        <v>2215</v>
      </c>
      <c r="G904" s="13">
        <v>53.79</v>
      </c>
      <c r="H904" s="13">
        <v>16</v>
      </c>
      <c r="I904" s="13">
        <v>45.18</v>
      </c>
      <c r="J904" s="24">
        <v>45566</v>
      </c>
      <c r="K904" s="13">
        <v>32</v>
      </c>
      <c r="M904" s="13" t="b">
        <v>0</v>
      </c>
      <c r="O904" s="13">
        <f t="shared" si="14"/>
        <v>2.7333333333333334</v>
      </c>
    </row>
    <row r="905" spans="1:15" x14ac:dyDescent="0.25">
      <c r="A905" s="13" t="s">
        <v>917</v>
      </c>
      <c r="B905" s="13" t="s">
        <v>2193</v>
      </c>
      <c r="C905" s="13" t="s">
        <v>2199</v>
      </c>
      <c r="D905" s="13" t="s">
        <v>2207</v>
      </c>
      <c r="E905" s="13" t="s">
        <v>2212</v>
      </c>
      <c r="F905" s="13" t="s">
        <v>2221</v>
      </c>
      <c r="G905" s="13">
        <v>80.56</v>
      </c>
      <c r="H905" s="13">
        <v>0</v>
      </c>
      <c r="I905" s="13">
        <v>80.56</v>
      </c>
      <c r="J905" s="24">
        <v>45875</v>
      </c>
      <c r="K905" s="13">
        <v>7</v>
      </c>
      <c r="L905" s="13">
        <v>1.9</v>
      </c>
      <c r="M905" s="13" t="b">
        <v>0</v>
      </c>
      <c r="O905" s="13">
        <f t="shared" si="14"/>
        <v>1.9</v>
      </c>
    </row>
    <row r="906" spans="1:15" x14ac:dyDescent="0.25">
      <c r="A906" s="13" t="s">
        <v>918</v>
      </c>
      <c r="B906" s="13" t="s">
        <v>2192</v>
      </c>
      <c r="C906" s="13" t="s">
        <v>2199</v>
      </c>
      <c r="D906" s="13" t="s">
        <v>2206</v>
      </c>
      <c r="F906" s="13" t="s">
        <v>2215</v>
      </c>
      <c r="G906" s="13">
        <v>51.72</v>
      </c>
      <c r="H906" s="13">
        <v>0</v>
      </c>
      <c r="I906" s="13">
        <v>51.72</v>
      </c>
      <c r="J906" s="24">
        <v>45875</v>
      </c>
      <c r="K906" s="13">
        <v>35</v>
      </c>
      <c r="L906" s="13">
        <v>3.7</v>
      </c>
      <c r="M906" s="13" t="b">
        <v>1</v>
      </c>
      <c r="N906" s="13" t="s">
        <v>2227</v>
      </c>
      <c r="O906" s="13">
        <f t="shared" si="14"/>
        <v>3.7</v>
      </c>
    </row>
    <row r="907" spans="1:15" x14ac:dyDescent="0.25">
      <c r="A907" s="13" t="s">
        <v>919</v>
      </c>
      <c r="B907" s="13" t="s">
        <v>2194</v>
      </c>
      <c r="C907" s="13" t="s">
        <v>2199</v>
      </c>
      <c r="D907" s="13" t="s">
        <v>2204</v>
      </c>
      <c r="E907" s="13" t="s">
        <v>2208</v>
      </c>
      <c r="F907" s="13" t="s">
        <v>2215</v>
      </c>
      <c r="G907" s="13">
        <v>107.22</v>
      </c>
      <c r="H907" s="13">
        <v>37.799999999999997</v>
      </c>
      <c r="I907" s="13">
        <v>66.69</v>
      </c>
      <c r="J907" s="24">
        <v>45849</v>
      </c>
      <c r="K907" s="13">
        <v>21</v>
      </c>
      <c r="L907" s="13">
        <v>2.9</v>
      </c>
      <c r="M907" s="13" t="b">
        <v>0</v>
      </c>
      <c r="O907" s="13">
        <f t="shared" si="14"/>
        <v>2.9</v>
      </c>
    </row>
    <row r="908" spans="1:15" x14ac:dyDescent="0.25">
      <c r="A908" s="13" t="s">
        <v>920</v>
      </c>
      <c r="B908" s="13" t="s">
        <v>2193</v>
      </c>
      <c r="C908" s="13" t="s">
        <v>2200</v>
      </c>
      <c r="D908" s="13" t="s">
        <v>2206</v>
      </c>
      <c r="E908" s="13" t="s">
        <v>2211</v>
      </c>
      <c r="F908" s="13" t="s">
        <v>2220</v>
      </c>
      <c r="G908" s="13">
        <v>174.99</v>
      </c>
      <c r="H908" s="13">
        <v>50.1</v>
      </c>
      <c r="I908" s="13">
        <v>87.32</v>
      </c>
      <c r="J908" s="24">
        <v>45875</v>
      </c>
      <c r="K908" s="13">
        <v>7</v>
      </c>
      <c r="L908" s="13">
        <v>4.9000000000000004</v>
      </c>
      <c r="M908" s="13" t="b">
        <v>0</v>
      </c>
      <c r="O908" s="13">
        <f t="shared" si="14"/>
        <v>4.9000000000000004</v>
      </c>
    </row>
    <row r="909" spans="1:15" x14ac:dyDescent="0.25">
      <c r="A909" s="13" t="s">
        <v>921</v>
      </c>
      <c r="B909" s="13" t="s">
        <v>2195</v>
      </c>
      <c r="C909" s="13" t="s">
        <v>2203</v>
      </c>
      <c r="D909" s="13" t="s">
        <v>2204</v>
      </c>
      <c r="E909" s="13" t="s">
        <v>2210</v>
      </c>
      <c r="F909" s="13" t="s">
        <v>2219</v>
      </c>
      <c r="G909" s="13">
        <v>90.52</v>
      </c>
      <c r="H909" s="13">
        <v>53.2</v>
      </c>
      <c r="I909" s="13">
        <v>42.36</v>
      </c>
      <c r="J909" s="24">
        <v>45866</v>
      </c>
      <c r="K909" s="13">
        <v>37</v>
      </c>
      <c r="L909" s="13">
        <v>2.2000000000000002</v>
      </c>
      <c r="M909" s="13" t="b">
        <v>0</v>
      </c>
      <c r="O909" s="13">
        <f t="shared" si="14"/>
        <v>2.2000000000000002</v>
      </c>
    </row>
    <row r="910" spans="1:15" x14ac:dyDescent="0.25">
      <c r="A910" s="13" t="s">
        <v>922</v>
      </c>
      <c r="B910" s="13" t="s">
        <v>2193</v>
      </c>
      <c r="C910" s="13" t="s">
        <v>2203</v>
      </c>
      <c r="D910" s="13" t="s">
        <v>2207</v>
      </c>
      <c r="E910" s="13" t="s">
        <v>2211</v>
      </c>
      <c r="F910" s="13" t="s">
        <v>2220</v>
      </c>
      <c r="G910" s="13">
        <v>94.93</v>
      </c>
      <c r="H910" s="13">
        <v>16.600000000000001</v>
      </c>
      <c r="I910" s="13">
        <v>79.17</v>
      </c>
      <c r="J910" s="24">
        <v>45875</v>
      </c>
      <c r="K910" s="13">
        <v>39</v>
      </c>
      <c r="L910" s="13">
        <v>4.8</v>
      </c>
      <c r="M910" s="13" t="b">
        <v>0</v>
      </c>
      <c r="O910" s="13">
        <f t="shared" si="14"/>
        <v>4.8</v>
      </c>
    </row>
    <row r="911" spans="1:15" x14ac:dyDescent="0.25">
      <c r="A911" s="13" t="s">
        <v>923</v>
      </c>
      <c r="B911" s="13" t="s">
        <v>2193</v>
      </c>
      <c r="C911" s="13" t="s">
        <v>2198</v>
      </c>
      <c r="D911" s="13" t="s">
        <v>2205</v>
      </c>
      <c r="E911" s="13" t="s">
        <v>2212</v>
      </c>
      <c r="F911" s="13" t="s">
        <v>2218</v>
      </c>
      <c r="G911" s="13">
        <v>179.82</v>
      </c>
      <c r="H911" s="13">
        <v>0</v>
      </c>
      <c r="I911" s="13">
        <v>179.82</v>
      </c>
      <c r="J911" s="24">
        <v>45875</v>
      </c>
      <c r="K911" s="13">
        <v>28</v>
      </c>
      <c r="L911" s="13">
        <v>2.4</v>
      </c>
      <c r="M911" s="13" t="b">
        <v>1</v>
      </c>
      <c r="N911" s="13" t="s">
        <v>2227</v>
      </c>
      <c r="O911" s="13">
        <f t="shared" si="14"/>
        <v>2.4</v>
      </c>
    </row>
    <row r="912" spans="1:15" x14ac:dyDescent="0.25">
      <c r="A912" s="13" t="s">
        <v>924</v>
      </c>
      <c r="B912" s="13" t="s">
        <v>2191</v>
      </c>
      <c r="C912" s="13" t="s">
        <v>2197</v>
      </c>
      <c r="D912" s="13" t="s">
        <v>2204</v>
      </c>
      <c r="F912" s="13" t="s">
        <v>2224</v>
      </c>
      <c r="G912" s="13">
        <v>101.96</v>
      </c>
      <c r="H912" s="13">
        <v>23.7</v>
      </c>
      <c r="I912" s="13">
        <v>77.8</v>
      </c>
      <c r="J912" s="24">
        <v>45798</v>
      </c>
      <c r="K912" s="13">
        <v>29</v>
      </c>
      <c r="L912" s="13">
        <v>3.6</v>
      </c>
      <c r="M912" s="13" t="b">
        <v>0</v>
      </c>
      <c r="O912" s="13">
        <f t="shared" si="14"/>
        <v>3.6</v>
      </c>
    </row>
    <row r="913" spans="1:15" x14ac:dyDescent="0.25">
      <c r="A913" s="13" t="s">
        <v>925</v>
      </c>
      <c r="B913" s="13" t="s">
        <v>2194</v>
      </c>
      <c r="C913" s="13" t="s">
        <v>2198</v>
      </c>
      <c r="D913" s="13" t="s">
        <v>2204</v>
      </c>
      <c r="E913" s="13" t="s">
        <v>2210</v>
      </c>
      <c r="F913" s="13" t="s">
        <v>2220</v>
      </c>
      <c r="G913" s="13">
        <v>27.11</v>
      </c>
      <c r="H913" s="13">
        <v>16.2</v>
      </c>
      <c r="I913" s="13">
        <v>22.72</v>
      </c>
      <c r="J913" s="24">
        <v>45634</v>
      </c>
      <c r="K913" s="13">
        <v>10</v>
      </c>
      <c r="L913" s="13">
        <v>2.4</v>
      </c>
      <c r="M913" s="13" t="b">
        <v>1</v>
      </c>
      <c r="N913" s="13" t="s">
        <v>2229</v>
      </c>
      <c r="O913" s="13">
        <f t="shared" si="14"/>
        <v>2.4</v>
      </c>
    </row>
    <row r="914" spans="1:15" x14ac:dyDescent="0.25">
      <c r="A914" s="13" t="s">
        <v>926</v>
      </c>
      <c r="B914" s="13" t="s">
        <v>2190</v>
      </c>
      <c r="C914" s="13" t="s">
        <v>2202</v>
      </c>
      <c r="D914" s="13" t="s">
        <v>2207</v>
      </c>
      <c r="E914" s="13" t="s">
        <v>2210</v>
      </c>
      <c r="F914" s="13" t="s">
        <v>2216</v>
      </c>
      <c r="G914" s="13">
        <v>141.83000000000001</v>
      </c>
      <c r="H914" s="13">
        <v>0</v>
      </c>
      <c r="I914" s="13">
        <v>141.83000000000001</v>
      </c>
      <c r="J914" s="24">
        <v>45875</v>
      </c>
      <c r="K914" s="13">
        <v>2</v>
      </c>
      <c r="L914" s="13">
        <v>2.4</v>
      </c>
      <c r="M914" s="13" t="b">
        <v>1</v>
      </c>
      <c r="N914" s="13" t="s">
        <v>2225</v>
      </c>
      <c r="O914" s="13">
        <f t="shared" si="14"/>
        <v>2.4</v>
      </c>
    </row>
    <row r="915" spans="1:15" x14ac:dyDescent="0.25">
      <c r="A915" s="13" t="s">
        <v>927</v>
      </c>
      <c r="B915" s="13" t="s">
        <v>2193</v>
      </c>
      <c r="C915" s="13" t="s">
        <v>2202</v>
      </c>
      <c r="D915" s="13" t="s">
        <v>2204</v>
      </c>
      <c r="F915" s="13" t="s">
        <v>2221</v>
      </c>
      <c r="G915" s="13">
        <v>156.34</v>
      </c>
      <c r="H915" s="13">
        <v>37</v>
      </c>
      <c r="I915" s="13">
        <v>98.49</v>
      </c>
      <c r="J915" s="24">
        <v>45760</v>
      </c>
      <c r="K915" s="13">
        <v>45</v>
      </c>
      <c r="L915" s="13">
        <v>2.9</v>
      </c>
      <c r="M915" s="13" t="b">
        <v>1</v>
      </c>
      <c r="N915" s="13" t="s">
        <v>2226</v>
      </c>
      <c r="O915" s="13">
        <f t="shared" si="14"/>
        <v>2.9</v>
      </c>
    </row>
    <row r="916" spans="1:15" x14ac:dyDescent="0.25">
      <c r="A916" s="13" t="s">
        <v>928</v>
      </c>
      <c r="B916" s="13" t="s">
        <v>2191</v>
      </c>
      <c r="C916" s="13" t="s">
        <v>2203</v>
      </c>
      <c r="D916" s="13" t="s">
        <v>2207</v>
      </c>
      <c r="E916" s="13" t="s">
        <v>2212</v>
      </c>
      <c r="F916" s="13" t="s">
        <v>2224</v>
      </c>
      <c r="G916" s="13">
        <v>81.84</v>
      </c>
      <c r="H916" s="13">
        <v>0</v>
      </c>
      <c r="I916" s="13">
        <v>81.84</v>
      </c>
      <c r="J916" s="24">
        <v>45875</v>
      </c>
      <c r="K916" s="13">
        <v>41</v>
      </c>
      <c r="L916" s="13">
        <v>2.4</v>
      </c>
      <c r="M916" s="13" t="b">
        <v>0</v>
      </c>
      <c r="O916" s="13">
        <f t="shared" si="14"/>
        <v>2.4</v>
      </c>
    </row>
    <row r="917" spans="1:15" x14ac:dyDescent="0.25">
      <c r="A917" s="13" t="s">
        <v>929</v>
      </c>
      <c r="B917" s="13" t="s">
        <v>2194</v>
      </c>
      <c r="C917" s="13" t="s">
        <v>2200</v>
      </c>
      <c r="D917" s="13" t="s">
        <v>2206</v>
      </c>
      <c r="E917" s="13" t="s">
        <v>2209</v>
      </c>
      <c r="F917" s="13" t="s">
        <v>2216</v>
      </c>
      <c r="G917" s="13">
        <v>36.44</v>
      </c>
      <c r="H917" s="13">
        <v>19.899999999999999</v>
      </c>
      <c r="I917" s="13">
        <v>29.19</v>
      </c>
      <c r="J917" s="24">
        <v>45875</v>
      </c>
      <c r="K917" s="13">
        <v>39</v>
      </c>
      <c r="L917" s="13">
        <v>1.8</v>
      </c>
      <c r="M917" s="13" t="b">
        <v>0</v>
      </c>
      <c r="O917" s="13">
        <f t="shared" si="14"/>
        <v>1.8</v>
      </c>
    </row>
    <row r="918" spans="1:15" x14ac:dyDescent="0.25">
      <c r="A918" s="13" t="s">
        <v>930</v>
      </c>
      <c r="B918" s="13" t="s">
        <v>2190</v>
      </c>
      <c r="C918" s="13" t="s">
        <v>2201</v>
      </c>
      <c r="D918" s="13" t="s">
        <v>2206</v>
      </c>
      <c r="E918" s="13" t="s">
        <v>2210</v>
      </c>
      <c r="F918" s="13" t="s">
        <v>2215</v>
      </c>
      <c r="G918" s="13">
        <v>155.30000000000001</v>
      </c>
      <c r="H918" s="13">
        <v>0</v>
      </c>
      <c r="I918" s="13">
        <v>155.30000000000001</v>
      </c>
      <c r="J918" s="24">
        <v>45875</v>
      </c>
      <c r="K918" s="13">
        <v>9</v>
      </c>
      <c r="L918" s="13">
        <v>3</v>
      </c>
      <c r="M918" s="13" t="b">
        <v>0</v>
      </c>
      <c r="O918" s="13">
        <f t="shared" si="14"/>
        <v>3</v>
      </c>
    </row>
    <row r="919" spans="1:15" x14ac:dyDescent="0.25">
      <c r="A919" s="13" t="s">
        <v>931</v>
      </c>
      <c r="B919" s="13" t="s">
        <v>2194</v>
      </c>
      <c r="C919" s="13" t="s">
        <v>2197</v>
      </c>
      <c r="D919" s="13" t="s">
        <v>2206</v>
      </c>
      <c r="E919" s="13" t="s">
        <v>2208</v>
      </c>
      <c r="F919" s="13" t="s">
        <v>2214</v>
      </c>
      <c r="G919" s="13">
        <v>84.04</v>
      </c>
      <c r="H919" s="13">
        <v>28.5</v>
      </c>
      <c r="I919" s="13">
        <v>60.09</v>
      </c>
      <c r="J919" s="24">
        <v>45875</v>
      </c>
      <c r="K919" s="13">
        <v>3</v>
      </c>
      <c r="L919" s="13">
        <v>1</v>
      </c>
      <c r="M919" s="13" t="b">
        <v>0</v>
      </c>
      <c r="O919" s="13">
        <f t="shared" si="14"/>
        <v>1</v>
      </c>
    </row>
    <row r="920" spans="1:15" x14ac:dyDescent="0.25">
      <c r="A920" s="13" t="s">
        <v>932</v>
      </c>
      <c r="B920" s="13" t="s">
        <v>2193</v>
      </c>
      <c r="C920" s="13" t="s">
        <v>2202</v>
      </c>
      <c r="D920" s="13" t="s">
        <v>2206</v>
      </c>
      <c r="E920" s="13" t="s">
        <v>2212</v>
      </c>
      <c r="F920" s="13" t="s">
        <v>2224</v>
      </c>
      <c r="G920" s="13">
        <v>98.76</v>
      </c>
      <c r="H920" s="13">
        <v>56.4</v>
      </c>
      <c r="I920" s="13">
        <v>43.06</v>
      </c>
      <c r="J920" s="24">
        <v>45875</v>
      </c>
      <c r="K920" s="13">
        <v>22</v>
      </c>
      <c r="L920" s="13">
        <v>4.5</v>
      </c>
      <c r="M920" s="13" t="b">
        <v>0</v>
      </c>
      <c r="O920" s="13">
        <f t="shared" si="14"/>
        <v>4.5</v>
      </c>
    </row>
    <row r="921" spans="1:15" x14ac:dyDescent="0.25">
      <c r="A921" s="13" t="s">
        <v>933</v>
      </c>
      <c r="B921" s="13" t="s">
        <v>2192</v>
      </c>
      <c r="C921" s="13" t="s">
        <v>2201</v>
      </c>
      <c r="D921" s="13" t="s">
        <v>2207</v>
      </c>
      <c r="F921" s="13" t="s">
        <v>2217</v>
      </c>
      <c r="G921" s="13">
        <v>52.99</v>
      </c>
      <c r="H921" s="13">
        <v>59.1</v>
      </c>
      <c r="I921" s="13">
        <v>21.67</v>
      </c>
      <c r="J921" s="24">
        <v>45875</v>
      </c>
      <c r="K921" s="13">
        <v>50</v>
      </c>
      <c r="L921" s="13">
        <v>3.4</v>
      </c>
      <c r="M921" s="13" t="b">
        <v>1</v>
      </c>
      <c r="N921" s="13" t="s">
        <v>2226</v>
      </c>
      <c r="O921" s="13">
        <f t="shared" si="14"/>
        <v>3.4</v>
      </c>
    </row>
    <row r="922" spans="1:15" x14ac:dyDescent="0.25">
      <c r="A922" s="13" t="s">
        <v>934</v>
      </c>
      <c r="B922" s="13" t="s">
        <v>2194</v>
      </c>
      <c r="C922" s="13" t="s">
        <v>2197</v>
      </c>
      <c r="D922" s="13" t="s">
        <v>2204</v>
      </c>
      <c r="E922" s="13" t="s">
        <v>2209</v>
      </c>
      <c r="F922" s="13" t="s">
        <v>2214</v>
      </c>
      <c r="G922" s="13">
        <v>39.840000000000003</v>
      </c>
      <c r="H922" s="13">
        <v>0</v>
      </c>
      <c r="I922" s="13">
        <v>39.840000000000003</v>
      </c>
      <c r="J922" s="24">
        <v>45765</v>
      </c>
      <c r="K922" s="13">
        <v>24</v>
      </c>
      <c r="L922" s="13">
        <v>2.4</v>
      </c>
      <c r="M922" s="13" t="b">
        <v>0</v>
      </c>
      <c r="O922" s="13">
        <f t="shared" si="14"/>
        <v>2.4</v>
      </c>
    </row>
    <row r="923" spans="1:15" x14ac:dyDescent="0.25">
      <c r="A923" s="13" t="s">
        <v>935</v>
      </c>
      <c r="B923" s="13" t="s">
        <v>2192</v>
      </c>
      <c r="C923" s="13" t="s">
        <v>2201</v>
      </c>
      <c r="D923" s="13" t="s">
        <v>2204</v>
      </c>
      <c r="F923" s="13" t="s">
        <v>2220</v>
      </c>
      <c r="G923" s="13">
        <v>40.01</v>
      </c>
      <c r="H923" s="13">
        <v>0</v>
      </c>
      <c r="I923" s="13">
        <v>40.01</v>
      </c>
      <c r="J923" s="24">
        <v>45813</v>
      </c>
      <c r="K923" s="13">
        <v>22</v>
      </c>
      <c r="L923" s="13">
        <v>4.5</v>
      </c>
      <c r="M923" s="13" t="b">
        <v>0</v>
      </c>
      <c r="O923" s="13">
        <f t="shared" si="14"/>
        <v>4.5</v>
      </c>
    </row>
    <row r="924" spans="1:15" x14ac:dyDescent="0.25">
      <c r="A924" s="13" t="s">
        <v>936</v>
      </c>
      <c r="B924" s="13" t="s">
        <v>2190</v>
      </c>
      <c r="C924" s="13" t="s">
        <v>2201</v>
      </c>
      <c r="D924" s="13" t="s">
        <v>2207</v>
      </c>
      <c r="E924" s="13" t="s">
        <v>2209</v>
      </c>
      <c r="F924" s="13" t="s">
        <v>2222</v>
      </c>
      <c r="G924" s="13">
        <v>245.75</v>
      </c>
      <c r="H924" s="13">
        <v>0</v>
      </c>
      <c r="I924" s="13">
        <v>245.75</v>
      </c>
      <c r="J924" s="24">
        <v>45875</v>
      </c>
      <c r="K924" s="13">
        <v>12</v>
      </c>
      <c r="M924" s="13" t="b">
        <v>1</v>
      </c>
      <c r="N924" s="13" t="s">
        <v>2229</v>
      </c>
      <c r="O924" s="13">
        <f t="shared" si="14"/>
        <v>3.0305555555555546</v>
      </c>
    </row>
    <row r="925" spans="1:15" x14ac:dyDescent="0.25">
      <c r="A925" s="13" t="s">
        <v>937</v>
      </c>
      <c r="B925" s="13" t="s">
        <v>2194</v>
      </c>
      <c r="C925" s="13" t="s">
        <v>2196</v>
      </c>
      <c r="D925" s="13" t="s">
        <v>2205</v>
      </c>
      <c r="E925" s="13" t="s">
        <v>2208</v>
      </c>
      <c r="F925" s="13" t="s">
        <v>2218</v>
      </c>
      <c r="G925" s="13">
        <v>102.25</v>
      </c>
      <c r="H925" s="13">
        <v>0</v>
      </c>
      <c r="I925" s="13">
        <v>102.25</v>
      </c>
      <c r="J925" s="24">
        <v>45875</v>
      </c>
      <c r="K925" s="13">
        <v>6</v>
      </c>
      <c r="L925" s="13">
        <v>3.8</v>
      </c>
      <c r="M925" s="13" t="b">
        <v>0</v>
      </c>
      <c r="O925" s="13">
        <f t="shared" si="14"/>
        <v>3.8</v>
      </c>
    </row>
    <row r="926" spans="1:15" x14ac:dyDescent="0.25">
      <c r="A926" s="13" t="s">
        <v>938</v>
      </c>
      <c r="B926" s="13" t="s">
        <v>2191</v>
      </c>
      <c r="C926" s="13" t="s">
        <v>2201</v>
      </c>
      <c r="D926" s="13" t="s">
        <v>2207</v>
      </c>
      <c r="E926" s="13" t="s">
        <v>2213</v>
      </c>
      <c r="F926" s="13" t="s">
        <v>2218</v>
      </c>
      <c r="G926" s="13">
        <v>76.33</v>
      </c>
      <c r="H926" s="13">
        <v>0</v>
      </c>
      <c r="I926" s="13">
        <v>76.33</v>
      </c>
      <c r="J926" s="24">
        <v>45875</v>
      </c>
      <c r="K926" s="13">
        <v>15</v>
      </c>
      <c r="L926" s="13">
        <v>2</v>
      </c>
      <c r="M926" s="13" t="b">
        <v>1</v>
      </c>
      <c r="N926" s="13" t="s">
        <v>2230</v>
      </c>
      <c r="O926" s="13">
        <f t="shared" si="14"/>
        <v>2</v>
      </c>
    </row>
    <row r="927" spans="1:15" x14ac:dyDescent="0.25">
      <c r="A927" s="13" t="s">
        <v>939</v>
      </c>
      <c r="B927" s="13" t="s">
        <v>2192</v>
      </c>
      <c r="C927" s="13" t="s">
        <v>2196</v>
      </c>
      <c r="D927" s="13" t="s">
        <v>2204</v>
      </c>
      <c r="F927" s="13" t="s">
        <v>2218</v>
      </c>
      <c r="G927" s="13">
        <v>51.79</v>
      </c>
      <c r="H927" s="13">
        <v>39</v>
      </c>
      <c r="I927" s="13">
        <v>31.59</v>
      </c>
      <c r="J927" s="24">
        <v>45733</v>
      </c>
      <c r="K927" s="13">
        <v>37</v>
      </c>
      <c r="L927" s="13">
        <v>2.5</v>
      </c>
      <c r="M927" s="13" t="b">
        <v>0</v>
      </c>
      <c r="O927" s="13">
        <f t="shared" si="14"/>
        <v>2.5</v>
      </c>
    </row>
    <row r="928" spans="1:15" x14ac:dyDescent="0.25">
      <c r="A928" s="13" t="s">
        <v>940</v>
      </c>
      <c r="B928" s="13" t="s">
        <v>2190</v>
      </c>
      <c r="C928" s="13" t="s">
        <v>2196</v>
      </c>
      <c r="D928" s="13" t="s">
        <v>2204</v>
      </c>
      <c r="E928" s="13" t="s">
        <v>2211</v>
      </c>
      <c r="F928" s="13" t="s">
        <v>2215</v>
      </c>
      <c r="G928" s="13">
        <v>141.24</v>
      </c>
      <c r="H928" s="13">
        <v>12.9</v>
      </c>
      <c r="I928" s="13">
        <v>123.02</v>
      </c>
      <c r="J928" s="24">
        <v>45567</v>
      </c>
      <c r="K928" s="13">
        <v>23</v>
      </c>
      <c r="L928" s="13">
        <v>1.7</v>
      </c>
      <c r="M928" s="13" t="b">
        <v>0</v>
      </c>
      <c r="O928" s="13">
        <f t="shared" si="14"/>
        <v>1.7</v>
      </c>
    </row>
    <row r="929" spans="1:15" x14ac:dyDescent="0.25">
      <c r="A929" s="13" t="s">
        <v>941</v>
      </c>
      <c r="B929" s="13" t="s">
        <v>2192</v>
      </c>
      <c r="C929" s="13" t="s">
        <v>2197</v>
      </c>
      <c r="D929" s="13" t="s">
        <v>2204</v>
      </c>
      <c r="F929" s="13" t="s">
        <v>2216</v>
      </c>
      <c r="G929" s="13">
        <v>66.180000000000007</v>
      </c>
      <c r="H929" s="13">
        <v>0</v>
      </c>
      <c r="I929" s="13">
        <v>66.180000000000007</v>
      </c>
      <c r="J929" s="24">
        <v>45800</v>
      </c>
      <c r="K929" s="13">
        <v>20</v>
      </c>
      <c r="L929" s="13">
        <v>1.7</v>
      </c>
      <c r="M929" s="13" t="b">
        <v>0</v>
      </c>
      <c r="O929" s="13">
        <f t="shared" si="14"/>
        <v>1.7</v>
      </c>
    </row>
    <row r="930" spans="1:15" x14ac:dyDescent="0.25">
      <c r="A930" s="13" t="s">
        <v>942</v>
      </c>
      <c r="B930" s="13" t="s">
        <v>2191</v>
      </c>
      <c r="C930" s="13" t="s">
        <v>2198</v>
      </c>
      <c r="D930" s="13" t="s">
        <v>2207</v>
      </c>
      <c r="E930" s="13" t="s">
        <v>2213</v>
      </c>
      <c r="F930" s="13" t="s">
        <v>2222</v>
      </c>
      <c r="G930" s="13">
        <v>35.15</v>
      </c>
      <c r="H930" s="13">
        <v>0</v>
      </c>
      <c r="I930" s="13">
        <v>35.15</v>
      </c>
      <c r="J930" s="24">
        <v>45875</v>
      </c>
      <c r="K930" s="13">
        <v>38</v>
      </c>
      <c r="L930" s="13">
        <v>2.2000000000000002</v>
      </c>
      <c r="M930" s="13" t="b">
        <v>0</v>
      </c>
      <c r="O930" s="13">
        <f t="shared" si="14"/>
        <v>2.2000000000000002</v>
      </c>
    </row>
    <row r="931" spans="1:15" x14ac:dyDescent="0.25">
      <c r="A931" s="13" t="s">
        <v>943</v>
      </c>
      <c r="B931" s="13" t="s">
        <v>2192</v>
      </c>
      <c r="C931" s="13" t="s">
        <v>2200</v>
      </c>
      <c r="D931" s="13" t="s">
        <v>2204</v>
      </c>
      <c r="F931" s="13" t="s">
        <v>2215</v>
      </c>
      <c r="G931" s="13">
        <v>35.619999999999997</v>
      </c>
      <c r="H931" s="13">
        <v>41.2</v>
      </c>
      <c r="I931" s="13">
        <v>20.94</v>
      </c>
      <c r="J931" s="24">
        <v>45736</v>
      </c>
      <c r="K931" s="13">
        <v>4</v>
      </c>
      <c r="L931" s="13">
        <v>3.7</v>
      </c>
      <c r="M931" s="13" t="b">
        <v>0</v>
      </c>
      <c r="O931" s="13">
        <f t="shared" si="14"/>
        <v>3.7</v>
      </c>
    </row>
    <row r="932" spans="1:15" x14ac:dyDescent="0.25">
      <c r="A932" s="13" t="s">
        <v>944</v>
      </c>
      <c r="B932" s="13" t="s">
        <v>2192</v>
      </c>
      <c r="C932" s="13" t="s">
        <v>2203</v>
      </c>
      <c r="D932" s="13" t="s">
        <v>2207</v>
      </c>
      <c r="F932" s="13" t="s">
        <v>2220</v>
      </c>
      <c r="G932" s="13">
        <v>35.64</v>
      </c>
      <c r="H932" s="13">
        <v>0</v>
      </c>
      <c r="I932" s="13">
        <v>35.64</v>
      </c>
      <c r="J932" s="24">
        <v>45875</v>
      </c>
      <c r="K932" s="13">
        <v>48</v>
      </c>
      <c r="L932" s="13">
        <v>5</v>
      </c>
      <c r="M932" s="13" t="b">
        <v>1</v>
      </c>
      <c r="N932" s="13" t="s">
        <v>2225</v>
      </c>
      <c r="O932" s="13">
        <f t="shared" si="14"/>
        <v>5</v>
      </c>
    </row>
    <row r="933" spans="1:15" x14ac:dyDescent="0.25">
      <c r="A933" s="13" t="s">
        <v>945</v>
      </c>
      <c r="B933" s="13" t="s">
        <v>2194</v>
      </c>
      <c r="C933" s="13" t="s">
        <v>2201</v>
      </c>
      <c r="D933" s="13" t="s">
        <v>2207</v>
      </c>
      <c r="E933" s="13" t="s">
        <v>2209</v>
      </c>
      <c r="F933" s="13" t="s">
        <v>2214</v>
      </c>
      <c r="G933" s="13">
        <v>86.68</v>
      </c>
      <c r="H933" s="13">
        <v>0</v>
      </c>
      <c r="I933" s="13">
        <v>86.68</v>
      </c>
      <c r="J933" s="24">
        <v>45875</v>
      </c>
      <c r="K933" s="13">
        <v>2</v>
      </c>
      <c r="M933" s="13" t="b">
        <v>0</v>
      </c>
      <c r="O933" s="13">
        <f t="shared" si="14"/>
        <v>3.0575757575757576</v>
      </c>
    </row>
    <row r="934" spans="1:15" x14ac:dyDescent="0.25">
      <c r="A934" s="13" t="s">
        <v>946</v>
      </c>
      <c r="B934" s="13" t="s">
        <v>2192</v>
      </c>
      <c r="C934" s="13" t="s">
        <v>2200</v>
      </c>
      <c r="D934" s="13" t="s">
        <v>2206</v>
      </c>
      <c r="F934" s="13" t="s">
        <v>2215</v>
      </c>
      <c r="G934" s="13">
        <v>17.72</v>
      </c>
      <c r="H934" s="13">
        <v>0</v>
      </c>
      <c r="I934" s="13">
        <v>17.72</v>
      </c>
      <c r="J934" s="24">
        <v>45875</v>
      </c>
      <c r="K934" s="13">
        <v>9</v>
      </c>
      <c r="L934" s="13">
        <v>1.2</v>
      </c>
      <c r="M934" s="13" t="b">
        <v>0</v>
      </c>
      <c r="O934" s="13">
        <f t="shared" si="14"/>
        <v>1.2</v>
      </c>
    </row>
    <row r="935" spans="1:15" x14ac:dyDescent="0.25">
      <c r="A935" s="13" t="s">
        <v>947</v>
      </c>
      <c r="B935" s="13" t="s">
        <v>2190</v>
      </c>
      <c r="C935" s="13" t="s">
        <v>2197</v>
      </c>
      <c r="D935" s="13" t="s">
        <v>2206</v>
      </c>
      <c r="E935" s="13" t="s">
        <v>2211</v>
      </c>
      <c r="F935" s="13" t="s">
        <v>2215</v>
      </c>
      <c r="G935" s="13">
        <v>87.95</v>
      </c>
      <c r="H935" s="13">
        <v>13.3</v>
      </c>
      <c r="I935" s="13">
        <v>76.25</v>
      </c>
      <c r="J935" s="24">
        <v>45875</v>
      </c>
      <c r="K935" s="13">
        <v>4</v>
      </c>
      <c r="L935" s="13">
        <v>4.5</v>
      </c>
      <c r="M935" s="13" t="b">
        <v>0</v>
      </c>
      <c r="O935" s="13">
        <f t="shared" si="14"/>
        <v>4.5</v>
      </c>
    </row>
    <row r="936" spans="1:15" x14ac:dyDescent="0.25">
      <c r="A936" s="13" t="s">
        <v>948</v>
      </c>
      <c r="B936" s="13" t="s">
        <v>2190</v>
      </c>
      <c r="C936" s="13" t="s">
        <v>2199</v>
      </c>
      <c r="D936" s="13" t="s">
        <v>2204</v>
      </c>
      <c r="E936" s="13" t="s">
        <v>2212</v>
      </c>
      <c r="F936" s="13" t="s">
        <v>2218</v>
      </c>
      <c r="G936" s="13">
        <v>216.26</v>
      </c>
      <c r="H936" s="13">
        <v>0</v>
      </c>
      <c r="I936" s="13">
        <v>216.26</v>
      </c>
      <c r="J936" s="24">
        <v>45763</v>
      </c>
      <c r="K936" s="13">
        <v>26</v>
      </c>
      <c r="L936" s="13">
        <v>1.1000000000000001</v>
      </c>
      <c r="M936" s="13" t="b">
        <v>0</v>
      </c>
      <c r="O936" s="13">
        <f t="shared" si="14"/>
        <v>1.1000000000000001</v>
      </c>
    </row>
    <row r="937" spans="1:15" x14ac:dyDescent="0.25">
      <c r="A937" s="13" t="s">
        <v>949</v>
      </c>
      <c r="B937" s="13" t="s">
        <v>2190</v>
      </c>
      <c r="C937" s="13" t="s">
        <v>2199</v>
      </c>
      <c r="D937" s="13" t="s">
        <v>2207</v>
      </c>
      <c r="E937" s="13" t="s">
        <v>2210</v>
      </c>
      <c r="F937" s="13" t="s">
        <v>2216</v>
      </c>
      <c r="G937" s="13">
        <v>238.11</v>
      </c>
      <c r="H937" s="13">
        <v>0</v>
      </c>
      <c r="I937" s="13">
        <v>238.11</v>
      </c>
      <c r="J937" s="24">
        <v>45875</v>
      </c>
      <c r="K937" s="13">
        <v>49</v>
      </c>
      <c r="M937" s="13" t="b">
        <v>0</v>
      </c>
      <c r="O937" s="13">
        <f t="shared" si="14"/>
        <v>2.4137931034482762</v>
      </c>
    </row>
    <row r="938" spans="1:15" x14ac:dyDescent="0.25">
      <c r="A938" s="13" t="s">
        <v>950</v>
      </c>
      <c r="B938" s="13" t="s">
        <v>2193</v>
      </c>
      <c r="C938" s="13" t="s">
        <v>2197</v>
      </c>
      <c r="D938" s="13" t="s">
        <v>2205</v>
      </c>
      <c r="E938" s="13" t="s">
        <v>2211</v>
      </c>
      <c r="F938" s="13" t="s">
        <v>2215</v>
      </c>
      <c r="G938" s="13">
        <v>112.77</v>
      </c>
      <c r="H938" s="13">
        <v>0</v>
      </c>
      <c r="I938" s="13">
        <v>112.77</v>
      </c>
      <c r="J938" s="24">
        <v>45875</v>
      </c>
      <c r="K938" s="13">
        <v>11</v>
      </c>
      <c r="L938" s="13">
        <v>4.0999999999999996</v>
      </c>
      <c r="M938" s="13" t="b">
        <v>0</v>
      </c>
      <c r="O938" s="13">
        <f t="shared" si="14"/>
        <v>4.0999999999999996</v>
      </c>
    </row>
    <row r="939" spans="1:15" x14ac:dyDescent="0.25">
      <c r="A939" s="13" t="s">
        <v>951</v>
      </c>
      <c r="B939" s="13" t="s">
        <v>2192</v>
      </c>
      <c r="C939" s="13" t="s">
        <v>2202</v>
      </c>
      <c r="D939" s="13" t="s">
        <v>2205</v>
      </c>
      <c r="F939" s="13" t="s">
        <v>2222</v>
      </c>
      <c r="G939" s="13">
        <v>39.020000000000003</v>
      </c>
      <c r="H939" s="13">
        <v>44.8</v>
      </c>
      <c r="I939" s="13">
        <v>21.54</v>
      </c>
      <c r="J939" s="24">
        <v>45875</v>
      </c>
      <c r="K939" s="13">
        <v>29</v>
      </c>
      <c r="L939" s="13">
        <v>3.4</v>
      </c>
      <c r="M939" s="13" t="b">
        <v>0</v>
      </c>
      <c r="O939" s="13">
        <f t="shared" si="14"/>
        <v>3.4</v>
      </c>
    </row>
    <row r="940" spans="1:15" x14ac:dyDescent="0.25">
      <c r="A940" s="13" t="s">
        <v>952</v>
      </c>
      <c r="B940" s="13" t="s">
        <v>2191</v>
      </c>
      <c r="C940" s="13" t="s">
        <v>2201</v>
      </c>
      <c r="D940" s="13" t="s">
        <v>2204</v>
      </c>
      <c r="E940" s="13" t="s">
        <v>2211</v>
      </c>
      <c r="F940" s="13" t="s">
        <v>2223</v>
      </c>
      <c r="G940" s="13">
        <v>69.77</v>
      </c>
      <c r="H940" s="13">
        <v>0</v>
      </c>
      <c r="I940" s="13">
        <v>69.77</v>
      </c>
      <c r="J940" s="24">
        <v>45605</v>
      </c>
      <c r="K940" s="13">
        <v>29</v>
      </c>
      <c r="L940" s="13">
        <v>5</v>
      </c>
      <c r="M940" s="13" t="b">
        <v>0</v>
      </c>
      <c r="O940" s="13">
        <f t="shared" si="14"/>
        <v>5</v>
      </c>
    </row>
    <row r="941" spans="1:15" x14ac:dyDescent="0.25">
      <c r="A941" s="13" t="s">
        <v>953</v>
      </c>
      <c r="B941" s="13" t="s">
        <v>2195</v>
      </c>
      <c r="C941" s="13" t="s">
        <v>2200</v>
      </c>
      <c r="D941" s="13" t="s">
        <v>2204</v>
      </c>
      <c r="E941" s="13" t="s">
        <v>2213</v>
      </c>
      <c r="F941" s="13" t="s">
        <v>2223</v>
      </c>
      <c r="G941" s="13">
        <v>124.92</v>
      </c>
      <c r="H941" s="13">
        <v>48.4</v>
      </c>
      <c r="I941" s="13">
        <v>64.459999999999994</v>
      </c>
      <c r="J941" s="24">
        <v>45780</v>
      </c>
      <c r="K941" s="13">
        <v>22</v>
      </c>
      <c r="L941" s="13">
        <v>3.2</v>
      </c>
      <c r="M941" s="13" t="b">
        <v>0</v>
      </c>
      <c r="O941" s="13">
        <f t="shared" si="14"/>
        <v>3.2</v>
      </c>
    </row>
    <row r="942" spans="1:15" x14ac:dyDescent="0.25">
      <c r="A942" s="13" t="s">
        <v>954</v>
      </c>
      <c r="B942" s="13" t="s">
        <v>2195</v>
      </c>
      <c r="C942" s="13" t="s">
        <v>2198</v>
      </c>
      <c r="D942" s="13" t="s">
        <v>2207</v>
      </c>
      <c r="F942" s="13" t="s">
        <v>2223</v>
      </c>
      <c r="G942" s="13">
        <v>83.92</v>
      </c>
      <c r="H942" s="13">
        <v>29.4</v>
      </c>
      <c r="I942" s="13">
        <v>59.25</v>
      </c>
      <c r="J942" s="24">
        <v>45875</v>
      </c>
      <c r="K942" s="13">
        <v>20</v>
      </c>
      <c r="L942" s="13">
        <v>2.1</v>
      </c>
      <c r="M942" s="13" t="b">
        <v>1</v>
      </c>
      <c r="N942" s="13" t="s">
        <v>2228</v>
      </c>
      <c r="O942" s="13">
        <f t="shared" si="14"/>
        <v>2.1</v>
      </c>
    </row>
    <row r="943" spans="1:15" x14ac:dyDescent="0.25">
      <c r="A943" s="13" t="s">
        <v>955</v>
      </c>
      <c r="B943" s="13" t="s">
        <v>2190</v>
      </c>
      <c r="C943" s="13" t="s">
        <v>2203</v>
      </c>
      <c r="D943" s="13" t="s">
        <v>2206</v>
      </c>
      <c r="E943" s="13" t="s">
        <v>2212</v>
      </c>
      <c r="F943" s="13" t="s">
        <v>2221</v>
      </c>
      <c r="G943" s="13">
        <v>180.91</v>
      </c>
      <c r="H943" s="13">
        <v>0</v>
      </c>
      <c r="I943" s="13">
        <v>180.91</v>
      </c>
      <c r="J943" s="24">
        <v>45875</v>
      </c>
      <c r="K943" s="13">
        <v>10</v>
      </c>
      <c r="L943" s="13">
        <v>3.8</v>
      </c>
      <c r="M943" s="13" t="b">
        <v>0</v>
      </c>
      <c r="O943" s="13">
        <f t="shared" si="14"/>
        <v>3.8</v>
      </c>
    </row>
    <row r="944" spans="1:15" x14ac:dyDescent="0.25">
      <c r="A944" s="13" t="s">
        <v>956</v>
      </c>
      <c r="B944" s="13" t="s">
        <v>2193</v>
      </c>
      <c r="C944" s="13" t="s">
        <v>2203</v>
      </c>
      <c r="D944" s="13" t="s">
        <v>2204</v>
      </c>
      <c r="E944" s="13" t="s">
        <v>2211</v>
      </c>
      <c r="F944" s="13" t="s">
        <v>2224</v>
      </c>
      <c r="G944" s="13">
        <v>120.11</v>
      </c>
      <c r="H944" s="13">
        <v>0</v>
      </c>
      <c r="I944" s="13">
        <v>120.11</v>
      </c>
      <c r="J944" s="24">
        <v>45650</v>
      </c>
      <c r="K944" s="13">
        <v>27</v>
      </c>
      <c r="L944" s="13">
        <v>4.0999999999999996</v>
      </c>
      <c r="M944" s="13" t="b">
        <v>0</v>
      </c>
      <c r="O944" s="13">
        <f t="shared" si="14"/>
        <v>4.0999999999999996</v>
      </c>
    </row>
    <row r="945" spans="1:15" x14ac:dyDescent="0.25">
      <c r="A945" s="13" t="s">
        <v>957</v>
      </c>
      <c r="B945" s="13" t="s">
        <v>2190</v>
      </c>
      <c r="C945" s="13" t="s">
        <v>2203</v>
      </c>
      <c r="D945" s="13" t="s">
        <v>2207</v>
      </c>
      <c r="E945" s="13" t="s">
        <v>2208</v>
      </c>
      <c r="F945" s="13" t="s">
        <v>2214</v>
      </c>
      <c r="G945" s="13">
        <v>225.01</v>
      </c>
      <c r="H945" s="13">
        <v>0</v>
      </c>
      <c r="I945" s="13">
        <v>225.01</v>
      </c>
      <c r="J945" s="24">
        <v>45875</v>
      </c>
      <c r="K945" s="13">
        <v>50</v>
      </c>
      <c r="L945" s="13">
        <v>1.9</v>
      </c>
      <c r="M945" s="13" t="b">
        <v>1</v>
      </c>
      <c r="N945" s="13" t="s">
        <v>2226</v>
      </c>
      <c r="O945" s="13">
        <f t="shared" si="14"/>
        <v>1.9</v>
      </c>
    </row>
    <row r="946" spans="1:15" x14ac:dyDescent="0.25">
      <c r="A946" s="13" t="s">
        <v>958</v>
      </c>
      <c r="B946" s="13" t="s">
        <v>2195</v>
      </c>
      <c r="C946" s="13" t="s">
        <v>2199</v>
      </c>
      <c r="D946" s="13" t="s">
        <v>2207</v>
      </c>
      <c r="E946" s="13" t="s">
        <v>2209</v>
      </c>
      <c r="F946" s="13" t="s">
        <v>2220</v>
      </c>
      <c r="G946" s="13">
        <v>115.57</v>
      </c>
      <c r="H946" s="13">
        <v>0</v>
      </c>
      <c r="I946" s="13">
        <v>115.57</v>
      </c>
      <c r="J946" s="24">
        <v>45875</v>
      </c>
      <c r="K946" s="13">
        <v>32</v>
      </c>
      <c r="L946" s="13">
        <v>3</v>
      </c>
      <c r="M946" s="13" t="b">
        <v>0</v>
      </c>
      <c r="O946" s="13">
        <f t="shared" si="14"/>
        <v>3</v>
      </c>
    </row>
    <row r="947" spans="1:15" x14ac:dyDescent="0.25">
      <c r="A947" s="13" t="s">
        <v>959</v>
      </c>
      <c r="B947" s="13" t="s">
        <v>2192</v>
      </c>
      <c r="C947" s="13" t="s">
        <v>2202</v>
      </c>
      <c r="D947" s="13" t="s">
        <v>2206</v>
      </c>
      <c r="F947" s="13" t="s">
        <v>2219</v>
      </c>
      <c r="G947" s="13">
        <v>21.2</v>
      </c>
      <c r="H947" s="13">
        <v>19</v>
      </c>
      <c r="I947" s="13">
        <v>17.170000000000002</v>
      </c>
      <c r="J947" s="24">
        <v>45875</v>
      </c>
      <c r="K947" s="13">
        <v>22</v>
      </c>
      <c r="L947" s="13">
        <v>1.3</v>
      </c>
      <c r="M947" s="13" t="b">
        <v>0</v>
      </c>
      <c r="O947" s="13">
        <f t="shared" si="14"/>
        <v>1.3</v>
      </c>
    </row>
    <row r="948" spans="1:15" x14ac:dyDescent="0.25">
      <c r="A948" s="13" t="s">
        <v>960</v>
      </c>
      <c r="B948" s="13" t="s">
        <v>2194</v>
      </c>
      <c r="C948" s="13" t="s">
        <v>2196</v>
      </c>
      <c r="D948" s="13" t="s">
        <v>2204</v>
      </c>
      <c r="E948" s="13" t="s">
        <v>2211</v>
      </c>
      <c r="F948" s="13" t="s">
        <v>2216</v>
      </c>
      <c r="G948" s="13">
        <v>52.36</v>
      </c>
      <c r="H948" s="13">
        <v>0</v>
      </c>
      <c r="I948" s="13">
        <v>52.36</v>
      </c>
      <c r="J948" s="24">
        <v>45769</v>
      </c>
      <c r="K948" s="13">
        <v>35</v>
      </c>
      <c r="M948" s="13" t="b">
        <v>0</v>
      </c>
      <c r="O948" s="13">
        <f t="shared" si="14"/>
        <v>2.9210526315789478</v>
      </c>
    </row>
    <row r="949" spans="1:15" x14ac:dyDescent="0.25">
      <c r="A949" s="13" t="s">
        <v>961</v>
      </c>
      <c r="B949" s="13" t="s">
        <v>2192</v>
      </c>
      <c r="C949" s="13" t="s">
        <v>2201</v>
      </c>
      <c r="D949" s="13" t="s">
        <v>2206</v>
      </c>
      <c r="F949" s="13" t="s">
        <v>2218</v>
      </c>
      <c r="G949" s="13">
        <v>73.430000000000007</v>
      </c>
      <c r="H949" s="13">
        <v>0</v>
      </c>
      <c r="I949" s="13">
        <v>73.430000000000007</v>
      </c>
      <c r="J949" s="24">
        <v>45875</v>
      </c>
      <c r="K949" s="13">
        <v>22</v>
      </c>
      <c r="L949" s="13">
        <v>2.2999999999999998</v>
      </c>
      <c r="M949" s="13" t="b">
        <v>0</v>
      </c>
      <c r="O949" s="13">
        <f t="shared" si="14"/>
        <v>2.2999999999999998</v>
      </c>
    </row>
    <row r="950" spans="1:15" x14ac:dyDescent="0.25">
      <c r="A950" s="13" t="s">
        <v>962</v>
      </c>
      <c r="B950" s="13" t="s">
        <v>2192</v>
      </c>
      <c r="C950" s="13" t="s">
        <v>2201</v>
      </c>
      <c r="D950" s="13" t="s">
        <v>2204</v>
      </c>
      <c r="F950" s="13" t="s">
        <v>2223</v>
      </c>
      <c r="G950" s="13">
        <v>70.75</v>
      </c>
      <c r="H950" s="13">
        <v>0</v>
      </c>
      <c r="I950" s="13">
        <v>70.75</v>
      </c>
      <c r="J950" s="24">
        <v>45789</v>
      </c>
      <c r="K950" s="13">
        <v>0</v>
      </c>
      <c r="L950" s="13">
        <v>1.4</v>
      </c>
      <c r="M950" s="13" t="b">
        <v>0</v>
      </c>
      <c r="O950" s="13">
        <f t="shared" si="14"/>
        <v>1.4</v>
      </c>
    </row>
    <row r="951" spans="1:15" x14ac:dyDescent="0.25">
      <c r="A951" s="13" t="s">
        <v>963</v>
      </c>
      <c r="B951" s="13" t="s">
        <v>2192</v>
      </c>
      <c r="C951" s="13" t="s">
        <v>2202</v>
      </c>
      <c r="D951" s="13" t="s">
        <v>2206</v>
      </c>
      <c r="F951" s="13" t="s">
        <v>2217</v>
      </c>
      <c r="G951" s="13">
        <v>58.9</v>
      </c>
      <c r="H951" s="13">
        <v>0</v>
      </c>
      <c r="I951" s="13">
        <v>58.9</v>
      </c>
      <c r="J951" s="24">
        <v>45875</v>
      </c>
      <c r="K951" s="13">
        <v>39</v>
      </c>
      <c r="L951" s="13">
        <v>4</v>
      </c>
      <c r="M951" s="13" t="b">
        <v>0</v>
      </c>
      <c r="O951" s="13">
        <f t="shared" si="14"/>
        <v>4</v>
      </c>
    </row>
    <row r="952" spans="1:15" x14ac:dyDescent="0.25">
      <c r="A952" s="13" t="s">
        <v>964</v>
      </c>
      <c r="B952" s="13" t="s">
        <v>2190</v>
      </c>
      <c r="C952" s="13" t="s">
        <v>2203</v>
      </c>
      <c r="D952" s="13" t="s">
        <v>2205</v>
      </c>
      <c r="E952" s="13" t="s">
        <v>2209</v>
      </c>
      <c r="F952" s="13" t="s">
        <v>2223</v>
      </c>
      <c r="G952" s="13">
        <v>104.78</v>
      </c>
      <c r="H952" s="13">
        <v>16.899999999999999</v>
      </c>
      <c r="I952" s="13">
        <v>87.07</v>
      </c>
      <c r="J952" s="24">
        <v>45875</v>
      </c>
      <c r="K952" s="13">
        <v>43</v>
      </c>
      <c r="L952" s="13">
        <v>4.3</v>
      </c>
      <c r="M952" s="13" t="b">
        <v>0</v>
      </c>
      <c r="O952" s="13">
        <f t="shared" si="14"/>
        <v>4.3</v>
      </c>
    </row>
    <row r="953" spans="1:15" x14ac:dyDescent="0.25">
      <c r="A953" s="13" t="s">
        <v>965</v>
      </c>
      <c r="B953" s="13" t="s">
        <v>2192</v>
      </c>
      <c r="C953" s="13" t="s">
        <v>2203</v>
      </c>
      <c r="D953" s="13" t="s">
        <v>2206</v>
      </c>
      <c r="F953" s="13" t="s">
        <v>2219</v>
      </c>
      <c r="G953" s="13">
        <v>55.3</v>
      </c>
      <c r="H953" s="13">
        <v>0</v>
      </c>
      <c r="I953" s="13">
        <v>55.3</v>
      </c>
      <c r="J953" s="24">
        <v>45875</v>
      </c>
      <c r="K953" s="13">
        <v>17</v>
      </c>
      <c r="L953" s="13">
        <v>2.5</v>
      </c>
      <c r="M953" s="13" t="b">
        <v>0</v>
      </c>
      <c r="O953" s="13">
        <f t="shared" si="14"/>
        <v>2.5</v>
      </c>
    </row>
    <row r="954" spans="1:15" x14ac:dyDescent="0.25">
      <c r="A954" s="13" t="s">
        <v>966</v>
      </c>
      <c r="B954" s="13" t="s">
        <v>2194</v>
      </c>
      <c r="C954" s="13" t="s">
        <v>2202</v>
      </c>
      <c r="D954" s="13" t="s">
        <v>2207</v>
      </c>
      <c r="E954" s="13" t="s">
        <v>2212</v>
      </c>
      <c r="F954" s="13" t="s">
        <v>2216</v>
      </c>
      <c r="G954" s="13">
        <v>56.65</v>
      </c>
      <c r="H954" s="13">
        <v>34</v>
      </c>
      <c r="I954" s="13">
        <v>37.39</v>
      </c>
      <c r="J954" s="24">
        <v>45875</v>
      </c>
      <c r="K954" s="13">
        <v>23</v>
      </c>
      <c r="L954" s="13">
        <v>4.3</v>
      </c>
      <c r="M954" s="13" t="b">
        <v>0</v>
      </c>
      <c r="O954" s="13">
        <f t="shared" si="14"/>
        <v>4.3</v>
      </c>
    </row>
    <row r="955" spans="1:15" x14ac:dyDescent="0.25">
      <c r="A955" s="13" t="s">
        <v>967</v>
      </c>
      <c r="B955" s="13" t="s">
        <v>2193</v>
      </c>
      <c r="C955" s="13" t="s">
        <v>2197</v>
      </c>
      <c r="D955" s="13" t="s">
        <v>2206</v>
      </c>
      <c r="E955" s="13" t="s">
        <v>2212</v>
      </c>
      <c r="F955" s="13" t="s">
        <v>2215</v>
      </c>
      <c r="G955" s="13">
        <v>199.14</v>
      </c>
      <c r="H955" s="13">
        <v>0</v>
      </c>
      <c r="I955" s="13">
        <v>199.14</v>
      </c>
      <c r="J955" s="24">
        <v>45875</v>
      </c>
      <c r="K955" s="13">
        <v>18</v>
      </c>
      <c r="M955" s="13" t="b">
        <v>0</v>
      </c>
      <c r="O955" s="13">
        <f t="shared" si="14"/>
        <v>2.8205128205128198</v>
      </c>
    </row>
    <row r="956" spans="1:15" x14ac:dyDescent="0.25">
      <c r="A956" s="13" t="s">
        <v>968</v>
      </c>
      <c r="B956" s="13" t="s">
        <v>2193</v>
      </c>
      <c r="C956" s="13" t="s">
        <v>2196</v>
      </c>
      <c r="D956" s="13" t="s">
        <v>2206</v>
      </c>
      <c r="E956" s="13" t="s">
        <v>2213</v>
      </c>
      <c r="F956" s="13" t="s">
        <v>2215</v>
      </c>
      <c r="G956" s="13">
        <v>128.68</v>
      </c>
      <c r="H956" s="13">
        <v>0</v>
      </c>
      <c r="I956" s="13">
        <v>128.68</v>
      </c>
      <c r="J956" s="24">
        <v>45875</v>
      </c>
      <c r="K956" s="13">
        <v>8</v>
      </c>
      <c r="L956" s="13">
        <v>2.2000000000000002</v>
      </c>
      <c r="M956" s="13" t="b">
        <v>0</v>
      </c>
      <c r="O956" s="13">
        <f t="shared" si="14"/>
        <v>2.2000000000000002</v>
      </c>
    </row>
    <row r="957" spans="1:15" x14ac:dyDescent="0.25">
      <c r="A957" s="13" t="s">
        <v>969</v>
      </c>
      <c r="B957" s="13" t="s">
        <v>2190</v>
      </c>
      <c r="C957" s="13" t="s">
        <v>2197</v>
      </c>
      <c r="D957" s="13" t="s">
        <v>2206</v>
      </c>
      <c r="E957" s="13" t="s">
        <v>2208</v>
      </c>
      <c r="F957" s="13" t="s">
        <v>2221</v>
      </c>
      <c r="G957" s="13">
        <v>150.37</v>
      </c>
      <c r="H957" s="13">
        <v>51.9</v>
      </c>
      <c r="I957" s="13">
        <v>72.33</v>
      </c>
      <c r="J957" s="24">
        <v>45875</v>
      </c>
      <c r="K957" s="13">
        <v>15</v>
      </c>
      <c r="L957" s="13">
        <v>5</v>
      </c>
      <c r="M957" s="13" t="b">
        <v>0</v>
      </c>
      <c r="O957" s="13">
        <f t="shared" si="14"/>
        <v>5</v>
      </c>
    </row>
    <row r="958" spans="1:15" x14ac:dyDescent="0.25">
      <c r="A958" s="13" t="s">
        <v>970</v>
      </c>
      <c r="B958" s="13" t="s">
        <v>2195</v>
      </c>
      <c r="C958" s="13" t="s">
        <v>2203</v>
      </c>
      <c r="D958" s="13" t="s">
        <v>2205</v>
      </c>
      <c r="E958" s="13" t="s">
        <v>2213</v>
      </c>
      <c r="F958" s="13" t="s">
        <v>2215</v>
      </c>
      <c r="G958" s="13">
        <v>162.65</v>
      </c>
      <c r="H958" s="13">
        <v>0</v>
      </c>
      <c r="I958" s="13">
        <v>162.65</v>
      </c>
      <c r="J958" s="24">
        <v>45875</v>
      </c>
      <c r="K958" s="13">
        <v>36</v>
      </c>
      <c r="L958" s="13">
        <v>1.4</v>
      </c>
      <c r="M958" s="13" t="b">
        <v>0</v>
      </c>
      <c r="O958" s="13">
        <f t="shared" si="14"/>
        <v>1.4</v>
      </c>
    </row>
    <row r="959" spans="1:15" x14ac:dyDescent="0.25">
      <c r="A959" s="13" t="s">
        <v>971</v>
      </c>
      <c r="B959" s="13" t="s">
        <v>2194</v>
      </c>
      <c r="C959" s="13" t="s">
        <v>2199</v>
      </c>
      <c r="D959" s="13" t="s">
        <v>2207</v>
      </c>
      <c r="E959" s="13" t="s">
        <v>2211</v>
      </c>
      <c r="F959" s="13" t="s">
        <v>2217</v>
      </c>
      <c r="G959" s="13">
        <v>28.9</v>
      </c>
      <c r="H959" s="13">
        <v>0</v>
      </c>
      <c r="I959" s="13">
        <v>28.9</v>
      </c>
      <c r="J959" s="24">
        <v>45875</v>
      </c>
      <c r="K959" s="13">
        <v>5</v>
      </c>
      <c r="L959" s="13">
        <v>4.5999999999999996</v>
      </c>
      <c r="M959" s="13" t="b">
        <v>0</v>
      </c>
      <c r="O959" s="13">
        <f t="shared" si="14"/>
        <v>4.5999999999999996</v>
      </c>
    </row>
    <row r="960" spans="1:15" x14ac:dyDescent="0.25">
      <c r="A960" s="13" t="s">
        <v>972</v>
      </c>
      <c r="B960" s="13" t="s">
        <v>2192</v>
      </c>
      <c r="C960" s="13" t="s">
        <v>2203</v>
      </c>
      <c r="D960" s="13" t="s">
        <v>2204</v>
      </c>
      <c r="F960" s="13" t="s">
        <v>2215</v>
      </c>
      <c r="G960" s="13">
        <v>75.59</v>
      </c>
      <c r="H960" s="13">
        <v>38.799999999999997</v>
      </c>
      <c r="I960" s="13">
        <v>46.26</v>
      </c>
      <c r="J960" s="24">
        <v>45745</v>
      </c>
      <c r="K960" s="13">
        <v>43</v>
      </c>
      <c r="L960" s="13">
        <v>1.1000000000000001</v>
      </c>
      <c r="M960" s="13" t="b">
        <v>0</v>
      </c>
      <c r="O960" s="13">
        <f t="shared" si="14"/>
        <v>1.1000000000000001</v>
      </c>
    </row>
    <row r="961" spans="1:15" x14ac:dyDescent="0.25">
      <c r="A961" s="13" t="s">
        <v>973</v>
      </c>
      <c r="B961" s="13" t="s">
        <v>2191</v>
      </c>
      <c r="C961" s="13" t="s">
        <v>2196</v>
      </c>
      <c r="D961" s="13" t="s">
        <v>2204</v>
      </c>
      <c r="E961" s="13" t="s">
        <v>2210</v>
      </c>
      <c r="F961" s="13" t="s">
        <v>2224</v>
      </c>
      <c r="G961" s="13">
        <v>30.9</v>
      </c>
      <c r="H961" s="13">
        <v>5.5</v>
      </c>
      <c r="I961" s="13">
        <v>29.2</v>
      </c>
      <c r="J961" s="24">
        <v>45602</v>
      </c>
      <c r="K961" s="13">
        <v>25</v>
      </c>
      <c r="L961" s="13">
        <v>1.4</v>
      </c>
      <c r="M961" s="13" t="b">
        <v>0</v>
      </c>
      <c r="O961" s="13">
        <f t="shared" si="14"/>
        <v>1.4</v>
      </c>
    </row>
    <row r="962" spans="1:15" x14ac:dyDescent="0.25">
      <c r="A962" s="13" t="s">
        <v>974</v>
      </c>
      <c r="B962" s="13" t="s">
        <v>2190</v>
      </c>
      <c r="C962" s="13" t="s">
        <v>2199</v>
      </c>
      <c r="D962" s="13" t="s">
        <v>2207</v>
      </c>
      <c r="E962" s="13" t="s">
        <v>2210</v>
      </c>
      <c r="F962" s="13" t="s">
        <v>2219</v>
      </c>
      <c r="G962" s="13">
        <v>101.04</v>
      </c>
      <c r="H962" s="13">
        <v>0</v>
      </c>
      <c r="I962" s="13">
        <v>101.04</v>
      </c>
      <c r="J962" s="24">
        <v>45875</v>
      </c>
      <c r="K962" s="13">
        <v>35</v>
      </c>
      <c r="L962" s="13">
        <v>3.5</v>
      </c>
      <c r="M962" s="13" t="b">
        <v>0</v>
      </c>
      <c r="O962" s="13">
        <f t="shared" si="14"/>
        <v>3.5</v>
      </c>
    </row>
    <row r="963" spans="1:15" x14ac:dyDescent="0.25">
      <c r="A963" s="13" t="s">
        <v>975</v>
      </c>
      <c r="B963" s="13" t="s">
        <v>2195</v>
      </c>
      <c r="C963" s="13" t="s">
        <v>2203</v>
      </c>
      <c r="D963" s="13" t="s">
        <v>2206</v>
      </c>
      <c r="E963" s="13" t="s">
        <v>2210</v>
      </c>
      <c r="F963" s="13" t="s">
        <v>2217</v>
      </c>
      <c r="G963" s="13">
        <v>54.81</v>
      </c>
      <c r="H963" s="13">
        <v>0</v>
      </c>
      <c r="I963" s="13">
        <v>54.81</v>
      </c>
      <c r="J963" s="24">
        <v>45875</v>
      </c>
      <c r="K963" s="13">
        <v>41</v>
      </c>
      <c r="L963" s="13">
        <v>1.2</v>
      </c>
      <c r="M963" s="13" t="b">
        <v>1</v>
      </c>
      <c r="N963" s="13" t="s">
        <v>2230</v>
      </c>
      <c r="O963" s="13">
        <f t="shared" ref="O963:O1026" si="15">IF(L963="",AVERAGEIFS($L$2:$L$2177,$B$2:$B$2177,B963,$C$2:$C$2177,C963),L963)</f>
        <v>1.2</v>
      </c>
    </row>
    <row r="964" spans="1:15" x14ac:dyDescent="0.25">
      <c r="A964" s="13" t="s">
        <v>976</v>
      </c>
      <c r="B964" s="13" t="s">
        <v>2193</v>
      </c>
      <c r="C964" s="13" t="s">
        <v>2200</v>
      </c>
      <c r="D964" s="13" t="s">
        <v>2207</v>
      </c>
      <c r="E964" s="13" t="s">
        <v>2213</v>
      </c>
      <c r="F964" s="13" t="s">
        <v>2222</v>
      </c>
      <c r="G964" s="13">
        <v>191.61</v>
      </c>
      <c r="H964" s="13">
        <v>42.1</v>
      </c>
      <c r="I964" s="13">
        <v>110.94</v>
      </c>
      <c r="J964" s="24">
        <v>45875</v>
      </c>
      <c r="K964" s="13">
        <v>28</v>
      </c>
      <c r="L964" s="13">
        <v>4</v>
      </c>
      <c r="M964" s="13" t="b">
        <v>0</v>
      </c>
      <c r="O964" s="13">
        <f t="shared" si="15"/>
        <v>4</v>
      </c>
    </row>
    <row r="965" spans="1:15" x14ac:dyDescent="0.25">
      <c r="A965" s="13" t="s">
        <v>977</v>
      </c>
      <c r="B965" s="13" t="s">
        <v>2191</v>
      </c>
      <c r="C965" s="13" t="s">
        <v>2199</v>
      </c>
      <c r="D965" s="13" t="s">
        <v>2207</v>
      </c>
      <c r="E965" s="13" t="s">
        <v>2211</v>
      </c>
      <c r="F965" s="13" t="s">
        <v>2215</v>
      </c>
      <c r="G965" s="13">
        <v>100.5</v>
      </c>
      <c r="H965" s="13">
        <v>0</v>
      </c>
      <c r="I965" s="13">
        <v>100.5</v>
      </c>
      <c r="J965" s="24">
        <v>45875</v>
      </c>
      <c r="K965" s="13">
        <v>12</v>
      </c>
      <c r="L965" s="13">
        <v>2.7</v>
      </c>
      <c r="M965" s="13" t="b">
        <v>1</v>
      </c>
      <c r="N965" s="13" t="s">
        <v>2227</v>
      </c>
      <c r="O965" s="13">
        <f t="shared" si="15"/>
        <v>2.7</v>
      </c>
    </row>
    <row r="966" spans="1:15" x14ac:dyDescent="0.25">
      <c r="A966" s="13" t="s">
        <v>978</v>
      </c>
      <c r="B966" s="13" t="s">
        <v>2193</v>
      </c>
      <c r="C966" s="13" t="s">
        <v>2199</v>
      </c>
      <c r="D966" s="13" t="s">
        <v>2204</v>
      </c>
      <c r="E966" s="13" t="s">
        <v>2211</v>
      </c>
      <c r="F966" s="13" t="s">
        <v>2220</v>
      </c>
      <c r="G966" s="13">
        <v>92.35</v>
      </c>
      <c r="H966" s="13">
        <v>23.6</v>
      </c>
      <c r="I966" s="13">
        <v>70.56</v>
      </c>
      <c r="J966" s="24">
        <v>45624</v>
      </c>
      <c r="K966" s="13">
        <v>32</v>
      </c>
      <c r="L966" s="13">
        <v>2.2000000000000002</v>
      </c>
      <c r="M966" s="13" t="b">
        <v>0</v>
      </c>
      <c r="O966" s="13">
        <f t="shared" si="15"/>
        <v>2.2000000000000002</v>
      </c>
    </row>
    <row r="967" spans="1:15" x14ac:dyDescent="0.25">
      <c r="A967" s="13" t="s">
        <v>979</v>
      </c>
      <c r="B967" s="13" t="s">
        <v>2193</v>
      </c>
      <c r="C967" s="13" t="s">
        <v>2201</v>
      </c>
      <c r="D967" s="13" t="s">
        <v>2207</v>
      </c>
      <c r="E967" s="13" t="s">
        <v>2213</v>
      </c>
      <c r="F967" s="13" t="s">
        <v>2218</v>
      </c>
      <c r="G967" s="13">
        <v>161.24</v>
      </c>
      <c r="H967" s="13">
        <v>56.6</v>
      </c>
      <c r="I967" s="13">
        <v>69.98</v>
      </c>
      <c r="J967" s="24">
        <v>45875</v>
      </c>
      <c r="K967" s="13">
        <v>8</v>
      </c>
      <c r="L967" s="13">
        <v>2.1</v>
      </c>
      <c r="M967" s="13" t="b">
        <v>0</v>
      </c>
      <c r="O967" s="13">
        <f t="shared" si="15"/>
        <v>2.1</v>
      </c>
    </row>
    <row r="968" spans="1:15" x14ac:dyDescent="0.25">
      <c r="A968" s="13" t="s">
        <v>980</v>
      </c>
      <c r="B968" s="13" t="s">
        <v>2195</v>
      </c>
      <c r="C968" s="13" t="s">
        <v>2199</v>
      </c>
      <c r="D968" s="13" t="s">
        <v>2205</v>
      </c>
      <c r="E968" s="13" t="s">
        <v>2212</v>
      </c>
      <c r="F968" s="13" t="s">
        <v>2218</v>
      </c>
      <c r="G968" s="13">
        <v>68.03</v>
      </c>
      <c r="H968" s="13">
        <v>6.3</v>
      </c>
      <c r="I968" s="13">
        <v>63.74</v>
      </c>
      <c r="J968" s="24">
        <v>45875</v>
      </c>
      <c r="K968" s="13">
        <v>43</v>
      </c>
      <c r="L968" s="13">
        <v>3.4</v>
      </c>
      <c r="M968" s="13" t="b">
        <v>0</v>
      </c>
      <c r="O968" s="13">
        <f t="shared" si="15"/>
        <v>3.4</v>
      </c>
    </row>
    <row r="969" spans="1:15" x14ac:dyDescent="0.25">
      <c r="A969" s="13" t="s">
        <v>981</v>
      </c>
      <c r="B969" s="13" t="s">
        <v>2193</v>
      </c>
      <c r="C969" s="13" t="s">
        <v>2201</v>
      </c>
      <c r="D969" s="13" t="s">
        <v>2206</v>
      </c>
      <c r="E969" s="13" t="s">
        <v>2212</v>
      </c>
      <c r="F969" s="13" t="s">
        <v>2223</v>
      </c>
      <c r="G969" s="13">
        <v>121.21</v>
      </c>
      <c r="H969" s="13">
        <v>47.4</v>
      </c>
      <c r="I969" s="13">
        <v>63.76</v>
      </c>
      <c r="J969" s="24">
        <v>45875</v>
      </c>
      <c r="K969" s="13">
        <v>45</v>
      </c>
      <c r="L969" s="13">
        <v>3</v>
      </c>
      <c r="M969" s="13" t="b">
        <v>1</v>
      </c>
      <c r="N969" s="13" t="s">
        <v>2229</v>
      </c>
      <c r="O969" s="13">
        <f t="shared" si="15"/>
        <v>3</v>
      </c>
    </row>
    <row r="970" spans="1:15" x14ac:dyDescent="0.25">
      <c r="A970" s="13" t="s">
        <v>982</v>
      </c>
      <c r="B970" s="13" t="s">
        <v>2191</v>
      </c>
      <c r="C970" s="13" t="s">
        <v>2196</v>
      </c>
      <c r="D970" s="13" t="s">
        <v>2205</v>
      </c>
      <c r="E970" s="13" t="s">
        <v>2209</v>
      </c>
      <c r="F970" s="13" t="s">
        <v>2219</v>
      </c>
      <c r="G970" s="13">
        <v>69.599999999999994</v>
      </c>
      <c r="H970" s="13">
        <v>28.8</v>
      </c>
      <c r="I970" s="13">
        <v>49.56</v>
      </c>
      <c r="J970" s="24">
        <v>45875</v>
      </c>
      <c r="K970" s="13">
        <v>42</v>
      </c>
      <c r="L970" s="13">
        <v>3.7</v>
      </c>
      <c r="M970" s="13" t="b">
        <v>0</v>
      </c>
      <c r="O970" s="13">
        <f t="shared" si="15"/>
        <v>3.7</v>
      </c>
    </row>
    <row r="971" spans="1:15" x14ac:dyDescent="0.25">
      <c r="A971" s="13" t="s">
        <v>983</v>
      </c>
      <c r="B971" s="13" t="s">
        <v>2190</v>
      </c>
      <c r="C971" s="13" t="s">
        <v>2198</v>
      </c>
      <c r="D971" s="13" t="s">
        <v>2205</v>
      </c>
      <c r="E971" s="13" t="s">
        <v>2212</v>
      </c>
      <c r="F971" s="13" t="s">
        <v>2217</v>
      </c>
      <c r="G971" s="13">
        <v>222.5</v>
      </c>
      <c r="H971" s="13">
        <v>18.7</v>
      </c>
      <c r="I971" s="13">
        <v>180.89</v>
      </c>
      <c r="J971" s="24">
        <v>45875</v>
      </c>
      <c r="K971" s="13">
        <v>47</v>
      </c>
      <c r="M971" s="13" t="b">
        <v>0</v>
      </c>
      <c r="O971" s="13">
        <f t="shared" si="15"/>
        <v>3.0177777777777774</v>
      </c>
    </row>
    <row r="972" spans="1:15" x14ac:dyDescent="0.25">
      <c r="A972" s="13" t="s">
        <v>984</v>
      </c>
      <c r="B972" s="13" t="s">
        <v>2194</v>
      </c>
      <c r="C972" s="13" t="s">
        <v>2203</v>
      </c>
      <c r="D972" s="13" t="s">
        <v>2206</v>
      </c>
      <c r="E972" s="13" t="s">
        <v>2211</v>
      </c>
      <c r="F972" s="13" t="s">
        <v>2215</v>
      </c>
      <c r="G972" s="13">
        <v>25.58</v>
      </c>
      <c r="H972" s="13">
        <v>54.5</v>
      </c>
      <c r="I972" s="13">
        <v>11.64</v>
      </c>
      <c r="J972" s="24">
        <v>45875</v>
      </c>
      <c r="K972" s="13">
        <v>34</v>
      </c>
      <c r="L972" s="13">
        <v>2.4</v>
      </c>
      <c r="M972" s="13" t="b">
        <v>0</v>
      </c>
      <c r="O972" s="13">
        <f t="shared" si="15"/>
        <v>2.4</v>
      </c>
    </row>
    <row r="973" spans="1:15" x14ac:dyDescent="0.25">
      <c r="A973" s="13" t="s">
        <v>985</v>
      </c>
      <c r="B973" s="13" t="s">
        <v>2195</v>
      </c>
      <c r="C973" s="13" t="s">
        <v>2199</v>
      </c>
      <c r="D973" s="13" t="s">
        <v>2207</v>
      </c>
      <c r="E973" s="13" t="s">
        <v>2208</v>
      </c>
      <c r="F973" s="13" t="s">
        <v>2219</v>
      </c>
      <c r="G973" s="13">
        <v>54.46</v>
      </c>
      <c r="H973" s="13">
        <v>6.6</v>
      </c>
      <c r="I973" s="13">
        <v>50.87</v>
      </c>
      <c r="J973" s="24">
        <v>45875</v>
      </c>
      <c r="K973" s="13">
        <v>17</v>
      </c>
      <c r="L973" s="13">
        <v>1.7</v>
      </c>
      <c r="M973" s="13" t="b">
        <v>0</v>
      </c>
      <c r="O973" s="13">
        <f t="shared" si="15"/>
        <v>1.7</v>
      </c>
    </row>
    <row r="974" spans="1:15" x14ac:dyDescent="0.25">
      <c r="A974" s="13" t="s">
        <v>986</v>
      </c>
      <c r="B974" s="13" t="s">
        <v>2194</v>
      </c>
      <c r="C974" s="13" t="s">
        <v>2203</v>
      </c>
      <c r="D974" s="13" t="s">
        <v>2205</v>
      </c>
      <c r="E974" s="13" t="s">
        <v>2210</v>
      </c>
      <c r="F974" s="13" t="s">
        <v>2215</v>
      </c>
      <c r="G974" s="13">
        <v>43.32</v>
      </c>
      <c r="H974" s="13">
        <v>0</v>
      </c>
      <c r="I974" s="13">
        <v>43.32</v>
      </c>
      <c r="J974" s="24">
        <v>45875</v>
      </c>
      <c r="K974" s="13">
        <v>0</v>
      </c>
      <c r="L974" s="13">
        <v>2.6</v>
      </c>
      <c r="M974" s="13" t="b">
        <v>0</v>
      </c>
      <c r="O974" s="13">
        <f t="shared" si="15"/>
        <v>2.6</v>
      </c>
    </row>
    <row r="975" spans="1:15" x14ac:dyDescent="0.25">
      <c r="A975" s="13" t="s">
        <v>987</v>
      </c>
      <c r="B975" s="13" t="s">
        <v>2192</v>
      </c>
      <c r="C975" s="13" t="s">
        <v>2203</v>
      </c>
      <c r="D975" s="13" t="s">
        <v>2205</v>
      </c>
      <c r="F975" s="13" t="s">
        <v>2214</v>
      </c>
      <c r="G975" s="13">
        <v>75.09</v>
      </c>
      <c r="H975" s="13">
        <v>0</v>
      </c>
      <c r="I975" s="13">
        <v>75.09</v>
      </c>
      <c r="J975" s="24">
        <v>45875</v>
      </c>
      <c r="K975" s="13">
        <v>41</v>
      </c>
      <c r="L975" s="13">
        <v>3.5</v>
      </c>
      <c r="M975" s="13" t="b">
        <v>0</v>
      </c>
      <c r="O975" s="13">
        <f t="shared" si="15"/>
        <v>3.5</v>
      </c>
    </row>
    <row r="976" spans="1:15" x14ac:dyDescent="0.25">
      <c r="A976" s="13" t="s">
        <v>988</v>
      </c>
      <c r="B976" s="13" t="s">
        <v>2195</v>
      </c>
      <c r="C976" s="13" t="s">
        <v>2197</v>
      </c>
      <c r="D976" s="13" t="s">
        <v>2204</v>
      </c>
      <c r="E976" s="13" t="s">
        <v>2212</v>
      </c>
      <c r="F976" s="13" t="s">
        <v>2214</v>
      </c>
      <c r="G976" s="13">
        <v>167.46</v>
      </c>
      <c r="H976" s="13">
        <v>0</v>
      </c>
      <c r="I976" s="13">
        <v>167.46</v>
      </c>
      <c r="J976" s="24">
        <v>45522</v>
      </c>
      <c r="K976" s="13">
        <v>4</v>
      </c>
      <c r="L976" s="13">
        <v>1.3</v>
      </c>
      <c r="M976" s="13" t="b">
        <v>0</v>
      </c>
      <c r="O976" s="13">
        <f t="shared" si="15"/>
        <v>1.3</v>
      </c>
    </row>
    <row r="977" spans="1:15" x14ac:dyDescent="0.25">
      <c r="A977" s="13" t="s">
        <v>989</v>
      </c>
      <c r="B977" s="13" t="s">
        <v>2193</v>
      </c>
      <c r="C977" s="13" t="s">
        <v>2198</v>
      </c>
      <c r="D977" s="13" t="s">
        <v>2206</v>
      </c>
      <c r="E977" s="13" t="s">
        <v>2209</v>
      </c>
      <c r="F977" s="13" t="s">
        <v>2219</v>
      </c>
      <c r="G977" s="13">
        <v>111.24</v>
      </c>
      <c r="H977" s="13">
        <v>34.299999999999997</v>
      </c>
      <c r="I977" s="13">
        <v>73.08</v>
      </c>
      <c r="J977" s="24">
        <v>45875</v>
      </c>
      <c r="K977" s="13">
        <v>3</v>
      </c>
      <c r="L977" s="13">
        <v>2.2000000000000002</v>
      </c>
      <c r="M977" s="13" t="b">
        <v>0</v>
      </c>
      <c r="O977" s="13">
        <f t="shared" si="15"/>
        <v>2.2000000000000002</v>
      </c>
    </row>
    <row r="978" spans="1:15" x14ac:dyDescent="0.25">
      <c r="A978" s="13" t="s">
        <v>990</v>
      </c>
      <c r="B978" s="13" t="s">
        <v>2194</v>
      </c>
      <c r="C978" s="13" t="s">
        <v>2197</v>
      </c>
      <c r="D978" s="13" t="s">
        <v>2206</v>
      </c>
      <c r="E978" s="13" t="s">
        <v>2211</v>
      </c>
      <c r="F978" s="13" t="s">
        <v>2222</v>
      </c>
      <c r="G978" s="13">
        <v>59.36</v>
      </c>
      <c r="H978" s="13">
        <v>0</v>
      </c>
      <c r="I978" s="13">
        <v>59.36</v>
      </c>
      <c r="J978" s="24">
        <v>45875</v>
      </c>
      <c r="K978" s="13">
        <v>16</v>
      </c>
      <c r="M978" s="13" t="b">
        <v>0</v>
      </c>
      <c r="O978" s="13">
        <f t="shared" si="15"/>
        <v>3.0846153846153843</v>
      </c>
    </row>
    <row r="979" spans="1:15" x14ac:dyDescent="0.25">
      <c r="A979" s="13" t="s">
        <v>991</v>
      </c>
      <c r="B979" s="13" t="s">
        <v>2193</v>
      </c>
      <c r="C979" s="13" t="s">
        <v>2198</v>
      </c>
      <c r="D979" s="13" t="s">
        <v>2206</v>
      </c>
      <c r="E979" s="13" t="s">
        <v>2210</v>
      </c>
      <c r="F979" s="13" t="s">
        <v>2222</v>
      </c>
      <c r="G979" s="13">
        <v>199.46</v>
      </c>
      <c r="H979" s="13">
        <v>0</v>
      </c>
      <c r="I979" s="13">
        <v>199.46</v>
      </c>
      <c r="J979" s="24">
        <v>45875</v>
      </c>
      <c r="K979" s="13">
        <v>15</v>
      </c>
      <c r="L979" s="13">
        <v>1.4</v>
      </c>
      <c r="M979" s="13" t="b">
        <v>0</v>
      </c>
      <c r="O979" s="13">
        <f t="shared" si="15"/>
        <v>1.4</v>
      </c>
    </row>
    <row r="980" spans="1:15" x14ac:dyDescent="0.25">
      <c r="A980" s="13" t="s">
        <v>992</v>
      </c>
      <c r="B980" s="13" t="s">
        <v>2193</v>
      </c>
      <c r="C980" s="13" t="s">
        <v>2203</v>
      </c>
      <c r="D980" s="13" t="s">
        <v>2206</v>
      </c>
      <c r="E980" s="13" t="s">
        <v>2213</v>
      </c>
      <c r="F980" s="13" t="s">
        <v>2217</v>
      </c>
      <c r="G980" s="13">
        <v>72.75</v>
      </c>
      <c r="H980" s="13">
        <v>50.2</v>
      </c>
      <c r="I980" s="13">
        <v>36.229999999999997</v>
      </c>
      <c r="J980" s="24">
        <v>45875</v>
      </c>
      <c r="K980" s="13">
        <v>28</v>
      </c>
      <c r="L980" s="13">
        <v>3.6</v>
      </c>
      <c r="M980" s="13" t="b">
        <v>0</v>
      </c>
      <c r="O980" s="13">
        <f t="shared" si="15"/>
        <v>3.6</v>
      </c>
    </row>
    <row r="981" spans="1:15" x14ac:dyDescent="0.25">
      <c r="A981" s="13" t="s">
        <v>993</v>
      </c>
      <c r="B981" s="13" t="s">
        <v>2194</v>
      </c>
      <c r="C981" s="13" t="s">
        <v>2199</v>
      </c>
      <c r="D981" s="13" t="s">
        <v>2206</v>
      </c>
      <c r="E981" s="13" t="s">
        <v>2212</v>
      </c>
      <c r="F981" s="13" t="s">
        <v>2215</v>
      </c>
      <c r="G981" s="13">
        <v>86.52</v>
      </c>
      <c r="H981" s="13">
        <v>27.6</v>
      </c>
      <c r="I981" s="13">
        <v>62.64</v>
      </c>
      <c r="J981" s="24">
        <v>45875</v>
      </c>
      <c r="K981" s="13">
        <v>47</v>
      </c>
      <c r="L981" s="13">
        <v>1.1000000000000001</v>
      </c>
      <c r="M981" s="13" t="b">
        <v>0</v>
      </c>
      <c r="O981" s="13">
        <f t="shared" si="15"/>
        <v>1.1000000000000001</v>
      </c>
    </row>
    <row r="982" spans="1:15" x14ac:dyDescent="0.25">
      <c r="A982" s="13" t="s">
        <v>994</v>
      </c>
      <c r="B982" s="13" t="s">
        <v>2192</v>
      </c>
      <c r="C982" s="13" t="s">
        <v>2203</v>
      </c>
      <c r="D982" s="13" t="s">
        <v>2204</v>
      </c>
      <c r="F982" s="13" t="s">
        <v>2219</v>
      </c>
      <c r="G982" s="13">
        <v>52.69</v>
      </c>
      <c r="H982" s="13">
        <v>40.200000000000003</v>
      </c>
      <c r="I982" s="13">
        <v>31.51</v>
      </c>
      <c r="J982" s="24">
        <v>45611</v>
      </c>
      <c r="K982" s="13">
        <v>7</v>
      </c>
      <c r="L982" s="13">
        <v>2.7</v>
      </c>
      <c r="M982" s="13" t="b">
        <v>0</v>
      </c>
      <c r="O982" s="13">
        <f t="shared" si="15"/>
        <v>2.7</v>
      </c>
    </row>
    <row r="983" spans="1:15" x14ac:dyDescent="0.25">
      <c r="A983" s="13" t="s">
        <v>995</v>
      </c>
      <c r="B983" s="13" t="s">
        <v>2190</v>
      </c>
      <c r="C983" s="13" t="s">
        <v>2198</v>
      </c>
      <c r="D983" s="13" t="s">
        <v>2206</v>
      </c>
      <c r="E983" s="13" t="s">
        <v>2209</v>
      </c>
      <c r="F983" s="13" t="s">
        <v>2216</v>
      </c>
      <c r="G983" s="13">
        <v>104.18</v>
      </c>
      <c r="H983" s="13">
        <v>0</v>
      </c>
      <c r="I983" s="13">
        <v>104.18</v>
      </c>
      <c r="J983" s="24">
        <v>45875</v>
      </c>
      <c r="K983" s="13">
        <v>12</v>
      </c>
      <c r="L983" s="13">
        <v>5</v>
      </c>
      <c r="M983" s="13" t="b">
        <v>0</v>
      </c>
      <c r="O983" s="13">
        <f t="shared" si="15"/>
        <v>5</v>
      </c>
    </row>
    <row r="984" spans="1:15" x14ac:dyDescent="0.25">
      <c r="A984" s="13" t="s">
        <v>996</v>
      </c>
      <c r="B984" s="13" t="s">
        <v>2190</v>
      </c>
      <c r="C984" s="13" t="s">
        <v>2200</v>
      </c>
      <c r="D984" s="13" t="s">
        <v>2205</v>
      </c>
      <c r="E984" s="13" t="s">
        <v>2209</v>
      </c>
      <c r="F984" s="13" t="s">
        <v>2214</v>
      </c>
      <c r="G984" s="13">
        <v>132.38</v>
      </c>
      <c r="H984" s="13">
        <v>58.2</v>
      </c>
      <c r="I984" s="13">
        <v>55.33</v>
      </c>
      <c r="J984" s="24">
        <v>45875</v>
      </c>
      <c r="K984" s="13">
        <v>24</v>
      </c>
      <c r="M984" s="13" t="b">
        <v>0</v>
      </c>
      <c r="O984" s="13">
        <f t="shared" si="15"/>
        <v>2.9228571428571426</v>
      </c>
    </row>
    <row r="985" spans="1:15" x14ac:dyDescent="0.25">
      <c r="A985" s="13" t="s">
        <v>997</v>
      </c>
      <c r="B985" s="13" t="s">
        <v>2193</v>
      </c>
      <c r="C985" s="13" t="s">
        <v>2200</v>
      </c>
      <c r="D985" s="13" t="s">
        <v>2206</v>
      </c>
      <c r="E985" s="13" t="s">
        <v>2208</v>
      </c>
      <c r="F985" s="13" t="s">
        <v>2215</v>
      </c>
      <c r="G985" s="13">
        <v>64.400000000000006</v>
      </c>
      <c r="H985" s="13">
        <v>0</v>
      </c>
      <c r="I985" s="13">
        <v>64.400000000000006</v>
      </c>
      <c r="J985" s="24">
        <v>45875</v>
      </c>
      <c r="K985" s="13">
        <v>40</v>
      </c>
      <c r="L985" s="13">
        <v>4.9000000000000004</v>
      </c>
      <c r="M985" s="13" t="b">
        <v>0</v>
      </c>
      <c r="O985" s="13">
        <f t="shared" si="15"/>
        <v>4.9000000000000004</v>
      </c>
    </row>
    <row r="986" spans="1:15" x14ac:dyDescent="0.25">
      <c r="A986" s="13" t="s">
        <v>998</v>
      </c>
      <c r="B986" s="13" t="s">
        <v>2194</v>
      </c>
      <c r="C986" s="13" t="s">
        <v>2196</v>
      </c>
      <c r="D986" s="13" t="s">
        <v>2207</v>
      </c>
      <c r="E986" s="13" t="s">
        <v>2208</v>
      </c>
      <c r="F986" s="13" t="s">
        <v>2218</v>
      </c>
      <c r="G986" s="13">
        <v>34.07</v>
      </c>
      <c r="H986" s="13">
        <v>0</v>
      </c>
      <c r="I986" s="13">
        <v>34.07</v>
      </c>
      <c r="J986" s="24">
        <v>45875</v>
      </c>
      <c r="K986" s="13">
        <v>25</v>
      </c>
      <c r="L986" s="13">
        <v>4.2</v>
      </c>
      <c r="M986" s="13" t="b">
        <v>1</v>
      </c>
      <c r="N986" s="13" t="s">
        <v>2230</v>
      </c>
      <c r="O986" s="13">
        <f t="shared" si="15"/>
        <v>4.2</v>
      </c>
    </row>
    <row r="987" spans="1:15" x14ac:dyDescent="0.25">
      <c r="A987" s="13" t="s">
        <v>999</v>
      </c>
      <c r="B987" s="13" t="s">
        <v>2194</v>
      </c>
      <c r="C987" s="13" t="s">
        <v>2196</v>
      </c>
      <c r="D987" s="13" t="s">
        <v>2205</v>
      </c>
      <c r="E987" s="13" t="s">
        <v>2211</v>
      </c>
      <c r="F987" s="13" t="s">
        <v>2214</v>
      </c>
      <c r="G987" s="13">
        <v>43.33</v>
      </c>
      <c r="H987" s="13">
        <v>45.3</v>
      </c>
      <c r="I987" s="13">
        <v>23.7</v>
      </c>
      <c r="J987" s="24">
        <v>45875</v>
      </c>
      <c r="K987" s="13">
        <v>1</v>
      </c>
      <c r="L987" s="13">
        <v>3.4</v>
      </c>
      <c r="M987" s="13" t="b">
        <v>0</v>
      </c>
      <c r="O987" s="13">
        <f t="shared" si="15"/>
        <v>3.4</v>
      </c>
    </row>
    <row r="988" spans="1:15" x14ac:dyDescent="0.25">
      <c r="A988" s="13" t="s">
        <v>1000</v>
      </c>
      <c r="B988" s="13" t="s">
        <v>2190</v>
      </c>
      <c r="C988" s="13" t="s">
        <v>2197</v>
      </c>
      <c r="D988" s="13" t="s">
        <v>2204</v>
      </c>
      <c r="E988" s="13" t="s">
        <v>2208</v>
      </c>
      <c r="F988" s="13" t="s">
        <v>2217</v>
      </c>
      <c r="G988" s="13">
        <v>122.92</v>
      </c>
      <c r="H988" s="13">
        <v>0</v>
      </c>
      <c r="I988" s="13">
        <v>122.92</v>
      </c>
      <c r="J988" s="24">
        <v>45602</v>
      </c>
      <c r="K988" s="13">
        <v>41</v>
      </c>
      <c r="L988" s="13">
        <v>2.9</v>
      </c>
      <c r="M988" s="13" t="b">
        <v>0</v>
      </c>
      <c r="O988" s="13">
        <f t="shared" si="15"/>
        <v>2.9</v>
      </c>
    </row>
    <row r="989" spans="1:15" x14ac:dyDescent="0.25">
      <c r="A989" s="13" t="s">
        <v>1001</v>
      </c>
      <c r="B989" s="13" t="s">
        <v>2193</v>
      </c>
      <c r="C989" s="13" t="s">
        <v>2196</v>
      </c>
      <c r="D989" s="13" t="s">
        <v>2204</v>
      </c>
      <c r="E989" s="13" t="s">
        <v>2210</v>
      </c>
      <c r="F989" s="13" t="s">
        <v>2218</v>
      </c>
      <c r="G989" s="13">
        <v>142.84</v>
      </c>
      <c r="H989" s="13">
        <v>0</v>
      </c>
      <c r="I989" s="13">
        <v>142.84</v>
      </c>
      <c r="J989" s="24">
        <v>45702</v>
      </c>
      <c r="K989" s="13">
        <v>36</v>
      </c>
      <c r="M989" s="13" t="b">
        <v>0</v>
      </c>
      <c r="O989" s="13">
        <f t="shared" si="15"/>
        <v>2.9153846153846157</v>
      </c>
    </row>
    <row r="990" spans="1:15" x14ac:dyDescent="0.25">
      <c r="A990" s="13" t="s">
        <v>1002</v>
      </c>
      <c r="B990" s="13" t="s">
        <v>2193</v>
      </c>
      <c r="C990" s="13" t="s">
        <v>2202</v>
      </c>
      <c r="D990" s="13" t="s">
        <v>2207</v>
      </c>
      <c r="E990" s="13" t="s">
        <v>2211</v>
      </c>
      <c r="F990" s="13" t="s">
        <v>2216</v>
      </c>
      <c r="G990" s="13">
        <v>131.55000000000001</v>
      </c>
      <c r="H990" s="13">
        <v>0</v>
      </c>
      <c r="I990" s="13">
        <v>131.55000000000001</v>
      </c>
      <c r="J990" s="24">
        <v>45875</v>
      </c>
      <c r="K990" s="13">
        <v>45</v>
      </c>
      <c r="L990" s="13">
        <v>1.8</v>
      </c>
      <c r="M990" s="13" t="b">
        <v>0</v>
      </c>
      <c r="O990" s="13">
        <f t="shared" si="15"/>
        <v>1.8</v>
      </c>
    </row>
    <row r="991" spans="1:15" x14ac:dyDescent="0.25">
      <c r="A991" s="13" t="s">
        <v>1003</v>
      </c>
      <c r="B991" s="13" t="s">
        <v>2190</v>
      </c>
      <c r="C991" s="13" t="s">
        <v>2196</v>
      </c>
      <c r="D991" s="13" t="s">
        <v>2204</v>
      </c>
      <c r="E991" s="13" t="s">
        <v>2210</v>
      </c>
      <c r="F991" s="13" t="s">
        <v>2214</v>
      </c>
      <c r="G991" s="13">
        <v>192.58</v>
      </c>
      <c r="H991" s="13">
        <v>0</v>
      </c>
      <c r="I991" s="13">
        <v>192.58</v>
      </c>
      <c r="J991" s="24">
        <v>45764</v>
      </c>
      <c r="K991" s="13">
        <v>16</v>
      </c>
      <c r="L991" s="13">
        <v>1.2</v>
      </c>
      <c r="M991" s="13" t="b">
        <v>0</v>
      </c>
      <c r="O991" s="13">
        <f t="shared" si="15"/>
        <v>1.2</v>
      </c>
    </row>
    <row r="992" spans="1:15" x14ac:dyDescent="0.25">
      <c r="A992" s="13" t="s">
        <v>1004</v>
      </c>
      <c r="B992" s="13" t="s">
        <v>2192</v>
      </c>
      <c r="C992" s="13" t="s">
        <v>2201</v>
      </c>
      <c r="D992" s="13" t="s">
        <v>2204</v>
      </c>
      <c r="F992" s="13" t="s">
        <v>2223</v>
      </c>
      <c r="G992" s="13">
        <v>33.56</v>
      </c>
      <c r="H992" s="13">
        <v>0</v>
      </c>
      <c r="I992" s="13">
        <v>33.56</v>
      </c>
      <c r="J992" s="24">
        <v>45743</v>
      </c>
      <c r="K992" s="13">
        <v>24</v>
      </c>
      <c r="L992" s="13">
        <v>3</v>
      </c>
      <c r="M992" s="13" t="b">
        <v>0</v>
      </c>
      <c r="O992" s="13">
        <f t="shared" si="15"/>
        <v>3</v>
      </c>
    </row>
    <row r="993" spans="1:15" x14ac:dyDescent="0.25">
      <c r="A993" s="13" t="s">
        <v>1005</v>
      </c>
      <c r="B993" s="13" t="s">
        <v>2192</v>
      </c>
      <c r="C993" s="13" t="s">
        <v>2197</v>
      </c>
      <c r="D993" s="13" t="s">
        <v>2207</v>
      </c>
      <c r="F993" s="13" t="s">
        <v>2219</v>
      </c>
      <c r="G993" s="13">
        <v>59.1</v>
      </c>
      <c r="H993" s="13">
        <v>0</v>
      </c>
      <c r="I993" s="13">
        <v>59.1</v>
      </c>
      <c r="J993" s="24">
        <v>45875</v>
      </c>
      <c r="K993" s="13">
        <v>29</v>
      </c>
      <c r="L993" s="13">
        <v>1.3</v>
      </c>
      <c r="M993" s="13" t="b">
        <v>0</v>
      </c>
      <c r="O993" s="13">
        <f t="shared" si="15"/>
        <v>1.3</v>
      </c>
    </row>
    <row r="994" spans="1:15" x14ac:dyDescent="0.25">
      <c r="A994" s="13" t="s">
        <v>1006</v>
      </c>
      <c r="B994" s="13" t="s">
        <v>2193</v>
      </c>
      <c r="C994" s="13" t="s">
        <v>2202</v>
      </c>
      <c r="D994" s="13" t="s">
        <v>2206</v>
      </c>
      <c r="E994" s="13" t="s">
        <v>2210</v>
      </c>
      <c r="F994" s="13" t="s">
        <v>2218</v>
      </c>
      <c r="G994" s="13">
        <v>109.15</v>
      </c>
      <c r="H994" s="13">
        <v>20.7</v>
      </c>
      <c r="I994" s="13">
        <v>86.56</v>
      </c>
      <c r="J994" s="24">
        <v>45875</v>
      </c>
      <c r="K994" s="13">
        <v>28</v>
      </c>
      <c r="L994" s="13">
        <v>2</v>
      </c>
      <c r="M994" s="13" t="b">
        <v>1</v>
      </c>
      <c r="N994" s="13" t="s">
        <v>2229</v>
      </c>
      <c r="O994" s="13">
        <f t="shared" si="15"/>
        <v>2</v>
      </c>
    </row>
    <row r="995" spans="1:15" x14ac:dyDescent="0.25">
      <c r="A995" s="13" t="s">
        <v>1007</v>
      </c>
      <c r="B995" s="13" t="s">
        <v>2194</v>
      </c>
      <c r="C995" s="13" t="s">
        <v>2201</v>
      </c>
      <c r="D995" s="13" t="s">
        <v>2206</v>
      </c>
      <c r="F995" s="13" t="s">
        <v>2221</v>
      </c>
      <c r="G995" s="13">
        <v>59.1</v>
      </c>
      <c r="H995" s="13">
        <v>0</v>
      </c>
      <c r="I995" s="13">
        <v>59.1</v>
      </c>
      <c r="J995" s="24">
        <v>45875</v>
      </c>
      <c r="K995" s="13">
        <v>47</v>
      </c>
      <c r="L995" s="13">
        <v>4.5999999999999996</v>
      </c>
      <c r="M995" s="13" t="b">
        <v>0</v>
      </c>
      <c r="O995" s="13">
        <f t="shared" si="15"/>
        <v>4.5999999999999996</v>
      </c>
    </row>
    <row r="996" spans="1:15" x14ac:dyDescent="0.25">
      <c r="A996" s="13" t="s">
        <v>1008</v>
      </c>
      <c r="B996" s="13" t="s">
        <v>2193</v>
      </c>
      <c r="C996" s="13" t="s">
        <v>2202</v>
      </c>
      <c r="D996" s="13" t="s">
        <v>2204</v>
      </c>
      <c r="E996" s="13" t="s">
        <v>2213</v>
      </c>
      <c r="F996" s="13" t="s">
        <v>2223</v>
      </c>
      <c r="G996" s="13">
        <v>99.33</v>
      </c>
      <c r="H996" s="13">
        <v>0</v>
      </c>
      <c r="I996" s="13">
        <v>99.33</v>
      </c>
      <c r="J996" s="24">
        <v>45798</v>
      </c>
      <c r="K996" s="13">
        <v>16</v>
      </c>
      <c r="L996" s="13">
        <v>3.9</v>
      </c>
      <c r="M996" s="13" t="b">
        <v>0</v>
      </c>
      <c r="O996" s="13">
        <f t="shared" si="15"/>
        <v>3.9</v>
      </c>
    </row>
    <row r="997" spans="1:15" x14ac:dyDescent="0.25">
      <c r="A997" s="13" t="s">
        <v>1009</v>
      </c>
      <c r="B997" s="13" t="s">
        <v>2195</v>
      </c>
      <c r="C997" s="13" t="s">
        <v>2201</v>
      </c>
      <c r="D997" s="13" t="s">
        <v>2205</v>
      </c>
      <c r="E997" s="13" t="s">
        <v>2208</v>
      </c>
      <c r="F997" s="13" t="s">
        <v>2222</v>
      </c>
      <c r="G997" s="13">
        <v>92.75</v>
      </c>
      <c r="H997" s="13">
        <v>0</v>
      </c>
      <c r="I997" s="13">
        <v>92.75</v>
      </c>
      <c r="J997" s="24">
        <v>45875</v>
      </c>
      <c r="K997" s="13">
        <v>29</v>
      </c>
      <c r="M997" s="13" t="b">
        <v>1</v>
      </c>
      <c r="N997" s="13" t="s">
        <v>2229</v>
      </c>
      <c r="O997" s="13">
        <f t="shared" si="15"/>
        <v>3.1874999999999991</v>
      </c>
    </row>
    <row r="998" spans="1:15" x14ac:dyDescent="0.25">
      <c r="A998" s="13" t="s">
        <v>1010</v>
      </c>
      <c r="B998" s="13" t="s">
        <v>2191</v>
      </c>
      <c r="C998" s="13" t="s">
        <v>2196</v>
      </c>
      <c r="D998" s="13" t="s">
        <v>2207</v>
      </c>
      <c r="E998" s="13" t="s">
        <v>2210</v>
      </c>
      <c r="F998" s="13" t="s">
        <v>2221</v>
      </c>
      <c r="G998" s="13">
        <v>116.82</v>
      </c>
      <c r="H998" s="13">
        <v>0</v>
      </c>
      <c r="I998" s="13">
        <v>116.82</v>
      </c>
      <c r="J998" s="24">
        <v>45875</v>
      </c>
      <c r="K998" s="13">
        <v>34</v>
      </c>
      <c r="M998" s="13" t="b">
        <v>0</v>
      </c>
      <c r="O998" s="13">
        <f t="shared" si="15"/>
        <v>2.9181818181818175</v>
      </c>
    </row>
    <row r="999" spans="1:15" x14ac:dyDescent="0.25">
      <c r="A999" s="13" t="s">
        <v>1011</v>
      </c>
      <c r="B999" s="13" t="s">
        <v>2190</v>
      </c>
      <c r="C999" s="13" t="s">
        <v>2201</v>
      </c>
      <c r="D999" s="13" t="s">
        <v>2207</v>
      </c>
      <c r="E999" s="13" t="s">
        <v>2208</v>
      </c>
      <c r="F999" s="13" t="s">
        <v>2220</v>
      </c>
      <c r="G999" s="13">
        <v>129.78</v>
      </c>
      <c r="H999" s="13">
        <v>9.5</v>
      </c>
      <c r="I999" s="13">
        <v>117.45</v>
      </c>
      <c r="J999" s="24">
        <v>45875</v>
      </c>
      <c r="K999" s="13">
        <v>17</v>
      </c>
      <c r="L999" s="13">
        <v>4</v>
      </c>
      <c r="M999" s="13" t="b">
        <v>0</v>
      </c>
      <c r="O999" s="13">
        <f t="shared" si="15"/>
        <v>4</v>
      </c>
    </row>
    <row r="1000" spans="1:15" x14ac:dyDescent="0.25">
      <c r="A1000" s="13" t="s">
        <v>1012</v>
      </c>
      <c r="B1000" s="13" t="s">
        <v>2195</v>
      </c>
      <c r="C1000" s="13" t="s">
        <v>2198</v>
      </c>
      <c r="D1000" s="13" t="s">
        <v>2204</v>
      </c>
      <c r="E1000" s="13" t="s">
        <v>2212</v>
      </c>
      <c r="F1000" s="13" t="s">
        <v>2224</v>
      </c>
      <c r="G1000" s="13">
        <v>135.69</v>
      </c>
      <c r="H1000" s="13">
        <v>3</v>
      </c>
      <c r="I1000" s="13">
        <v>131.62</v>
      </c>
      <c r="J1000" s="24">
        <v>45533</v>
      </c>
      <c r="K1000" s="13">
        <v>16</v>
      </c>
      <c r="M1000" s="13" t="b">
        <v>0</v>
      </c>
      <c r="O1000" s="13">
        <f t="shared" si="15"/>
        <v>2.9000000000000008</v>
      </c>
    </row>
    <row r="1001" spans="1:15" x14ac:dyDescent="0.25">
      <c r="A1001" s="13" t="s">
        <v>1013</v>
      </c>
      <c r="B1001" s="13" t="s">
        <v>2195</v>
      </c>
      <c r="C1001" s="13" t="s">
        <v>2202</v>
      </c>
      <c r="D1001" s="13" t="s">
        <v>2206</v>
      </c>
      <c r="F1001" s="13" t="s">
        <v>2214</v>
      </c>
      <c r="G1001" s="13">
        <v>48.14</v>
      </c>
      <c r="H1001" s="13">
        <v>28.3</v>
      </c>
      <c r="I1001" s="13">
        <v>34.520000000000003</v>
      </c>
      <c r="J1001" s="24">
        <v>45875</v>
      </c>
      <c r="K1001" s="13">
        <v>41</v>
      </c>
      <c r="M1001" s="13" t="b">
        <v>0</v>
      </c>
      <c r="O1001" s="13">
        <f t="shared" si="15"/>
        <v>2.980952380952381</v>
      </c>
    </row>
    <row r="1002" spans="1:15" x14ac:dyDescent="0.25">
      <c r="A1002" s="13" t="s">
        <v>1014</v>
      </c>
      <c r="B1002" s="13" t="s">
        <v>2195</v>
      </c>
      <c r="C1002" s="13" t="s">
        <v>2199</v>
      </c>
      <c r="D1002" s="13" t="s">
        <v>2206</v>
      </c>
      <c r="E1002" s="13" t="s">
        <v>2212</v>
      </c>
      <c r="F1002" s="13" t="s">
        <v>2219</v>
      </c>
      <c r="G1002" s="13">
        <v>142.96</v>
      </c>
      <c r="H1002" s="13">
        <v>47.7</v>
      </c>
      <c r="I1002" s="13">
        <v>74.77</v>
      </c>
      <c r="J1002" s="24">
        <v>45875</v>
      </c>
      <c r="K1002" s="13">
        <v>7</v>
      </c>
      <c r="M1002" s="13" t="b">
        <v>0</v>
      </c>
      <c r="O1002" s="13">
        <f t="shared" si="15"/>
        <v>2.8372093023255811</v>
      </c>
    </row>
    <row r="1003" spans="1:15" x14ac:dyDescent="0.25">
      <c r="A1003" s="13" t="s">
        <v>1015</v>
      </c>
      <c r="B1003" s="13" t="s">
        <v>2191</v>
      </c>
      <c r="C1003" s="13" t="s">
        <v>2203</v>
      </c>
      <c r="D1003" s="13" t="s">
        <v>2204</v>
      </c>
      <c r="E1003" s="13" t="s">
        <v>2209</v>
      </c>
      <c r="F1003" s="13" t="s">
        <v>2221</v>
      </c>
      <c r="G1003" s="13">
        <v>51.72</v>
      </c>
      <c r="H1003" s="13">
        <v>0</v>
      </c>
      <c r="I1003" s="13">
        <v>51.72</v>
      </c>
      <c r="J1003" s="24">
        <v>45702</v>
      </c>
      <c r="K1003" s="13">
        <v>50</v>
      </c>
      <c r="M1003" s="13" t="b">
        <v>0</v>
      </c>
      <c r="O1003" s="13">
        <f t="shared" si="15"/>
        <v>2.6870967741935483</v>
      </c>
    </row>
    <row r="1004" spans="1:15" x14ac:dyDescent="0.25">
      <c r="A1004" s="13" t="s">
        <v>1016</v>
      </c>
      <c r="B1004" s="13" t="s">
        <v>2192</v>
      </c>
      <c r="C1004" s="13" t="s">
        <v>2196</v>
      </c>
      <c r="D1004" s="13" t="s">
        <v>2206</v>
      </c>
      <c r="F1004" s="13" t="s">
        <v>2224</v>
      </c>
      <c r="G1004" s="13">
        <v>18.3</v>
      </c>
      <c r="H1004" s="13">
        <v>38.299999999999997</v>
      </c>
      <c r="I1004" s="13">
        <v>11.29</v>
      </c>
      <c r="J1004" s="24">
        <v>45875</v>
      </c>
      <c r="K1004" s="13">
        <v>14</v>
      </c>
      <c r="L1004" s="13">
        <v>1.1000000000000001</v>
      </c>
      <c r="M1004" s="13" t="b">
        <v>0</v>
      </c>
      <c r="O1004" s="13">
        <f t="shared" si="15"/>
        <v>1.1000000000000001</v>
      </c>
    </row>
    <row r="1005" spans="1:15" x14ac:dyDescent="0.25">
      <c r="A1005" s="13" t="s">
        <v>1017</v>
      </c>
      <c r="B1005" s="13" t="s">
        <v>2190</v>
      </c>
      <c r="C1005" s="13" t="s">
        <v>2199</v>
      </c>
      <c r="D1005" s="13" t="s">
        <v>2204</v>
      </c>
      <c r="E1005" s="13" t="s">
        <v>2209</v>
      </c>
      <c r="F1005" s="13" t="s">
        <v>2222</v>
      </c>
      <c r="G1005" s="13">
        <v>214.99</v>
      </c>
      <c r="H1005" s="13">
        <v>29</v>
      </c>
      <c r="I1005" s="13">
        <v>152.63999999999999</v>
      </c>
      <c r="J1005" s="24">
        <v>45541</v>
      </c>
      <c r="K1005" s="13">
        <v>32</v>
      </c>
      <c r="L1005" s="13">
        <v>2.8</v>
      </c>
      <c r="M1005" s="13" t="b">
        <v>1</v>
      </c>
      <c r="N1005" s="13" t="s">
        <v>2230</v>
      </c>
      <c r="O1005" s="13">
        <f t="shared" si="15"/>
        <v>2.8</v>
      </c>
    </row>
    <row r="1006" spans="1:15" x14ac:dyDescent="0.25">
      <c r="A1006" s="13" t="s">
        <v>1018</v>
      </c>
      <c r="B1006" s="13" t="s">
        <v>2192</v>
      </c>
      <c r="C1006" s="13" t="s">
        <v>2202</v>
      </c>
      <c r="D1006" s="13" t="s">
        <v>2204</v>
      </c>
      <c r="F1006" s="13" t="s">
        <v>2214</v>
      </c>
      <c r="G1006" s="13">
        <v>20.77</v>
      </c>
      <c r="H1006" s="13">
        <v>0</v>
      </c>
      <c r="I1006" s="13">
        <v>20.77</v>
      </c>
      <c r="J1006" s="24">
        <v>45521</v>
      </c>
      <c r="K1006" s="13">
        <v>31</v>
      </c>
      <c r="L1006" s="13">
        <v>2</v>
      </c>
      <c r="M1006" s="13" t="b">
        <v>0</v>
      </c>
      <c r="O1006" s="13">
        <f t="shared" si="15"/>
        <v>2</v>
      </c>
    </row>
    <row r="1007" spans="1:15" x14ac:dyDescent="0.25">
      <c r="A1007" s="13" t="s">
        <v>1019</v>
      </c>
      <c r="B1007" s="13" t="s">
        <v>2192</v>
      </c>
      <c r="C1007" s="13" t="s">
        <v>2202</v>
      </c>
      <c r="D1007" s="13" t="s">
        <v>2207</v>
      </c>
      <c r="F1007" s="13" t="s">
        <v>2215</v>
      </c>
      <c r="G1007" s="13">
        <v>77.959999999999994</v>
      </c>
      <c r="H1007" s="13">
        <v>0</v>
      </c>
      <c r="I1007" s="13">
        <v>77.959999999999994</v>
      </c>
      <c r="J1007" s="24">
        <v>45875</v>
      </c>
      <c r="K1007" s="13">
        <v>39</v>
      </c>
      <c r="L1007" s="13">
        <v>4.8</v>
      </c>
      <c r="M1007" s="13" t="b">
        <v>0</v>
      </c>
      <c r="O1007" s="13">
        <f t="shared" si="15"/>
        <v>4.8</v>
      </c>
    </row>
    <row r="1008" spans="1:15" x14ac:dyDescent="0.25">
      <c r="A1008" s="13" t="s">
        <v>1020</v>
      </c>
      <c r="B1008" s="13" t="s">
        <v>2192</v>
      </c>
      <c r="C1008" s="13" t="s">
        <v>2196</v>
      </c>
      <c r="D1008" s="13" t="s">
        <v>2206</v>
      </c>
      <c r="F1008" s="13" t="s">
        <v>2223</v>
      </c>
      <c r="G1008" s="13">
        <v>73.33</v>
      </c>
      <c r="H1008" s="13">
        <v>34.6</v>
      </c>
      <c r="I1008" s="13">
        <v>47.96</v>
      </c>
      <c r="J1008" s="24">
        <v>45875</v>
      </c>
      <c r="K1008" s="13">
        <v>45</v>
      </c>
      <c r="L1008" s="13">
        <v>2.1</v>
      </c>
      <c r="M1008" s="13" t="b">
        <v>0</v>
      </c>
      <c r="O1008" s="13">
        <f t="shared" si="15"/>
        <v>2.1</v>
      </c>
    </row>
    <row r="1009" spans="1:15" x14ac:dyDescent="0.25">
      <c r="A1009" s="13" t="s">
        <v>1021</v>
      </c>
      <c r="B1009" s="13" t="s">
        <v>2192</v>
      </c>
      <c r="C1009" s="13" t="s">
        <v>2203</v>
      </c>
      <c r="D1009" s="13" t="s">
        <v>2206</v>
      </c>
      <c r="F1009" s="13" t="s">
        <v>2223</v>
      </c>
      <c r="G1009" s="13">
        <v>75.22</v>
      </c>
      <c r="H1009" s="13">
        <v>25.9</v>
      </c>
      <c r="I1009" s="13">
        <v>55.74</v>
      </c>
      <c r="J1009" s="24">
        <v>45875</v>
      </c>
      <c r="K1009" s="13">
        <v>31</v>
      </c>
      <c r="L1009" s="13">
        <v>1.9</v>
      </c>
      <c r="M1009" s="13" t="b">
        <v>1</v>
      </c>
      <c r="N1009" s="13" t="s">
        <v>2225</v>
      </c>
      <c r="O1009" s="13">
        <f t="shared" si="15"/>
        <v>1.9</v>
      </c>
    </row>
    <row r="1010" spans="1:15" x14ac:dyDescent="0.25">
      <c r="A1010" s="13" t="s">
        <v>1022</v>
      </c>
      <c r="B1010" s="13" t="s">
        <v>2194</v>
      </c>
      <c r="C1010" s="13" t="s">
        <v>2202</v>
      </c>
      <c r="D1010" s="13" t="s">
        <v>2206</v>
      </c>
      <c r="E1010" s="13" t="s">
        <v>2212</v>
      </c>
      <c r="F1010" s="13" t="s">
        <v>2216</v>
      </c>
      <c r="G1010" s="13">
        <v>46.65</v>
      </c>
      <c r="H1010" s="13">
        <v>24.2</v>
      </c>
      <c r="I1010" s="13">
        <v>35.36</v>
      </c>
      <c r="J1010" s="24">
        <v>45875</v>
      </c>
      <c r="K1010" s="13">
        <v>8</v>
      </c>
      <c r="L1010" s="13">
        <v>3.2</v>
      </c>
      <c r="M1010" s="13" t="b">
        <v>0</v>
      </c>
      <c r="O1010" s="13">
        <f t="shared" si="15"/>
        <v>3.2</v>
      </c>
    </row>
    <row r="1011" spans="1:15" x14ac:dyDescent="0.25">
      <c r="A1011" s="13" t="s">
        <v>1023</v>
      </c>
      <c r="B1011" s="13" t="s">
        <v>2195</v>
      </c>
      <c r="C1011" s="13" t="s">
        <v>2199</v>
      </c>
      <c r="D1011" s="13" t="s">
        <v>2206</v>
      </c>
      <c r="E1011" s="13" t="s">
        <v>2211</v>
      </c>
      <c r="F1011" s="13" t="s">
        <v>2215</v>
      </c>
      <c r="G1011" s="13">
        <v>108.19</v>
      </c>
      <c r="H1011" s="13">
        <v>0</v>
      </c>
      <c r="I1011" s="13">
        <v>108.19</v>
      </c>
      <c r="J1011" s="24">
        <v>45875</v>
      </c>
      <c r="K1011" s="13">
        <v>21</v>
      </c>
      <c r="M1011" s="13" t="b">
        <v>0</v>
      </c>
      <c r="O1011" s="13">
        <f t="shared" si="15"/>
        <v>2.8372093023255811</v>
      </c>
    </row>
    <row r="1012" spans="1:15" x14ac:dyDescent="0.25">
      <c r="A1012" s="13" t="s">
        <v>1024</v>
      </c>
      <c r="B1012" s="13" t="s">
        <v>2195</v>
      </c>
      <c r="C1012" s="13" t="s">
        <v>2196</v>
      </c>
      <c r="D1012" s="13" t="s">
        <v>2204</v>
      </c>
      <c r="E1012" s="13" t="s">
        <v>2209</v>
      </c>
      <c r="F1012" s="13" t="s">
        <v>2214</v>
      </c>
      <c r="G1012" s="13">
        <v>62.82</v>
      </c>
      <c r="H1012" s="13">
        <v>0</v>
      </c>
      <c r="I1012" s="13">
        <v>62.82</v>
      </c>
      <c r="J1012" s="24">
        <v>45573</v>
      </c>
      <c r="K1012" s="13">
        <v>36</v>
      </c>
      <c r="L1012" s="13">
        <v>2.1</v>
      </c>
      <c r="M1012" s="13" t="b">
        <v>0</v>
      </c>
      <c r="O1012" s="13">
        <f t="shared" si="15"/>
        <v>2.1</v>
      </c>
    </row>
    <row r="1013" spans="1:15" x14ac:dyDescent="0.25">
      <c r="A1013" s="13" t="s">
        <v>1025</v>
      </c>
      <c r="B1013" s="13" t="s">
        <v>2191</v>
      </c>
      <c r="C1013" s="13" t="s">
        <v>2196</v>
      </c>
      <c r="D1013" s="13" t="s">
        <v>2207</v>
      </c>
      <c r="E1013" s="13" t="s">
        <v>2210</v>
      </c>
      <c r="F1013" s="13" t="s">
        <v>2215</v>
      </c>
      <c r="G1013" s="13">
        <v>57.32</v>
      </c>
      <c r="H1013" s="13">
        <v>57.4</v>
      </c>
      <c r="I1013" s="13">
        <v>24.42</v>
      </c>
      <c r="J1013" s="24">
        <v>45875</v>
      </c>
      <c r="K1013" s="13">
        <v>46</v>
      </c>
      <c r="L1013" s="13">
        <v>3.1</v>
      </c>
      <c r="M1013" s="13" t="b">
        <v>0</v>
      </c>
      <c r="O1013" s="13">
        <f t="shared" si="15"/>
        <v>3.1</v>
      </c>
    </row>
    <row r="1014" spans="1:15" x14ac:dyDescent="0.25">
      <c r="A1014" s="13" t="s">
        <v>1026</v>
      </c>
      <c r="B1014" s="13" t="s">
        <v>2190</v>
      </c>
      <c r="C1014" s="13" t="s">
        <v>2200</v>
      </c>
      <c r="D1014" s="13" t="s">
        <v>2205</v>
      </c>
      <c r="E1014" s="13" t="s">
        <v>2211</v>
      </c>
      <c r="F1014" s="13" t="s">
        <v>2220</v>
      </c>
      <c r="G1014" s="13">
        <v>153.59</v>
      </c>
      <c r="H1014" s="13">
        <v>0</v>
      </c>
      <c r="I1014" s="13">
        <v>153.59</v>
      </c>
      <c r="J1014" s="24">
        <v>45875</v>
      </c>
      <c r="K1014" s="13">
        <v>31</v>
      </c>
      <c r="L1014" s="13">
        <v>2.9</v>
      </c>
      <c r="M1014" s="13" t="b">
        <v>1</v>
      </c>
      <c r="N1014" s="13" t="s">
        <v>2227</v>
      </c>
      <c r="O1014" s="13">
        <f t="shared" si="15"/>
        <v>2.9</v>
      </c>
    </row>
    <row r="1015" spans="1:15" x14ac:dyDescent="0.25">
      <c r="A1015" s="13" t="s">
        <v>1027</v>
      </c>
      <c r="B1015" s="13" t="s">
        <v>2193</v>
      </c>
      <c r="C1015" s="13" t="s">
        <v>2199</v>
      </c>
      <c r="D1015" s="13" t="s">
        <v>2205</v>
      </c>
      <c r="E1015" s="13" t="s">
        <v>2208</v>
      </c>
      <c r="F1015" s="13" t="s">
        <v>2223</v>
      </c>
      <c r="G1015" s="13">
        <v>101.14</v>
      </c>
      <c r="H1015" s="13">
        <v>0</v>
      </c>
      <c r="I1015" s="13">
        <v>101.14</v>
      </c>
      <c r="J1015" s="24">
        <v>45875</v>
      </c>
      <c r="K1015" s="13">
        <v>43</v>
      </c>
      <c r="L1015" s="13">
        <v>2.8</v>
      </c>
      <c r="M1015" s="13" t="b">
        <v>0</v>
      </c>
      <c r="O1015" s="13">
        <f t="shared" si="15"/>
        <v>2.8</v>
      </c>
    </row>
    <row r="1016" spans="1:15" x14ac:dyDescent="0.25">
      <c r="A1016" s="13" t="s">
        <v>1028</v>
      </c>
      <c r="B1016" s="13" t="s">
        <v>2194</v>
      </c>
      <c r="C1016" s="13" t="s">
        <v>2201</v>
      </c>
      <c r="D1016" s="13" t="s">
        <v>2204</v>
      </c>
      <c r="E1016" s="13" t="s">
        <v>2211</v>
      </c>
      <c r="F1016" s="13" t="s">
        <v>2224</v>
      </c>
      <c r="G1016" s="13">
        <v>43.89</v>
      </c>
      <c r="H1016" s="13">
        <v>15.6</v>
      </c>
      <c r="I1016" s="13">
        <v>37.04</v>
      </c>
      <c r="J1016" s="24">
        <v>45777</v>
      </c>
      <c r="K1016" s="13">
        <v>31</v>
      </c>
      <c r="L1016" s="13">
        <v>1.7</v>
      </c>
      <c r="M1016" s="13" t="b">
        <v>1</v>
      </c>
      <c r="N1016" s="13" t="s">
        <v>2230</v>
      </c>
      <c r="O1016" s="13">
        <f t="shared" si="15"/>
        <v>1.7</v>
      </c>
    </row>
    <row r="1017" spans="1:15" x14ac:dyDescent="0.25">
      <c r="A1017" s="13" t="s">
        <v>1029</v>
      </c>
      <c r="B1017" s="13" t="s">
        <v>2190</v>
      </c>
      <c r="C1017" s="13" t="s">
        <v>2196</v>
      </c>
      <c r="D1017" s="13" t="s">
        <v>2205</v>
      </c>
      <c r="E1017" s="13" t="s">
        <v>2210</v>
      </c>
      <c r="F1017" s="13" t="s">
        <v>2218</v>
      </c>
      <c r="G1017" s="13">
        <v>130.16</v>
      </c>
      <c r="H1017" s="13">
        <v>47.5</v>
      </c>
      <c r="I1017" s="13">
        <v>68.33</v>
      </c>
      <c r="J1017" s="24">
        <v>45875</v>
      </c>
      <c r="K1017" s="13">
        <v>21</v>
      </c>
      <c r="M1017" s="13" t="b">
        <v>0</v>
      </c>
      <c r="O1017" s="13">
        <f t="shared" si="15"/>
        <v>2.7030303030303036</v>
      </c>
    </row>
    <row r="1018" spans="1:15" x14ac:dyDescent="0.25">
      <c r="A1018" s="13" t="s">
        <v>1030</v>
      </c>
      <c r="B1018" s="13" t="s">
        <v>2195</v>
      </c>
      <c r="C1018" s="13" t="s">
        <v>2202</v>
      </c>
      <c r="D1018" s="13" t="s">
        <v>2205</v>
      </c>
      <c r="E1018" s="13" t="s">
        <v>2209</v>
      </c>
      <c r="F1018" s="13" t="s">
        <v>2216</v>
      </c>
      <c r="G1018" s="13">
        <v>153.12</v>
      </c>
      <c r="H1018" s="13">
        <v>0</v>
      </c>
      <c r="I1018" s="13">
        <v>153.12</v>
      </c>
      <c r="J1018" s="24">
        <v>45875</v>
      </c>
      <c r="K1018" s="13">
        <v>27</v>
      </c>
      <c r="L1018" s="13">
        <v>3.3</v>
      </c>
      <c r="M1018" s="13" t="b">
        <v>0</v>
      </c>
      <c r="O1018" s="13">
        <f t="shared" si="15"/>
        <v>3.3</v>
      </c>
    </row>
    <row r="1019" spans="1:15" x14ac:dyDescent="0.25">
      <c r="A1019" s="13" t="s">
        <v>1031</v>
      </c>
      <c r="B1019" s="13" t="s">
        <v>2191</v>
      </c>
      <c r="C1019" s="13" t="s">
        <v>2203</v>
      </c>
      <c r="D1019" s="13" t="s">
        <v>2207</v>
      </c>
      <c r="E1019" s="13" t="s">
        <v>2211</v>
      </c>
      <c r="F1019" s="13" t="s">
        <v>2219</v>
      </c>
      <c r="G1019" s="13">
        <v>37.119999999999997</v>
      </c>
      <c r="H1019" s="13">
        <v>12.1</v>
      </c>
      <c r="I1019" s="13">
        <v>32.630000000000003</v>
      </c>
      <c r="J1019" s="24">
        <v>45875</v>
      </c>
      <c r="K1019" s="13">
        <v>43</v>
      </c>
      <c r="L1019" s="13">
        <v>3.2</v>
      </c>
      <c r="M1019" s="13" t="b">
        <v>0</v>
      </c>
      <c r="O1019" s="13">
        <f t="shared" si="15"/>
        <v>3.2</v>
      </c>
    </row>
    <row r="1020" spans="1:15" x14ac:dyDescent="0.25">
      <c r="A1020" s="13" t="s">
        <v>1032</v>
      </c>
      <c r="B1020" s="13" t="s">
        <v>2191</v>
      </c>
      <c r="C1020" s="13" t="s">
        <v>2199</v>
      </c>
      <c r="D1020" s="13" t="s">
        <v>2207</v>
      </c>
      <c r="E1020" s="13" t="s">
        <v>2211</v>
      </c>
      <c r="F1020" s="13" t="s">
        <v>2223</v>
      </c>
      <c r="G1020" s="13">
        <v>41.05</v>
      </c>
      <c r="H1020" s="13">
        <v>0</v>
      </c>
      <c r="I1020" s="13">
        <v>41.05</v>
      </c>
      <c r="J1020" s="24">
        <v>45875</v>
      </c>
      <c r="K1020" s="13">
        <v>24</v>
      </c>
      <c r="M1020" s="13" t="b">
        <v>0</v>
      </c>
      <c r="O1020" s="13">
        <f t="shared" si="15"/>
        <v>2.9742857142857138</v>
      </c>
    </row>
    <row r="1021" spans="1:15" x14ac:dyDescent="0.25">
      <c r="A1021" s="13" t="s">
        <v>1033</v>
      </c>
      <c r="B1021" s="13" t="s">
        <v>2193</v>
      </c>
      <c r="C1021" s="13" t="s">
        <v>2203</v>
      </c>
      <c r="D1021" s="13" t="s">
        <v>2206</v>
      </c>
      <c r="E1021" s="13" t="s">
        <v>2213</v>
      </c>
      <c r="F1021" s="13" t="s">
        <v>2222</v>
      </c>
      <c r="G1021" s="13">
        <v>61.04</v>
      </c>
      <c r="H1021" s="13">
        <v>0</v>
      </c>
      <c r="I1021" s="13">
        <v>61.04</v>
      </c>
      <c r="J1021" s="24">
        <v>45875</v>
      </c>
      <c r="K1021" s="13">
        <v>43</v>
      </c>
      <c r="L1021" s="13">
        <v>1.9</v>
      </c>
      <c r="M1021" s="13" t="b">
        <v>0</v>
      </c>
      <c r="O1021" s="13">
        <f t="shared" si="15"/>
        <v>1.9</v>
      </c>
    </row>
    <row r="1022" spans="1:15" x14ac:dyDescent="0.25">
      <c r="A1022" s="13" t="s">
        <v>1034</v>
      </c>
      <c r="B1022" s="13" t="s">
        <v>2191</v>
      </c>
      <c r="C1022" s="13" t="s">
        <v>2201</v>
      </c>
      <c r="D1022" s="13" t="s">
        <v>2207</v>
      </c>
      <c r="E1022" s="13" t="s">
        <v>2210</v>
      </c>
      <c r="F1022" s="13" t="s">
        <v>2216</v>
      </c>
      <c r="G1022" s="13">
        <v>97.17</v>
      </c>
      <c r="H1022" s="13">
        <v>0</v>
      </c>
      <c r="I1022" s="13">
        <v>97.17</v>
      </c>
      <c r="J1022" s="24">
        <v>45875</v>
      </c>
      <c r="K1022" s="13">
        <v>35</v>
      </c>
      <c r="L1022" s="13">
        <v>3</v>
      </c>
      <c r="M1022" s="13" t="b">
        <v>0</v>
      </c>
      <c r="O1022" s="13">
        <f t="shared" si="15"/>
        <v>3</v>
      </c>
    </row>
    <row r="1023" spans="1:15" x14ac:dyDescent="0.25">
      <c r="A1023" s="13" t="s">
        <v>1035</v>
      </c>
      <c r="B1023" s="13" t="s">
        <v>2192</v>
      </c>
      <c r="C1023" s="13" t="s">
        <v>2197</v>
      </c>
      <c r="D1023" s="13" t="s">
        <v>2207</v>
      </c>
      <c r="F1023" s="13" t="s">
        <v>2214</v>
      </c>
      <c r="G1023" s="13">
        <v>63.45</v>
      </c>
      <c r="H1023" s="13">
        <v>0</v>
      </c>
      <c r="I1023" s="13">
        <v>63.45</v>
      </c>
      <c r="J1023" s="24">
        <v>45875</v>
      </c>
      <c r="K1023" s="13">
        <v>4</v>
      </c>
      <c r="L1023" s="13">
        <v>3.9</v>
      </c>
      <c r="M1023" s="13" t="b">
        <v>0</v>
      </c>
      <c r="O1023" s="13">
        <f t="shared" si="15"/>
        <v>3.9</v>
      </c>
    </row>
    <row r="1024" spans="1:15" x14ac:dyDescent="0.25">
      <c r="A1024" s="13" t="s">
        <v>1036</v>
      </c>
      <c r="B1024" s="13" t="s">
        <v>2191</v>
      </c>
      <c r="C1024" s="13" t="s">
        <v>2199</v>
      </c>
      <c r="D1024" s="13" t="s">
        <v>2206</v>
      </c>
      <c r="F1024" s="13" t="s">
        <v>2218</v>
      </c>
      <c r="G1024" s="13">
        <v>117.39</v>
      </c>
      <c r="H1024" s="13">
        <v>0</v>
      </c>
      <c r="I1024" s="13">
        <v>117.39</v>
      </c>
      <c r="J1024" s="24">
        <v>45875</v>
      </c>
      <c r="K1024" s="13">
        <v>14</v>
      </c>
      <c r="L1024" s="13">
        <v>3.2</v>
      </c>
      <c r="M1024" s="13" t="b">
        <v>0</v>
      </c>
      <c r="O1024" s="13">
        <f t="shared" si="15"/>
        <v>3.2</v>
      </c>
    </row>
    <row r="1025" spans="1:15" x14ac:dyDescent="0.25">
      <c r="A1025" s="13" t="s">
        <v>1037</v>
      </c>
      <c r="B1025" s="13" t="s">
        <v>2191</v>
      </c>
      <c r="C1025" s="13" t="s">
        <v>2198</v>
      </c>
      <c r="D1025" s="13" t="s">
        <v>2204</v>
      </c>
      <c r="E1025" s="13" t="s">
        <v>2210</v>
      </c>
      <c r="F1025" s="13" t="s">
        <v>2224</v>
      </c>
      <c r="G1025" s="13">
        <v>32.89</v>
      </c>
      <c r="H1025" s="13">
        <v>0</v>
      </c>
      <c r="I1025" s="13">
        <v>32.89</v>
      </c>
      <c r="J1025" s="24">
        <v>45846</v>
      </c>
      <c r="K1025" s="13">
        <v>6</v>
      </c>
      <c r="L1025" s="13">
        <v>4.5999999999999996</v>
      </c>
      <c r="M1025" s="13" t="b">
        <v>0</v>
      </c>
      <c r="O1025" s="13">
        <f t="shared" si="15"/>
        <v>4.5999999999999996</v>
      </c>
    </row>
    <row r="1026" spans="1:15" x14ac:dyDescent="0.25">
      <c r="A1026" s="13" t="s">
        <v>1038</v>
      </c>
      <c r="B1026" s="13" t="s">
        <v>2194</v>
      </c>
      <c r="C1026" s="13" t="s">
        <v>2201</v>
      </c>
      <c r="D1026" s="13" t="s">
        <v>2204</v>
      </c>
      <c r="E1026" s="13" t="s">
        <v>2209</v>
      </c>
      <c r="F1026" s="13" t="s">
        <v>2219</v>
      </c>
      <c r="G1026" s="13">
        <v>102.6</v>
      </c>
      <c r="H1026" s="13">
        <v>38.6</v>
      </c>
      <c r="I1026" s="13">
        <v>63</v>
      </c>
      <c r="J1026" s="24">
        <v>45787</v>
      </c>
      <c r="K1026" s="13">
        <v>14</v>
      </c>
      <c r="L1026" s="13">
        <v>4</v>
      </c>
      <c r="M1026" s="13" t="b">
        <v>0</v>
      </c>
      <c r="O1026" s="13">
        <f t="shared" si="15"/>
        <v>4</v>
      </c>
    </row>
    <row r="1027" spans="1:15" x14ac:dyDescent="0.25">
      <c r="A1027" s="13" t="s">
        <v>1039</v>
      </c>
      <c r="B1027" s="13" t="s">
        <v>2193</v>
      </c>
      <c r="C1027" s="13" t="s">
        <v>2202</v>
      </c>
      <c r="D1027" s="13" t="s">
        <v>2204</v>
      </c>
      <c r="E1027" s="13" t="s">
        <v>2211</v>
      </c>
      <c r="F1027" s="13" t="s">
        <v>2222</v>
      </c>
      <c r="G1027" s="13">
        <v>155.91999999999999</v>
      </c>
      <c r="H1027" s="13">
        <v>32.200000000000003</v>
      </c>
      <c r="I1027" s="13">
        <v>105.71</v>
      </c>
      <c r="J1027" s="24">
        <v>45567</v>
      </c>
      <c r="K1027" s="13">
        <v>5</v>
      </c>
      <c r="L1027" s="13">
        <v>2</v>
      </c>
      <c r="M1027" s="13" t="b">
        <v>0</v>
      </c>
      <c r="O1027" s="13">
        <f t="shared" ref="O1027:O1090" si="16">IF(L1027="",AVERAGEIFS($L$2:$L$2177,$B$2:$B$2177,B1027,$C$2:$C$2177,C1027),L1027)</f>
        <v>2</v>
      </c>
    </row>
    <row r="1028" spans="1:15" x14ac:dyDescent="0.25">
      <c r="A1028" s="13" t="s">
        <v>1040</v>
      </c>
      <c r="B1028" s="13" t="s">
        <v>2190</v>
      </c>
      <c r="C1028" s="13" t="s">
        <v>2202</v>
      </c>
      <c r="D1028" s="13" t="s">
        <v>2206</v>
      </c>
      <c r="E1028" s="13" t="s">
        <v>2209</v>
      </c>
      <c r="F1028" s="13" t="s">
        <v>2223</v>
      </c>
      <c r="G1028" s="13">
        <v>178.39</v>
      </c>
      <c r="H1028" s="13">
        <v>0</v>
      </c>
      <c r="I1028" s="13">
        <v>178.39</v>
      </c>
      <c r="J1028" s="24">
        <v>45875</v>
      </c>
      <c r="K1028" s="13">
        <v>29</v>
      </c>
      <c r="L1028" s="13">
        <v>4.2</v>
      </c>
      <c r="M1028" s="13" t="b">
        <v>0</v>
      </c>
      <c r="O1028" s="13">
        <f t="shared" si="16"/>
        <v>4.2</v>
      </c>
    </row>
    <row r="1029" spans="1:15" x14ac:dyDescent="0.25">
      <c r="A1029" s="13" t="s">
        <v>1041</v>
      </c>
      <c r="B1029" s="13" t="s">
        <v>2190</v>
      </c>
      <c r="C1029" s="13" t="s">
        <v>2200</v>
      </c>
      <c r="D1029" s="13" t="s">
        <v>2204</v>
      </c>
      <c r="E1029" s="13" t="s">
        <v>2208</v>
      </c>
      <c r="F1029" s="13" t="s">
        <v>2218</v>
      </c>
      <c r="G1029" s="13">
        <v>151.1</v>
      </c>
      <c r="H1029" s="13">
        <v>0</v>
      </c>
      <c r="I1029" s="13">
        <v>151.1</v>
      </c>
      <c r="J1029" s="24">
        <v>45738</v>
      </c>
      <c r="K1029" s="13">
        <v>24</v>
      </c>
      <c r="L1029" s="13">
        <v>2.4</v>
      </c>
      <c r="M1029" s="13" t="b">
        <v>0</v>
      </c>
      <c r="O1029" s="13">
        <f t="shared" si="16"/>
        <v>2.4</v>
      </c>
    </row>
    <row r="1030" spans="1:15" x14ac:dyDescent="0.25">
      <c r="A1030" s="13" t="s">
        <v>1042</v>
      </c>
      <c r="B1030" s="13" t="s">
        <v>2191</v>
      </c>
      <c r="C1030" s="13" t="s">
        <v>2203</v>
      </c>
      <c r="D1030" s="13" t="s">
        <v>2207</v>
      </c>
      <c r="E1030" s="13" t="s">
        <v>2211</v>
      </c>
      <c r="F1030" s="13" t="s">
        <v>2221</v>
      </c>
      <c r="G1030" s="13">
        <v>91.03</v>
      </c>
      <c r="H1030" s="13">
        <v>55.4</v>
      </c>
      <c r="I1030" s="13">
        <v>40.6</v>
      </c>
      <c r="J1030" s="24">
        <v>45875</v>
      </c>
      <c r="K1030" s="13">
        <v>2</v>
      </c>
      <c r="L1030" s="13">
        <v>2.5</v>
      </c>
      <c r="M1030" s="13" t="b">
        <v>0</v>
      </c>
      <c r="O1030" s="13">
        <f t="shared" si="16"/>
        <v>2.5</v>
      </c>
    </row>
    <row r="1031" spans="1:15" x14ac:dyDescent="0.25">
      <c r="A1031" s="13" t="s">
        <v>1043</v>
      </c>
      <c r="B1031" s="13" t="s">
        <v>2191</v>
      </c>
      <c r="C1031" s="13" t="s">
        <v>2200</v>
      </c>
      <c r="D1031" s="13" t="s">
        <v>2206</v>
      </c>
      <c r="E1031" s="13" t="s">
        <v>2213</v>
      </c>
      <c r="F1031" s="13" t="s">
        <v>2218</v>
      </c>
      <c r="G1031" s="13">
        <v>89.03</v>
      </c>
      <c r="H1031" s="13">
        <v>41.3</v>
      </c>
      <c r="I1031" s="13">
        <v>52.26</v>
      </c>
      <c r="J1031" s="24">
        <v>45875</v>
      </c>
      <c r="K1031" s="13">
        <v>50</v>
      </c>
      <c r="M1031" s="13" t="b">
        <v>0</v>
      </c>
      <c r="O1031" s="13">
        <f t="shared" si="16"/>
        <v>2.9657142857142857</v>
      </c>
    </row>
    <row r="1032" spans="1:15" x14ac:dyDescent="0.25">
      <c r="A1032" s="13" t="s">
        <v>1044</v>
      </c>
      <c r="B1032" s="13" t="s">
        <v>2195</v>
      </c>
      <c r="C1032" s="13" t="s">
        <v>2201</v>
      </c>
      <c r="D1032" s="13" t="s">
        <v>2207</v>
      </c>
      <c r="E1032" s="13" t="s">
        <v>2210</v>
      </c>
      <c r="F1032" s="13" t="s">
        <v>2220</v>
      </c>
      <c r="G1032" s="13">
        <v>147.58000000000001</v>
      </c>
      <c r="H1032" s="13">
        <v>0</v>
      </c>
      <c r="I1032" s="13">
        <v>147.58000000000001</v>
      </c>
      <c r="J1032" s="24">
        <v>45875</v>
      </c>
      <c r="K1032" s="13">
        <v>10</v>
      </c>
      <c r="L1032" s="13">
        <v>4.3</v>
      </c>
      <c r="M1032" s="13" t="b">
        <v>0</v>
      </c>
      <c r="O1032" s="13">
        <f t="shared" si="16"/>
        <v>4.3</v>
      </c>
    </row>
    <row r="1033" spans="1:15" x14ac:dyDescent="0.25">
      <c r="A1033" s="13" t="s">
        <v>1045</v>
      </c>
      <c r="B1033" s="13" t="s">
        <v>2195</v>
      </c>
      <c r="C1033" s="13" t="s">
        <v>2198</v>
      </c>
      <c r="D1033" s="13" t="s">
        <v>2207</v>
      </c>
      <c r="E1033" s="13" t="s">
        <v>2208</v>
      </c>
      <c r="F1033" s="13" t="s">
        <v>2219</v>
      </c>
      <c r="G1033" s="13">
        <v>79.98</v>
      </c>
      <c r="H1033" s="13">
        <v>0</v>
      </c>
      <c r="I1033" s="13">
        <v>79.98</v>
      </c>
      <c r="J1033" s="24">
        <v>45875</v>
      </c>
      <c r="K1033" s="13">
        <v>25</v>
      </c>
      <c r="L1033" s="13">
        <v>1.5</v>
      </c>
      <c r="M1033" s="13" t="b">
        <v>0</v>
      </c>
      <c r="O1033" s="13">
        <f t="shared" si="16"/>
        <v>1.5</v>
      </c>
    </row>
    <row r="1034" spans="1:15" x14ac:dyDescent="0.25">
      <c r="A1034" s="13" t="s">
        <v>1046</v>
      </c>
      <c r="B1034" s="13" t="s">
        <v>2195</v>
      </c>
      <c r="C1034" s="13" t="s">
        <v>2200</v>
      </c>
      <c r="D1034" s="13" t="s">
        <v>2206</v>
      </c>
      <c r="E1034" s="13" t="s">
        <v>2212</v>
      </c>
      <c r="F1034" s="13" t="s">
        <v>2221</v>
      </c>
      <c r="G1034" s="13">
        <v>86.38</v>
      </c>
      <c r="H1034" s="13">
        <v>0</v>
      </c>
      <c r="I1034" s="13">
        <v>86.38</v>
      </c>
      <c r="J1034" s="24">
        <v>45875</v>
      </c>
      <c r="K1034" s="13">
        <v>40</v>
      </c>
      <c r="L1034" s="13">
        <v>2.7</v>
      </c>
      <c r="M1034" s="13" t="b">
        <v>0</v>
      </c>
      <c r="O1034" s="13">
        <f t="shared" si="16"/>
        <v>2.7</v>
      </c>
    </row>
    <row r="1035" spans="1:15" x14ac:dyDescent="0.25">
      <c r="A1035" s="13" t="s">
        <v>1047</v>
      </c>
      <c r="B1035" s="13" t="s">
        <v>2191</v>
      </c>
      <c r="C1035" s="13" t="s">
        <v>2198</v>
      </c>
      <c r="D1035" s="13" t="s">
        <v>2207</v>
      </c>
      <c r="E1035" s="13" t="s">
        <v>2211</v>
      </c>
      <c r="F1035" s="13" t="s">
        <v>2224</v>
      </c>
      <c r="G1035" s="13">
        <v>47.29</v>
      </c>
      <c r="H1035" s="13">
        <v>40.4</v>
      </c>
      <c r="I1035" s="13">
        <v>28.18</v>
      </c>
      <c r="J1035" s="24">
        <v>45875</v>
      </c>
      <c r="K1035" s="13">
        <v>26</v>
      </c>
      <c r="L1035" s="13">
        <v>4.4000000000000004</v>
      </c>
      <c r="M1035" s="13" t="b">
        <v>0</v>
      </c>
      <c r="O1035" s="13">
        <f t="shared" si="16"/>
        <v>4.4000000000000004</v>
      </c>
    </row>
    <row r="1036" spans="1:15" x14ac:dyDescent="0.25">
      <c r="A1036" s="13" t="s">
        <v>1048</v>
      </c>
      <c r="B1036" s="13" t="s">
        <v>2190</v>
      </c>
      <c r="C1036" s="13" t="s">
        <v>2203</v>
      </c>
      <c r="D1036" s="13" t="s">
        <v>2204</v>
      </c>
      <c r="E1036" s="13" t="s">
        <v>2209</v>
      </c>
      <c r="F1036" s="13" t="s">
        <v>2222</v>
      </c>
      <c r="G1036" s="13">
        <v>196.54</v>
      </c>
      <c r="H1036" s="13">
        <v>22.6</v>
      </c>
      <c r="I1036" s="13">
        <v>152.12</v>
      </c>
      <c r="J1036" s="24">
        <v>45789</v>
      </c>
      <c r="K1036" s="13">
        <v>33</v>
      </c>
      <c r="L1036" s="13">
        <v>1.4</v>
      </c>
      <c r="M1036" s="13" t="b">
        <v>0</v>
      </c>
      <c r="O1036" s="13">
        <f t="shared" si="16"/>
        <v>1.4</v>
      </c>
    </row>
    <row r="1037" spans="1:15" x14ac:dyDescent="0.25">
      <c r="A1037" s="13" t="s">
        <v>1049</v>
      </c>
      <c r="B1037" s="13" t="s">
        <v>2191</v>
      </c>
      <c r="C1037" s="13" t="s">
        <v>2196</v>
      </c>
      <c r="D1037" s="13" t="s">
        <v>2204</v>
      </c>
      <c r="E1037" s="13" t="s">
        <v>2211</v>
      </c>
      <c r="F1037" s="13" t="s">
        <v>2218</v>
      </c>
      <c r="G1037" s="13">
        <v>72.72</v>
      </c>
      <c r="H1037" s="13">
        <v>0</v>
      </c>
      <c r="I1037" s="13">
        <v>72.72</v>
      </c>
      <c r="J1037" s="24">
        <v>45688</v>
      </c>
      <c r="K1037" s="13">
        <v>23</v>
      </c>
      <c r="L1037" s="13">
        <v>1.6</v>
      </c>
      <c r="M1037" s="13" t="b">
        <v>0</v>
      </c>
      <c r="O1037" s="13">
        <f t="shared" si="16"/>
        <v>1.6</v>
      </c>
    </row>
    <row r="1038" spans="1:15" x14ac:dyDescent="0.25">
      <c r="A1038" s="13" t="s">
        <v>1050</v>
      </c>
      <c r="B1038" s="13" t="s">
        <v>2191</v>
      </c>
      <c r="C1038" s="13" t="s">
        <v>2202</v>
      </c>
      <c r="D1038" s="13" t="s">
        <v>2207</v>
      </c>
      <c r="E1038" s="13" t="s">
        <v>2211</v>
      </c>
      <c r="F1038" s="13" t="s">
        <v>2221</v>
      </c>
      <c r="G1038" s="13">
        <v>115.5</v>
      </c>
      <c r="H1038" s="13">
        <v>0</v>
      </c>
      <c r="I1038" s="13">
        <v>115.5</v>
      </c>
      <c r="J1038" s="24">
        <v>45875</v>
      </c>
      <c r="K1038" s="13">
        <v>36</v>
      </c>
      <c r="M1038" s="13" t="b">
        <v>1</v>
      </c>
      <c r="N1038" s="13" t="s">
        <v>2228</v>
      </c>
      <c r="O1038" s="13">
        <f t="shared" si="16"/>
        <v>2.9074999999999998</v>
      </c>
    </row>
    <row r="1039" spans="1:15" x14ac:dyDescent="0.25">
      <c r="A1039" s="13" t="s">
        <v>1051</v>
      </c>
      <c r="B1039" s="13" t="s">
        <v>2192</v>
      </c>
      <c r="C1039" s="13" t="s">
        <v>2200</v>
      </c>
      <c r="D1039" s="13" t="s">
        <v>2207</v>
      </c>
      <c r="F1039" s="13" t="s">
        <v>2218</v>
      </c>
      <c r="G1039" s="13">
        <v>68.22</v>
      </c>
      <c r="H1039" s="13">
        <v>8.1</v>
      </c>
      <c r="I1039" s="13">
        <v>62.69</v>
      </c>
      <c r="J1039" s="24">
        <v>45875</v>
      </c>
      <c r="K1039" s="13">
        <v>28</v>
      </c>
      <c r="L1039" s="13">
        <v>4</v>
      </c>
      <c r="M1039" s="13" t="b">
        <v>0</v>
      </c>
      <c r="O1039" s="13">
        <f t="shared" si="16"/>
        <v>4</v>
      </c>
    </row>
    <row r="1040" spans="1:15" x14ac:dyDescent="0.25">
      <c r="A1040" s="13" t="s">
        <v>1052</v>
      </c>
      <c r="B1040" s="13" t="s">
        <v>2191</v>
      </c>
      <c r="C1040" s="13" t="s">
        <v>2199</v>
      </c>
      <c r="D1040" s="13" t="s">
        <v>2206</v>
      </c>
      <c r="E1040" s="13" t="s">
        <v>2211</v>
      </c>
      <c r="F1040" s="13" t="s">
        <v>2216</v>
      </c>
      <c r="G1040" s="13">
        <v>91.03</v>
      </c>
      <c r="H1040" s="13">
        <v>0</v>
      </c>
      <c r="I1040" s="13">
        <v>91.03</v>
      </c>
      <c r="J1040" s="24">
        <v>45875</v>
      </c>
      <c r="K1040" s="13">
        <v>20</v>
      </c>
      <c r="L1040" s="13">
        <v>2.1</v>
      </c>
      <c r="M1040" s="13" t="b">
        <v>0</v>
      </c>
      <c r="O1040" s="13">
        <f t="shared" si="16"/>
        <v>2.1</v>
      </c>
    </row>
    <row r="1041" spans="1:15" x14ac:dyDescent="0.25">
      <c r="A1041" s="13" t="s">
        <v>1053</v>
      </c>
      <c r="B1041" s="13" t="s">
        <v>2190</v>
      </c>
      <c r="C1041" s="13" t="s">
        <v>2203</v>
      </c>
      <c r="D1041" s="13" t="s">
        <v>2206</v>
      </c>
      <c r="E1041" s="13" t="s">
        <v>2211</v>
      </c>
      <c r="F1041" s="13" t="s">
        <v>2223</v>
      </c>
      <c r="G1041" s="13">
        <v>100.39</v>
      </c>
      <c r="H1041" s="13">
        <v>16.5</v>
      </c>
      <c r="I1041" s="13">
        <v>83.83</v>
      </c>
      <c r="J1041" s="24">
        <v>45875</v>
      </c>
      <c r="K1041" s="13">
        <v>17</v>
      </c>
      <c r="L1041" s="13">
        <v>4.5999999999999996</v>
      </c>
      <c r="M1041" s="13" t="b">
        <v>0</v>
      </c>
      <c r="O1041" s="13">
        <f t="shared" si="16"/>
        <v>4.5999999999999996</v>
      </c>
    </row>
    <row r="1042" spans="1:15" x14ac:dyDescent="0.25">
      <c r="A1042" s="13" t="s">
        <v>1054</v>
      </c>
      <c r="B1042" s="13" t="s">
        <v>2191</v>
      </c>
      <c r="C1042" s="13" t="s">
        <v>2202</v>
      </c>
      <c r="D1042" s="13" t="s">
        <v>2206</v>
      </c>
      <c r="E1042" s="13" t="s">
        <v>2212</v>
      </c>
      <c r="F1042" s="13" t="s">
        <v>2222</v>
      </c>
      <c r="G1042" s="13">
        <v>100.03</v>
      </c>
      <c r="H1042" s="13">
        <v>0</v>
      </c>
      <c r="I1042" s="13">
        <v>100.03</v>
      </c>
      <c r="J1042" s="24">
        <v>45875</v>
      </c>
      <c r="K1042" s="13">
        <v>39</v>
      </c>
      <c r="L1042" s="13">
        <v>1.2</v>
      </c>
      <c r="M1042" s="13" t="b">
        <v>0</v>
      </c>
      <c r="O1042" s="13">
        <f t="shared" si="16"/>
        <v>1.2</v>
      </c>
    </row>
    <row r="1043" spans="1:15" x14ac:dyDescent="0.25">
      <c r="A1043" s="13" t="s">
        <v>1055</v>
      </c>
      <c r="B1043" s="13" t="s">
        <v>2192</v>
      </c>
      <c r="C1043" s="13" t="s">
        <v>2202</v>
      </c>
      <c r="D1043" s="13" t="s">
        <v>2204</v>
      </c>
      <c r="F1043" s="13" t="s">
        <v>2217</v>
      </c>
      <c r="G1043" s="13">
        <v>50.14</v>
      </c>
      <c r="H1043" s="13">
        <v>29.2</v>
      </c>
      <c r="I1043" s="13">
        <v>35.5</v>
      </c>
      <c r="J1043" s="24">
        <v>45692</v>
      </c>
      <c r="K1043" s="13">
        <v>33</v>
      </c>
      <c r="L1043" s="13">
        <v>4.4000000000000004</v>
      </c>
      <c r="M1043" s="13" t="b">
        <v>0</v>
      </c>
      <c r="O1043" s="13">
        <f t="shared" si="16"/>
        <v>4.4000000000000004</v>
      </c>
    </row>
    <row r="1044" spans="1:15" x14ac:dyDescent="0.25">
      <c r="A1044" s="13" t="s">
        <v>1056</v>
      </c>
      <c r="B1044" s="13" t="s">
        <v>2194</v>
      </c>
      <c r="C1044" s="13" t="s">
        <v>2196</v>
      </c>
      <c r="D1044" s="13" t="s">
        <v>2207</v>
      </c>
      <c r="E1044" s="13" t="s">
        <v>2208</v>
      </c>
      <c r="F1044" s="13" t="s">
        <v>2216</v>
      </c>
      <c r="G1044" s="13">
        <v>33.130000000000003</v>
      </c>
      <c r="H1044" s="13">
        <v>0</v>
      </c>
      <c r="I1044" s="13">
        <v>33.130000000000003</v>
      </c>
      <c r="J1044" s="24">
        <v>45875</v>
      </c>
      <c r="K1044" s="13">
        <v>41</v>
      </c>
      <c r="L1044" s="13">
        <v>3.3</v>
      </c>
      <c r="M1044" s="13" t="b">
        <v>0</v>
      </c>
      <c r="O1044" s="13">
        <f t="shared" si="16"/>
        <v>3.3</v>
      </c>
    </row>
    <row r="1045" spans="1:15" x14ac:dyDescent="0.25">
      <c r="A1045" s="13" t="s">
        <v>1057</v>
      </c>
      <c r="B1045" s="13" t="s">
        <v>2192</v>
      </c>
      <c r="C1045" s="13" t="s">
        <v>2200</v>
      </c>
      <c r="D1045" s="13" t="s">
        <v>2204</v>
      </c>
      <c r="F1045" s="13" t="s">
        <v>2222</v>
      </c>
      <c r="G1045" s="13">
        <v>67.67</v>
      </c>
      <c r="H1045" s="13">
        <v>0</v>
      </c>
      <c r="I1045" s="13">
        <v>67.67</v>
      </c>
      <c r="J1045" s="24">
        <v>45560</v>
      </c>
      <c r="K1045" s="13">
        <v>7</v>
      </c>
      <c r="L1045" s="13">
        <v>3.3</v>
      </c>
      <c r="M1045" s="13" t="b">
        <v>0</v>
      </c>
      <c r="O1045" s="13">
        <f t="shared" si="16"/>
        <v>3.3</v>
      </c>
    </row>
    <row r="1046" spans="1:15" x14ac:dyDescent="0.25">
      <c r="A1046" s="13" t="s">
        <v>1058</v>
      </c>
      <c r="B1046" s="13" t="s">
        <v>2194</v>
      </c>
      <c r="C1046" s="13" t="s">
        <v>2198</v>
      </c>
      <c r="D1046" s="13" t="s">
        <v>2207</v>
      </c>
      <c r="E1046" s="13" t="s">
        <v>2210</v>
      </c>
      <c r="F1046" s="13" t="s">
        <v>2216</v>
      </c>
      <c r="G1046" s="13">
        <v>93.94</v>
      </c>
      <c r="H1046" s="13">
        <v>56.3</v>
      </c>
      <c r="I1046" s="13">
        <v>41.05</v>
      </c>
      <c r="J1046" s="24">
        <v>45875</v>
      </c>
      <c r="K1046" s="13">
        <v>36</v>
      </c>
      <c r="L1046" s="13">
        <v>1.1000000000000001</v>
      </c>
      <c r="M1046" s="13" t="b">
        <v>0</v>
      </c>
      <c r="O1046" s="13">
        <f t="shared" si="16"/>
        <v>1.1000000000000001</v>
      </c>
    </row>
    <row r="1047" spans="1:15" x14ac:dyDescent="0.25">
      <c r="A1047" s="13" t="s">
        <v>1059</v>
      </c>
      <c r="B1047" s="13" t="s">
        <v>2191</v>
      </c>
      <c r="C1047" s="13" t="s">
        <v>2198</v>
      </c>
      <c r="D1047" s="13" t="s">
        <v>2206</v>
      </c>
      <c r="E1047" s="13" t="s">
        <v>2212</v>
      </c>
      <c r="F1047" s="13" t="s">
        <v>2216</v>
      </c>
      <c r="G1047" s="13">
        <v>34.56</v>
      </c>
      <c r="H1047" s="13">
        <v>11.2</v>
      </c>
      <c r="I1047" s="13">
        <v>30.69</v>
      </c>
      <c r="J1047" s="24">
        <v>45875</v>
      </c>
      <c r="K1047" s="13">
        <v>46</v>
      </c>
      <c r="L1047" s="13">
        <v>3.4</v>
      </c>
      <c r="M1047" s="13" t="b">
        <v>0</v>
      </c>
      <c r="O1047" s="13">
        <f t="shared" si="16"/>
        <v>3.4</v>
      </c>
    </row>
    <row r="1048" spans="1:15" x14ac:dyDescent="0.25">
      <c r="A1048" s="13" t="s">
        <v>1060</v>
      </c>
      <c r="B1048" s="13" t="s">
        <v>2190</v>
      </c>
      <c r="C1048" s="13" t="s">
        <v>2201</v>
      </c>
      <c r="D1048" s="13" t="s">
        <v>2207</v>
      </c>
      <c r="E1048" s="13" t="s">
        <v>2213</v>
      </c>
      <c r="F1048" s="13" t="s">
        <v>2216</v>
      </c>
      <c r="G1048" s="13">
        <v>235.33</v>
      </c>
      <c r="H1048" s="13">
        <v>0</v>
      </c>
      <c r="I1048" s="13">
        <v>235.33</v>
      </c>
      <c r="J1048" s="24">
        <v>45875</v>
      </c>
      <c r="K1048" s="13">
        <v>11</v>
      </c>
      <c r="L1048" s="13">
        <v>4.7</v>
      </c>
      <c r="M1048" s="13" t="b">
        <v>1</v>
      </c>
      <c r="N1048" s="13" t="s">
        <v>2226</v>
      </c>
      <c r="O1048" s="13">
        <f t="shared" si="16"/>
        <v>4.7</v>
      </c>
    </row>
    <row r="1049" spans="1:15" x14ac:dyDescent="0.25">
      <c r="A1049" s="13" t="s">
        <v>1061</v>
      </c>
      <c r="B1049" s="13" t="s">
        <v>2191</v>
      </c>
      <c r="C1049" s="13" t="s">
        <v>2197</v>
      </c>
      <c r="D1049" s="13" t="s">
        <v>2204</v>
      </c>
      <c r="E1049" s="13" t="s">
        <v>2212</v>
      </c>
      <c r="F1049" s="13" t="s">
        <v>2214</v>
      </c>
      <c r="G1049" s="13">
        <v>25.45</v>
      </c>
      <c r="H1049" s="13">
        <v>0</v>
      </c>
      <c r="I1049" s="13">
        <v>25.45</v>
      </c>
      <c r="J1049" s="24">
        <v>45514</v>
      </c>
      <c r="K1049" s="13">
        <v>29</v>
      </c>
      <c r="L1049" s="13">
        <v>3.7</v>
      </c>
      <c r="M1049" s="13" t="b">
        <v>0</v>
      </c>
      <c r="O1049" s="13">
        <f t="shared" si="16"/>
        <v>3.7</v>
      </c>
    </row>
    <row r="1050" spans="1:15" x14ac:dyDescent="0.25">
      <c r="A1050" s="13" t="s">
        <v>1062</v>
      </c>
      <c r="B1050" s="13" t="s">
        <v>2191</v>
      </c>
      <c r="C1050" s="13" t="s">
        <v>2202</v>
      </c>
      <c r="D1050" s="13" t="s">
        <v>2205</v>
      </c>
      <c r="E1050" s="13" t="s">
        <v>2208</v>
      </c>
      <c r="F1050" s="13" t="s">
        <v>2218</v>
      </c>
      <c r="G1050" s="13">
        <v>71.44</v>
      </c>
      <c r="H1050" s="13">
        <v>0</v>
      </c>
      <c r="I1050" s="13">
        <v>71.44</v>
      </c>
      <c r="J1050" s="24">
        <v>45875</v>
      </c>
      <c r="K1050" s="13">
        <v>18</v>
      </c>
      <c r="L1050" s="13">
        <v>4.3</v>
      </c>
      <c r="M1050" s="13" t="b">
        <v>0</v>
      </c>
      <c r="O1050" s="13">
        <f t="shared" si="16"/>
        <v>4.3</v>
      </c>
    </row>
    <row r="1051" spans="1:15" x14ac:dyDescent="0.25">
      <c r="A1051" s="13" t="s">
        <v>1063</v>
      </c>
      <c r="B1051" s="13" t="s">
        <v>2195</v>
      </c>
      <c r="C1051" s="13" t="s">
        <v>2198</v>
      </c>
      <c r="D1051" s="13" t="s">
        <v>2207</v>
      </c>
      <c r="E1051" s="13" t="s">
        <v>2208</v>
      </c>
      <c r="F1051" s="13" t="s">
        <v>2217</v>
      </c>
      <c r="G1051" s="13">
        <v>98.33</v>
      </c>
      <c r="H1051" s="13">
        <v>0</v>
      </c>
      <c r="I1051" s="13">
        <v>98.33</v>
      </c>
      <c r="J1051" s="24">
        <v>45875</v>
      </c>
      <c r="K1051" s="13">
        <v>46</v>
      </c>
      <c r="L1051" s="13">
        <v>3.7</v>
      </c>
      <c r="M1051" s="13" t="b">
        <v>0</v>
      </c>
      <c r="O1051" s="13">
        <f t="shared" si="16"/>
        <v>3.7</v>
      </c>
    </row>
    <row r="1052" spans="1:15" x14ac:dyDescent="0.25">
      <c r="A1052" s="13" t="s">
        <v>1064</v>
      </c>
      <c r="B1052" s="13" t="s">
        <v>2195</v>
      </c>
      <c r="C1052" s="13" t="s">
        <v>2203</v>
      </c>
      <c r="D1052" s="13" t="s">
        <v>2204</v>
      </c>
      <c r="E1052" s="13" t="s">
        <v>2210</v>
      </c>
      <c r="F1052" s="13" t="s">
        <v>2219</v>
      </c>
      <c r="G1052" s="13">
        <v>171.1</v>
      </c>
      <c r="H1052" s="13">
        <v>0</v>
      </c>
      <c r="I1052" s="13">
        <v>171.1</v>
      </c>
      <c r="J1052" s="24">
        <v>45861</v>
      </c>
      <c r="K1052" s="13">
        <v>34</v>
      </c>
      <c r="M1052" s="13" t="b">
        <v>0</v>
      </c>
      <c r="O1052" s="13">
        <f t="shared" si="16"/>
        <v>2.9636363636363638</v>
      </c>
    </row>
    <row r="1053" spans="1:15" x14ac:dyDescent="0.25">
      <c r="A1053" s="13" t="s">
        <v>1065</v>
      </c>
      <c r="B1053" s="13" t="s">
        <v>2195</v>
      </c>
      <c r="C1053" s="13" t="s">
        <v>2203</v>
      </c>
      <c r="D1053" s="13" t="s">
        <v>2205</v>
      </c>
      <c r="E1053" s="13" t="s">
        <v>2212</v>
      </c>
      <c r="F1053" s="13" t="s">
        <v>2217</v>
      </c>
      <c r="G1053" s="13">
        <v>155.57</v>
      </c>
      <c r="H1053" s="13">
        <v>0</v>
      </c>
      <c r="I1053" s="13">
        <v>155.57</v>
      </c>
      <c r="J1053" s="24">
        <v>45875</v>
      </c>
      <c r="K1053" s="13">
        <v>48</v>
      </c>
      <c r="L1053" s="13">
        <v>3.8</v>
      </c>
      <c r="M1053" s="13" t="b">
        <v>0</v>
      </c>
      <c r="O1053" s="13">
        <f t="shared" si="16"/>
        <v>3.8</v>
      </c>
    </row>
    <row r="1054" spans="1:15" x14ac:dyDescent="0.25">
      <c r="A1054" s="13" t="s">
        <v>1066</v>
      </c>
      <c r="B1054" s="13" t="s">
        <v>2190</v>
      </c>
      <c r="C1054" s="13" t="s">
        <v>2199</v>
      </c>
      <c r="D1054" s="13" t="s">
        <v>2206</v>
      </c>
      <c r="E1054" s="13" t="s">
        <v>2209</v>
      </c>
      <c r="F1054" s="13" t="s">
        <v>2220</v>
      </c>
      <c r="G1054" s="13">
        <v>198.44</v>
      </c>
      <c r="H1054" s="13">
        <v>0</v>
      </c>
      <c r="I1054" s="13">
        <v>198.44</v>
      </c>
      <c r="J1054" s="24">
        <v>45875</v>
      </c>
      <c r="K1054" s="13">
        <v>40</v>
      </c>
      <c r="L1054" s="13">
        <v>2.2000000000000002</v>
      </c>
      <c r="M1054" s="13" t="b">
        <v>0</v>
      </c>
      <c r="O1054" s="13">
        <f t="shared" si="16"/>
        <v>2.2000000000000002</v>
      </c>
    </row>
    <row r="1055" spans="1:15" x14ac:dyDescent="0.25">
      <c r="A1055" s="13" t="s">
        <v>1067</v>
      </c>
      <c r="B1055" s="13" t="s">
        <v>2193</v>
      </c>
      <c r="C1055" s="13" t="s">
        <v>2201</v>
      </c>
      <c r="D1055" s="13" t="s">
        <v>2204</v>
      </c>
      <c r="E1055" s="13" t="s">
        <v>2213</v>
      </c>
      <c r="F1055" s="13" t="s">
        <v>2216</v>
      </c>
      <c r="G1055" s="13">
        <v>175.85</v>
      </c>
      <c r="H1055" s="13">
        <v>18.100000000000001</v>
      </c>
      <c r="I1055" s="13">
        <v>144.02000000000001</v>
      </c>
      <c r="J1055" s="24">
        <v>45686</v>
      </c>
      <c r="K1055" s="13">
        <v>4</v>
      </c>
      <c r="L1055" s="13">
        <v>4</v>
      </c>
      <c r="M1055" s="13" t="b">
        <v>0</v>
      </c>
      <c r="O1055" s="13">
        <f t="shared" si="16"/>
        <v>4</v>
      </c>
    </row>
    <row r="1056" spans="1:15" x14ac:dyDescent="0.25">
      <c r="A1056" s="13" t="s">
        <v>1068</v>
      </c>
      <c r="B1056" s="13" t="s">
        <v>2190</v>
      </c>
      <c r="C1056" s="13" t="s">
        <v>2203</v>
      </c>
      <c r="D1056" s="13" t="s">
        <v>2207</v>
      </c>
      <c r="E1056" s="13" t="s">
        <v>2213</v>
      </c>
      <c r="F1056" s="13" t="s">
        <v>2215</v>
      </c>
      <c r="G1056" s="13">
        <v>100.23</v>
      </c>
      <c r="H1056" s="13">
        <v>0</v>
      </c>
      <c r="I1056" s="13">
        <v>100.23</v>
      </c>
      <c r="J1056" s="24">
        <v>45875</v>
      </c>
      <c r="K1056" s="13">
        <v>12</v>
      </c>
      <c r="L1056" s="13">
        <v>3.5</v>
      </c>
      <c r="M1056" s="13" t="b">
        <v>0</v>
      </c>
      <c r="O1056" s="13">
        <f t="shared" si="16"/>
        <v>3.5</v>
      </c>
    </row>
    <row r="1057" spans="1:15" x14ac:dyDescent="0.25">
      <c r="A1057" s="13" t="s">
        <v>1069</v>
      </c>
      <c r="B1057" s="13" t="s">
        <v>2190</v>
      </c>
      <c r="C1057" s="13" t="s">
        <v>2196</v>
      </c>
      <c r="D1057" s="13" t="s">
        <v>2205</v>
      </c>
      <c r="E1057" s="13" t="s">
        <v>2211</v>
      </c>
      <c r="F1057" s="13" t="s">
        <v>2221</v>
      </c>
      <c r="G1057" s="13">
        <v>88.94</v>
      </c>
      <c r="H1057" s="13">
        <v>0</v>
      </c>
      <c r="I1057" s="13">
        <v>88.94</v>
      </c>
      <c r="J1057" s="24">
        <v>45875</v>
      </c>
      <c r="K1057" s="13">
        <v>36</v>
      </c>
      <c r="M1057" s="13" t="b">
        <v>0</v>
      </c>
      <c r="O1057" s="13">
        <f t="shared" si="16"/>
        <v>2.7030303030303036</v>
      </c>
    </row>
    <row r="1058" spans="1:15" x14ac:dyDescent="0.25">
      <c r="A1058" s="13" t="s">
        <v>1070</v>
      </c>
      <c r="B1058" s="13" t="s">
        <v>2190</v>
      </c>
      <c r="C1058" s="13" t="s">
        <v>2200</v>
      </c>
      <c r="D1058" s="13" t="s">
        <v>2206</v>
      </c>
      <c r="E1058" s="13" t="s">
        <v>2211</v>
      </c>
      <c r="F1058" s="13" t="s">
        <v>2222</v>
      </c>
      <c r="G1058" s="13">
        <v>205.91</v>
      </c>
      <c r="H1058" s="13">
        <v>0</v>
      </c>
      <c r="I1058" s="13">
        <v>205.91</v>
      </c>
      <c r="J1058" s="24">
        <v>45875</v>
      </c>
      <c r="K1058" s="13">
        <v>3</v>
      </c>
      <c r="L1058" s="13">
        <v>4.8</v>
      </c>
      <c r="M1058" s="13" t="b">
        <v>0</v>
      </c>
      <c r="O1058" s="13">
        <f t="shared" si="16"/>
        <v>4.8</v>
      </c>
    </row>
    <row r="1059" spans="1:15" x14ac:dyDescent="0.25">
      <c r="A1059" s="13" t="s">
        <v>1071</v>
      </c>
      <c r="B1059" s="13" t="s">
        <v>2192</v>
      </c>
      <c r="C1059" s="13" t="s">
        <v>2197</v>
      </c>
      <c r="D1059" s="13" t="s">
        <v>2206</v>
      </c>
      <c r="F1059" s="13" t="s">
        <v>2215</v>
      </c>
      <c r="G1059" s="13">
        <v>29.06</v>
      </c>
      <c r="H1059" s="13">
        <v>1.1000000000000001</v>
      </c>
      <c r="I1059" s="13">
        <v>28.74</v>
      </c>
      <c r="J1059" s="24">
        <v>45875</v>
      </c>
      <c r="K1059" s="13">
        <v>12</v>
      </c>
      <c r="L1059" s="13">
        <v>1.1000000000000001</v>
      </c>
      <c r="M1059" s="13" t="b">
        <v>1</v>
      </c>
      <c r="N1059" s="13" t="s">
        <v>2225</v>
      </c>
      <c r="O1059" s="13">
        <f t="shared" si="16"/>
        <v>1.1000000000000001</v>
      </c>
    </row>
    <row r="1060" spans="1:15" x14ac:dyDescent="0.25">
      <c r="A1060" s="13" t="s">
        <v>1072</v>
      </c>
      <c r="B1060" s="13" t="s">
        <v>2192</v>
      </c>
      <c r="C1060" s="13" t="s">
        <v>2202</v>
      </c>
      <c r="D1060" s="13" t="s">
        <v>2207</v>
      </c>
      <c r="F1060" s="13" t="s">
        <v>2224</v>
      </c>
      <c r="G1060" s="13">
        <v>68.56</v>
      </c>
      <c r="H1060" s="13">
        <v>0</v>
      </c>
      <c r="I1060" s="13">
        <v>68.56</v>
      </c>
      <c r="J1060" s="24">
        <v>45875</v>
      </c>
      <c r="K1060" s="13">
        <v>2</v>
      </c>
      <c r="L1060" s="13">
        <v>2.4</v>
      </c>
      <c r="M1060" s="13" t="b">
        <v>0</v>
      </c>
      <c r="O1060" s="13">
        <f t="shared" si="16"/>
        <v>2.4</v>
      </c>
    </row>
    <row r="1061" spans="1:15" x14ac:dyDescent="0.25">
      <c r="A1061" s="13" t="s">
        <v>1073</v>
      </c>
      <c r="B1061" s="13" t="s">
        <v>2191</v>
      </c>
      <c r="C1061" s="13" t="s">
        <v>2203</v>
      </c>
      <c r="D1061" s="13" t="s">
        <v>2207</v>
      </c>
      <c r="E1061" s="13" t="s">
        <v>2209</v>
      </c>
      <c r="F1061" s="13" t="s">
        <v>2223</v>
      </c>
      <c r="G1061" s="13">
        <v>91.6</v>
      </c>
      <c r="H1061" s="13">
        <v>59.5</v>
      </c>
      <c r="I1061" s="13">
        <v>37.1</v>
      </c>
      <c r="J1061" s="24">
        <v>45875</v>
      </c>
      <c r="K1061" s="13">
        <v>2</v>
      </c>
      <c r="L1061" s="13">
        <v>4.3</v>
      </c>
      <c r="M1061" s="13" t="b">
        <v>0</v>
      </c>
      <c r="O1061" s="13">
        <f t="shared" si="16"/>
        <v>4.3</v>
      </c>
    </row>
    <row r="1062" spans="1:15" x14ac:dyDescent="0.25">
      <c r="A1062" s="13" t="s">
        <v>1074</v>
      </c>
      <c r="B1062" s="13" t="s">
        <v>2195</v>
      </c>
      <c r="C1062" s="13" t="s">
        <v>2200</v>
      </c>
      <c r="D1062" s="13" t="s">
        <v>2207</v>
      </c>
      <c r="E1062" s="13" t="s">
        <v>2212</v>
      </c>
      <c r="F1062" s="13" t="s">
        <v>2216</v>
      </c>
      <c r="G1062" s="13">
        <v>96.57</v>
      </c>
      <c r="H1062" s="13">
        <v>0</v>
      </c>
      <c r="I1062" s="13">
        <v>96.57</v>
      </c>
      <c r="J1062" s="24">
        <v>45875</v>
      </c>
      <c r="K1062" s="13">
        <v>6</v>
      </c>
      <c r="L1062" s="13">
        <v>1.9</v>
      </c>
      <c r="M1062" s="13" t="b">
        <v>0</v>
      </c>
      <c r="O1062" s="13">
        <f t="shared" si="16"/>
        <v>1.9</v>
      </c>
    </row>
    <row r="1063" spans="1:15" x14ac:dyDescent="0.25">
      <c r="A1063" s="13" t="s">
        <v>1075</v>
      </c>
      <c r="B1063" s="13" t="s">
        <v>2194</v>
      </c>
      <c r="C1063" s="13" t="s">
        <v>2200</v>
      </c>
      <c r="D1063" s="13" t="s">
        <v>2205</v>
      </c>
      <c r="E1063" s="13" t="s">
        <v>2210</v>
      </c>
      <c r="F1063" s="13" t="s">
        <v>2215</v>
      </c>
      <c r="G1063" s="13">
        <v>35.630000000000003</v>
      </c>
      <c r="H1063" s="13">
        <v>57.9</v>
      </c>
      <c r="I1063" s="13">
        <v>15</v>
      </c>
      <c r="J1063" s="24">
        <v>45875</v>
      </c>
      <c r="K1063" s="13">
        <v>11</v>
      </c>
      <c r="L1063" s="13">
        <v>1.8</v>
      </c>
      <c r="M1063" s="13" t="b">
        <v>0</v>
      </c>
      <c r="O1063" s="13">
        <f t="shared" si="16"/>
        <v>1.8</v>
      </c>
    </row>
    <row r="1064" spans="1:15" x14ac:dyDescent="0.25">
      <c r="A1064" s="13" t="s">
        <v>1076</v>
      </c>
      <c r="B1064" s="13" t="s">
        <v>2193</v>
      </c>
      <c r="C1064" s="13" t="s">
        <v>2197</v>
      </c>
      <c r="D1064" s="13" t="s">
        <v>2205</v>
      </c>
      <c r="E1064" s="13" t="s">
        <v>2212</v>
      </c>
      <c r="F1064" s="13" t="s">
        <v>2220</v>
      </c>
      <c r="G1064" s="13">
        <v>118.98</v>
      </c>
      <c r="H1064" s="13">
        <v>38.1</v>
      </c>
      <c r="I1064" s="13">
        <v>73.650000000000006</v>
      </c>
      <c r="J1064" s="24">
        <v>45875</v>
      </c>
      <c r="K1064" s="13">
        <v>36</v>
      </c>
      <c r="L1064" s="13">
        <v>1.1000000000000001</v>
      </c>
      <c r="M1064" s="13" t="b">
        <v>1</v>
      </c>
      <c r="N1064" s="13" t="s">
        <v>2225</v>
      </c>
      <c r="O1064" s="13">
        <f t="shared" si="16"/>
        <v>1.1000000000000001</v>
      </c>
    </row>
    <row r="1065" spans="1:15" x14ac:dyDescent="0.25">
      <c r="A1065" s="13" t="s">
        <v>1077</v>
      </c>
      <c r="B1065" s="13" t="s">
        <v>2193</v>
      </c>
      <c r="C1065" s="13" t="s">
        <v>2200</v>
      </c>
      <c r="D1065" s="13" t="s">
        <v>2204</v>
      </c>
      <c r="E1065" s="13" t="s">
        <v>2208</v>
      </c>
      <c r="F1065" s="13" t="s">
        <v>2214</v>
      </c>
      <c r="G1065" s="13">
        <v>62.62</v>
      </c>
      <c r="H1065" s="13">
        <v>10.1</v>
      </c>
      <c r="I1065" s="13">
        <v>56.3</v>
      </c>
      <c r="J1065" s="24">
        <v>45762</v>
      </c>
      <c r="K1065" s="13">
        <v>32</v>
      </c>
      <c r="L1065" s="13">
        <v>2.9</v>
      </c>
      <c r="M1065" s="13" t="b">
        <v>0</v>
      </c>
      <c r="O1065" s="13">
        <f t="shared" si="16"/>
        <v>2.9</v>
      </c>
    </row>
    <row r="1066" spans="1:15" x14ac:dyDescent="0.25">
      <c r="A1066" s="13" t="s">
        <v>1078</v>
      </c>
      <c r="B1066" s="13" t="s">
        <v>2193</v>
      </c>
      <c r="C1066" s="13" t="s">
        <v>2203</v>
      </c>
      <c r="D1066" s="13" t="s">
        <v>2207</v>
      </c>
      <c r="E1066" s="13" t="s">
        <v>2213</v>
      </c>
      <c r="F1066" s="13" t="s">
        <v>2224</v>
      </c>
      <c r="G1066" s="13">
        <v>153.34</v>
      </c>
      <c r="H1066" s="13">
        <v>55.5</v>
      </c>
      <c r="I1066" s="13">
        <v>68.239999999999995</v>
      </c>
      <c r="J1066" s="24">
        <v>45875</v>
      </c>
      <c r="K1066" s="13">
        <v>46</v>
      </c>
      <c r="L1066" s="13">
        <v>4.2</v>
      </c>
      <c r="M1066" s="13" t="b">
        <v>1</v>
      </c>
      <c r="N1066" s="13" t="s">
        <v>2230</v>
      </c>
      <c r="O1066" s="13">
        <f t="shared" si="16"/>
        <v>4.2</v>
      </c>
    </row>
    <row r="1067" spans="1:15" x14ac:dyDescent="0.25">
      <c r="A1067" s="13" t="s">
        <v>1079</v>
      </c>
      <c r="B1067" s="13" t="s">
        <v>2191</v>
      </c>
      <c r="C1067" s="13" t="s">
        <v>2201</v>
      </c>
      <c r="D1067" s="13" t="s">
        <v>2207</v>
      </c>
      <c r="E1067" s="13" t="s">
        <v>2209</v>
      </c>
      <c r="F1067" s="13" t="s">
        <v>2220</v>
      </c>
      <c r="G1067" s="13">
        <v>71.66</v>
      </c>
      <c r="H1067" s="13">
        <v>49.7</v>
      </c>
      <c r="I1067" s="13">
        <v>36.04</v>
      </c>
      <c r="J1067" s="24">
        <v>45875</v>
      </c>
      <c r="K1067" s="13">
        <v>33</v>
      </c>
      <c r="M1067" s="13" t="b">
        <v>1</v>
      </c>
      <c r="N1067" s="13" t="s">
        <v>2225</v>
      </c>
      <c r="O1067" s="13">
        <f t="shared" si="16"/>
        <v>2.9846153846153847</v>
      </c>
    </row>
    <row r="1068" spans="1:15" x14ac:dyDescent="0.25">
      <c r="A1068" s="13" t="s">
        <v>1080</v>
      </c>
      <c r="B1068" s="13" t="s">
        <v>2195</v>
      </c>
      <c r="C1068" s="13" t="s">
        <v>2201</v>
      </c>
      <c r="D1068" s="13" t="s">
        <v>2204</v>
      </c>
      <c r="E1068" s="13" t="s">
        <v>2210</v>
      </c>
      <c r="F1068" s="13" t="s">
        <v>2216</v>
      </c>
      <c r="G1068" s="13">
        <v>107.58</v>
      </c>
      <c r="H1068" s="13">
        <v>55.9</v>
      </c>
      <c r="I1068" s="13">
        <v>47.44</v>
      </c>
      <c r="J1068" s="24">
        <v>45703</v>
      </c>
      <c r="K1068" s="13">
        <v>19</v>
      </c>
      <c r="L1068" s="13">
        <v>4.4000000000000004</v>
      </c>
      <c r="M1068" s="13" t="b">
        <v>0</v>
      </c>
      <c r="O1068" s="13">
        <f t="shared" si="16"/>
        <v>4.4000000000000004</v>
      </c>
    </row>
    <row r="1069" spans="1:15" x14ac:dyDescent="0.25">
      <c r="A1069" s="13" t="s">
        <v>1081</v>
      </c>
      <c r="B1069" s="13" t="s">
        <v>2193</v>
      </c>
      <c r="C1069" s="13" t="s">
        <v>2196</v>
      </c>
      <c r="D1069" s="13" t="s">
        <v>2204</v>
      </c>
      <c r="E1069" s="13" t="s">
        <v>2208</v>
      </c>
      <c r="F1069" s="13" t="s">
        <v>2219</v>
      </c>
      <c r="G1069" s="13">
        <v>137.16</v>
      </c>
      <c r="H1069" s="13">
        <v>0</v>
      </c>
      <c r="I1069" s="13">
        <v>137.16</v>
      </c>
      <c r="J1069" s="24">
        <v>45749</v>
      </c>
      <c r="K1069" s="13">
        <v>34</v>
      </c>
      <c r="L1069" s="13">
        <v>4</v>
      </c>
      <c r="M1069" s="13" t="b">
        <v>0</v>
      </c>
      <c r="O1069" s="13">
        <f t="shared" si="16"/>
        <v>4</v>
      </c>
    </row>
    <row r="1070" spans="1:15" x14ac:dyDescent="0.25">
      <c r="A1070" s="13" t="s">
        <v>1082</v>
      </c>
      <c r="B1070" s="13" t="s">
        <v>2191</v>
      </c>
      <c r="C1070" s="13" t="s">
        <v>2198</v>
      </c>
      <c r="D1070" s="13" t="s">
        <v>2205</v>
      </c>
      <c r="E1070" s="13" t="s">
        <v>2213</v>
      </c>
      <c r="F1070" s="13" t="s">
        <v>2217</v>
      </c>
      <c r="G1070" s="13">
        <v>119.29</v>
      </c>
      <c r="H1070" s="13">
        <v>0</v>
      </c>
      <c r="I1070" s="13">
        <v>119.29</v>
      </c>
      <c r="J1070" s="24">
        <v>45875</v>
      </c>
      <c r="K1070" s="13">
        <v>3</v>
      </c>
      <c r="M1070" s="13" t="b">
        <v>0</v>
      </c>
      <c r="O1070" s="13">
        <f t="shared" si="16"/>
        <v>2.953125</v>
      </c>
    </row>
    <row r="1071" spans="1:15" x14ac:dyDescent="0.25">
      <c r="A1071" s="13" t="s">
        <v>1083</v>
      </c>
      <c r="B1071" s="13" t="s">
        <v>2191</v>
      </c>
      <c r="C1071" s="13" t="s">
        <v>2199</v>
      </c>
      <c r="D1071" s="13" t="s">
        <v>2204</v>
      </c>
      <c r="E1071" s="13" t="s">
        <v>2213</v>
      </c>
      <c r="F1071" s="13" t="s">
        <v>2222</v>
      </c>
      <c r="G1071" s="13">
        <v>104.09</v>
      </c>
      <c r="H1071" s="13">
        <v>0</v>
      </c>
      <c r="I1071" s="13">
        <v>104.09</v>
      </c>
      <c r="J1071" s="24">
        <v>45647</v>
      </c>
      <c r="K1071" s="13">
        <v>29</v>
      </c>
      <c r="M1071" s="13" t="b">
        <v>0</v>
      </c>
      <c r="O1071" s="13">
        <f t="shared" si="16"/>
        <v>2.9742857142857138</v>
      </c>
    </row>
    <row r="1072" spans="1:15" x14ac:dyDescent="0.25">
      <c r="A1072" s="13" t="s">
        <v>1084</v>
      </c>
      <c r="B1072" s="13" t="s">
        <v>2195</v>
      </c>
      <c r="C1072" s="13" t="s">
        <v>2198</v>
      </c>
      <c r="D1072" s="13" t="s">
        <v>2206</v>
      </c>
      <c r="F1072" s="13" t="s">
        <v>2215</v>
      </c>
      <c r="G1072" s="13">
        <v>73.069999999999993</v>
      </c>
      <c r="H1072" s="13">
        <v>0</v>
      </c>
      <c r="I1072" s="13">
        <v>73.069999999999993</v>
      </c>
      <c r="J1072" s="24">
        <v>45875</v>
      </c>
      <c r="K1072" s="13">
        <v>5</v>
      </c>
      <c r="L1072" s="13">
        <v>4.2</v>
      </c>
      <c r="M1072" s="13" t="b">
        <v>0</v>
      </c>
      <c r="O1072" s="13">
        <f t="shared" si="16"/>
        <v>4.2</v>
      </c>
    </row>
    <row r="1073" spans="1:15" x14ac:dyDescent="0.25">
      <c r="A1073" s="13" t="s">
        <v>1085</v>
      </c>
      <c r="B1073" s="13" t="s">
        <v>2194</v>
      </c>
      <c r="C1073" s="13" t="s">
        <v>2196</v>
      </c>
      <c r="D1073" s="13" t="s">
        <v>2206</v>
      </c>
      <c r="E1073" s="13" t="s">
        <v>2211</v>
      </c>
      <c r="F1073" s="13" t="s">
        <v>2220</v>
      </c>
      <c r="G1073" s="13">
        <v>76.94</v>
      </c>
      <c r="H1073" s="13">
        <v>7.6</v>
      </c>
      <c r="I1073" s="13">
        <v>71.09</v>
      </c>
      <c r="J1073" s="24">
        <v>45875</v>
      </c>
      <c r="K1073" s="13">
        <v>20</v>
      </c>
      <c r="L1073" s="13">
        <v>3.7</v>
      </c>
      <c r="M1073" s="13" t="b">
        <v>0</v>
      </c>
      <c r="O1073" s="13">
        <f t="shared" si="16"/>
        <v>3.7</v>
      </c>
    </row>
    <row r="1074" spans="1:15" x14ac:dyDescent="0.25">
      <c r="A1074" s="13" t="s">
        <v>1086</v>
      </c>
      <c r="B1074" s="13" t="s">
        <v>2194</v>
      </c>
      <c r="C1074" s="13" t="s">
        <v>2203</v>
      </c>
      <c r="D1074" s="13" t="s">
        <v>2205</v>
      </c>
      <c r="E1074" s="13" t="s">
        <v>2208</v>
      </c>
      <c r="F1074" s="13" t="s">
        <v>2221</v>
      </c>
      <c r="G1074" s="13">
        <v>119.92</v>
      </c>
      <c r="H1074" s="13">
        <v>0</v>
      </c>
      <c r="I1074" s="13">
        <v>119.92</v>
      </c>
      <c r="J1074" s="24">
        <v>45875</v>
      </c>
      <c r="K1074" s="13">
        <v>37</v>
      </c>
      <c r="L1074" s="13">
        <v>5</v>
      </c>
      <c r="M1074" s="13" t="b">
        <v>0</v>
      </c>
      <c r="O1074" s="13">
        <f t="shared" si="16"/>
        <v>5</v>
      </c>
    </row>
    <row r="1075" spans="1:15" x14ac:dyDescent="0.25">
      <c r="A1075" s="13" t="s">
        <v>1087</v>
      </c>
      <c r="B1075" s="13" t="s">
        <v>2190</v>
      </c>
      <c r="C1075" s="13" t="s">
        <v>2201</v>
      </c>
      <c r="D1075" s="13" t="s">
        <v>2205</v>
      </c>
      <c r="E1075" s="13" t="s">
        <v>2212</v>
      </c>
      <c r="F1075" s="13" t="s">
        <v>2217</v>
      </c>
      <c r="G1075" s="13">
        <v>116.49</v>
      </c>
      <c r="H1075" s="13">
        <v>0</v>
      </c>
      <c r="I1075" s="13">
        <v>116.49</v>
      </c>
      <c r="J1075" s="24">
        <v>45875</v>
      </c>
      <c r="K1075" s="13">
        <v>17</v>
      </c>
      <c r="L1075" s="13">
        <v>3.3</v>
      </c>
      <c r="M1075" s="13" t="b">
        <v>1</v>
      </c>
      <c r="N1075" s="13" t="s">
        <v>2227</v>
      </c>
      <c r="O1075" s="13">
        <f t="shared" si="16"/>
        <v>3.3</v>
      </c>
    </row>
    <row r="1076" spans="1:15" x14ac:dyDescent="0.25">
      <c r="A1076" s="13" t="s">
        <v>1088</v>
      </c>
      <c r="B1076" s="13" t="s">
        <v>2193</v>
      </c>
      <c r="C1076" s="13" t="s">
        <v>2202</v>
      </c>
      <c r="D1076" s="13" t="s">
        <v>2206</v>
      </c>
      <c r="E1076" s="13" t="s">
        <v>2208</v>
      </c>
      <c r="F1076" s="13" t="s">
        <v>2215</v>
      </c>
      <c r="G1076" s="13">
        <v>179.59</v>
      </c>
      <c r="H1076" s="13">
        <v>14.7</v>
      </c>
      <c r="I1076" s="13">
        <v>153.19</v>
      </c>
      <c r="J1076" s="24">
        <v>45875</v>
      </c>
      <c r="K1076" s="13">
        <v>47</v>
      </c>
      <c r="L1076" s="13">
        <v>2.9</v>
      </c>
      <c r="M1076" s="13" t="b">
        <v>0</v>
      </c>
      <c r="O1076" s="13">
        <f t="shared" si="16"/>
        <v>2.9</v>
      </c>
    </row>
    <row r="1077" spans="1:15" x14ac:dyDescent="0.25">
      <c r="A1077" s="13" t="s">
        <v>1089</v>
      </c>
      <c r="B1077" s="13" t="s">
        <v>2192</v>
      </c>
      <c r="C1077" s="13" t="s">
        <v>2197</v>
      </c>
      <c r="D1077" s="13" t="s">
        <v>2205</v>
      </c>
      <c r="F1077" s="13" t="s">
        <v>2216</v>
      </c>
      <c r="G1077" s="13">
        <v>33.799999999999997</v>
      </c>
      <c r="H1077" s="13">
        <v>0</v>
      </c>
      <c r="I1077" s="13">
        <v>33.799999999999997</v>
      </c>
      <c r="J1077" s="24">
        <v>45875</v>
      </c>
      <c r="K1077" s="13">
        <v>34</v>
      </c>
      <c r="L1077" s="13">
        <v>4.8</v>
      </c>
      <c r="M1077" s="13" t="b">
        <v>0</v>
      </c>
      <c r="O1077" s="13">
        <f t="shared" si="16"/>
        <v>4.8</v>
      </c>
    </row>
    <row r="1078" spans="1:15" x14ac:dyDescent="0.25">
      <c r="A1078" s="13" t="s">
        <v>1090</v>
      </c>
      <c r="B1078" s="13" t="s">
        <v>2191</v>
      </c>
      <c r="C1078" s="13" t="s">
        <v>2197</v>
      </c>
      <c r="D1078" s="13" t="s">
        <v>2206</v>
      </c>
      <c r="E1078" s="13" t="s">
        <v>2209</v>
      </c>
      <c r="F1078" s="13" t="s">
        <v>2221</v>
      </c>
      <c r="G1078" s="13">
        <v>41.57</v>
      </c>
      <c r="H1078" s="13">
        <v>3.3</v>
      </c>
      <c r="I1078" s="13">
        <v>40.200000000000003</v>
      </c>
      <c r="J1078" s="24">
        <v>45875</v>
      </c>
      <c r="K1078" s="13">
        <v>5</v>
      </c>
      <c r="L1078" s="13">
        <v>2.9</v>
      </c>
      <c r="M1078" s="13" t="b">
        <v>0</v>
      </c>
      <c r="O1078" s="13">
        <f t="shared" si="16"/>
        <v>2.9</v>
      </c>
    </row>
    <row r="1079" spans="1:15" x14ac:dyDescent="0.25">
      <c r="A1079" s="13" t="s">
        <v>1091</v>
      </c>
      <c r="B1079" s="13" t="s">
        <v>2193</v>
      </c>
      <c r="C1079" s="13" t="s">
        <v>2203</v>
      </c>
      <c r="D1079" s="13" t="s">
        <v>2204</v>
      </c>
      <c r="E1079" s="13" t="s">
        <v>2208</v>
      </c>
      <c r="F1079" s="13" t="s">
        <v>2223</v>
      </c>
      <c r="G1079" s="13">
        <v>139.1</v>
      </c>
      <c r="H1079" s="13">
        <v>47</v>
      </c>
      <c r="I1079" s="13">
        <v>73.72</v>
      </c>
      <c r="J1079" s="24">
        <v>45661</v>
      </c>
      <c r="K1079" s="13">
        <v>6</v>
      </c>
      <c r="L1079" s="13">
        <v>3.4</v>
      </c>
      <c r="M1079" s="13" t="b">
        <v>0</v>
      </c>
      <c r="O1079" s="13">
        <f t="shared" si="16"/>
        <v>3.4</v>
      </c>
    </row>
    <row r="1080" spans="1:15" x14ac:dyDescent="0.25">
      <c r="A1080" s="13" t="s">
        <v>1092</v>
      </c>
      <c r="B1080" s="13" t="s">
        <v>2195</v>
      </c>
      <c r="C1080" s="13" t="s">
        <v>2199</v>
      </c>
      <c r="D1080" s="13" t="s">
        <v>2206</v>
      </c>
      <c r="E1080" s="13" t="s">
        <v>2209</v>
      </c>
      <c r="F1080" s="13" t="s">
        <v>2215</v>
      </c>
      <c r="G1080" s="13">
        <v>102.04</v>
      </c>
      <c r="H1080" s="13">
        <v>0</v>
      </c>
      <c r="I1080" s="13">
        <v>102.04</v>
      </c>
      <c r="J1080" s="24">
        <v>45875</v>
      </c>
      <c r="K1080" s="13">
        <v>34</v>
      </c>
      <c r="L1080" s="13">
        <v>3.4</v>
      </c>
      <c r="M1080" s="13" t="b">
        <v>0</v>
      </c>
      <c r="O1080" s="13">
        <f t="shared" si="16"/>
        <v>3.4</v>
      </c>
    </row>
    <row r="1081" spans="1:15" x14ac:dyDescent="0.25">
      <c r="A1081" s="13" t="s">
        <v>1093</v>
      </c>
      <c r="B1081" s="13" t="s">
        <v>2194</v>
      </c>
      <c r="C1081" s="13" t="s">
        <v>2202</v>
      </c>
      <c r="D1081" s="13" t="s">
        <v>2206</v>
      </c>
      <c r="E1081" s="13" t="s">
        <v>2211</v>
      </c>
      <c r="F1081" s="13" t="s">
        <v>2222</v>
      </c>
      <c r="G1081" s="13">
        <v>47.25</v>
      </c>
      <c r="H1081" s="13">
        <v>54.2</v>
      </c>
      <c r="I1081" s="13">
        <v>21.64</v>
      </c>
      <c r="J1081" s="24">
        <v>45875</v>
      </c>
      <c r="K1081" s="13">
        <v>4</v>
      </c>
      <c r="L1081" s="13">
        <v>4.9000000000000004</v>
      </c>
      <c r="M1081" s="13" t="b">
        <v>0</v>
      </c>
      <c r="O1081" s="13">
        <f t="shared" si="16"/>
        <v>4.9000000000000004</v>
      </c>
    </row>
    <row r="1082" spans="1:15" x14ac:dyDescent="0.25">
      <c r="A1082" s="13" t="s">
        <v>1094</v>
      </c>
      <c r="B1082" s="13" t="s">
        <v>2195</v>
      </c>
      <c r="C1082" s="13" t="s">
        <v>2197</v>
      </c>
      <c r="D1082" s="13" t="s">
        <v>2207</v>
      </c>
      <c r="E1082" s="13" t="s">
        <v>2212</v>
      </c>
      <c r="F1082" s="13" t="s">
        <v>2217</v>
      </c>
      <c r="G1082" s="13">
        <v>55.08</v>
      </c>
      <c r="H1082" s="13">
        <v>0</v>
      </c>
      <c r="I1082" s="13">
        <v>55.08</v>
      </c>
      <c r="J1082" s="24">
        <v>45875</v>
      </c>
      <c r="K1082" s="13">
        <v>48</v>
      </c>
      <c r="L1082" s="13">
        <v>4.0999999999999996</v>
      </c>
      <c r="M1082" s="13" t="b">
        <v>0</v>
      </c>
      <c r="O1082" s="13">
        <f t="shared" si="16"/>
        <v>4.0999999999999996</v>
      </c>
    </row>
    <row r="1083" spans="1:15" x14ac:dyDescent="0.25">
      <c r="A1083" s="13" t="s">
        <v>1095</v>
      </c>
      <c r="B1083" s="13" t="s">
        <v>2190</v>
      </c>
      <c r="C1083" s="13" t="s">
        <v>2203</v>
      </c>
      <c r="D1083" s="13" t="s">
        <v>2205</v>
      </c>
      <c r="E1083" s="13" t="s">
        <v>2209</v>
      </c>
      <c r="F1083" s="13" t="s">
        <v>2220</v>
      </c>
      <c r="G1083" s="13">
        <v>88.32</v>
      </c>
      <c r="H1083" s="13">
        <v>54.8</v>
      </c>
      <c r="I1083" s="13">
        <v>39.92</v>
      </c>
      <c r="J1083" s="24">
        <v>45875</v>
      </c>
      <c r="K1083" s="13">
        <v>36</v>
      </c>
      <c r="L1083" s="13">
        <v>3.1</v>
      </c>
      <c r="M1083" s="13" t="b">
        <v>0</v>
      </c>
      <c r="O1083" s="13">
        <f t="shared" si="16"/>
        <v>3.1</v>
      </c>
    </row>
    <row r="1084" spans="1:15" x14ac:dyDescent="0.25">
      <c r="A1084" s="13" t="s">
        <v>1096</v>
      </c>
      <c r="B1084" s="13" t="s">
        <v>2194</v>
      </c>
      <c r="C1084" s="13" t="s">
        <v>2199</v>
      </c>
      <c r="D1084" s="13" t="s">
        <v>2206</v>
      </c>
      <c r="E1084" s="13" t="s">
        <v>2213</v>
      </c>
      <c r="F1084" s="13" t="s">
        <v>2214</v>
      </c>
      <c r="G1084" s="13">
        <v>74.900000000000006</v>
      </c>
      <c r="H1084" s="13">
        <v>16.8</v>
      </c>
      <c r="I1084" s="13">
        <v>62.32</v>
      </c>
      <c r="J1084" s="24">
        <v>45875</v>
      </c>
      <c r="K1084" s="13">
        <v>13</v>
      </c>
      <c r="M1084" s="13" t="b">
        <v>1</v>
      </c>
      <c r="N1084" s="13" t="s">
        <v>2225</v>
      </c>
      <c r="O1084" s="13">
        <f t="shared" si="16"/>
        <v>2.8142857142857149</v>
      </c>
    </row>
    <row r="1085" spans="1:15" x14ac:dyDescent="0.25">
      <c r="A1085" s="13" t="s">
        <v>1097</v>
      </c>
      <c r="B1085" s="13" t="s">
        <v>2194</v>
      </c>
      <c r="C1085" s="13" t="s">
        <v>2199</v>
      </c>
      <c r="D1085" s="13" t="s">
        <v>2205</v>
      </c>
      <c r="E1085" s="13" t="s">
        <v>2213</v>
      </c>
      <c r="F1085" s="13" t="s">
        <v>2217</v>
      </c>
      <c r="G1085" s="13">
        <v>69.88</v>
      </c>
      <c r="H1085" s="13">
        <v>57.4</v>
      </c>
      <c r="I1085" s="13">
        <v>29.77</v>
      </c>
      <c r="J1085" s="24">
        <v>45875</v>
      </c>
      <c r="K1085" s="13">
        <v>30</v>
      </c>
      <c r="L1085" s="13">
        <v>4.2</v>
      </c>
      <c r="M1085" s="13" t="b">
        <v>0</v>
      </c>
      <c r="O1085" s="13">
        <f t="shared" si="16"/>
        <v>4.2</v>
      </c>
    </row>
    <row r="1086" spans="1:15" x14ac:dyDescent="0.25">
      <c r="A1086" s="13" t="s">
        <v>1098</v>
      </c>
      <c r="B1086" s="13" t="s">
        <v>2193</v>
      </c>
      <c r="C1086" s="13" t="s">
        <v>2197</v>
      </c>
      <c r="D1086" s="13" t="s">
        <v>2206</v>
      </c>
      <c r="E1086" s="13" t="s">
        <v>2210</v>
      </c>
      <c r="F1086" s="13" t="s">
        <v>2218</v>
      </c>
      <c r="G1086" s="13">
        <v>142.83000000000001</v>
      </c>
      <c r="H1086" s="13">
        <v>0</v>
      </c>
      <c r="I1086" s="13">
        <v>142.83000000000001</v>
      </c>
      <c r="J1086" s="24">
        <v>45875</v>
      </c>
      <c r="K1086" s="13">
        <v>25</v>
      </c>
      <c r="L1086" s="13">
        <v>3.5</v>
      </c>
      <c r="M1086" s="13" t="b">
        <v>0</v>
      </c>
      <c r="O1086" s="13">
        <f t="shared" si="16"/>
        <v>3.5</v>
      </c>
    </row>
    <row r="1087" spans="1:15" x14ac:dyDescent="0.25">
      <c r="A1087" s="13" t="s">
        <v>1099</v>
      </c>
      <c r="B1087" s="13" t="s">
        <v>2193</v>
      </c>
      <c r="C1087" s="13" t="s">
        <v>2196</v>
      </c>
      <c r="D1087" s="13" t="s">
        <v>2206</v>
      </c>
      <c r="F1087" s="13" t="s">
        <v>2223</v>
      </c>
      <c r="G1087" s="13">
        <v>140.16999999999999</v>
      </c>
      <c r="H1087" s="13">
        <v>0</v>
      </c>
      <c r="I1087" s="13">
        <v>140.16999999999999</v>
      </c>
      <c r="J1087" s="24">
        <v>45875</v>
      </c>
      <c r="K1087" s="13">
        <v>43</v>
      </c>
      <c r="L1087" s="13">
        <v>3.1</v>
      </c>
      <c r="M1087" s="13" t="b">
        <v>0</v>
      </c>
      <c r="O1087" s="13">
        <f t="shared" si="16"/>
        <v>3.1</v>
      </c>
    </row>
    <row r="1088" spans="1:15" x14ac:dyDescent="0.25">
      <c r="A1088" s="13" t="s">
        <v>1100</v>
      </c>
      <c r="B1088" s="13" t="s">
        <v>2191</v>
      </c>
      <c r="C1088" s="13" t="s">
        <v>2202</v>
      </c>
      <c r="D1088" s="13" t="s">
        <v>2205</v>
      </c>
      <c r="E1088" s="13" t="s">
        <v>2213</v>
      </c>
      <c r="F1088" s="13" t="s">
        <v>2224</v>
      </c>
      <c r="G1088" s="13">
        <v>106.11</v>
      </c>
      <c r="H1088" s="13">
        <v>33.799999999999997</v>
      </c>
      <c r="I1088" s="13">
        <v>70.239999999999995</v>
      </c>
      <c r="J1088" s="24">
        <v>45875</v>
      </c>
      <c r="K1088" s="13">
        <v>15</v>
      </c>
      <c r="L1088" s="13">
        <v>4.5</v>
      </c>
      <c r="M1088" s="13" t="b">
        <v>0</v>
      </c>
      <c r="O1088" s="13">
        <f t="shared" si="16"/>
        <v>4.5</v>
      </c>
    </row>
    <row r="1089" spans="1:15" x14ac:dyDescent="0.25">
      <c r="A1089" s="13" t="s">
        <v>1101</v>
      </c>
      <c r="B1089" s="13" t="s">
        <v>2195</v>
      </c>
      <c r="C1089" s="13" t="s">
        <v>2200</v>
      </c>
      <c r="D1089" s="13" t="s">
        <v>2207</v>
      </c>
      <c r="E1089" s="13" t="s">
        <v>2212</v>
      </c>
      <c r="F1089" s="13" t="s">
        <v>2215</v>
      </c>
      <c r="G1089" s="13">
        <v>53.23</v>
      </c>
      <c r="H1089" s="13">
        <v>0</v>
      </c>
      <c r="I1089" s="13">
        <v>53.23</v>
      </c>
      <c r="J1089" s="24">
        <v>45875</v>
      </c>
      <c r="K1089" s="13">
        <v>41</v>
      </c>
      <c r="L1089" s="13">
        <v>2.8</v>
      </c>
      <c r="M1089" s="13" t="b">
        <v>1</v>
      </c>
      <c r="N1089" s="13" t="s">
        <v>2225</v>
      </c>
      <c r="O1089" s="13">
        <f t="shared" si="16"/>
        <v>2.8</v>
      </c>
    </row>
    <row r="1090" spans="1:15" x14ac:dyDescent="0.25">
      <c r="A1090" s="13" t="s">
        <v>1102</v>
      </c>
      <c r="B1090" s="13" t="s">
        <v>2190</v>
      </c>
      <c r="C1090" s="13" t="s">
        <v>2198</v>
      </c>
      <c r="D1090" s="13" t="s">
        <v>2204</v>
      </c>
      <c r="E1090" s="13" t="s">
        <v>2211</v>
      </c>
      <c r="F1090" s="13" t="s">
        <v>2216</v>
      </c>
      <c r="G1090" s="13">
        <v>92.25</v>
      </c>
      <c r="H1090" s="13">
        <v>0</v>
      </c>
      <c r="I1090" s="13">
        <v>92.25</v>
      </c>
      <c r="J1090" s="24">
        <v>45805</v>
      </c>
      <c r="K1090" s="13">
        <v>22</v>
      </c>
      <c r="L1090" s="13">
        <v>3.3</v>
      </c>
      <c r="M1090" s="13" t="b">
        <v>1</v>
      </c>
      <c r="N1090" s="13" t="s">
        <v>2230</v>
      </c>
      <c r="O1090" s="13">
        <f t="shared" si="16"/>
        <v>3.3</v>
      </c>
    </row>
    <row r="1091" spans="1:15" x14ac:dyDescent="0.25">
      <c r="A1091" s="13" t="s">
        <v>1103</v>
      </c>
      <c r="B1091" s="13" t="s">
        <v>2192</v>
      </c>
      <c r="C1091" s="13" t="s">
        <v>2201</v>
      </c>
      <c r="D1091" s="13" t="s">
        <v>2207</v>
      </c>
      <c r="F1091" s="13" t="s">
        <v>2224</v>
      </c>
      <c r="G1091" s="13">
        <v>39.17</v>
      </c>
      <c r="H1091" s="13">
        <v>0</v>
      </c>
      <c r="I1091" s="13">
        <v>39.17</v>
      </c>
      <c r="J1091" s="24">
        <v>45875</v>
      </c>
      <c r="K1091" s="13">
        <v>4</v>
      </c>
      <c r="L1091" s="13">
        <v>3.5</v>
      </c>
      <c r="M1091" s="13" t="b">
        <v>1</v>
      </c>
      <c r="N1091" s="13" t="s">
        <v>2225</v>
      </c>
      <c r="O1091" s="13">
        <f t="shared" ref="O1091:O1154" si="17">IF(L1091="",AVERAGEIFS($L$2:$L$2177,$B$2:$B$2177,B1091,$C$2:$C$2177,C1091),L1091)</f>
        <v>3.5</v>
      </c>
    </row>
    <row r="1092" spans="1:15" x14ac:dyDescent="0.25">
      <c r="A1092" s="13" t="s">
        <v>1104</v>
      </c>
      <c r="B1092" s="13" t="s">
        <v>2192</v>
      </c>
      <c r="C1092" s="13" t="s">
        <v>2202</v>
      </c>
      <c r="D1092" s="13" t="s">
        <v>2204</v>
      </c>
      <c r="F1092" s="13" t="s">
        <v>2217</v>
      </c>
      <c r="G1092" s="13">
        <v>72.83</v>
      </c>
      <c r="H1092" s="13">
        <v>0</v>
      </c>
      <c r="I1092" s="13">
        <v>72.83</v>
      </c>
      <c r="J1092" s="24">
        <v>45622</v>
      </c>
      <c r="K1092" s="13">
        <v>6</v>
      </c>
      <c r="L1092" s="13">
        <v>2</v>
      </c>
      <c r="M1092" s="13" t="b">
        <v>0</v>
      </c>
      <c r="O1092" s="13">
        <f t="shared" si="17"/>
        <v>2</v>
      </c>
    </row>
    <row r="1093" spans="1:15" x14ac:dyDescent="0.25">
      <c r="A1093" s="13" t="s">
        <v>1105</v>
      </c>
      <c r="B1093" s="13" t="s">
        <v>2194</v>
      </c>
      <c r="C1093" s="13" t="s">
        <v>2203</v>
      </c>
      <c r="D1093" s="13" t="s">
        <v>2205</v>
      </c>
      <c r="E1093" s="13" t="s">
        <v>2210</v>
      </c>
      <c r="F1093" s="13" t="s">
        <v>2224</v>
      </c>
      <c r="G1093" s="13">
        <v>29.73</v>
      </c>
      <c r="H1093" s="13">
        <v>28.7</v>
      </c>
      <c r="I1093" s="13">
        <v>21.2</v>
      </c>
      <c r="J1093" s="24">
        <v>45875</v>
      </c>
      <c r="K1093" s="13">
        <v>37</v>
      </c>
      <c r="L1093" s="13">
        <v>2.5</v>
      </c>
      <c r="M1093" s="13" t="b">
        <v>0</v>
      </c>
      <c r="O1093" s="13">
        <f t="shared" si="17"/>
        <v>2.5</v>
      </c>
    </row>
    <row r="1094" spans="1:15" x14ac:dyDescent="0.25">
      <c r="A1094" s="13" t="s">
        <v>1106</v>
      </c>
      <c r="B1094" s="13" t="s">
        <v>2195</v>
      </c>
      <c r="C1094" s="13" t="s">
        <v>2199</v>
      </c>
      <c r="D1094" s="13" t="s">
        <v>2205</v>
      </c>
      <c r="E1094" s="13" t="s">
        <v>2208</v>
      </c>
      <c r="F1094" s="13" t="s">
        <v>2216</v>
      </c>
      <c r="G1094" s="13">
        <v>144.1</v>
      </c>
      <c r="H1094" s="13">
        <v>0</v>
      </c>
      <c r="I1094" s="13">
        <v>144.1</v>
      </c>
      <c r="J1094" s="24">
        <v>45875</v>
      </c>
      <c r="K1094" s="13">
        <v>36</v>
      </c>
      <c r="L1094" s="13">
        <v>2.5</v>
      </c>
      <c r="M1094" s="13" t="b">
        <v>0</v>
      </c>
      <c r="O1094" s="13">
        <f t="shared" si="17"/>
        <v>2.5</v>
      </c>
    </row>
    <row r="1095" spans="1:15" x14ac:dyDescent="0.25">
      <c r="A1095" s="13" t="s">
        <v>1107</v>
      </c>
      <c r="B1095" s="13" t="s">
        <v>2195</v>
      </c>
      <c r="C1095" s="13" t="s">
        <v>2200</v>
      </c>
      <c r="D1095" s="13" t="s">
        <v>2207</v>
      </c>
      <c r="E1095" s="13" t="s">
        <v>2208</v>
      </c>
      <c r="F1095" s="13" t="s">
        <v>2224</v>
      </c>
      <c r="G1095" s="13">
        <v>109.23</v>
      </c>
      <c r="H1095" s="13">
        <v>10.8</v>
      </c>
      <c r="I1095" s="13">
        <v>97.43</v>
      </c>
      <c r="J1095" s="24">
        <v>45875</v>
      </c>
      <c r="K1095" s="13">
        <v>38</v>
      </c>
      <c r="L1095" s="13">
        <v>3.3</v>
      </c>
      <c r="M1095" s="13" t="b">
        <v>0</v>
      </c>
      <c r="O1095" s="13">
        <f t="shared" si="17"/>
        <v>3.3</v>
      </c>
    </row>
    <row r="1096" spans="1:15" x14ac:dyDescent="0.25">
      <c r="A1096" s="13" t="s">
        <v>1108</v>
      </c>
      <c r="B1096" s="13" t="s">
        <v>2190</v>
      </c>
      <c r="C1096" s="13" t="s">
        <v>2199</v>
      </c>
      <c r="D1096" s="13" t="s">
        <v>2205</v>
      </c>
      <c r="E1096" s="13" t="s">
        <v>2208</v>
      </c>
      <c r="F1096" s="13" t="s">
        <v>2215</v>
      </c>
      <c r="G1096" s="13">
        <v>180.65</v>
      </c>
      <c r="H1096" s="13">
        <v>17.5</v>
      </c>
      <c r="I1096" s="13">
        <v>149.04</v>
      </c>
      <c r="J1096" s="24">
        <v>45875</v>
      </c>
      <c r="K1096" s="13">
        <v>41</v>
      </c>
      <c r="L1096" s="13">
        <v>1.4</v>
      </c>
      <c r="M1096" s="13" t="b">
        <v>0</v>
      </c>
      <c r="O1096" s="13">
        <f t="shared" si="17"/>
        <v>1.4</v>
      </c>
    </row>
    <row r="1097" spans="1:15" x14ac:dyDescent="0.25">
      <c r="A1097" s="13" t="s">
        <v>1109</v>
      </c>
      <c r="B1097" s="13" t="s">
        <v>2190</v>
      </c>
      <c r="C1097" s="13" t="s">
        <v>2198</v>
      </c>
      <c r="D1097" s="13" t="s">
        <v>2204</v>
      </c>
      <c r="E1097" s="13" t="s">
        <v>2213</v>
      </c>
      <c r="F1097" s="13" t="s">
        <v>2220</v>
      </c>
      <c r="G1097" s="13">
        <v>129.24</v>
      </c>
      <c r="H1097" s="13">
        <v>46.2</v>
      </c>
      <c r="I1097" s="13">
        <v>69.53</v>
      </c>
      <c r="J1097" s="24">
        <v>45743</v>
      </c>
      <c r="K1097" s="13">
        <v>28</v>
      </c>
      <c r="L1097" s="13">
        <v>3.2</v>
      </c>
      <c r="M1097" s="13" t="b">
        <v>0</v>
      </c>
      <c r="O1097" s="13">
        <f t="shared" si="17"/>
        <v>3.2</v>
      </c>
    </row>
    <row r="1098" spans="1:15" x14ac:dyDescent="0.25">
      <c r="A1098" s="13" t="s">
        <v>1110</v>
      </c>
      <c r="B1098" s="13" t="s">
        <v>2193</v>
      </c>
      <c r="C1098" s="13" t="s">
        <v>2202</v>
      </c>
      <c r="D1098" s="13" t="s">
        <v>2207</v>
      </c>
      <c r="E1098" s="13" t="s">
        <v>2212</v>
      </c>
      <c r="F1098" s="13" t="s">
        <v>2219</v>
      </c>
      <c r="G1098" s="13">
        <v>195.67</v>
      </c>
      <c r="H1098" s="13">
        <v>47.1</v>
      </c>
      <c r="I1098" s="13">
        <v>103.51</v>
      </c>
      <c r="J1098" s="24">
        <v>45875</v>
      </c>
      <c r="K1098" s="13">
        <v>36</v>
      </c>
      <c r="L1098" s="13">
        <v>4</v>
      </c>
      <c r="M1098" s="13" t="b">
        <v>0</v>
      </c>
      <c r="O1098" s="13">
        <f t="shared" si="17"/>
        <v>4</v>
      </c>
    </row>
    <row r="1099" spans="1:15" x14ac:dyDescent="0.25">
      <c r="A1099" s="13" t="s">
        <v>1111</v>
      </c>
      <c r="B1099" s="13" t="s">
        <v>2192</v>
      </c>
      <c r="C1099" s="13" t="s">
        <v>2198</v>
      </c>
      <c r="D1099" s="13" t="s">
        <v>2205</v>
      </c>
      <c r="F1099" s="13" t="s">
        <v>2222</v>
      </c>
      <c r="G1099" s="13">
        <v>65.64</v>
      </c>
      <c r="H1099" s="13">
        <v>20.7</v>
      </c>
      <c r="I1099" s="13">
        <v>52.05</v>
      </c>
      <c r="J1099" s="24">
        <v>45875</v>
      </c>
      <c r="K1099" s="13">
        <v>20</v>
      </c>
      <c r="L1099" s="13">
        <v>2.6</v>
      </c>
      <c r="M1099" s="13" t="b">
        <v>0</v>
      </c>
      <c r="O1099" s="13">
        <f t="shared" si="17"/>
        <v>2.6</v>
      </c>
    </row>
    <row r="1100" spans="1:15" x14ac:dyDescent="0.25">
      <c r="A1100" s="13" t="s">
        <v>1112</v>
      </c>
      <c r="B1100" s="13" t="s">
        <v>2194</v>
      </c>
      <c r="C1100" s="13" t="s">
        <v>2200</v>
      </c>
      <c r="D1100" s="13" t="s">
        <v>2204</v>
      </c>
      <c r="E1100" s="13" t="s">
        <v>2212</v>
      </c>
      <c r="F1100" s="13" t="s">
        <v>2223</v>
      </c>
      <c r="G1100" s="13">
        <v>113.18</v>
      </c>
      <c r="H1100" s="13">
        <v>0</v>
      </c>
      <c r="I1100" s="13">
        <v>113.18</v>
      </c>
      <c r="J1100" s="24">
        <v>45749</v>
      </c>
      <c r="K1100" s="13">
        <v>3</v>
      </c>
      <c r="L1100" s="13">
        <v>4.9000000000000004</v>
      </c>
      <c r="M1100" s="13" t="b">
        <v>0</v>
      </c>
      <c r="O1100" s="13">
        <f t="shared" si="17"/>
        <v>4.9000000000000004</v>
      </c>
    </row>
    <row r="1101" spans="1:15" x14ac:dyDescent="0.25">
      <c r="A1101" s="13" t="s">
        <v>1113</v>
      </c>
      <c r="B1101" s="13" t="s">
        <v>2193</v>
      </c>
      <c r="C1101" s="13" t="s">
        <v>2201</v>
      </c>
      <c r="D1101" s="13" t="s">
        <v>2206</v>
      </c>
      <c r="E1101" s="13" t="s">
        <v>2208</v>
      </c>
      <c r="F1101" s="13" t="s">
        <v>2221</v>
      </c>
      <c r="G1101" s="13">
        <v>173.69</v>
      </c>
      <c r="H1101" s="13">
        <v>0</v>
      </c>
      <c r="I1101" s="13">
        <v>173.69</v>
      </c>
      <c r="J1101" s="24">
        <v>45875</v>
      </c>
      <c r="K1101" s="13">
        <v>25</v>
      </c>
      <c r="L1101" s="13">
        <v>3.6</v>
      </c>
      <c r="M1101" s="13" t="b">
        <v>0</v>
      </c>
      <c r="O1101" s="13">
        <f t="shared" si="17"/>
        <v>3.6</v>
      </c>
    </row>
    <row r="1102" spans="1:15" x14ac:dyDescent="0.25">
      <c r="A1102" s="13" t="s">
        <v>1114</v>
      </c>
      <c r="B1102" s="13" t="s">
        <v>2190</v>
      </c>
      <c r="C1102" s="13" t="s">
        <v>2196</v>
      </c>
      <c r="D1102" s="13" t="s">
        <v>2206</v>
      </c>
      <c r="E1102" s="13" t="s">
        <v>2210</v>
      </c>
      <c r="F1102" s="13" t="s">
        <v>2218</v>
      </c>
      <c r="G1102" s="13">
        <v>156.54</v>
      </c>
      <c r="H1102" s="13">
        <v>0</v>
      </c>
      <c r="I1102" s="13">
        <v>156.54</v>
      </c>
      <c r="J1102" s="24">
        <v>45875</v>
      </c>
      <c r="K1102" s="13">
        <v>23</v>
      </c>
      <c r="L1102" s="13">
        <v>1.8</v>
      </c>
      <c r="M1102" s="13" t="b">
        <v>0</v>
      </c>
      <c r="O1102" s="13">
        <f t="shared" si="17"/>
        <v>1.8</v>
      </c>
    </row>
    <row r="1103" spans="1:15" x14ac:dyDescent="0.25">
      <c r="A1103" s="13" t="s">
        <v>1115</v>
      </c>
      <c r="B1103" s="13" t="s">
        <v>2195</v>
      </c>
      <c r="C1103" s="13" t="s">
        <v>2200</v>
      </c>
      <c r="D1103" s="13" t="s">
        <v>2204</v>
      </c>
      <c r="E1103" s="13" t="s">
        <v>2208</v>
      </c>
      <c r="F1103" s="13" t="s">
        <v>2224</v>
      </c>
      <c r="G1103" s="13">
        <v>103.78</v>
      </c>
      <c r="H1103" s="13">
        <v>39</v>
      </c>
      <c r="I1103" s="13">
        <v>63.31</v>
      </c>
      <c r="J1103" s="24">
        <v>45577</v>
      </c>
      <c r="K1103" s="13">
        <v>5</v>
      </c>
      <c r="M1103" s="13" t="b">
        <v>0</v>
      </c>
      <c r="O1103" s="13">
        <f t="shared" si="17"/>
        <v>3.1051282051282048</v>
      </c>
    </row>
    <row r="1104" spans="1:15" x14ac:dyDescent="0.25">
      <c r="A1104" s="13" t="s">
        <v>1116</v>
      </c>
      <c r="B1104" s="13" t="s">
        <v>2192</v>
      </c>
      <c r="C1104" s="13" t="s">
        <v>2202</v>
      </c>
      <c r="D1104" s="13" t="s">
        <v>2206</v>
      </c>
      <c r="F1104" s="13" t="s">
        <v>2216</v>
      </c>
      <c r="G1104" s="13">
        <v>79.599999999999994</v>
      </c>
      <c r="H1104" s="13">
        <v>0</v>
      </c>
      <c r="I1104" s="13">
        <v>79.599999999999994</v>
      </c>
      <c r="J1104" s="24">
        <v>45875</v>
      </c>
      <c r="K1104" s="13">
        <v>22</v>
      </c>
      <c r="M1104" s="13" t="b">
        <v>0</v>
      </c>
      <c r="O1104" s="13">
        <f t="shared" si="17"/>
        <v>3.2720930232558145</v>
      </c>
    </row>
    <row r="1105" spans="1:15" x14ac:dyDescent="0.25">
      <c r="A1105" s="13" t="s">
        <v>1117</v>
      </c>
      <c r="B1105" s="13" t="s">
        <v>2192</v>
      </c>
      <c r="C1105" s="13" t="s">
        <v>2201</v>
      </c>
      <c r="D1105" s="13" t="s">
        <v>2206</v>
      </c>
      <c r="F1105" s="13" t="s">
        <v>2221</v>
      </c>
      <c r="G1105" s="13">
        <v>34.18</v>
      </c>
      <c r="H1105" s="13">
        <v>18.899999999999999</v>
      </c>
      <c r="I1105" s="13">
        <v>27.72</v>
      </c>
      <c r="J1105" s="24">
        <v>45875</v>
      </c>
      <c r="K1105" s="13">
        <v>50</v>
      </c>
      <c r="L1105" s="13">
        <v>3.6</v>
      </c>
      <c r="M1105" s="13" t="b">
        <v>0</v>
      </c>
      <c r="O1105" s="13">
        <f t="shared" si="17"/>
        <v>3.6</v>
      </c>
    </row>
    <row r="1106" spans="1:15" x14ac:dyDescent="0.25">
      <c r="A1106" s="13" t="s">
        <v>1118</v>
      </c>
      <c r="B1106" s="13" t="s">
        <v>2194</v>
      </c>
      <c r="C1106" s="13" t="s">
        <v>2202</v>
      </c>
      <c r="D1106" s="13" t="s">
        <v>2205</v>
      </c>
      <c r="E1106" s="13" t="s">
        <v>2211</v>
      </c>
      <c r="F1106" s="13" t="s">
        <v>2219</v>
      </c>
      <c r="G1106" s="13">
        <v>58.44</v>
      </c>
      <c r="H1106" s="13">
        <v>0</v>
      </c>
      <c r="I1106" s="13">
        <v>58.44</v>
      </c>
      <c r="J1106" s="24">
        <v>45875</v>
      </c>
      <c r="K1106" s="13">
        <v>3</v>
      </c>
      <c r="L1106" s="13">
        <v>2.6</v>
      </c>
      <c r="M1106" s="13" t="b">
        <v>1</v>
      </c>
      <c r="N1106" s="13" t="s">
        <v>2230</v>
      </c>
      <c r="O1106" s="13">
        <f t="shared" si="17"/>
        <v>2.6</v>
      </c>
    </row>
    <row r="1107" spans="1:15" x14ac:dyDescent="0.25">
      <c r="A1107" s="13" t="s">
        <v>1119</v>
      </c>
      <c r="B1107" s="13" t="s">
        <v>2192</v>
      </c>
      <c r="C1107" s="13" t="s">
        <v>2196</v>
      </c>
      <c r="D1107" s="13" t="s">
        <v>2207</v>
      </c>
      <c r="F1107" s="13" t="s">
        <v>2222</v>
      </c>
      <c r="G1107" s="13">
        <v>30.62</v>
      </c>
      <c r="H1107" s="13">
        <v>0</v>
      </c>
      <c r="I1107" s="13">
        <v>30.62</v>
      </c>
      <c r="J1107" s="24">
        <v>45875</v>
      </c>
      <c r="K1107" s="13">
        <v>31</v>
      </c>
      <c r="L1107" s="13">
        <v>3</v>
      </c>
      <c r="M1107" s="13" t="b">
        <v>1</v>
      </c>
      <c r="N1107" s="13" t="s">
        <v>2227</v>
      </c>
      <c r="O1107" s="13">
        <f t="shared" si="17"/>
        <v>3</v>
      </c>
    </row>
    <row r="1108" spans="1:15" x14ac:dyDescent="0.25">
      <c r="A1108" s="13" t="s">
        <v>1120</v>
      </c>
      <c r="B1108" s="13" t="s">
        <v>2190</v>
      </c>
      <c r="C1108" s="13" t="s">
        <v>2197</v>
      </c>
      <c r="D1108" s="13" t="s">
        <v>2206</v>
      </c>
      <c r="E1108" s="13" t="s">
        <v>2211</v>
      </c>
      <c r="F1108" s="13" t="s">
        <v>2223</v>
      </c>
      <c r="G1108" s="13">
        <v>213.94</v>
      </c>
      <c r="H1108" s="13">
        <v>0</v>
      </c>
      <c r="I1108" s="13">
        <v>213.94</v>
      </c>
      <c r="J1108" s="24">
        <v>45875</v>
      </c>
      <c r="K1108" s="13">
        <v>16</v>
      </c>
      <c r="L1108" s="13">
        <v>4.7</v>
      </c>
      <c r="M1108" s="13" t="b">
        <v>0</v>
      </c>
      <c r="O1108" s="13">
        <f t="shared" si="17"/>
        <v>4.7</v>
      </c>
    </row>
    <row r="1109" spans="1:15" x14ac:dyDescent="0.25">
      <c r="A1109" s="13" t="s">
        <v>1121</v>
      </c>
      <c r="B1109" s="13" t="s">
        <v>2194</v>
      </c>
      <c r="C1109" s="13" t="s">
        <v>2203</v>
      </c>
      <c r="D1109" s="13" t="s">
        <v>2206</v>
      </c>
      <c r="E1109" s="13" t="s">
        <v>2208</v>
      </c>
      <c r="F1109" s="13" t="s">
        <v>2215</v>
      </c>
      <c r="G1109" s="13">
        <v>29.31</v>
      </c>
      <c r="H1109" s="13">
        <v>0</v>
      </c>
      <c r="I1109" s="13">
        <v>29.31</v>
      </c>
      <c r="J1109" s="24">
        <v>45875</v>
      </c>
      <c r="K1109" s="13">
        <v>25</v>
      </c>
      <c r="L1109" s="13">
        <v>4.5999999999999996</v>
      </c>
      <c r="M1109" s="13" t="b">
        <v>1</v>
      </c>
      <c r="N1109" s="13" t="s">
        <v>2229</v>
      </c>
      <c r="O1109" s="13">
        <f t="shared" si="17"/>
        <v>4.5999999999999996</v>
      </c>
    </row>
    <row r="1110" spans="1:15" x14ac:dyDescent="0.25">
      <c r="A1110" s="13" t="s">
        <v>1122</v>
      </c>
      <c r="B1110" s="13" t="s">
        <v>2191</v>
      </c>
      <c r="C1110" s="13" t="s">
        <v>2203</v>
      </c>
      <c r="D1110" s="13" t="s">
        <v>2204</v>
      </c>
      <c r="E1110" s="13" t="s">
        <v>2213</v>
      </c>
      <c r="F1110" s="13" t="s">
        <v>2214</v>
      </c>
      <c r="G1110" s="13">
        <v>49.12</v>
      </c>
      <c r="H1110" s="13">
        <v>0</v>
      </c>
      <c r="I1110" s="13">
        <v>49.12</v>
      </c>
      <c r="J1110" s="24">
        <v>45836</v>
      </c>
      <c r="K1110" s="13">
        <v>47</v>
      </c>
      <c r="M1110" s="13" t="b">
        <v>0</v>
      </c>
      <c r="O1110" s="13">
        <f t="shared" si="17"/>
        <v>2.6870967741935483</v>
      </c>
    </row>
    <row r="1111" spans="1:15" x14ac:dyDescent="0.25">
      <c r="A1111" s="13" t="s">
        <v>1123</v>
      </c>
      <c r="B1111" s="13" t="s">
        <v>2194</v>
      </c>
      <c r="C1111" s="13" t="s">
        <v>2198</v>
      </c>
      <c r="D1111" s="13" t="s">
        <v>2206</v>
      </c>
      <c r="F1111" s="13" t="s">
        <v>2223</v>
      </c>
      <c r="G1111" s="13">
        <v>113.23</v>
      </c>
      <c r="H1111" s="13">
        <v>0</v>
      </c>
      <c r="I1111" s="13">
        <v>113.23</v>
      </c>
      <c r="J1111" s="24">
        <v>45875</v>
      </c>
      <c r="K1111" s="13">
        <v>13</v>
      </c>
      <c r="L1111" s="13">
        <v>3.7</v>
      </c>
      <c r="M1111" s="13" t="b">
        <v>0</v>
      </c>
      <c r="O1111" s="13">
        <f t="shared" si="17"/>
        <v>3.7</v>
      </c>
    </row>
    <row r="1112" spans="1:15" x14ac:dyDescent="0.25">
      <c r="A1112" s="13" t="s">
        <v>1124</v>
      </c>
      <c r="B1112" s="13" t="s">
        <v>2190</v>
      </c>
      <c r="C1112" s="13" t="s">
        <v>2198</v>
      </c>
      <c r="D1112" s="13" t="s">
        <v>2204</v>
      </c>
      <c r="E1112" s="13" t="s">
        <v>2211</v>
      </c>
      <c r="F1112" s="13" t="s">
        <v>2224</v>
      </c>
      <c r="G1112" s="13">
        <v>103.65</v>
      </c>
      <c r="H1112" s="13">
        <v>0</v>
      </c>
      <c r="I1112" s="13">
        <v>103.65</v>
      </c>
      <c r="J1112" s="24">
        <v>45612</v>
      </c>
      <c r="K1112" s="13">
        <v>4</v>
      </c>
      <c r="L1112" s="13">
        <v>1</v>
      </c>
      <c r="M1112" s="13" t="b">
        <v>0</v>
      </c>
      <c r="O1112" s="13">
        <f t="shared" si="17"/>
        <v>1</v>
      </c>
    </row>
    <row r="1113" spans="1:15" x14ac:dyDescent="0.25">
      <c r="A1113" s="13" t="s">
        <v>1125</v>
      </c>
      <c r="B1113" s="13" t="s">
        <v>2195</v>
      </c>
      <c r="C1113" s="13" t="s">
        <v>2201</v>
      </c>
      <c r="D1113" s="13" t="s">
        <v>2206</v>
      </c>
      <c r="F1113" s="13" t="s">
        <v>2218</v>
      </c>
      <c r="G1113" s="13">
        <v>71.84</v>
      </c>
      <c r="H1113" s="13">
        <v>49.4</v>
      </c>
      <c r="I1113" s="13">
        <v>36.35</v>
      </c>
      <c r="J1113" s="24">
        <v>45875</v>
      </c>
      <c r="K1113" s="13">
        <v>25</v>
      </c>
      <c r="M1113" s="13" t="b">
        <v>0</v>
      </c>
      <c r="O1113" s="13">
        <f t="shared" si="17"/>
        <v>3.1874999999999991</v>
      </c>
    </row>
    <row r="1114" spans="1:15" x14ac:dyDescent="0.25">
      <c r="A1114" s="13" t="s">
        <v>1126</v>
      </c>
      <c r="B1114" s="13" t="s">
        <v>2193</v>
      </c>
      <c r="C1114" s="13" t="s">
        <v>2196</v>
      </c>
      <c r="D1114" s="13" t="s">
        <v>2205</v>
      </c>
      <c r="E1114" s="13" t="s">
        <v>2209</v>
      </c>
      <c r="F1114" s="13" t="s">
        <v>2218</v>
      </c>
      <c r="G1114" s="13">
        <v>128.31</v>
      </c>
      <c r="H1114" s="13">
        <v>0</v>
      </c>
      <c r="I1114" s="13">
        <v>128.31</v>
      </c>
      <c r="J1114" s="24">
        <v>45875</v>
      </c>
      <c r="K1114" s="13">
        <v>36</v>
      </c>
      <c r="L1114" s="13">
        <v>4</v>
      </c>
      <c r="M1114" s="13" t="b">
        <v>1</v>
      </c>
      <c r="N1114" s="13" t="s">
        <v>2229</v>
      </c>
      <c r="O1114" s="13">
        <f t="shared" si="17"/>
        <v>4</v>
      </c>
    </row>
    <row r="1115" spans="1:15" x14ac:dyDescent="0.25">
      <c r="A1115" s="13" t="s">
        <v>1127</v>
      </c>
      <c r="B1115" s="13" t="s">
        <v>2193</v>
      </c>
      <c r="C1115" s="13" t="s">
        <v>2203</v>
      </c>
      <c r="D1115" s="13" t="s">
        <v>2205</v>
      </c>
      <c r="E1115" s="13" t="s">
        <v>2209</v>
      </c>
      <c r="F1115" s="13" t="s">
        <v>2219</v>
      </c>
      <c r="G1115" s="13">
        <v>118.97</v>
      </c>
      <c r="H1115" s="13">
        <v>0</v>
      </c>
      <c r="I1115" s="13">
        <v>118.97</v>
      </c>
      <c r="J1115" s="24">
        <v>45875</v>
      </c>
      <c r="K1115" s="13">
        <v>45</v>
      </c>
      <c r="L1115" s="13">
        <v>3.8</v>
      </c>
      <c r="M1115" s="13" t="b">
        <v>0</v>
      </c>
      <c r="O1115" s="13">
        <f t="shared" si="17"/>
        <v>3.8</v>
      </c>
    </row>
    <row r="1116" spans="1:15" x14ac:dyDescent="0.25">
      <c r="A1116" s="13" t="s">
        <v>1128</v>
      </c>
      <c r="B1116" s="13" t="s">
        <v>2194</v>
      </c>
      <c r="C1116" s="13" t="s">
        <v>2196</v>
      </c>
      <c r="D1116" s="13" t="s">
        <v>2205</v>
      </c>
      <c r="E1116" s="13" t="s">
        <v>2210</v>
      </c>
      <c r="F1116" s="13" t="s">
        <v>2214</v>
      </c>
      <c r="G1116" s="13">
        <v>31.98</v>
      </c>
      <c r="H1116" s="13">
        <v>16.5</v>
      </c>
      <c r="I1116" s="13">
        <v>26.7</v>
      </c>
      <c r="J1116" s="24">
        <v>45875</v>
      </c>
      <c r="K1116" s="13">
        <v>48</v>
      </c>
      <c r="L1116" s="13">
        <v>1.8</v>
      </c>
      <c r="M1116" s="13" t="b">
        <v>0</v>
      </c>
      <c r="O1116" s="13">
        <f t="shared" si="17"/>
        <v>1.8</v>
      </c>
    </row>
    <row r="1117" spans="1:15" x14ac:dyDescent="0.25">
      <c r="A1117" s="13" t="s">
        <v>1129</v>
      </c>
      <c r="B1117" s="13" t="s">
        <v>2191</v>
      </c>
      <c r="C1117" s="13" t="s">
        <v>2198</v>
      </c>
      <c r="D1117" s="13" t="s">
        <v>2205</v>
      </c>
      <c r="E1117" s="13" t="s">
        <v>2211</v>
      </c>
      <c r="F1117" s="13" t="s">
        <v>2223</v>
      </c>
      <c r="G1117" s="13">
        <v>115.89</v>
      </c>
      <c r="H1117" s="13">
        <v>26.8</v>
      </c>
      <c r="I1117" s="13">
        <v>84.83</v>
      </c>
      <c r="J1117" s="24">
        <v>45875</v>
      </c>
      <c r="K1117" s="13">
        <v>26</v>
      </c>
      <c r="L1117" s="13">
        <v>4.5999999999999996</v>
      </c>
      <c r="M1117" s="13" t="b">
        <v>0</v>
      </c>
      <c r="O1117" s="13">
        <f t="shared" si="17"/>
        <v>4.5999999999999996</v>
      </c>
    </row>
    <row r="1118" spans="1:15" x14ac:dyDescent="0.25">
      <c r="A1118" s="13" t="s">
        <v>1130</v>
      </c>
      <c r="B1118" s="13" t="s">
        <v>2195</v>
      </c>
      <c r="C1118" s="13" t="s">
        <v>2201</v>
      </c>
      <c r="D1118" s="13" t="s">
        <v>2206</v>
      </c>
      <c r="E1118" s="13" t="s">
        <v>2208</v>
      </c>
      <c r="F1118" s="13" t="s">
        <v>2215</v>
      </c>
      <c r="G1118" s="13">
        <v>140.06</v>
      </c>
      <c r="H1118" s="13">
        <v>0</v>
      </c>
      <c r="I1118" s="13">
        <v>140.06</v>
      </c>
      <c r="J1118" s="24">
        <v>45875</v>
      </c>
      <c r="K1118" s="13">
        <v>37</v>
      </c>
      <c r="L1118" s="13">
        <v>2.2999999999999998</v>
      </c>
      <c r="M1118" s="13" t="b">
        <v>0</v>
      </c>
      <c r="O1118" s="13">
        <f t="shared" si="17"/>
        <v>2.2999999999999998</v>
      </c>
    </row>
    <row r="1119" spans="1:15" x14ac:dyDescent="0.25">
      <c r="A1119" s="13" t="s">
        <v>1131</v>
      </c>
      <c r="B1119" s="13" t="s">
        <v>2193</v>
      </c>
      <c r="C1119" s="13" t="s">
        <v>2199</v>
      </c>
      <c r="D1119" s="13" t="s">
        <v>2206</v>
      </c>
      <c r="E1119" s="13" t="s">
        <v>2212</v>
      </c>
      <c r="F1119" s="13" t="s">
        <v>2215</v>
      </c>
      <c r="G1119" s="13">
        <v>154.82</v>
      </c>
      <c r="H1119" s="13">
        <v>0</v>
      </c>
      <c r="I1119" s="13">
        <v>154.82</v>
      </c>
      <c r="J1119" s="24">
        <v>45875</v>
      </c>
      <c r="K1119" s="13">
        <v>10</v>
      </c>
      <c r="L1119" s="13">
        <v>4.0999999999999996</v>
      </c>
      <c r="M1119" s="13" t="b">
        <v>0</v>
      </c>
      <c r="O1119" s="13">
        <f t="shared" si="17"/>
        <v>4.0999999999999996</v>
      </c>
    </row>
    <row r="1120" spans="1:15" x14ac:dyDescent="0.25">
      <c r="A1120" s="13" t="s">
        <v>1132</v>
      </c>
      <c r="B1120" s="13" t="s">
        <v>2195</v>
      </c>
      <c r="C1120" s="13" t="s">
        <v>2197</v>
      </c>
      <c r="D1120" s="13" t="s">
        <v>2205</v>
      </c>
      <c r="E1120" s="13" t="s">
        <v>2208</v>
      </c>
      <c r="F1120" s="13" t="s">
        <v>2219</v>
      </c>
      <c r="G1120" s="13">
        <v>114.21</v>
      </c>
      <c r="H1120" s="13">
        <v>20.2</v>
      </c>
      <c r="I1120" s="13">
        <v>91.14</v>
      </c>
      <c r="J1120" s="24">
        <v>45875</v>
      </c>
      <c r="K1120" s="13">
        <v>5</v>
      </c>
      <c r="L1120" s="13">
        <v>2</v>
      </c>
      <c r="M1120" s="13" t="b">
        <v>1</v>
      </c>
      <c r="N1120" s="13" t="s">
        <v>2230</v>
      </c>
      <c r="O1120" s="13">
        <f t="shared" si="17"/>
        <v>2</v>
      </c>
    </row>
    <row r="1121" spans="1:15" x14ac:dyDescent="0.25">
      <c r="A1121" s="13" t="s">
        <v>1133</v>
      </c>
      <c r="B1121" s="13" t="s">
        <v>2193</v>
      </c>
      <c r="C1121" s="13" t="s">
        <v>2196</v>
      </c>
      <c r="D1121" s="13" t="s">
        <v>2205</v>
      </c>
      <c r="E1121" s="13" t="s">
        <v>2208</v>
      </c>
      <c r="F1121" s="13" t="s">
        <v>2219</v>
      </c>
      <c r="G1121" s="13">
        <v>114.84</v>
      </c>
      <c r="H1121" s="13">
        <v>0</v>
      </c>
      <c r="I1121" s="13">
        <v>114.84</v>
      </c>
      <c r="J1121" s="24">
        <v>45875</v>
      </c>
      <c r="K1121" s="13">
        <v>38</v>
      </c>
      <c r="L1121" s="13">
        <v>2.6</v>
      </c>
      <c r="M1121" s="13" t="b">
        <v>1</v>
      </c>
      <c r="N1121" s="13" t="s">
        <v>2225</v>
      </c>
      <c r="O1121" s="13">
        <f t="shared" si="17"/>
        <v>2.6</v>
      </c>
    </row>
    <row r="1122" spans="1:15" x14ac:dyDescent="0.25">
      <c r="A1122" s="13" t="s">
        <v>1134</v>
      </c>
      <c r="B1122" s="13" t="s">
        <v>2195</v>
      </c>
      <c r="C1122" s="13" t="s">
        <v>2199</v>
      </c>
      <c r="D1122" s="13" t="s">
        <v>2205</v>
      </c>
      <c r="E1122" s="13" t="s">
        <v>2208</v>
      </c>
      <c r="F1122" s="13" t="s">
        <v>2222</v>
      </c>
      <c r="G1122" s="13">
        <v>131.32</v>
      </c>
      <c r="H1122" s="13">
        <v>6.8</v>
      </c>
      <c r="I1122" s="13">
        <v>122.39</v>
      </c>
      <c r="J1122" s="24">
        <v>45875</v>
      </c>
      <c r="K1122" s="13">
        <v>18</v>
      </c>
      <c r="L1122" s="13">
        <v>2</v>
      </c>
      <c r="M1122" s="13" t="b">
        <v>0</v>
      </c>
      <c r="O1122" s="13">
        <f t="shared" si="17"/>
        <v>2</v>
      </c>
    </row>
    <row r="1123" spans="1:15" x14ac:dyDescent="0.25">
      <c r="A1123" s="13" t="s">
        <v>1135</v>
      </c>
      <c r="B1123" s="13" t="s">
        <v>2191</v>
      </c>
      <c r="C1123" s="13" t="s">
        <v>2199</v>
      </c>
      <c r="D1123" s="13" t="s">
        <v>2206</v>
      </c>
      <c r="E1123" s="13" t="s">
        <v>2210</v>
      </c>
      <c r="F1123" s="13" t="s">
        <v>2215</v>
      </c>
      <c r="G1123" s="13">
        <v>91.41</v>
      </c>
      <c r="H1123" s="13">
        <v>32.1</v>
      </c>
      <c r="I1123" s="13">
        <v>62.07</v>
      </c>
      <c r="J1123" s="24">
        <v>45875</v>
      </c>
      <c r="K1123" s="13">
        <v>49</v>
      </c>
      <c r="L1123" s="13">
        <v>2.2999999999999998</v>
      </c>
      <c r="M1123" s="13" t="b">
        <v>0</v>
      </c>
      <c r="O1123" s="13">
        <f t="shared" si="17"/>
        <v>2.2999999999999998</v>
      </c>
    </row>
    <row r="1124" spans="1:15" x14ac:dyDescent="0.25">
      <c r="A1124" s="13" t="s">
        <v>1136</v>
      </c>
      <c r="B1124" s="13" t="s">
        <v>2190</v>
      </c>
      <c r="C1124" s="13" t="s">
        <v>2202</v>
      </c>
      <c r="D1124" s="13" t="s">
        <v>2206</v>
      </c>
      <c r="E1124" s="13" t="s">
        <v>2212</v>
      </c>
      <c r="F1124" s="13" t="s">
        <v>2216</v>
      </c>
      <c r="G1124" s="13">
        <v>202.28</v>
      </c>
      <c r="H1124" s="13">
        <v>0</v>
      </c>
      <c r="I1124" s="13">
        <v>202.28</v>
      </c>
      <c r="J1124" s="24">
        <v>45875</v>
      </c>
      <c r="K1124" s="13">
        <v>4</v>
      </c>
      <c r="M1124" s="13" t="b">
        <v>0</v>
      </c>
      <c r="O1124" s="13">
        <f t="shared" si="17"/>
        <v>2.9034482758620692</v>
      </c>
    </row>
    <row r="1125" spans="1:15" x14ac:dyDescent="0.25">
      <c r="A1125" s="13" t="s">
        <v>1137</v>
      </c>
      <c r="B1125" s="13" t="s">
        <v>2194</v>
      </c>
      <c r="C1125" s="13" t="s">
        <v>2203</v>
      </c>
      <c r="D1125" s="13" t="s">
        <v>2206</v>
      </c>
      <c r="E1125" s="13" t="s">
        <v>2213</v>
      </c>
      <c r="F1125" s="13" t="s">
        <v>2214</v>
      </c>
      <c r="G1125" s="13">
        <v>119.63</v>
      </c>
      <c r="H1125" s="13">
        <v>0</v>
      </c>
      <c r="I1125" s="13">
        <v>119.63</v>
      </c>
      <c r="J1125" s="24">
        <v>45875</v>
      </c>
      <c r="K1125" s="13">
        <v>14</v>
      </c>
      <c r="L1125" s="13">
        <v>2.1</v>
      </c>
      <c r="M1125" s="13" t="b">
        <v>0</v>
      </c>
      <c r="O1125" s="13">
        <f t="shared" si="17"/>
        <v>2.1</v>
      </c>
    </row>
    <row r="1126" spans="1:15" x14ac:dyDescent="0.25">
      <c r="A1126" s="13" t="s">
        <v>1138</v>
      </c>
      <c r="B1126" s="13" t="s">
        <v>2193</v>
      </c>
      <c r="C1126" s="13" t="s">
        <v>2198</v>
      </c>
      <c r="D1126" s="13" t="s">
        <v>2207</v>
      </c>
      <c r="E1126" s="13" t="s">
        <v>2209</v>
      </c>
      <c r="F1126" s="13" t="s">
        <v>2219</v>
      </c>
      <c r="G1126" s="13">
        <v>167.89</v>
      </c>
      <c r="H1126" s="13">
        <v>0</v>
      </c>
      <c r="I1126" s="13">
        <v>167.89</v>
      </c>
      <c r="J1126" s="24">
        <v>45875</v>
      </c>
      <c r="K1126" s="13">
        <v>12</v>
      </c>
      <c r="L1126" s="13">
        <v>1</v>
      </c>
      <c r="M1126" s="13" t="b">
        <v>0</v>
      </c>
      <c r="O1126" s="13">
        <f t="shared" si="17"/>
        <v>1</v>
      </c>
    </row>
    <row r="1127" spans="1:15" x14ac:dyDescent="0.25">
      <c r="A1127" s="13" t="s">
        <v>1139</v>
      </c>
      <c r="B1127" s="13" t="s">
        <v>2193</v>
      </c>
      <c r="C1127" s="13" t="s">
        <v>2197</v>
      </c>
      <c r="D1127" s="13" t="s">
        <v>2204</v>
      </c>
      <c r="E1127" s="13" t="s">
        <v>2208</v>
      </c>
      <c r="F1127" s="13" t="s">
        <v>2219</v>
      </c>
      <c r="G1127" s="13">
        <v>100.39</v>
      </c>
      <c r="H1127" s="13">
        <v>0</v>
      </c>
      <c r="I1127" s="13">
        <v>100.39</v>
      </c>
      <c r="J1127" s="24">
        <v>45723</v>
      </c>
      <c r="K1127" s="13">
        <v>24</v>
      </c>
      <c r="L1127" s="13">
        <v>3.2</v>
      </c>
      <c r="M1127" s="13" t="b">
        <v>1</v>
      </c>
      <c r="N1127" s="13" t="s">
        <v>2228</v>
      </c>
      <c r="O1127" s="13">
        <f t="shared" si="17"/>
        <v>3.2</v>
      </c>
    </row>
    <row r="1128" spans="1:15" x14ac:dyDescent="0.25">
      <c r="A1128" s="13" t="s">
        <v>1140</v>
      </c>
      <c r="B1128" s="13" t="s">
        <v>2195</v>
      </c>
      <c r="C1128" s="13" t="s">
        <v>2202</v>
      </c>
      <c r="D1128" s="13" t="s">
        <v>2207</v>
      </c>
      <c r="E1128" s="13" t="s">
        <v>2209</v>
      </c>
      <c r="F1128" s="13" t="s">
        <v>2218</v>
      </c>
      <c r="G1128" s="13">
        <v>162.41999999999999</v>
      </c>
      <c r="H1128" s="13">
        <v>40.9</v>
      </c>
      <c r="I1128" s="13">
        <v>95.99</v>
      </c>
      <c r="J1128" s="24">
        <v>45875</v>
      </c>
      <c r="K1128" s="13">
        <v>32</v>
      </c>
      <c r="L1128" s="13">
        <v>1</v>
      </c>
      <c r="M1128" s="13" t="b">
        <v>0</v>
      </c>
      <c r="O1128" s="13">
        <f t="shared" si="17"/>
        <v>1</v>
      </c>
    </row>
    <row r="1129" spans="1:15" x14ac:dyDescent="0.25">
      <c r="A1129" s="13" t="s">
        <v>1141</v>
      </c>
      <c r="B1129" s="13" t="s">
        <v>2193</v>
      </c>
      <c r="C1129" s="13" t="s">
        <v>2202</v>
      </c>
      <c r="D1129" s="13" t="s">
        <v>2204</v>
      </c>
      <c r="E1129" s="13" t="s">
        <v>2212</v>
      </c>
      <c r="F1129" s="13" t="s">
        <v>2218</v>
      </c>
      <c r="G1129" s="13">
        <v>65.069999999999993</v>
      </c>
      <c r="H1129" s="13">
        <v>5.0999999999999996</v>
      </c>
      <c r="I1129" s="13">
        <v>61.75</v>
      </c>
      <c r="J1129" s="24">
        <v>45674</v>
      </c>
      <c r="K1129" s="13">
        <v>16</v>
      </c>
      <c r="L1129" s="13">
        <v>4.3</v>
      </c>
      <c r="M1129" s="13" t="b">
        <v>0</v>
      </c>
      <c r="O1129" s="13">
        <f t="shared" si="17"/>
        <v>4.3</v>
      </c>
    </row>
    <row r="1130" spans="1:15" x14ac:dyDescent="0.25">
      <c r="A1130" s="13" t="s">
        <v>1142</v>
      </c>
      <c r="B1130" s="13" t="s">
        <v>2194</v>
      </c>
      <c r="C1130" s="13" t="s">
        <v>2203</v>
      </c>
      <c r="D1130" s="13" t="s">
        <v>2204</v>
      </c>
      <c r="E1130" s="13" t="s">
        <v>2211</v>
      </c>
      <c r="F1130" s="13" t="s">
        <v>2214</v>
      </c>
      <c r="G1130" s="13">
        <v>78.099999999999994</v>
      </c>
      <c r="H1130" s="13">
        <v>48.7</v>
      </c>
      <c r="I1130" s="13">
        <v>40.07</v>
      </c>
      <c r="J1130" s="24">
        <v>45783</v>
      </c>
      <c r="K1130" s="13">
        <v>0</v>
      </c>
      <c r="M1130" s="13" t="b">
        <v>0</v>
      </c>
      <c r="O1130" s="13">
        <f t="shared" si="17"/>
        <v>3.1021739130434773</v>
      </c>
    </row>
    <row r="1131" spans="1:15" x14ac:dyDescent="0.25">
      <c r="A1131" s="13" t="s">
        <v>1143</v>
      </c>
      <c r="B1131" s="13" t="s">
        <v>2190</v>
      </c>
      <c r="C1131" s="13" t="s">
        <v>2196</v>
      </c>
      <c r="D1131" s="13" t="s">
        <v>2204</v>
      </c>
      <c r="E1131" s="13" t="s">
        <v>2213</v>
      </c>
      <c r="F1131" s="13" t="s">
        <v>2219</v>
      </c>
      <c r="G1131" s="13">
        <v>115.73</v>
      </c>
      <c r="H1131" s="13">
        <v>59.8</v>
      </c>
      <c r="I1131" s="13">
        <v>46.52</v>
      </c>
      <c r="J1131" s="24">
        <v>45563</v>
      </c>
      <c r="K1131" s="13">
        <v>10</v>
      </c>
      <c r="L1131" s="13">
        <v>4.2</v>
      </c>
      <c r="M1131" s="13" t="b">
        <v>0</v>
      </c>
      <c r="O1131" s="13">
        <f t="shared" si="17"/>
        <v>4.2</v>
      </c>
    </row>
    <row r="1132" spans="1:15" x14ac:dyDescent="0.25">
      <c r="A1132" s="13" t="s">
        <v>1144</v>
      </c>
      <c r="B1132" s="13" t="s">
        <v>2192</v>
      </c>
      <c r="C1132" s="13" t="s">
        <v>2201</v>
      </c>
      <c r="D1132" s="13" t="s">
        <v>2206</v>
      </c>
      <c r="F1132" s="13" t="s">
        <v>2222</v>
      </c>
      <c r="G1132" s="13">
        <v>21.57</v>
      </c>
      <c r="H1132" s="13">
        <v>11.9</v>
      </c>
      <c r="I1132" s="13">
        <v>19</v>
      </c>
      <c r="J1132" s="24">
        <v>45875</v>
      </c>
      <c r="K1132" s="13">
        <v>37</v>
      </c>
      <c r="L1132" s="13">
        <v>3</v>
      </c>
      <c r="M1132" s="13" t="b">
        <v>1</v>
      </c>
      <c r="N1132" s="13" t="s">
        <v>2229</v>
      </c>
      <c r="O1132" s="13">
        <f t="shared" si="17"/>
        <v>3</v>
      </c>
    </row>
    <row r="1133" spans="1:15" x14ac:dyDescent="0.25">
      <c r="A1133" s="13" t="s">
        <v>1145</v>
      </c>
      <c r="B1133" s="13" t="s">
        <v>2195</v>
      </c>
      <c r="C1133" s="13" t="s">
        <v>2198</v>
      </c>
      <c r="D1133" s="13" t="s">
        <v>2206</v>
      </c>
      <c r="E1133" s="13" t="s">
        <v>2210</v>
      </c>
      <c r="F1133" s="13" t="s">
        <v>2224</v>
      </c>
      <c r="G1133" s="13">
        <v>75.849999999999994</v>
      </c>
      <c r="H1133" s="13">
        <v>50.3</v>
      </c>
      <c r="I1133" s="13">
        <v>37.700000000000003</v>
      </c>
      <c r="J1133" s="24">
        <v>45875</v>
      </c>
      <c r="K1133" s="13">
        <v>50</v>
      </c>
      <c r="L1133" s="13">
        <v>4.7</v>
      </c>
      <c r="M1133" s="13" t="b">
        <v>1</v>
      </c>
      <c r="N1133" s="13" t="s">
        <v>2228</v>
      </c>
      <c r="O1133" s="13">
        <f t="shared" si="17"/>
        <v>4.7</v>
      </c>
    </row>
    <row r="1134" spans="1:15" x14ac:dyDescent="0.25">
      <c r="A1134" s="13" t="s">
        <v>1146</v>
      </c>
      <c r="B1134" s="13" t="s">
        <v>2190</v>
      </c>
      <c r="C1134" s="13" t="s">
        <v>2197</v>
      </c>
      <c r="D1134" s="13" t="s">
        <v>2207</v>
      </c>
      <c r="E1134" s="13" t="s">
        <v>2209</v>
      </c>
      <c r="F1134" s="13" t="s">
        <v>2220</v>
      </c>
      <c r="G1134" s="13">
        <v>170.91</v>
      </c>
      <c r="H1134" s="13">
        <v>0</v>
      </c>
      <c r="I1134" s="13">
        <v>170.91</v>
      </c>
      <c r="J1134" s="24">
        <v>45875</v>
      </c>
      <c r="K1134" s="13">
        <v>36</v>
      </c>
      <c r="L1134" s="13">
        <v>1.6</v>
      </c>
      <c r="M1134" s="13" t="b">
        <v>1</v>
      </c>
      <c r="N1134" s="13" t="s">
        <v>2228</v>
      </c>
      <c r="O1134" s="13">
        <f t="shared" si="17"/>
        <v>1.6</v>
      </c>
    </row>
    <row r="1135" spans="1:15" x14ac:dyDescent="0.25">
      <c r="A1135" s="13" t="s">
        <v>1147</v>
      </c>
      <c r="B1135" s="13" t="s">
        <v>2193</v>
      </c>
      <c r="C1135" s="13" t="s">
        <v>2200</v>
      </c>
      <c r="D1135" s="13" t="s">
        <v>2206</v>
      </c>
      <c r="E1135" s="13" t="s">
        <v>2208</v>
      </c>
      <c r="F1135" s="13" t="s">
        <v>2217</v>
      </c>
      <c r="G1135" s="13">
        <v>94.06</v>
      </c>
      <c r="H1135" s="13">
        <v>22.4</v>
      </c>
      <c r="I1135" s="13">
        <v>72.989999999999995</v>
      </c>
      <c r="J1135" s="24">
        <v>45875</v>
      </c>
      <c r="K1135" s="13">
        <v>0</v>
      </c>
      <c r="M1135" s="13" t="b">
        <v>0</v>
      </c>
      <c r="O1135" s="13">
        <f t="shared" si="17"/>
        <v>3.3021276595744684</v>
      </c>
    </row>
    <row r="1136" spans="1:15" x14ac:dyDescent="0.25">
      <c r="A1136" s="13" t="s">
        <v>1148</v>
      </c>
      <c r="B1136" s="13" t="s">
        <v>2194</v>
      </c>
      <c r="C1136" s="13" t="s">
        <v>2200</v>
      </c>
      <c r="D1136" s="13" t="s">
        <v>2207</v>
      </c>
      <c r="E1136" s="13" t="s">
        <v>2210</v>
      </c>
      <c r="F1136" s="13" t="s">
        <v>2219</v>
      </c>
      <c r="G1136" s="13">
        <v>84.44</v>
      </c>
      <c r="H1136" s="13">
        <v>0</v>
      </c>
      <c r="I1136" s="13">
        <v>84.44</v>
      </c>
      <c r="J1136" s="24">
        <v>45875</v>
      </c>
      <c r="K1136" s="13">
        <v>2</v>
      </c>
      <c r="L1136" s="13">
        <v>1.1000000000000001</v>
      </c>
      <c r="M1136" s="13" t="b">
        <v>0</v>
      </c>
      <c r="O1136" s="13">
        <f t="shared" si="17"/>
        <v>1.1000000000000001</v>
      </c>
    </row>
    <row r="1137" spans="1:15" x14ac:dyDescent="0.25">
      <c r="A1137" s="13" t="s">
        <v>1149</v>
      </c>
      <c r="B1137" s="13" t="s">
        <v>2190</v>
      </c>
      <c r="C1137" s="13" t="s">
        <v>2196</v>
      </c>
      <c r="D1137" s="13" t="s">
        <v>2207</v>
      </c>
      <c r="E1137" s="13" t="s">
        <v>2212</v>
      </c>
      <c r="F1137" s="13" t="s">
        <v>2215</v>
      </c>
      <c r="G1137" s="13">
        <v>93.11</v>
      </c>
      <c r="H1137" s="13">
        <v>0</v>
      </c>
      <c r="I1137" s="13">
        <v>93.11</v>
      </c>
      <c r="J1137" s="24">
        <v>45875</v>
      </c>
      <c r="K1137" s="13">
        <v>43</v>
      </c>
      <c r="L1137" s="13">
        <v>2.8</v>
      </c>
      <c r="M1137" s="13" t="b">
        <v>0</v>
      </c>
      <c r="O1137" s="13">
        <f t="shared" si="17"/>
        <v>2.8</v>
      </c>
    </row>
    <row r="1138" spans="1:15" x14ac:dyDescent="0.25">
      <c r="A1138" s="13" t="s">
        <v>1150</v>
      </c>
      <c r="B1138" s="13" t="s">
        <v>2191</v>
      </c>
      <c r="C1138" s="13" t="s">
        <v>2196</v>
      </c>
      <c r="D1138" s="13" t="s">
        <v>2205</v>
      </c>
      <c r="E1138" s="13" t="s">
        <v>2210</v>
      </c>
      <c r="F1138" s="13" t="s">
        <v>2219</v>
      </c>
      <c r="G1138" s="13">
        <v>84.85</v>
      </c>
      <c r="H1138" s="13">
        <v>8.8000000000000007</v>
      </c>
      <c r="I1138" s="13">
        <v>77.38</v>
      </c>
      <c r="J1138" s="24">
        <v>45875</v>
      </c>
      <c r="K1138" s="13">
        <v>19</v>
      </c>
      <c r="L1138" s="13">
        <v>4.0999999999999996</v>
      </c>
      <c r="M1138" s="13" t="b">
        <v>1</v>
      </c>
      <c r="N1138" s="13" t="s">
        <v>2229</v>
      </c>
      <c r="O1138" s="13">
        <f t="shared" si="17"/>
        <v>4.0999999999999996</v>
      </c>
    </row>
    <row r="1139" spans="1:15" x14ac:dyDescent="0.25">
      <c r="A1139" s="13" t="s">
        <v>1151</v>
      </c>
      <c r="B1139" s="13" t="s">
        <v>2193</v>
      </c>
      <c r="C1139" s="13" t="s">
        <v>2197</v>
      </c>
      <c r="D1139" s="13" t="s">
        <v>2204</v>
      </c>
      <c r="E1139" s="13" t="s">
        <v>2213</v>
      </c>
      <c r="F1139" s="13" t="s">
        <v>2220</v>
      </c>
      <c r="G1139" s="13">
        <v>138.41</v>
      </c>
      <c r="H1139" s="13">
        <v>0</v>
      </c>
      <c r="I1139" s="13">
        <v>138.41</v>
      </c>
      <c r="J1139" s="24">
        <v>45613</v>
      </c>
      <c r="K1139" s="13">
        <v>40</v>
      </c>
      <c r="L1139" s="13">
        <v>3.1</v>
      </c>
      <c r="M1139" s="13" t="b">
        <v>0</v>
      </c>
      <c r="O1139" s="13">
        <f t="shared" si="17"/>
        <v>3.1</v>
      </c>
    </row>
    <row r="1140" spans="1:15" x14ac:dyDescent="0.25">
      <c r="A1140" s="13" t="s">
        <v>1152</v>
      </c>
      <c r="B1140" s="13" t="s">
        <v>2192</v>
      </c>
      <c r="C1140" s="13" t="s">
        <v>2196</v>
      </c>
      <c r="D1140" s="13" t="s">
        <v>2206</v>
      </c>
      <c r="F1140" s="13" t="s">
        <v>2215</v>
      </c>
      <c r="G1140" s="13">
        <v>20.190000000000001</v>
      </c>
      <c r="H1140" s="13">
        <v>21.6</v>
      </c>
      <c r="I1140" s="13">
        <v>15.83</v>
      </c>
      <c r="J1140" s="24">
        <v>45875</v>
      </c>
      <c r="K1140" s="13">
        <v>45</v>
      </c>
      <c r="L1140" s="13">
        <v>4.4000000000000004</v>
      </c>
      <c r="M1140" s="13" t="b">
        <v>1</v>
      </c>
      <c r="N1140" s="13" t="s">
        <v>2229</v>
      </c>
      <c r="O1140" s="13">
        <f t="shared" si="17"/>
        <v>4.4000000000000004</v>
      </c>
    </row>
    <row r="1141" spans="1:15" x14ac:dyDescent="0.25">
      <c r="A1141" s="13" t="s">
        <v>1153</v>
      </c>
      <c r="B1141" s="13" t="s">
        <v>2195</v>
      </c>
      <c r="C1141" s="13" t="s">
        <v>2198</v>
      </c>
      <c r="D1141" s="13" t="s">
        <v>2206</v>
      </c>
      <c r="E1141" s="13" t="s">
        <v>2213</v>
      </c>
      <c r="F1141" s="13" t="s">
        <v>2218</v>
      </c>
      <c r="G1141" s="13">
        <v>124.17</v>
      </c>
      <c r="H1141" s="13">
        <v>37.6</v>
      </c>
      <c r="I1141" s="13">
        <v>77.48</v>
      </c>
      <c r="J1141" s="24">
        <v>45875</v>
      </c>
      <c r="K1141" s="13">
        <v>24</v>
      </c>
      <c r="L1141" s="13">
        <v>2.2999999999999998</v>
      </c>
      <c r="M1141" s="13" t="b">
        <v>0</v>
      </c>
      <c r="O1141" s="13">
        <f t="shared" si="17"/>
        <v>2.2999999999999998</v>
      </c>
    </row>
    <row r="1142" spans="1:15" x14ac:dyDescent="0.25">
      <c r="A1142" s="13" t="s">
        <v>1154</v>
      </c>
      <c r="B1142" s="13" t="s">
        <v>2190</v>
      </c>
      <c r="C1142" s="13" t="s">
        <v>2198</v>
      </c>
      <c r="D1142" s="13" t="s">
        <v>2204</v>
      </c>
      <c r="E1142" s="13" t="s">
        <v>2209</v>
      </c>
      <c r="F1142" s="13" t="s">
        <v>2214</v>
      </c>
      <c r="G1142" s="13">
        <v>133.91999999999999</v>
      </c>
      <c r="H1142" s="13">
        <v>0</v>
      </c>
      <c r="I1142" s="13">
        <v>133.91999999999999</v>
      </c>
      <c r="J1142" s="24">
        <v>45760</v>
      </c>
      <c r="K1142" s="13">
        <v>41</v>
      </c>
      <c r="L1142" s="13">
        <v>2.8</v>
      </c>
      <c r="M1142" s="13" t="b">
        <v>0</v>
      </c>
      <c r="O1142" s="13">
        <f t="shared" si="17"/>
        <v>2.8</v>
      </c>
    </row>
    <row r="1143" spans="1:15" x14ac:dyDescent="0.25">
      <c r="A1143" s="13" t="s">
        <v>1155</v>
      </c>
      <c r="B1143" s="13" t="s">
        <v>2192</v>
      </c>
      <c r="C1143" s="13" t="s">
        <v>2198</v>
      </c>
      <c r="D1143" s="13" t="s">
        <v>2204</v>
      </c>
      <c r="F1143" s="13" t="s">
        <v>2218</v>
      </c>
      <c r="G1143" s="13">
        <v>77.78</v>
      </c>
      <c r="H1143" s="13">
        <v>0</v>
      </c>
      <c r="I1143" s="13">
        <v>77.78</v>
      </c>
      <c r="J1143" s="24">
        <v>45845</v>
      </c>
      <c r="K1143" s="13">
        <v>23</v>
      </c>
      <c r="L1143" s="13">
        <v>2.5</v>
      </c>
      <c r="M1143" s="13" t="b">
        <v>1</v>
      </c>
      <c r="N1143" s="13" t="s">
        <v>2226</v>
      </c>
      <c r="O1143" s="13">
        <f t="shared" si="17"/>
        <v>2.5</v>
      </c>
    </row>
    <row r="1144" spans="1:15" x14ac:dyDescent="0.25">
      <c r="A1144" s="13" t="s">
        <v>1156</v>
      </c>
      <c r="B1144" s="13" t="s">
        <v>2195</v>
      </c>
      <c r="C1144" s="13" t="s">
        <v>2199</v>
      </c>
      <c r="D1144" s="13" t="s">
        <v>2205</v>
      </c>
      <c r="E1144" s="13" t="s">
        <v>2211</v>
      </c>
      <c r="F1144" s="13" t="s">
        <v>2224</v>
      </c>
      <c r="G1144" s="13">
        <v>157.69</v>
      </c>
      <c r="H1144" s="13">
        <v>35.9</v>
      </c>
      <c r="I1144" s="13">
        <v>101.08</v>
      </c>
      <c r="J1144" s="24">
        <v>45875</v>
      </c>
      <c r="K1144" s="13">
        <v>6</v>
      </c>
      <c r="L1144" s="13">
        <v>1</v>
      </c>
      <c r="M1144" s="13" t="b">
        <v>0</v>
      </c>
      <c r="O1144" s="13">
        <f t="shared" si="17"/>
        <v>1</v>
      </c>
    </row>
    <row r="1145" spans="1:15" x14ac:dyDescent="0.25">
      <c r="A1145" s="13" t="s">
        <v>1157</v>
      </c>
      <c r="B1145" s="13" t="s">
        <v>2191</v>
      </c>
      <c r="C1145" s="13" t="s">
        <v>2196</v>
      </c>
      <c r="D1145" s="13" t="s">
        <v>2205</v>
      </c>
      <c r="E1145" s="13" t="s">
        <v>2209</v>
      </c>
      <c r="F1145" s="13" t="s">
        <v>2216</v>
      </c>
      <c r="G1145" s="13">
        <v>99.57</v>
      </c>
      <c r="H1145" s="13">
        <v>0</v>
      </c>
      <c r="I1145" s="13">
        <v>99.57</v>
      </c>
      <c r="J1145" s="24">
        <v>45875</v>
      </c>
      <c r="K1145" s="13">
        <v>17</v>
      </c>
      <c r="L1145" s="13">
        <v>1</v>
      </c>
      <c r="M1145" s="13" t="b">
        <v>0</v>
      </c>
      <c r="O1145" s="13">
        <f t="shared" si="17"/>
        <v>1</v>
      </c>
    </row>
    <row r="1146" spans="1:15" x14ac:dyDescent="0.25">
      <c r="A1146" s="13" t="s">
        <v>1158</v>
      </c>
      <c r="B1146" s="13" t="s">
        <v>2192</v>
      </c>
      <c r="C1146" s="13" t="s">
        <v>2196</v>
      </c>
      <c r="D1146" s="13" t="s">
        <v>2207</v>
      </c>
      <c r="F1146" s="13" t="s">
        <v>2224</v>
      </c>
      <c r="G1146" s="13">
        <v>43.61</v>
      </c>
      <c r="H1146" s="13">
        <v>33.299999999999997</v>
      </c>
      <c r="I1146" s="13">
        <v>29.09</v>
      </c>
      <c r="J1146" s="24">
        <v>45875</v>
      </c>
      <c r="K1146" s="13">
        <v>47</v>
      </c>
      <c r="L1146" s="13">
        <v>2.5</v>
      </c>
      <c r="M1146" s="13" t="b">
        <v>0</v>
      </c>
      <c r="O1146" s="13">
        <f t="shared" si="17"/>
        <v>2.5</v>
      </c>
    </row>
    <row r="1147" spans="1:15" x14ac:dyDescent="0.25">
      <c r="A1147" s="13" t="s">
        <v>1159</v>
      </c>
      <c r="B1147" s="13" t="s">
        <v>2190</v>
      </c>
      <c r="C1147" s="13" t="s">
        <v>2202</v>
      </c>
      <c r="D1147" s="13" t="s">
        <v>2205</v>
      </c>
      <c r="E1147" s="13" t="s">
        <v>2213</v>
      </c>
      <c r="F1147" s="13" t="s">
        <v>2224</v>
      </c>
      <c r="G1147" s="13">
        <v>88.87</v>
      </c>
      <c r="H1147" s="13">
        <v>0</v>
      </c>
      <c r="I1147" s="13">
        <v>88.87</v>
      </c>
      <c r="J1147" s="24">
        <v>45875</v>
      </c>
      <c r="K1147" s="13">
        <v>27</v>
      </c>
      <c r="L1147" s="13">
        <v>2.4</v>
      </c>
      <c r="M1147" s="13" t="b">
        <v>0</v>
      </c>
      <c r="O1147" s="13">
        <f t="shared" si="17"/>
        <v>2.4</v>
      </c>
    </row>
    <row r="1148" spans="1:15" x14ac:dyDescent="0.25">
      <c r="A1148" s="13" t="s">
        <v>1160</v>
      </c>
      <c r="B1148" s="13" t="s">
        <v>2194</v>
      </c>
      <c r="C1148" s="13" t="s">
        <v>2203</v>
      </c>
      <c r="D1148" s="13" t="s">
        <v>2206</v>
      </c>
      <c r="E1148" s="13" t="s">
        <v>2213</v>
      </c>
      <c r="F1148" s="13" t="s">
        <v>2217</v>
      </c>
      <c r="G1148" s="13">
        <v>112.6</v>
      </c>
      <c r="H1148" s="13">
        <v>19.8</v>
      </c>
      <c r="I1148" s="13">
        <v>90.31</v>
      </c>
      <c r="J1148" s="24">
        <v>45875</v>
      </c>
      <c r="K1148" s="13">
        <v>2</v>
      </c>
      <c r="L1148" s="13">
        <v>1</v>
      </c>
      <c r="M1148" s="13" t="b">
        <v>0</v>
      </c>
      <c r="O1148" s="13">
        <f t="shared" si="17"/>
        <v>1</v>
      </c>
    </row>
    <row r="1149" spans="1:15" x14ac:dyDescent="0.25">
      <c r="A1149" s="13" t="s">
        <v>1161</v>
      </c>
      <c r="B1149" s="13" t="s">
        <v>2191</v>
      </c>
      <c r="C1149" s="13" t="s">
        <v>2197</v>
      </c>
      <c r="D1149" s="13" t="s">
        <v>2206</v>
      </c>
      <c r="E1149" s="13" t="s">
        <v>2208</v>
      </c>
      <c r="F1149" s="13" t="s">
        <v>2220</v>
      </c>
      <c r="G1149" s="13">
        <v>33.35</v>
      </c>
      <c r="H1149" s="13">
        <v>0</v>
      </c>
      <c r="I1149" s="13">
        <v>33.35</v>
      </c>
      <c r="J1149" s="24">
        <v>45875</v>
      </c>
      <c r="K1149" s="13">
        <v>29</v>
      </c>
      <c r="L1149" s="13">
        <v>1.2</v>
      </c>
      <c r="M1149" s="13" t="b">
        <v>0</v>
      </c>
      <c r="O1149" s="13">
        <f t="shared" si="17"/>
        <v>1.2</v>
      </c>
    </row>
    <row r="1150" spans="1:15" x14ac:dyDescent="0.25">
      <c r="A1150" s="13" t="s">
        <v>1162</v>
      </c>
      <c r="B1150" s="13" t="s">
        <v>2194</v>
      </c>
      <c r="C1150" s="13" t="s">
        <v>2203</v>
      </c>
      <c r="D1150" s="13" t="s">
        <v>2206</v>
      </c>
      <c r="E1150" s="13" t="s">
        <v>2209</v>
      </c>
      <c r="F1150" s="13" t="s">
        <v>2222</v>
      </c>
      <c r="G1150" s="13">
        <v>115.82</v>
      </c>
      <c r="H1150" s="13">
        <v>2.9</v>
      </c>
      <c r="I1150" s="13">
        <v>112.46</v>
      </c>
      <c r="J1150" s="24">
        <v>45875</v>
      </c>
      <c r="K1150" s="13">
        <v>46</v>
      </c>
      <c r="M1150" s="13" t="b">
        <v>0</v>
      </c>
      <c r="O1150" s="13">
        <f t="shared" si="17"/>
        <v>3.1021739130434773</v>
      </c>
    </row>
    <row r="1151" spans="1:15" x14ac:dyDescent="0.25">
      <c r="A1151" s="13" t="s">
        <v>1163</v>
      </c>
      <c r="B1151" s="13" t="s">
        <v>2191</v>
      </c>
      <c r="C1151" s="13" t="s">
        <v>2198</v>
      </c>
      <c r="D1151" s="13" t="s">
        <v>2206</v>
      </c>
      <c r="E1151" s="13" t="s">
        <v>2208</v>
      </c>
      <c r="F1151" s="13" t="s">
        <v>2217</v>
      </c>
      <c r="G1151" s="13">
        <v>107.79</v>
      </c>
      <c r="H1151" s="13">
        <v>3.1</v>
      </c>
      <c r="I1151" s="13">
        <v>104.45</v>
      </c>
      <c r="J1151" s="24">
        <v>45875</v>
      </c>
      <c r="K1151" s="13">
        <v>6</v>
      </c>
      <c r="L1151" s="13">
        <v>2.8</v>
      </c>
      <c r="M1151" s="13" t="b">
        <v>0</v>
      </c>
      <c r="O1151" s="13">
        <f t="shared" si="17"/>
        <v>2.8</v>
      </c>
    </row>
    <row r="1152" spans="1:15" x14ac:dyDescent="0.25">
      <c r="A1152" s="13" t="s">
        <v>1164</v>
      </c>
      <c r="B1152" s="13" t="s">
        <v>2191</v>
      </c>
      <c r="C1152" s="13" t="s">
        <v>2200</v>
      </c>
      <c r="D1152" s="13" t="s">
        <v>2207</v>
      </c>
      <c r="E1152" s="13" t="s">
        <v>2210</v>
      </c>
      <c r="F1152" s="13" t="s">
        <v>2217</v>
      </c>
      <c r="G1152" s="13">
        <v>53.87</v>
      </c>
      <c r="H1152" s="13">
        <v>0</v>
      </c>
      <c r="I1152" s="13">
        <v>53.87</v>
      </c>
      <c r="J1152" s="24">
        <v>45875</v>
      </c>
      <c r="K1152" s="13">
        <v>50</v>
      </c>
      <c r="L1152" s="13">
        <v>4.2</v>
      </c>
      <c r="M1152" s="13" t="b">
        <v>1</v>
      </c>
      <c r="N1152" s="13" t="s">
        <v>2227</v>
      </c>
      <c r="O1152" s="13">
        <f t="shared" si="17"/>
        <v>4.2</v>
      </c>
    </row>
    <row r="1153" spans="1:15" x14ac:dyDescent="0.25">
      <c r="A1153" s="13" t="s">
        <v>1165</v>
      </c>
      <c r="B1153" s="13" t="s">
        <v>2191</v>
      </c>
      <c r="C1153" s="13" t="s">
        <v>2202</v>
      </c>
      <c r="D1153" s="13" t="s">
        <v>2204</v>
      </c>
      <c r="E1153" s="13" t="s">
        <v>2212</v>
      </c>
      <c r="F1153" s="13" t="s">
        <v>2220</v>
      </c>
      <c r="G1153" s="13">
        <v>72.5</v>
      </c>
      <c r="H1153" s="13">
        <v>40.799999999999997</v>
      </c>
      <c r="I1153" s="13">
        <v>42.92</v>
      </c>
      <c r="J1153" s="24">
        <v>45656</v>
      </c>
      <c r="K1153" s="13">
        <v>23</v>
      </c>
      <c r="L1153" s="13">
        <v>4.4000000000000004</v>
      </c>
      <c r="M1153" s="13" t="b">
        <v>0</v>
      </c>
      <c r="O1153" s="13">
        <f t="shared" si="17"/>
        <v>4.4000000000000004</v>
      </c>
    </row>
    <row r="1154" spans="1:15" x14ac:dyDescent="0.25">
      <c r="A1154" s="13" t="s">
        <v>1166</v>
      </c>
      <c r="B1154" s="13" t="s">
        <v>2193</v>
      </c>
      <c r="C1154" s="13" t="s">
        <v>2202</v>
      </c>
      <c r="D1154" s="13" t="s">
        <v>2204</v>
      </c>
      <c r="E1154" s="13" t="s">
        <v>2210</v>
      </c>
      <c r="F1154" s="13" t="s">
        <v>2218</v>
      </c>
      <c r="G1154" s="13">
        <v>152.32</v>
      </c>
      <c r="H1154" s="13">
        <v>0</v>
      </c>
      <c r="I1154" s="13">
        <v>152.32</v>
      </c>
      <c r="J1154" s="24">
        <v>45817</v>
      </c>
      <c r="K1154" s="13">
        <v>15</v>
      </c>
      <c r="M1154" s="13" t="b">
        <v>0</v>
      </c>
      <c r="O1154" s="13">
        <f t="shared" si="17"/>
        <v>2.9083333333333328</v>
      </c>
    </row>
    <row r="1155" spans="1:15" x14ac:dyDescent="0.25">
      <c r="A1155" s="13" t="s">
        <v>1167</v>
      </c>
      <c r="B1155" s="13" t="s">
        <v>2195</v>
      </c>
      <c r="C1155" s="13" t="s">
        <v>2200</v>
      </c>
      <c r="D1155" s="13" t="s">
        <v>2205</v>
      </c>
      <c r="E1155" s="13" t="s">
        <v>2213</v>
      </c>
      <c r="F1155" s="13" t="s">
        <v>2214</v>
      </c>
      <c r="G1155" s="13">
        <v>67.63</v>
      </c>
      <c r="H1155" s="13">
        <v>0</v>
      </c>
      <c r="I1155" s="13">
        <v>67.63</v>
      </c>
      <c r="J1155" s="24">
        <v>45875</v>
      </c>
      <c r="K1155" s="13">
        <v>9</v>
      </c>
      <c r="L1155" s="13">
        <v>4.7</v>
      </c>
      <c r="M1155" s="13" t="b">
        <v>0</v>
      </c>
      <c r="O1155" s="13">
        <f t="shared" ref="O1155:O1218" si="18">IF(L1155="",AVERAGEIFS($L$2:$L$2177,$B$2:$B$2177,B1155,$C$2:$C$2177,C1155),L1155)</f>
        <v>4.7</v>
      </c>
    </row>
    <row r="1156" spans="1:15" x14ac:dyDescent="0.25">
      <c r="A1156" s="13" t="s">
        <v>1168</v>
      </c>
      <c r="B1156" s="13" t="s">
        <v>2190</v>
      </c>
      <c r="C1156" s="13" t="s">
        <v>2197</v>
      </c>
      <c r="D1156" s="13" t="s">
        <v>2207</v>
      </c>
      <c r="E1156" s="13" t="s">
        <v>2212</v>
      </c>
      <c r="F1156" s="13" t="s">
        <v>2223</v>
      </c>
      <c r="G1156" s="13">
        <v>221.94</v>
      </c>
      <c r="H1156" s="13">
        <v>0</v>
      </c>
      <c r="I1156" s="13">
        <v>221.94</v>
      </c>
      <c r="J1156" s="24">
        <v>45875</v>
      </c>
      <c r="K1156" s="13">
        <v>35</v>
      </c>
      <c r="L1156" s="13">
        <v>1.5</v>
      </c>
      <c r="M1156" s="13" t="b">
        <v>0</v>
      </c>
      <c r="O1156" s="13">
        <f t="shared" si="18"/>
        <v>1.5</v>
      </c>
    </row>
    <row r="1157" spans="1:15" x14ac:dyDescent="0.25">
      <c r="A1157" s="13" t="s">
        <v>1169</v>
      </c>
      <c r="B1157" s="13" t="s">
        <v>2194</v>
      </c>
      <c r="C1157" s="13" t="s">
        <v>2196</v>
      </c>
      <c r="D1157" s="13" t="s">
        <v>2206</v>
      </c>
      <c r="E1157" s="13" t="s">
        <v>2212</v>
      </c>
      <c r="F1157" s="13" t="s">
        <v>2215</v>
      </c>
      <c r="G1157" s="13">
        <v>118.77</v>
      </c>
      <c r="H1157" s="13">
        <v>8.4</v>
      </c>
      <c r="I1157" s="13">
        <v>108.79</v>
      </c>
      <c r="J1157" s="24">
        <v>45875</v>
      </c>
      <c r="K1157" s="13">
        <v>30</v>
      </c>
      <c r="L1157" s="13">
        <v>4.5999999999999996</v>
      </c>
      <c r="M1157" s="13" t="b">
        <v>1</v>
      </c>
      <c r="N1157" s="13" t="s">
        <v>2230</v>
      </c>
      <c r="O1157" s="13">
        <f t="shared" si="18"/>
        <v>4.5999999999999996</v>
      </c>
    </row>
    <row r="1158" spans="1:15" x14ac:dyDescent="0.25">
      <c r="A1158" s="13" t="s">
        <v>1170</v>
      </c>
      <c r="B1158" s="13" t="s">
        <v>2191</v>
      </c>
      <c r="C1158" s="13" t="s">
        <v>2203</v>
      </c>
      <c r="D1158" s="13" t="s">
        <v>2206</v>
      </c>
      <c r="E1158" s="13" t="s">
        <v>2212</v>
      </c>
      <c r="F1158" s="13" t="s">
        <v>2220</v>
      </c>
      <c r="G1158" s="13">
        <v>100.17</v>
      </c>
      <c r="H1158" s="13">
        <v>0</v>
      </c>
      <c r="I1158" s="13">
        <v>100.17</v>
      </c>
      <c r="J1158" s="24">
        <v>45875</v>
      </c>
      <c r="K1158" s="13">
        <v>18</v>
      </c>
      <c r="L1158" s="13">
        <v>1.2</v>
      </c>
      <c r="M1158" s="13" t="b">
        <v>0</v>
      </c>
      <c r="O1158" s="13">
        <f t="shared" si="18"/>
        <v>1.2</v>
      </c>
    </row>
    <row r="1159" spans="1:15" x14ac:dyDescent="0.25">
      <c r="A1159" s="13" t="s">
        <v>1171</v>
      </c>
      <c r="B1159" s="13" t="s">
        <v>2192</v>
      </c>
      <c r="C1159" s="13" t="s">
        <v>2198</v>
      </c>
      <c r="D1159" s="13" t="s">
        <v>2207</v>
      </c>
      <c r="F1159" s="13" t="s">
        <v>2217</v>
      </c>
      <c r="G1159" s="13">
        <v>18.45</v>
      </c>
      <c r="H1159" s="13">
        <v>0</v>
      </c>
      <c r="I1159" s="13">
        <v>18.45</v>
      </c>
      <c r="J1159" s="24">
        <v>45875</v>
      </c>
      <c r="K1159" s="13">
        <v>39</v>
      </c>
      <c r="L1159" s="13">
        <v>2.2000000000000002</v>
      </c>
      <c r="M1159" s="13" t="b">
        <v>0</v>
      </c>
      <c r="O1159" s="13">
        <f t="shared" si="18"/>
        <v>2.2000000000000002</v>
      </c>
    </row>
    <row r="1160" spans="1:15" x14ac:dyDescent="0.25">
      <c r="A1160" s="13" t="s">
        <v>1172</v>
      </c>
      <c r="B1160" s="13" t="s">
        <v>2192</v>
      </c>
      <c r="C1160" s="13" t="s">
        <v>2202</v>
      </c>
      <c r="D1160" s="13" t="s">
        <v>2207</v>
      </c>
      <c r="F1160" s="13" t="s">
        <v>2223</v>
      </c>
      <c r="G1160" s="13">
        <v>45.56</v>
      </c>
      <c r="H1160" s="13">
        <v>13.5</v>
      </c>
      <c r="I1160" s="13">
        <v>39.409999999999997</v>
      </c>
      <c r="J1160" s="24">
        <v>45875</v>
      </c>
      <c r="K1160" s="13">
        <v>40</v>
      </c>
      <c r="L1160" s="13">
        <v>3.2</v>
      </c>
      <c r="M1160" s="13" t="b">
        <v>0</v>
      </c>
      <c r="O1160" s="13">
        <f t="shared" si="18"/>
        <v>3.2</v>
      </c>
    </row>
    <row r="1161" spans="1:15" x14ac:dyDescent="0.25">
      <c r="A1161" s="13" t="s">
        <v>1173</v>
      </c>
      <c r="B1161" s="13" t="s">
        <v>2191</v>
      </c>
      <c r="C1161" s="13" t="s">
        <v>2197</v>
      </c>
      <c r="D1161" s="13" t="s">
        <v>2204</v>
      </c>
      <c r="E1161" s="13" t="s">
        <v>2210</v>
      </c>
      <c r="F1161" s="13" t="s">
        <v>2223</v>
      </c>
      <c r="G1161" s="13">
        <v>62.21</v>
      </c>
      <c r="H1161" s="13">
        <v>0</v>
      </c>
      <c r="I1161" s="13">
        <v>62.21</v>
      </c>
      <c r="J1161" s="24">
        <v>45861</v>
      </c>
      <c r="K1161" s="13">
        <v>38</v>
      </c>
      <c r="L1161" s="13">
        <v>2.6</v>
      </c>
      <c r="M1161" s="13" t="b">
        <v>0</v>
      </c>
      <c r="O1161" s="13">
        <f t="shared" si="18"/>
        <v>2.6</v>
      </c>
    </row>
    <row r="1162" spans="1:15" x14ac:dyDescent="0.25">
      <c r="A1162" s="13" t="s">
        <v>1174</v>
      </c>
      <c r="B1162" s="13" t="s">
        <v>2192</v>
      </c>
      <c r="C1162" s="13" t="s">
        <v>2203</v>
      </c>
      <c r="D1162" s="13" t="s">
        <v>2205</v>
      </c>
      <c r="F1162" s="13" t="s">
        <v>2219</v>
      </c>
      <c r="G1162" s="13">
        <v>37.020000000000003</v>
      </c>
      <c r="H1162" s="13">
        <v>0</v>
      </c>
      <c r="I1162" s="13">
        <v>37.020000000000003</v>
      </c>
      <c r="J1162" s="24">
        <v>45875</v>
      </c>
      <c r="K1162" s="13">
        <v>12</v>
      </c>
      <c r="L1162" s="13">
        <v>4.3</v>
      </c>
      <c r="M1162" s="13" t="b">
        <v>0</v>
      </c>
      <c r="O1162" s="13">
        <f t="shared" si="18"/>
        <v>4.3</v>
      </c>
    </row>
    <row r="1163" spans="1:15" x14ac:dyDescent="0.25">
      <c r="A1163" s="13" t="s">
        <v>1175</v>
      </c>
      <c r="B1163" s="13" t="s">
        <v>2195</v>
      </c>
      <c r="C1163" s="13" t="s">
        <v>2196</v>
      </c>
      <c r="D1163" s="13" t="s">
        <v>2207</v>
      </c>
      <c r="E1163" s="13" t="s">
        <v>2208</v>
      </c>
      <c r="F1163" s="13" t="s">
        <v>2221</v>
      </c>
      <c r="G1163" s="13">
        <v>51.86</v>
      </c>
      <c r="H1163" s="13">
        <v>39</v>
      </c>
      <c r="I1163" s="13">
        <v>31.63</v>
      </c>
      <c r="J1163" s="24">
        <v>45875</v>
      </c>
      <c r="K1163" s="13">
        <v>40</v>
      </c>
      <c r="L1163" s="13">
        <v>2.4</v>
      </c>
      <c r="M1163" s="13" t="b">
        <v>0</v>
      </c>
      <c r="O1163" s="13">
        <f t="shared" si="18"/>
        <v>2.4</v>
      </c>
    </row>
    <row r="1164" spans="1:15" x14ac:dyDescent="0.25">
      <c r="A1164" s="13" t="s">
        <v>1176</v>
      </c>
      <c r="B1164" s="13" t="s">
        <v>2195</v>
      </c>
      <c r="C1164" s="13" t="s">
        <v>2196</v>
      </c>
      <c r="D1164" s="13" t="s">
        <v>2204</v>
      </c>
      <c r="E1164" s="13" t="s">
        <v>2212</v>
      </c>
      <c r="F1164" s="13" t="s">
        <v>2223</v>
      </c>
      <c r="G1164" s="13">
        <v>76.239999999999995</v>
      </c>
      <c r="H1164" s="13">
        <v>0</v>
      </c>
      <c r="I1164" s="13">
        <v>76.239999999999995</v>
      </c>
      <c r="J1164" s="24">
        <v>45664</v>
      </c>
      <c r="K1164" s="13">
        <v>14</v>
      </c>
      <c r="L1164" s="13">
        <v>2.8</v>
      </c>
      <c r="M1164" s="13" t="b">
        <v>0</v>
      </c>
      <c r="O1164" s="13">
        <f t="shared" si="18"/>
        <v>2.8</v>
      </c>
    </row>
    <row r="1165" spans="1:15" x14ac:dyDescent="0.25">
      <c r="A1165" s="13" t="s">
        <v>1177</v>
      </c>
      <c r="B1165" s="13" t="s">
        <v>2192</v>
      </c>
      <c r="C1165" s="13" t="s">
        <v>2196</v>
      </c>
      <c r="D1165" s="13" t="s">
        <v>2206</v>
      </c>
      <c r="F1165" s="13" t="s">
        <v>2218</v>
      </c>
      <c r="G1165" s="13">
        <v>74.17</v>
      </c>
      <c r="H1165" s="13">
        <v>0</v>
      </c>
      <c r="I1165" s="13">
        <v>74.17</v>
      </c>
      <c r="J1165" s="24">
        <v>45875</v>
      </c>
      <c r="K1165" s="13">
        <v>24</v>
      </c>
      <c r="L1165" s="13">
        <v>1.7</v>
      </c>
      <c r="M1165" s="13" t="b">
        <v>0</v>
      </c>
      <c r="O1165" s="13">
        <f t="shared" si="18"/>
        <v>1.7</v>
      </c>
    </row>
    <row r="1166" spans="1:15" x14ac:dyDescent="0.25">
      <c r="A1166" s="13" t="s">
        <v>1178</v>
      </c>
      <c r="B1166" s="13" t="s">
        <v>2194</v>
      </c>
      <c r="C1166" s="13" t="s">
        <v>2203</v>
      </c>
      <c r="D1166" s="13" t="s">
        <v>2204</v>
      </c>
      <c r="E1166" s="13" t="s">
        <v>2209</v>
      </c>
      <c r="F1166" s="13" t="s">
        <v>2221</v>
      </c>
      <c r="G1166" s="13">
        <v>75.989999999999995</v>
      </c>
      <c r="H1166" s="13">
        <v>0</v>
      </c>
      <c r="I1166" s="13">
        <v>75.989999999999995</v>
      </c>
      <c r="J1166" s="24">
        <v>45706</v>
      </c>
      <c r="K1166" s="13">
        <v>19</v>
      </c>
      <c r="L1166" s="13">
        <v>1.7</v>
      </c>
      <c r="M1166" s="13" t="b">
        <v>1</v>
      </c>
      <c r="N1166" s="13" t="s">
        <v>2226</v>
      </c>
      <c r="O1166" s="13">
        <f t="shared" si="18"/>
        <v>1.7</v>
      </c>
    </row>
    <row r="1167" spans="1:15" x14ac:dyDescent="0.25">
      <c r="A1167" s="13" t="s">
        <v>1179</v>
      </c>
      <c r="B1167" s="13" t="s">
        <v>2194</v>
      </c>
      <c r="C1167" s="13" t="s">
        <v>2200</v>
      </c>
      <c r="D1167" s="13" t="s">
        <v>2205</v>
      </c>
      <c r="E1167" s="13" t="s">
        <v>2212</v>
      </c>
      <c r="F1167" s="13" t="s">
        <v>2222</v>
      </c>
      <c r="G1167" s="13">
        <v>62.33</v>
      </c>
      <c r="H1167" s="13">
        <v>49.4</v>
      </c>
      <c r="I1167" s="13">
        <v>31.54</v>
      </c>
      <c r="J1167" s="24">
        <v>45875</v>
      </c>
      <c r="K1167" s="13">
        <v>46</v>
      </c>
      <c r="L1167" s="13">
        <v>3.5</v>
      </c>
      <c r="M1167" s="13" t="b">
        <v>0</v>
      </c>
      <c r="O1167" s="13">
        <f t="shared" si="18"/>
        <v>3.5</v>
      </c>
    </row>
    <row r="1168" spans="1:15" x14ac:dyDescent="0.25">
      <c r="A1168" s="13" t="s">
        <v>1180</v>
      </c>
      <c r="B1168" s="13" t="s">
        <v>2194</v>
      </c>
      <c r="C1168" s="13" t="s">
        <v>2199</v>
      </c>
      <c r="D1168" s="13" t="s">
        <v>2205</v>
      </c>
      <c r="E1168" s="13" t="s">
        <v>2211</v>
      </c>
      <c r="F1168" s="13" t="s">
        <v>2214</v>
      </c>
      <c r="G1168" s="13">
        <v>93.59</v>
      </c>
      <c r="H1168" s="13">
        <v>0</v>
      </c>
      <c r="I1168" s="13">
        <v>93.59</v>
      </c>
      <c r="J1168" s="24">
        <v>45875</v>
      </c>
      <c r="K1168" s="13">
        <v>38</v>
      </c>
      <c r="L1168" s="13">
        <v>1.9</v>
      </c>
      <c r="M1168" s="13" t="b">
        <v>0</v>
      </c>
      <c r="O1168" s="13">
        <f t="shared" si="18"/>
        <v>1.9</v>
      </c>
    </row>
    <row r="1169" spans="1:15" x14ac:dyDescent="0.25">
      <c r="A1169" s="13" t="s">
        <v>1181</v>
      </c>
      <c r="B1169" s="13" t="s">
        <v>2191</v>
      </c>
      <c r="C1169" s="13" t="s">
        <v>2203</v>
      </c>
      <c r="D1169" s="13" t="s">
        <v>2206</v>
      </c>
      <c r="F1169" s="13" t="s">
        <v>2219</v>
      </c>
      <c r="G1169" s="13">
        <v>72.83</v>
      </c>
      <c r="H1169" s="13">
        <v>35.700000000000003</v>
      </c>
      <c r="I1169" s="13">
        <v>46.83</v>
      </c>
      <c r="J1169" s="24">
        <v>45875</v>
      </c>
      <c r="K1169" s="13">
        <v>11</v>
      </c>
      <c r="L1169" s="13">
        <v>3.1</v>
      </c>
      <c r="M1169" s="13" t="b">
        <v>0</v>
      </c>
      <c r="O1169" s="13">
        <f t="shared" si="18"/>
        <v>3.1</v>
      </c>
    </row>
    <row r="1170" spans="1:15" x14ac:dyDescent="0.25">
      <c r="A1170" s="13" t="s">
        <v>1182</v>
      </c>
      <c r="B1170" s="13" t="s">
        <v>2190</v>
      </c>
      <c r="C1170" s="13" t="s">
        <v>2197</v>
      </c>
      <c r="D1170" s="13" t="s">
        <v>2205</v>
      </c>
      <c r="E1170" s="13" t="s">
        <v>2211</v>
      </c>
      <c r="F1170" s="13" t="s">
        <v>2218</v>
      </c>
      <c r="G1170" s="13">
        <v>134.59</v>
      </c>
      <c r="H1170" s="13">
        <v>33.6</v>
      </c>
      <c r="I1170" s="13">
        <v>89.37</v>
      </c>
      <c r="J1170" s="24">
        <v>45875</v>
      </c>
      <c r="K1170" s="13">
        <v>42</v>
      </c>
      <c r="L1170" s="13">
        <v>2.9</v>
      </c>
      <c r="M1170" s="13" t="b">
        <v>0</v>
      </c>
      <c r="O1170" s="13">
        <f t="shared" si="18"/>
        <v>2.9</v>
      </c>
    </row>
    <row r="1171" spans="1:15" x14ac:dyDescent="0.25">
      <c r="A1171" s="13" t="s">
        <v>1183</v>
      </c>
      <c r="B1171" s="13" t="s">
        <v>2194</v>
      </c>
      <c r="C1171" s="13" t="s">
        <v>2196</v>
      </c>
      <c r="D1171" s="13" t="s">
        <v>2204</v>
      </c>
      <c r="F1171" s="13" t="s">
        <v>2221</v>
      </c>
      <c r="G1171" s="13">
        <v>71.599999999999994</v>
      </c>
      <c r="H1171" s="13">
        <v>41.9</v>
      </c>
      <c r="I1171" s="13">
        <v>41.6</v>
      </c>
      <c r="J1171" s="24">
        <v>45759</v>
      </c>
      <c r="K1171" s="13">
        <v>16</v>
      </c>
      <c r="L1171" s="13">
        <v>2.8</v>
      </c>
      <c r="M1171" s="13" t="b">
        <v>0</v>
      </c>
      <c r="O1171" s="13">
        <f t="shared" si="18"/>
        <v>2.8</v>
      </c>
    </row>
    <row r="1172" spans="1:15" x14ac:dyDescent="0.25">
      <c r="A1172" s="13" t="s">
        <v>1184</v>
      </c>
      <c r="B1172" s="13" t="s">
        <v>2193</v>
      </c>
      <c r="C1172" s="13" t="s">
        <v>2201</v>
      </c>
      <c r="D1172" s="13" t="s">
        <v>2207</v>
      </c>
      <c r="E1172" s="13" t="s">
        <v>2208</v>
      </c>
      <c r="F1172" s="13" t="s">
        <v>2214</v>
      </c>
      <c r="G1172" s="13">
        <v>62.35</v>
      </c>
      <c r="H1172" s="13">
        <v>53.5</v>
      </c>
      <c r="I1172" s="13">
        <v>28.99</v>
      </c>
      <c r="J1172" s="24">
        <v>45875</v>
      </c>
      <c r="K1172" s="13">
        <v>1</v>
      </c>
      <c r="L1172" s="13">
        <v>4.0999999999999996</v>
      </c>
      <c r="M1172" s="13" t="b">
        <v>0</v>
      </c>
      <c r="O1172" s="13">
        <f t="shared" si="18"/>
        <v>4.0999999999999996</v>
      </c>
    </row>
    <row r="1173" spans="1:15" x14ac:dyDescent="0.25">
      <c r="A1173" s="13" t="s">
        <v>1185</v>
      </c>
      <c r="B1173" s="13" t="s">
        <v>2190</v>
      </c>
      <c r="C1173" s="13" t="s">
        <v>2201</v>
      </c>
      <c r="D1173" s="13" t="s">
        <v>2204</v>
      </c>
      <c r="E1173" s="13" t="s">
        <v>2212</v>
      </c>
      <c r="F1173" s="13" t="s">
        <v>2222</v>
      </c>
      <c r="G1173" s="13">
        <v>80.55</v>
      </c>
      <c r="H1173" s="13">
        <v>43.7</v>
      </c>
      <c r="I1173" s="13">
        <v>45.35</v>
      </c>
      <c r="J1173" s="24">
        <v>45586</v>
      </c>
      <c r="K1173" s="13">
        <v>41</v>
      </c>
      <c r="L1173" s="13">
        <v>4.8</v>
      </c>
      <c r="M1173" s="13" t="b">
        <v>1</v>
      </c>
      <c r="N1173" s="13" t="s">
        <v>2229</v>
      </c>
      <c r="O1173" s="13">
        <f t="shared" si="18"/>
        <v>4.8</v>
      </c>
    </row>
    <row r="1174" spans="1:15" x14ac:dyDescent="0.25">
      <c r="A1174" s="13" t="s">
        <v>1186</v>
      </c>
      <c r="B1174" s="13" t="s">
        <v>2193</v>
      </c>
      <c r="C1174" s="13" t="s">
        <v>2198</v>
      </c>
      <c r="D1174" s="13" t="s">
        <v>2205</v>
      </c>
      <c r="E1174" s="13" t="s">
        <v>2213</v>
      </c>
      <c r="F1174" s="13" t="s">
        <v>2221</v>
      </c>
      <c r="G1174" s="13">
        <v>171.48</v>
      </c>
      <c r="H1174" s="13">
        <v>0</v>
      </c>
      <c r="I1174" s="13">
        <v>171.48</v>
      </c>
      <c r="J1174" s="24">
        <v>45875</v>
      </c>
      <c r="K1174" s="13">
        <v>15</v>
      </c>
      <c r="L1174" s="13">
        <v>2.4</v>
      </c>
      <c r="M1174" s="13" t="b">
        <v>0</v>
      </c>
      <c r="O1174" s="13">
        <f t="shared" si="18"/>
        <v>2.4</v>
      </c>
    </row>
    <row r="1175" spans="1:15" x14ac:dyDescent="0.25">
      <c r="A1175" s="13" t="s">
        <v>1187</v>
      </c>
      <c r="B1175" s="13" t="s">
        <v>2191</v>
      </c>
      <c r="C1175" s="13" t="s">
        <v>2201</v>
      </c>
      <c r="D1175" s="13" t="s">
        <v>2204</v>
      </c>
      <c r="E1175" s="13" t="s">
        <v>2208</v>
      </c>
      <c r="F1175" s="13" t="s">
        <v>2222</v>
      </c>
      <c r="G1175" s="13">
        <v>30.81</v>
      </c>
      <c r="H1175" s="13">
        <v>15.7</v>
      </c>
      <c r="I1175" s="13">
        <v>25.97</v>
      </c>
      <c r="J1175" s="24">
        <v>45554</v>
      </c>
      <c r="K1175" s="13">
        <v>4</v>
      </c>
      <c r="M1175" s="13" t="b">
        <v>0</v>
      </c>
      <c r="O1175" s="13">
        <f t="shared" si="18"/>
        <v>2.9846153846153847</v>
      </c>
    </row>
    <row r="1176" spans="1:15" x14ac:dyDescent="0.25">
      <c r="A1176" s="13" t="s">
        <v>1188</v>
      </c>
      <c r="B1176" s="13" t="s">
        <v>2195</v>
      </c>
      <c r="C1176" s="13" t="s">
        <v>2200</v>
      </c>
      <c r="D1176" s="13" t="s">
        <v>2207</v>
      </c>
      <c r="E1176" s="13" t="s">
        <v>2209</v>
      </c>
      <c r="F1176" s="13" t="s">
        <v>2219</v>
      </c>
      <c r="G1176" s="13">
        <v>97.14</v>
      </c>
      <c r="H1176" s="13">
        <v>0</v>
      </c>
      <c r="I1176" s="13">
        <v>97.14</v>
      </c>
      <c r="J1176" s="24">
        <v>45875</v>
      </c>
      <c r="K1176" s="13">
        <v>20</v>
      </c>
      <c r="L1176" s="13">
        <v>4.0999999999999996</v>
      </c>
      <c r="M1176" s="13" t="b">
        <v>0</v>
      </c>
      <c r="O1176" s="13">
        <f t="shared" si="18"/>
        <v>4.0999999999999996</v>
      </c>
    </row>
    <row r="1177" spans="1:15" x14ac:dyDescent="0.25">
      <c r="A1177" s="13" t="s">
        <v>1189</v>
      </c>
      <c r="B1177" s="13" t="s">
        <v>2193</v>
      </c>
      <c r="C1177" s="13" t="s">
        <v>2203</v>
      </c>
      <c r="D1177" s="13" t="s">
        <v>2206</v>
      </c>
      <c r="E1177" s="13" t="s">
        <v>2210</v>
      </c>
      <c r="F1177" s="13" t="s">
        <v>2217</v>
      </c>
      <c r="G1177" s="13">
        <v>128.27000000000001</v>
      </c>
      <c r="H1177" s="13">
        <v>0</v>
      </c>
      <c r="I1177" s="13">
        <v>128.27000000000001</v>
      </c>
      <c r="J1177" s="24">
        <v>45875</v>
      </c>
      <c r="K1177" s="13">
        <v>28</v>
      </c>
      <c r="M1177" s="13" t="b">
        <v>0</v>
      </c>
      <c r="O1177" s="13">
        <f t="shared" si="18"/>
        <v>3.2576923076923077</v>
      </c>
    </row>
    <row r="1178" spans="1:15" x14ac:dyDescent="0.25">
      <c r="A1178" s="13" t="s">
        <v>1190</v>
      </c>
      <c r="B1178" s="13" t="s">
        <v>2195</v>
      </c>
      <c r="C1178" s="13" t="s">
        <v>2196</v>
      </c>
      <c r="D1178" s="13" t="s">
        <v>2205</v>
      </c>
      <c r="E1178" s="13" t="s">
        <v>2208</v>
      </c>
      <c r="F1178" s="13" t="s">
        <v>2220</v>
      </c>
      <c r="G1178" s="13">
        <v>174.86</v>
      </c>
      <c r="H1178" s="13">
        <v>0</v>
      </c>
      <c r="I1178" s="13">
        <v>174.86</v>
      </c>
      <c r="J1178" s="24">
        <v>45875</v>
      </c>
      <c r="K1178" s="13">
        <v>43</v>
      </c>
      <c r="L1178" s="13">
        <v>4.5999999999999996</v>
      </c>
      <c r="M1178" s="13" t="b">
        <v>0</v>
      </c>
      <c r="O1178" s="13">
        <f t="shared" si="18"/>
        <v>4.5999999999999996</v>
      </c>
    </row>
    <row r="1179" spans="1:15" x14ac:dyDescent="0.25">
      <c r="A1179" s="13" t="s">
        <v>1191</v>
      </c>
      <c r="B1179" s="13" t="s">
        <v>2195</v>
      </c>
      <c r="C1179" s="13" t="s">
        <v>2198</v>
      </c>
      <c r="D1179" s="13" t="s">
        <v>2205</v>
      </c>
      <c r="E1179" s="13" t="s">
        <v>2208</v>
      </c>
      <c r="F1179" s="13" t="s">
        <v>2217</v>
      </c>
      <c r="G1179" s="13">
        <v>100.03</v>
      </c>
      <c r="H1179" s="13">
        <v>0</v>
      </c>
      <c r="I1179" s="13">
        <v>100.03</v>
      </c>
      <c r="J1179" s="24">
        <v>45875</v>
      </c>
      <c r="K1179" s="13">
        <v>36</v>
      </c>
      <c r="L1179" s="13">
        <v>1.9</v>
      </c>
      <c r="M1179" s="13" t="b">
        <v>1</v>
      </c>
      <c r="N1179" s="13" t="s">
        <v>2228</v>
      </c>
      <c r="O1179" s="13">
        <f t="shared" si="18"/>
        <v>1.9</v>
      </c>
    </row>
    <row r="1180" spans="1:15" x14ac:dyDescent="0.25">
      <c r="A1180" s="13" t="s">
        <v>1192</v>
      </c>
      <c r="B1180" s="13" t="s">
        <v>2195</v>
      </c>
      <c r="C1180" s="13" t="s">
        <v>2196</v>
      </c>
      <c r="D1180" s="13" t="s">
        <v>2205</v>
      </c>
      <c r="E1180" s="13" t="s">
        <v>2210</v>
      </c>
      <c r="F1180" s="13" t="s">
        <v>2223</v>
      </c>
      <c r="G1180" s="13">
        <v>49.89</v>
      </c>
      <c r="H1180" s="13">
        <v>0</v>
      </c>
      <c r="I1180" s="13">
        <v>49.89</v>
      </c>
      <c r="J1180" s="24">
        <v>45875</v>
      </c>
      <c r="K1180" s="13">
        <v>0</v>
      </c>
      <c r="L1180" s="13">
        <v>3.5</v>
      </c>
      <c r="M1180" s="13" t="b">
        <v>1</v>
      </c>
      <c r="N1180" s="13" t="s">
        <v>2230</v>
      </c>
      <c r="O1180" s="13">
        <f t="shared" si="18"/>
        <v>3.5</v>
      </c>
    </row>
    <row r="1181" spans="1:15" x14ac:dyDescent="0.25">
      <c r="A1181" s="13" t="s">
        <v>1193</v>
      </c>
      <c r="B1181" s="13" t="s">
        <v>2193</v>
      </c>
      <c r="C1181" s="13" t="s">
        <v>2200</v>
      </c>
      <c r="D1181" s="13" t="s">
        <v>2206</v>
      </c>
      <c r="E1181" s="13" t="s">
        <v>2208</v>
      </c>
      <c r="F1181" s="13" t="s">
        <v>2224</v>
      </c>
      <c r="G1181" s="13">
        <v>170.43</v>
      </c>
      <c r="H1181" s="13">
        <v>0</v>
      </c>
      <c r="I1181" s="13">
        <v>170.43</v>
      </c>
      <c r="J1181" s="24">
        <v>45875</v>
      </c>
      <c r="K1181" s="13">
        <v>22</v>
      </c>
      <c r="M1181" s="13" t="b">
        <v>0</v>
      </c>
      <c r="O1181" s="13">
        <f t="shared" si="18"/>
        <v>3.3021276595744684</v>
      </c>
    </row>
    <row r="1182" spans="1:15" x14ac:dyDescent="0.25">
      <c r="A1182" s="13" t="s">
        <v>1194</v>
      </c>
      <c r="B1182" s="13" t="s">
        <v>2190</v>
      </c>
      <c r="C1182" s="13" t="s">
        <v>2202</v>
      </c>
      <c r="D1182" s="13" t="s">
        <v>2207</v>
      </c>
      <c r="E1182" s="13" t="s">
        <v>2212</v>
      </c>
      <c r="F1182" s="13" t="s">
        <v>2222</v>
      </c>
      <c r="G1182" s="13">
        <v>186.78</v>
      </c>
      <c r="H1182" s="13">
        <v>0</v>
      </c>
      <c r="I1182" s="13">
        <v>186.78</v>
      </c>
      <c r="J1182" s="24">
        <v>45875</v>
      </c>
      <c r="K1182" s="13">
        <v>22</v>
      </c>
      <c r="L1182" s="13">
        <v>2.9</v>
      </c>
      <c r="M1182" s="13" t="b">
        <v>0</v>
      </c>
      <c r="O1182" s="13">
        <f t="shared" si="18"/>
        <v>2.9</v>
      </c>
    </row>
    <row r="1183" spans="1:15" x14ac:dyDescent="0.25">
      <c r="A1183" s="13" t="s">
        <v>1195</v>
      </c>
      <c r="B1183" s="13" t="s">
        <v>2192</v>
      </c>
      <c r="C1183" s="13" t="s">
        <v>2203</v>
      </c>
      <c r="D1183" s="13" t="s">
        <v>2206</v>
      </c>
      <c r="F1183" s="13" t="s">
        <v>2222</v>
      </c>
      <c r="G1183" s="13">
        <v>63.98</v>
      </c>
      <c r="H1183" s="13">
        <v>0</v>
      </c>
      <c r="I1183" s="13">
        <v>63.98</v>
      </c>
      <c r="J1183" s="24">
        <v>45875</v>
      </c>
      <c r="K1183" s="13">
        <v>36</v>
      </c>
      <c r="L1183" s="13">
        <v>1.7</v>
      </c>
      <c r="M1183" s="13" t="b">
        <v>0</v>
      </c>
      <c r="O1183" s="13">
        <f t="shared" si="18"/>
        <v>1.7</v>
      </c>
    </row>
    <row r="1184" spans="1:15" x14ac:dyDescent="0.25">
      <c r="A1184" s="13" t="s">
        <v>1196</v>
      </c>
      <c r="B1184" s="13" t="s">
        <v>2190</v>
      </c>
      <c r="C1184" s="13" t="s">
        <v>2203</v>
      </c>
      <c r="D1184" s="13" t="s">
        <v>2206</v>
      </c>
      <c r="E1184" s="13" t="s">
        <v>2212</v>
      </c>
      <c r="F1184" s="13" t="s">
        <v>2222</v>
      </c>
      <c r="G1184" s="13">
        <v>225.64</v>
      </c>
      <c r="H1184" s="13">
        <v>0</v>
      </c>
      <c r="I1184" s="13">
        <v>225.64</v>
      </c>
      <c r="J1184" s="24">
        <v>45875</v>
      </c>
      <c r="K1184" s="13">
        <v>31</v>
      </c>
      <c r="L1184" s="13">
        <v>1.3</v>
      </c>
      <c r="M1184" s="13" t="b">
        <v>0</v>
      </c>
      <c r="O1184" s="13">
        <f t="shared" si="18"/>
        <v>1.3</v>
      </c>
    </row>
    <row r="1185" spans="1:15" x14ac:dyDescent="0.25">
      <c r="A1185" s="13" t="s">
        <v>1197</v>
      </c>
      <c r="B1185" s="13" t="s">
        <v>2191</v>
      </c>
      <c r="C1185" s="13" t="s">
        <v>2199</v>
      </c>
      <c r="D1185" s="13" t="s">
        <v>2206</v>
      </c>
      <c r="E1185" s="13" t="s">
        <v>2212</v>
      </c>
      <c r="F1185" s="13" t="s">
        <v>2217</v>
      </c>
      <c r="G1185" s="13">
        <v>115.29</v>
      </c>
      <c r="H1185" s="13">
        <v>13.9</v>
      </c>
      <c r="I1185" s="13">
        <v>99.26</v>
      </c>
      <c r="J1185" s="24">
        <v>45875</v>
      </c>
      <c r="K1185" s="13">
        <v>37</v>
      </c>
      <c r="M1185" s="13" t="b">
        <v>0</v>
      </c>
      <c r="O1185" s="13">
        <f t="shared" si="18"/>
        <v>2.9742857142857138</v>
      </c>
    </row>
    <row r="1186" spans="1:15" x14ac:dyDescent="0.25">
      <c r="A1186" s="13" t="s">
        <v>1198</v>
      </c>
      <c r="B1186" s="13" t="s">
        <v>2194</v>
      </c>
      <c r="C1186" s="13" t="s">
        <v>2199</v>
      </c>
      <c r="D1186" s="13" t="s">
        <v>2206</v>
      </c>
      <c r="E1186" s="13" t="s">
        <v>2212</v>
      </c>
      <c r="F1186" s="13" t="s">
        <v>2217</v>
      </c>
      <c r="G1186" s="13">
        <v>92.59</v>
      </c>
      <c r="H1186" s="13">
        <v>0</v>
      </c>
      <c r="I1186" s="13">
        <v>92.59</v>
      </c>
      <c r="J1186" s="24">
        <v>45875</v>
      </c>
      <c r="K1186" s="13">
        <v>39</v>
      </c>
      <c r="L1186" s="13">
        <v>2.2999999999999998</v>
      </c>
      <c r="M1186" s="13" t="b">
        <v>0</v>
      </c>
      <c r="O1186" s="13">
        <f t="shared" si="18"/>
        <v>2.2999999999999998</v>
      </c>
    </row>
    <row r="1187" spans="1:15" x14ac:dyDescent="0.25">
      <c r="A1187" s="13" t="s">
        <v>1199</v>
      </c>
      <c r="B1187" s="13" t="s">
        <v>2192</v>
      </c>
      <c r="C1187" s="13" t="s">
        <v>2197</v>
      </c>
      <c r="D1187" s="13" t="s">
        <v>2204</v>
      </c>
      <c r="F1187" s="13" t="s">
        <v>2221</v>
      </c>
      <c r="G1187" s="13">
        <v>67.650000000000006</v>
      </c>
      <c r="H1187" s="13">
        <v>26.2</v>
      </c>
      <c r="I1187" s="13">
        <v>49.93</v>
      </c>
      <c r="J1187" s="24">
        <v>45805</v>
      </c>
      <c r="K1187" s="13">
        <v>23</v>
      </c>
      <c r="L1187" s="13">
        <v>1.7</v>
      </c>
      <c r="M1187" s="13" t="b">
        <v>0</v>
      </c>
      <c r="O1187" s="13">
        <f t="shared" si="18"/>
        <v>1.7</v>
      </c>
    </row>
    <row r="1188" spans="1:15" x14ac:dyDescent="0.25">
      <c r="A1188" s="13" t="s">
        <v>1200</v>
      </c>
      <c r="B1188" s="13" t="s">
        <v>2190</v>
      </c>
      <c r="C1188" s="13" t="s">
        <v>2201</v>
      </c>
      <c r="D1188" s="13" t="s">
        <v>2204</v>
      </c>
      <c r="E1188" s="13" t="s">
        <v>2209</v>
      </c>
      <c r="F1188" s="13" t="s">
        <v>2217</v>
      </c>
      <c r="G1188" s="13">
        <v>128.91999999999999</v>
      </c>
      <c r="H1188" s="13">
        <v>0</v>
      </c>
      <c r="I1188" s="13">
        <v>128.91999999999999</v>
      </c>
      <c r="J1188" s="24">
        <v>45848</v>
      </c>
      <c r="K1188" s="13">
        <v>40</v>
      </c>
      <c r="L1188" s="13">
        <v>1.5</v>
      </c>
      <c r="M1188" s="13" t="b">
        <v>0</v>
      </c>
      <c r="O1188" s="13">
        <f t="shared" si="18"/>
        <v>1.5</v>
      </c>
    </row>
    <row r="1189" spans="1:15" x14ac:dyDescent="0.25">
      <c r="A1189" s="13" t="s">
        <v>1201</v>
      </c>
      <c r="B1189" s="13" t="s">
        <v>2192</v>
      </c>
      <c r="C1189" s="13" t="s">
        <v>2198</v>
      </c>
      <c r="D1189" s="13" t="s">
        <v>2206</v>
      </c>
      <c r="F1189" s="13" t="s">
        <v>2214</v>
      </c>
      <c r="G1189" s="13">
        <v>16.510000000000002</v>
      </c>
      <c r="H1189" s="13">
        <v>16.8</v>
      </c>
      <c r="I1189" s="13">
        <v>13.74</v>
      </c>
      <c r="J1189" s="24">
        <v>45875</v>
      </c>
      <c r="K1189" s="13">
        <v>47</v>
      </c>
      <c r="L1189" s="13">
        <v>1.2</v>
      </c>
      <c r="M1189" s="13" t="b">
        <v>0</v>
      </c>
      <c r="O1189" s="13">
        <f t="shared" si="18"/>
        <v>1.2</v>
      </c>
    </row>
    <row r="1190" spans="1:15" x14ac:dyDescent="0.25">
      <c r="A1190" s="13" t="s">
        <v>1202</v>
      </c>
      <c r="B1190" s="13" t="s">
        <v>2193</v>
      </c>
      <c r="C1190" s="13" t="s">
        <v>2198</v>
      </c>
      <c r="D1190" s="13" t="s">
        <v>2205</v>
      </c>
      <c r="F1190" s="13" t="s">
        <v>2218</v>
      </c>
      <c r="G1190" s="13">
        <v>173.66</v>
      </c>
      <c r="H1190" s="13">
        <v>42.7</v>
      </c>
      <c r="I1190" s="13">
        <v>99.51</v>
      </c>
      <c r="J1190" s="24">
        <v>45875</v>
      </c>
      <c r="K1190" s="13">
        <v>1</v>
      </c>
      <c r="L1190" s="13">
        <v>3.1</v>
      </c>
      <c r="M1190" s="13" t="b">
        <v>0</v>
      </c>
      <c r="O1190" s="13">
        <f t="shared" si="18"/>
        <v>3.1</v>
      </c>
    </row>
    <row r="1191" spans="1:15" x14ac:dyDescent="0.25">
      <c r="A1191" s="13" t="s">
        <v>1203</v>
      </c>
      <c r="B1191" s="13" t="s">
        <v>2191</v>
      </c>
      <c r="C1191" s="13" t="s">
        <v>2200</v>
      </c>
      <c r="D1191" s="13" t="s">
        <v>2204</v>
      </c>
      <c r="E1191" s="13" t="s">
        <v>2210</v>
      </c>
      <c r="F1191" s="13" t="s">
        <v>2216</v>
      </c>
      <c r="G1191" s="13">
        <v>71.489999999999995</v>
      </c>
      <c r="H1191" s="13">
        <v>20.9</v>
      </c>
      <c r="I1191" s="13">
        <v>56.55</v>
      </c>
      <c r="J1191" s="24">
        <v>45669</v>
      </c>
      <c r="K1191" s="13">
        <v>33</v>
      </c>
      <c r="L1191" s="13">
        <v>1.3</v>
      </c>
      <c r="M1191" s="13" t="b">
        <v>0</v>
      </c>
      <c r="O1191" s="13">
        <f t="shared" si="18"/>
        <v>1.3</v>
      </c>
    </row>
    <row r="1192" spans="1:15" x14ac:dyDescent="0.25">
      <c r="A1192" s="13" t="s">
        <v>1204</v>
      </c>
      <c r="B1192" s="13" t="s">
        <v>2190</v>
      </c>
      <c r="C1192" s="13" t="s">
        <v>2197</v>
      </c>
      <c r="D1192" s="13" t="s">
        <v>2206</v>
      </c>
      <c r="E1192" s="13" t="s">
        <v>2211</v>
      </c>
      <c r="F1192" s="13" t="s">
        <v>2218</v>
      </c>
      <c r="G1192" s="13">
        <v>230.81</v>
      </c>
      <c r="H1192" s="13">
        <v>24.3</v>
      </c>
      <c r="I1192" s="13">
        <v>174.72</v>
      </c>
      <c r="J1192" s="24">
        <v>45875</v>
      </c>
      <c r="K1192" s="13">
        <v>26</v>
      </c>
      <c r="M1192" s="13" t="b">
        <v>1</v>
      </c>
      <c r="N1192" s="13" t="s">
        <v>2226</v>
      </c>
      <c r="O1192" s="13">
        <f t="shared" si="18"/>
        <v>3.15</v>
      </c>
    </row>
    <row r="1193" spans="1:15" x14ac:dyDescent="0.25">
      <c r="A1193" s="13" t="s">
        <v>1205</v>
      </c>
      <c r="B1193" s="13" t="s">
        <v>2193</v>
      </c>
      <c r="C1193" s="13" t="s">
        <v>2200</v>
      </c>
      <c r="D1193" s="13" t="s">
        <v>2204</v>
      </c>
      <c r="E1193" s="13" t="s">
        <v>2212</v>
      </c>
      <c r="F1193" s="13" t="s">
        <v>2220</v>
      </c>
      <c r="G1193" s="13">
        <v>101</v>
      </c>
      <c r="H1193" s="13">
        <v>58.6</v>
      </c>
      <c r="I1193" s="13">
        <v>41.81</v>
      </c>
      <c r="J1193" s="24">
        <v>45842</v>
      </c>
      <c r="K1193" s="13">
        <v>44</v>
      </c>
      <c r="L1193" s="13">
        <v>1.2</v>
      </c>
      <c r="M1193" s="13" t="b">
        <v>0</v>
      </c>
      <c r="O1193" s="13">
        <f t="shared" si="18"/>
        <v>1.2</v>
      </c>
    </row>
    <row r="1194" spans="1:15" x14ac:dyDescent="0.25">
      <c r="A1194" s="13" t="s">
        <v>1206</v>
      </c>
      <c r="B1194" s="13" t="s">
        <v>2190</v>
      </c>
      <c r="C1194" s="13" t="s">
        <v>2199</v>
      </c>
      <c r="D1194" s="13" t="s">
        <v>2205</v>
      </c>
      <c r="E1194" s="13" t="s">
        <v>2211</v>
      </c>
      <c r="F1194" s="13" t="s">
        <v>2224</v>
      </c>
      <c r="G1194" s="13">
        <v>116.37</v>
      </c>
      <c r="H1194" s="13">
        <v>52.6</v>
      </c>
      <c r="I1194" s="13">
        <v>55.16</v>
      </c>
      <c r="J1194" s="24">
        <v>45875</v>
      </c>
      <c r="K1194" s="13">
        <v>43</v>
      </c>
      <c r="L1194" s="13">
        <v>2.4</v>
      </c>
      <c r="M1194" s="13" t="b">
        <v>0</v>
      </c>
      <c r="O1194" s="13">
        <f t="shared" si="18"/>
        <v>2.4</v>
      </c>
    </row>
    <row r="1195" spans="1:15" x14ac:dyDescent="0.25">
      <c r="A1195" s="13" t="s">
        <v>1207</v>
      </c>
      <c r="B1195" s="13" t="s">
        <v>2193</v>
      </c>
      <c r="C1195" s="13" t="s">
        <v>2200</v>
      </c>
      <c r="D1195" s="13" t="s">
        <v>2204</v>
      </c>
      <c r="E1195" s="13" t="s">
        <v>2209</v>
      </c>
      <c r="F1195" s="13" t="s">
        <v>2221</v>
      </c>
      <c r="G1195" s="13">
        <v>150.28</v>
      </c>
      <c r="H1195" s="13">
        <v>8.3000000000000007</v>
      </c>
      <c r="I1195" s="13">
        <v>137.81</v>
      </c>
      <c r="J1195" s="24">
        <v>45679</v>
      </c>
      <c r="K1195" s="13">
        <v>48</v>
      </c>
      <c r="L1195" s="13">
        <v>2.9</v>
      </c>
      <c r="M1195" s="13" t="b">
        <v>0</v>
      </c>
      <c r="O1195" s="13">
        <f t="shared" si="18"/>
        <v>2.9</v>
      </c>
    </row>
    <row r="1196" spans="1:15" x14ac:dyDescent="0.25">
      <c r="A1196" s="13" t="s">
        <v>1208</v>
      </c>
      <c r="B1196" s="13" t="s">
        <v>2190</v>
      </c>
      <c r="C1196" s="13" t="s">
        <v>2196</v>
      </c>
      <c r="D1196" s="13" t="s">
        <v>2205</v>
      </c>
      <c r="E1196" s="13" t="s">
        <v>2208</v>
      </c>
      <c r="F1196" s="13" t="s">
        <v>2218</v>
      </c>
      <c r="G1196" s="13">
        <v>107.81</v>
      </c>
      <c r="H1196" s="13">
        <v>0</v>
      </c>
      <c r="I1196" s="13">
        <v>107.81</v>
      </c>
      <c r="J1196" s="24">
        <v>45875</v>
      </c>
      <c r="K1196" s="13">
        <v>15</v>
      </c>
      <c r="L1196" s="13">
        <v>2.7</v>
      </c>
      <c r="M1196" s="13" t="b">
        <v>0</v>
      </c>
      <c r="O1196" s="13">
        <f t="shared" si="18"/>
        <v>2.7</v>
      </c>
    </row>
    <row r="1197" spans="1:15" x14ac:dyDescent="0.25">
      <c r="A1197" s="13" t="s">
        <v>1209</v>
      </c>
      <c r="B1197" s="13" t="s">
        <v>2195</v>
      </c>
      <c r="C1197" s="13" t="s">
        <v>2196</v>
      </c>
      <c r="D1197" s="13" t="s">
        <v>2204</v>
      </c>
      <c r="E1197" s="13" t="s">
        <v>2209</v>
      </c>
      <c r="F1197" s="13" t="s">
        <v>2222</v>
      </c>
      <c r="G1197" s="13">
        <v>61.24</v>
      </c>
      <c r="H1197" s="13">
        <v>0</v>
      </c>
      <c r="I1197" s="13">
        <v>61.24</v>
      </c>
      <c r="J1197" s="24">
        <v>45752</v>
      </c>
      <c r="K1197" s="13">
        <v>3</v>
      </c>
      <c r="M1197" s="13" t="b">
        <v>0</v>
      </c>
      <c r="O1197" s="13">
        <f t="shared" si="18"/>
        <v>3.0424242424242425</v>
      </c>
    </row>
    <row r="1198" spans="1:15" x14ac:dyDescent="0.25">
      <c r="A1198" s="13" t="s">
        <v>1210</v>
      </c>
      <c r="B1198" s="13" t="s">
        <v>2192</v>
      </c>
      <c r="C1198" s="13" t="s">
        <v>2196</v>
      </c>
      <c r="D1198" s="13" t="s">
        <v>2205</v>
      </c>
      <c r="F1198" s="13" t="s">
        <v>2220</v>
      </c>
      <c r="G1198" s="13">
        <v>34.04</v>
      </c>
      <c r="H1198" s="13">
        <v>0</v>
      </c>
      <c r="I1198" s="13">
        <v>34.04</v>
      </c>
      <c r="J1198" s="24">
        <v>45875</v>
      </c>
      <c r="K1198" s="13">
        <v>3</v>
      </c>
      <c r="L1198" s="13">
        <v>1.9</v>
      </c>
      <c r="M1198" s="13" t="b">
        <v>0</v>
      </c>
      <c r="O1198" s="13">
        <f t="shared" si="18"/>
        <v>1.9</v>
      </c>
    </row>
    <row r="1199" spans="1:15" x14ac:dyDescent="0.25">
      <c r="A1199" s="13" t="s">
        <v>1211</v>
      </c>
      <c r="B1199" s="13" t="s">
        <v>2195</v>
      </c>
      <c r="C1199" s="13" t="s">
        <v>2202</v>
      </c>
      <c r="D1199" s="13" t="s">
        <v>2207</v>
      </c>
      <c r="E1199" s="13" t="s">
        <v>2210</v>
      </c>
      <c r="F1199" s="13" t="s">
        <v>2224</v>
      </c>
      <c r="G1199" s="13">
        <v>168.16</v>
      </c>
      <c r="H1199" s="13">
        <v>45.9</v>
      </c>
      <c r="I1199" s="13">
        <v>90.97</v>
      </c>
      <c r="J1199" s="24">
        <v>45875</v>
      </c>
      <c r="K1199" s="13">
        <v>44</v>
      </c>
      <c r="L1199" s="13">
        <v>1.5</v>
      </c>
      <c r="M1199" s="13" t="b">
        <v>0</v>
      </c>
      <c r="O1199" s="13">
        <f t="shared" si="18"/>
        <v>1.5</v>
      </c>
    </row>
    <row r="1200" spans="1:15" x14ac:dyDescent="0.25">
      <c r="A1200" s="13" t="s">
        <v>1212</v>
      </c>
      <c r="B1200" s="13" t="s">
        <v>2191</v>
      </c>
      <c r="C1200" s="13" t="s">
        <v>2201</v>
      </c>
      <c r="D1200" s="13" t="s">
        <v>2206</v>
      </c>
      <c r="E1200" s="13" t="s">
        <v>2213</v>
      </c>
      <c r="F1200" s="13" t="s">
        <v>2214</v>
      </c>
      <c r="G1200" s="13">
        <v>74.069999999999993</v>
      </c>
      <c r="H1200" s="13">
        <v>0</v>
      </c>
      <c r="I1200" s="13">
        <v>74.069999999999993</v>
      </c>
      <c r="J1200" s="24">
        <v>45875</v>
      </c>
      <c r="K1200" s="13">
        <v>47</v>
      </c>
      <c r="L1200" s="13">
        <v>1.4</v>
      </c>
      <c r="M1200" s="13" t="b">
        <v>0</v>
      </c>
      <c r="O1200" s="13">
        <f t="shared" si="18"/>
        <v>1.4</v>
      </c>
    </row>
    <row r="1201" spans="1:15" x14ac:dyDescent="0.25">
      <c r="A1201" s="13" t="s">
        <v>1213</v>
      </c>
      <c r="B1201" s="13" t="s">
        <v>2191</v>
      </c>
      <c r="C1201" s="13" t="s">
        <v>2203</v>
      </c>
      <c r="D1201" s="13" t="s">
        <v>2205</v>
      </c>
      <c r="E1201" s="13" t="s">
        <v>2211</v>
      </c>
      <c r="F1201" s="13" t="s">
        <v>2224</v>
      </c>
      <c r="G1201" s="13">
        <v>84.75</v>
      </c>
      <c r="H1201" s="13">
        <v>0</v>
      </c>
      <c r="I1201" s="13">
        <v>84.75</v>
      </c>
      <c r="J1201" s="24">
        <v>45875</v>
      </c>
      <c r="K1201" s="13">
        <v>7</v>
      </c>
      <c r="L1201" s="13">
        <v>2.5</v>
      </c>
      <c r="M1201" s="13" t="b">
        <v>0</v>
      </c>
      <c r="O1201" s="13">
        <f t="shared" si="18"/>
        <v>2.5</v>
      </c>
    </row>
    <row r="1202" spans="1:15" x14ac:dyDescent="0.25">
      <c r="A1202" s="13" t="s">
        <v>1214</v>
      </c>
      <c r="B1202" s="13" t="s">
        <v>2193</v>
      </c>
      <c r="C1202" s="13" t="s">
        <v>2199</v>
      </c>
      <c r="D1202" s="13" t="s">
        <v>2207</v>
      </c>
      <c r="E1202" s="13" t="s">
        <v>2213</v>
      </c>
      <c r="F1202" s="13" t="s">
        <v>2214</v>
      </c>
      <c r="G1202" s="13">
        <v>187.47</v>
      </c>
      <c r="H1202" s="13">
        <v>9.6</v>
      </c>
      <c r="I1202" s="13">
        <v>169.47</v>
      </c>
      <c r="J1202" s="24">
        <v>45875</v>
      </c>
      <c r="K1202" s="13">
        <v>28</v>
      </c>
      <c r="L1202" s="13">
        <v>4</v>
      </c>
      <c r="M1202" s="13" t="b">
        <v>0</v>
      </c>
      <c r="O1202" s="13">
        <f t="shared" si="18"/>
        <v>4</v>
      </c>
    </row>
    <row r="1203" spans="1:15" x14ac:dyDescent="0.25">
      <c r="A1203" s="13" t="s">
        <v>1215</v>
      </c>
      <c r="B1203" s="13" t="s">
        <v>2192</v>
      </c>
      <c r="C1203" s="13" t="s">
        <v>2197</v>
      </c>
      <c r="D1203" s="13" t="s">
        <v>2204</v>
      </c>
      <c r="F1203" s="13" t="s">
        <v>2220</v>
      </c>
      <c r="G1203" s="13">
        <v>45.81</v>
      </c>
      <c r="H1203" s="13">
        <v>14.1</v>
      </c>
      <c r="I1203" s="13">
        <v>39.35</v>
      </c>
      <c r="J1203" s="24">
        <v>45761</v>
      </c>
      <c r="K1203" s="13">
        <v>29</v>
      </c>
      <c r="M1203" s="13" t="b">
        <v>0</v>
      </c>
      <c r="O1203" s="13">
        <f t="shared" si="18"/>
        <v>3.1288461538461547</v>
      </c>
    </row>
    <row r="1204" spans="1:15" x14ac:dyDescent="0.25">
      <c r="A1204" s="13" t="s">
        <v>1216</v>
      </c>
      <c r="B1204" s="13" t="s">
        <v>2190</v>
      </c>
      <c r="C1204" s="13" t="s">
        <v>2198</v>
      </c>
      <c r="D1204" s="13" t="s">
        <v>2206</v>
      </c>
      <c r="E1204" s="13" t="s">
        <v>2208</v>
      </c>
      <c r="F1204" s="13" t="s">
        <v>2224</v>
      </c>
      <c r="G1204" s="13">
        <v>87.09</v>
      </c>
      <c r="H1204" s="13">
        <v>0</v>
      </c>
      <c r="I1204" s="13">
        <v>87.09</v>
      </c>
      <c r="J1204" s="24">
        <v>45875</v>
      </c>
      <c r="K1204" s="13">
        <v>8</v>
      </c>
      <c r="L1204" s="13">
        <v>2.8</v>
      </c>
      <c r="M1204" s="13" t="b">
        <v>0</v>
      </c>
      <c r="O1204" s="13">
        <f t="shared" si="18"/>
        <v>2.8</v>
      </c>
    </row>
    <row r="1205" spans="1:15" x14ac:dyDescent="0.25">
      <c r="A1205" s="13" t="s">
        <v>1217</v>
      </c>
      <c r="B1205" s="13" t="s">
        <v>2190</v>
      </c>
      <c r="C1205" s="13" t="s">
        <v>2200</v>
      </c>
      <c r="D1205" s="13" t="s">
        <v>2207</v>
      </c>
      <c r="E1205" s="13" t="s">
        <v>2212</v>
      </c>
      <c r="F1205" s="13" t="s">
        <v>2224</v>
      </c>
      <c r="G1205" s="13">
        <v>232.5</v>
      </c>
      <c r="H1205" s="13">
        <v>56.8</v>
      </c>
      <c r="I1205" s="13">
        <v>100.44</v>
      </c>
      <c r="J1205" s="24">
        <v>45875</v>
      </c>
      <c r="K1205" s="13">
        <v>23</v>
      </c>
      <c r="L1205" s="13">
        <v>2.9</v>
      </c>
      <c r="M1205" s="13" t="b">
        <v>1</v>
      </c>
      <c r="N1205" s="13" t="s">
        <v>2226</v>
      </c>
      <c r="O1205" s="13">
        <f t="shared" si="18"/>
        <v>2.9</v>
      </c>
    </row>
    <row r="1206" spans="1:15" x14ac:dyDescent="0.25">
      <c r="A1206" s="13" t="s">
        <v>1218</v>
      </c>
      <c r="B1206" s="13" t="s">
        <v>2193</v>
      </c>
      <c r="C1206" s="13" t="s">
        <v>2201</v>
      </c>
      <c r="D1206" s="13" t="s">
        <v>2204</v>
      </c>
      <c r="E1206" s="13" t="s">
        <v>2212</v>
      </c>
      <c r="F1206" s="13" t="s">
        <v>2223</v>
      </c>
      <c r="G1206" s="13">
        <v>184.87</v>
      </c>
      <c r="H1206" s="13">
        <v>0</v>
      </c>
      <c r="I1206" s="13">
        <v>184.87</v>
      </c>
      <c r="J1206" s="24">
        <v>45563</v>
      </c>
      <c r="K1206" s="13">
        <v>32</v>
      </c>
      <c r="L1206" s="13">
        <v>1.8</v>
      </c>
      <c r="M1206" s="13" t="b">
        <v>0</v>
      </c>
      <c r="O1206" s="13">
        <f t="shared" si="18"/>
        <v>1.8</v>
      </c>
    </row>
    <row r="1207" spans="1:15" x14ac:dyDescent="0.25">
      <c r="A1207" s="13" t="s">
        <v>1219</v>
      </c>
      <c r="B1207" s="13" t="s">
        <v>2191</v>
      </c>
      <c r="C1207" s="13" t="s">
        <v>2202</v>
      </c>
      <c r="D1207" s="13" t="s">
        <v>2206</v>
      </c>
      <c r="E1207" s="13" t="s">
        <v>2212</v>
      </c>
      <c r="F1207" s="13" t="s">
        <v>2218</v>
      </c>
      <c r="G1207" s="13">
        <v>31.36</v>
      </c>
      <c r="H1207" s="13">
        <v>0</v>
      </c>
      <c r="I1207" s="13">
        <v>31.36</v>
      </c>
      <c r="J1207" s="24">
        <v>45875</v>
      </c>
      <c r="K1207" s="13">
        <v>50</v>
      </c>
      <c r="L1207" s="13">
        <v>3.4</v>
      </c>
      <c r="M1207" s="13" t="b">
        <v>0</v>
      </c>
      <c r="O1207" s="13">
        <f t="shared" si="18"/>
        <v>3.4</v>
      </c>
    </row>
    <row r="1208" spans="1:15" x14ac:dyDescent="0.25">
      <c r="A1208" s="13" t="s">
        <v>1220</v>
      </c>
      <c r="B1208" s="13" t="s">
        <v>2192</v>
      </c>
      <c r="C1208" s="13" t="s">
        <v>2200</v>
      </c>
      <c r="D1208" s="13" t="s">
        <v>2205</v>
      </c>
      <c r="F1208" s="13" t="s">
        <v>2222</v>
      </c>
      <c r="G1208" s="13">
        <v>62.26</v>
      </c>
      <c r="H1208" s="13">
        <v>24.6</v>
      </c>
      <c r="I1208" s="13">
        <v>46.94</v>
      </c>
      <c r="J1208" s="24">
        <v>45875</v>
      </c>
      <c r="K1208" s="13">
        <v>33</v>
      </c>
      <c r="L1208" s="13">
        <v>3.5</v>
      </c>
      <c r="M1208" s="13" t="b">
        <v>0</v>
      </c>
      <c r="O1208" s="13">
        <f t="shared" si="18"/>
        <v>3.5</v>
      </c>
    </row>
    <row r="1209" spans="1:15" x14ac:dyDescent="0.25">
      <c r="A1209" s="13" t="s">
        <v>1221</v>
      </c>
      <c r="B1209" s="13" t="s">
        <v>2192</v>
      </c>
      <c r="C1209" s="13" t="s">
        <v>2199</v>
      </c>
      <c r="D1209" s="13" t="s">
        <v>2207</v>
      </c>
      <c r="F1209" s="13" t="s">
        <v>2222</v>
      </c>
      <c r="G1209" s="13">
        <v>64.819999999999993</v>
      </c>
      <c r="H1209" s="13">
        <v>42.2</v>
      </c>
      <c r="I1209" s="13">
        <v>37.47</v>
      </c>
      <c r="J1209" s="24">
        <v>45875</v>
      </c>
      <c r="K1209" s="13">
        <v>26</v>
      </c>
      <c r="L1209" s="13">
        <v>1.3</v>
      </c>
      <c r="M1209" s="13" t="b">
        <v>0</v>
      </c>
      <c r="O1209" s="13">
        <f t="shared" si="18"/>
        <v>1.3</v>
      </c>
    </row>
    <row r="1210" spans="1:15" x14ac:dyDescent="0.25">
      <c r="A1210" s="13" t="s">
        <v>1222</v>
      </c>
      <c r="B1210" s="13" t="s">
        <v>2192</v>
      </c>
      <c r="C1210" s="13" t="s">
        <v>2196</v>
      </c>
      <c r="D1210" s="13" t="s">
        <v>2204</v>
      </c>
      <c r="F1210" s="13" t="s">
        <v>2219</v>
      </c>
      <c r="G1210" s="13">
        <v>15.92</v>
      </c>
      <c r="H1210" s="13">
        <v>0</v>
      </c>
      <c r="I1210" s="13">
        <v>15.92</v>
      </c>
      <c r="J1210" s="24">
        <v>45541</v>
      </c>
      <c r="K1210" s="13">
        <v>7</v>
      </c>
      <c r="L1210" s="13">
        <v>4.0999999999999996</v>
      </c>
      <c r="M1210" s="13" t="b">
        <v>0</v>
      </c>
      <c r="O1210" s="13">
        <f t="shared" si="18"/>
        <v>4.0999999999999996</v>
      </c>
    </row>
    <row r="1211" spans="1:15" x14ac:dyDescent="0.25">
      <c r="A1211" s="13" t="s">
        <v>1223</v>
      </c>
      <c r="B1211" s="13" t="s">
        <v>2190</v>
      </c>
      <c r="C1211" s="13" t="s">
        <v>2200</v>
      </c>
      <c r="D1211" s="13" t="s">
        <v>2204</v>
      </c>
      <c r="E1211" s="13" t="s">
        <v>2213</v>
      </c>
      <c r="F1211" s="13" t="s">
        <v>2223</v>
      </c>
      <c r="G1211" s="13">
        <v>180.83</v>
      </c>
      <c r="H1211" s="13">
        <v>0</v>
      </c>
      <c r="I1211" s="13">
        <v>180.83</v>
      </c>
      <c r="J1211" s="24">
        <v>45537</v>
      </c>
      <c r="K1211" s="13">
        <v>20</v>
      </c>
      <c r="L1211" s="13">
        <v>2</v>
      </c>
      <c r="M1211" s="13" t="b">
        <v>0</v>
      </c>
      <c r="O1211" s="13">
        <f t="shared" si="18"/>
        <v>2</v>
      </c>
    </row>
    <row r="1212" spans="1:15" x14ac:dyDescent="0.25">
      <c r="A1212" s="13" t="s">
        <v>1224</v>
      </c>
      <c r="B1212" s="13" t="s">
        <v>2193</v>
      </c>
      <c r="C1212" s="13" t="s">
        <v>2203</v>
      </c>
      <c r="D1212" s="13" t="s">
        <v>2207</v>
      </c>
      <c r="E1212" s="13" t="s">
        <v>2209</v>
      </c>
      <c r="F1212" s="13" t="s">
        <v>2224</v>
      </c>
      <c r="G1212" s="13">
        <v>73.81</v>
      </c>
      <c r="H1212" s="13">
        <v>0</v>
      </c>
      <c r="I1212" s="13">
        <v>73.81</v>
      </c>
      <c r="J1212" s="24">
        <v>45875</v>
      </c>
      <c r="K1212" s="13">
        <v>44</v>
      </c>
      <c r="L1212" s="13">
        <v>1.3</v>
      </c>
      <c r="M1212" s="13" t="b">
        <v>0</v>
      </c>
      <c r="O1212" s="13">
        <f t="shared" si="18"/>
        <v>1.3</v>
      </c>
    </row>
    <row r="1213" spans="1:15" x14ac:dyDescent="0.25">
      <c r="A1213" s="13" t="s">
        <v>1225</v>
      </c>
      <c r="B1213" s="13" t="s">
        <v>2193</v>
      </c>
      <c r="C1213" s="13" t="s">
        <v>2201</v>
      </c>
      <c r="D1213" s="13" t="s">
        <v>2207</v>
      </c>
      <c r="E1213" s="13" t="s">
        <v>2211</v>
      </c>
      <c r="F1213" s="13" t="s">
        <v>2221</v>
      </c>
      <c r="G1213" s="13">
        <v>127.52</v>
      </c>
      <c r="H1213" s="13">
        <v>0</v>
      </c>
      <c r="I1213" s="13">
        <v>127.52</v>
      </c>
      <c r="J1213" s="24">
        <v>45875</v>
      </c>
      <c r="K1213" s="13">
        <v>0</v>
      </c>
      <c r="L1213" s="13">
        <v>3.4</v>
      </c>
      <c r="M1213" s="13" t="b">
        <v>0</v>
      </c>
      <c r="O1213" s="13">
        <f t="shared" si="18"/>
        <v>3.4</v>
      </c>
    </row>
    <row r="1214" spans="1:15" x14ac:dyDescent="0.25">
      <c r="A1214" s="13" t="s">
        <v>1226</v>
      </c>
      <c r="B1214" s="13" t="s">
        <v>2194</v>
      </c>
      <c r="C1214" s="13" t="s">
        <v>2200</v>
      </c>
      <c r="D1214" s="13" t="s">
        <v>2206</v>
      </c>
      <c r="F1214" s="13" t="s">
        <v>2224</v>
      </c>
      <c r="G1214" s="13">
        <v>52.08</v>
      </c>
      <c r="H1214" s="13">
        <v>0</v>
      </c>
      <c r="I1214" s="13">
        <v>52.08</v>
      </c>
      <c r="J1214" s="24">
        <v>45875</v>
      </c>
      <c r="K1214" s="13">
        <v>12</v>
      </c>
      <c r="M1214" s="13" t="b">
        <v>0</v>
      </c>
      <c r="O1214" s="13">
        <f t="shared" si="18"/>
        <v>3.0659090909090896</v>
      </c>
    </row>
    <row r="1215" spans="1:15" x14ac:dyDescent="0.25">
      <c r="A1215" s="13" t="s">
        <v>1227</v>
      </c>
      <c r="B1215" s="13" t="s">
        <v>2194</v>
      </c>
      <c r="C1215" s="13" t="s">
        <v>2203</v>
      </c>
      <c r="D1215" s="13" t="s">
        <v>2205</v>
      </c>
      <c r="E1215" s="13" t="s">
        <v>2212</v>
      </c>
      <c r="F1215" s="13" t="s">
        <v>2214</v>
      </c>
      <c r="G1215" s="13">
        <v>32.83</v>
      </c>
      <c r="H1215" s="13">
        <v>23</v>
      </c>
      <c r="I1215" s="13">
        <v>25.28</v>
      </c>
      <c r="J1215" s="24">
        <v>45875</v>
      </c>
      <c r="K1215" s="13">
        <v>24</v>
      </c>
      <c r="L1215" s="13">
        <v>1.1000000000000001</v>
      </c>
      <c r="M1215" s="13" t="b">
        <v>0</v>
      </c>
      <c r="O1215" s="13">
        <f t="shared" si="18"/>
        <v>1.1000000000000001</v>
      </c>
    </row>
    <row r="1216" spans="1:15" x14ac:dyDescent="0.25">
      <c r="A1216" s="13" t="s">
        <v>1228</v>
      </c>
      <c r="B1216" s="13" t="s">
        <v>2191</v>
      </c>
      <c r="C1216" s="13" t="s">
        <v>2198</v>
      </c>
      <c r="D1216" s="13" t="s">
        <v>2205</v>
      </c>
      <c r="E1216" s="13" t="s">
        <v>2210</v>
      </c>
      <c r="F1216" s="13" t="s">
        <v>2223</v>
      </c>
      <c r="G1216" s="13">
        <v>108.92</v>
      </c>
      <c r="H1216" s="13">
        <v>0</v>
      </c>
      <c r="I1216" s="13">
        <v>108.92</v>
      </c>
      <c r="J1216" s="24">
        <v>45875</v>
      </c>
      <c r="K1216" s="13">
        <v>6</v>
      </c>
      <c r="L1216" s="13">
        <v>1.8</v>
      </c>
      <c r="M1216" s="13" t="b">
        <v>0</v>
      </c>
      <c r="O1216" s="13">
        <f t="shared" si="18"/>
        <v>1.8</v>
      </c>
    </row>
    <row r="1217" spans="1:15" x14ac:dyDescent="0.25">
      <c r="A1217" s="13" t="s">
        <v>1229</v>
      </c>
      <c r="B1217" s="13" t="s">
        <v>2193</v>
      </c>
      <c r="C1217" s="13" t="s">
        <v>2203</v>
      </c>
      <c r="D1217" s="13" t="s">
        <v>2205</v>
      </c>
      <c r="F1217" s="13" t="s">
        <v>2222</v>
      </c>
      <c r="G1217" s="13">
        <v>85.83</v>
      </c>
      <c r="H1217" s="13">
        <v>47.5</v>
      </c>
      <c r="I1217" s="13">
        <v>45.06</v>
      </c>
      <c r="J1217" s="24">
        <v>45875</v>
      </c>
      <c r="K1217" s="13">
        <v>8</v>
      </c>
      <c r="L1217" s="13">
        <v>1.1000000000000001</v>
      </c>
      <c r="M1217" s="13" t="b">
        <v>0</v>
      </c>
      <c r="O1217" s="13">
        <f t="shared" si="18"/>
        <v>1.1000000000000001</v>
      </c>
    </row>
    <row r="1218" spans="1:15" x14ac:dyDescent="0.25">
      <c r="A1218" s="13" t="s">
        <v>1230</v>
      </c>
      <c r="B1218" s="13" t="s">
        <v>2192</v>
      </c>
      <c r="C1218" s="13" t="s">
        <v>2196</v>
      </c>
      <c r="D1218" s="13" t="s">
        <v>2204</v>
      </c>
      <c r="F1218" s="13" t="s">
        <v>2219</v>
      </c>
      <c r="G1218" s="13">
        <v>62.02</v>
      </c>
      <c r="H1218" s="13">
        <v>0</v>
      </c>
      <c r="I1218" s="13">
        <v>62.02</v>
      </c>
      <c r="J1218" s="24">
        <v>45772</v>
      </c>
      <c r="K1218" s="13">
        <v>3</v>
      </c>
      <c r="L1218" s="13">
        <v>3.7</v>
      </c>
      <c r="M1218" s="13" t="b">
        <v>0</v>
      </c>
      <c r="O1218" s="13">
        <f t="shared" si="18"/>
        <v>3.7</v>
      </c>
    </row>
    <row r="1219" spans="1:15" x14ac:dyDescent="0.25">
      <c r="A1219" s="13" t="s">
        <v>1231</v>
      </c>
      <c r="B1219" s="13" t="s">
        <v>2193</v>
      </c>
      <c r="C1219" s="13" t="s">
        <v>2200</v>
      </c>
      <c r="D1219" s="13" t="s">
        <v>2207</v>
      </c>
      <c r="E1219" s="13" t="s">
        <v>2208</v>
      </c>
      <c r="F1219" s="13" t="s">
        <v>2216</v>
      </c>
      <c r="G1219" s="13">
        <v>127.31</v>
      </c>
      <c r="H1219" s="13">
        <v>5.4</v>
      </c>
      <c r="I1219" s="13">
        <v>120.44</v>
      </c>
      <c r="J1219" s="24">
        <v>45875</v>
      </c>
      <c r="K1219" s="13">
        <v>34</v>
      </c>
      <c r="L1219" s="13">
        <v>2.5</v>
      </c>
      <c r="M1219" s="13" t="b">
        <v>0</v>
      </c>
      <c r="O1219" s="13">
        <f t="shared" ref="O1219:O1282" si="19">IF(L1219="",AVERAGEIFS($L$2:$L$2177,$B$2:$B$2177,B1219,$C$2:$C$2177,C1219),L1219)</f>
        <v>2.5</v>
      </c>
    </row>
    <row r="1220" spans="1:15" x14ac:dyDescent="0.25">
      <c r="A1220" s="13" t="s">
        <v>1232</v>
      </c>
      <c r="B1220" s="13" t="s">
        <v>2191</v>
      </c>
      <c r="C1220" s="13" t="s">
        <v>2201</v>
      </c>
      <c r="D1220" s="13" t="s">
        <v>2206</v>
      </c>
      <c r="F1220" s="13" t="s">
        <v>2214</v>
      </c>
      <c r="G1220" s="13">
        <v>35.74</v>
      </c>
      <c r="H1220" s="13">
        <v>0</v>
      </c>
      <c r="I1220" s="13">
        <v>35.74</v>
      </c>
      <c r="J1220" s="24">
        <v>45875</v>
      </c>
      <c r="K1220" s="13">
        <v>33</v>
      </c>
      <c r="M1220" s="13" t="b">
        <v>1</v>
      </c>
      <c r="N1220" s="13" t="s">
        <v>2225</v>
      </c>
      <c r="O1220" s="13">
        <f t="shared" si="19"/>
        <v>2.9846153846153847</v>
      </c>
    </row>
    <row r="1221" spans="1:15" x14ac:dyDescent="0.25">
      <c r="A1221" s="13" t="s">
        <v>1233</v>
      </c>
      <c r="B1221" s="13" t="s">
        <v>2192</v>
      </c>
      <c r="C1221" s="13" t="s">
        <v>2200</v>
      </c>
      <c r="D1221" s="13" t="s">
        <v>2207</v>
      </c>
      <c r="F1221" s="13" t="s">
        <v>2218</v>
      </c>
      <c r="G1221" s="13">
        <v>69.62</v>
      </c>
      <c r="H1221" s="13">
        <v>27.9</v>
      </c>
      <c r="I1221" s="13">
        <v>50.2</v>
      </c>
      <c r="J1221" s="24">
        <v>45875</v>
      </c>
      <c r="K1221" s="13">
        <v>5</v>
      </c>
      <c r="L1221" s="13">
        <v>1.1000000000000001</v>
      </c>
      <c r="M1221" s="13" t="b">
        <v>0</v>
      </c>
      <c r="O1221" s="13">
        <f t="shared" si="19"/>
        <v>1.1000000000000001</v>
      </c>
    </row>
    <row r="1222" spans="1:15" x14ac:dyDescent="0.25">
      <c r="A1222" s="13" t="s">
        <v>1234</v>
      </c>
      <c r="B1222" s="13" t="s">
        <v>2191</v>
      </c>
      <c r="C1222" s="13" t="s">
        <v>2196</v>
      </c>
      <c r="D1222" s="13" t="s">
        <v>2205</v>
      </c>
      <c r="E1222" s="13" t="s">
        <v>2211</v>
      </c>
      <c r="F1222" s="13" t="s">
        <v>2216</v>
      </c>
      <c r="G1222" s="13">
        <v>92.01</v>
      </c>
      <c r="H1222" s="13">
        <v>28.8</v>
      </c>
      <c r="I1222" s="13">
        <v>65.510000000000005</v>
      </c>
      <c r="J1222" s="24">
        <v>45875</v>
      </c>
      <c r="K1222" s="13">
        <v>37</v>
      </c>
      <c r="L1222" s="13">
        <v>1.9</v>
      </c>
      <c r="M1222" s="13" t="b">
        <v>0</v>
      </c>
      <c r="O1222" s="13">
        <f t="shared" si="19"/>
        <v>1.9</v>
      </c>
    </row>
    <row r="1223" spans="1:15" x14ac:dyDescent="0.25">
      <c r="A1223" s="13" t="s">
        <v>1235</v>
      </c>
      <c r="B1223" s="13" t="s">
        <v>2193</v>
      </c>
      <c r="C1223" s="13" t="s">
        <v>2199</v>
      </c>
      <c r="D1223" s="13" t="s">
        <v>2206</v>
      </c>
      <c r="E1223" s="13" t="s">
        <v>2213</v>
      </c>
      <c r="F1223" s="13" t="s">
        <v>2216</v>
      </c>
      <c r="G1223" s="13">
        <v>110.1</v>
      </c>
      <c r="H1223" s="13">
        <v>0</v>
      </c>
      <c r="I1223" s="13">
        <v>110.1</v>
      </c>
      <c r="J1223" s="24">
        <v>45875</v>
      </c>
      <c r="K1223" s="13">
        <v>13</v>
      </c>
      <c r="L1223" s="13">
        <v>3.6</v>
      </c>
      <c r="M1223" s="13" t="b">
        <v>1</v>
      </c>
      <c r="N1223" s="13" t="s">
        <v>2229</v>
      </c>
      <c r="O1223" s="13">
        <f t="shared" si="19"/>
        <v>3.6</v>
      </c>
    </row>
    <row r="1224" spans="1:15" x14ac:dyDescent="0.25">
      <c r="A1224" s="13" t="s">
        <v>1236</v>
      </c>
      <c r="B1224" s="13" t="s">
        <v>2194</v>
      </c>
      <c r="C1224" s="13" t="s">
        <v>2196</v>
      </c>
      <c r="D1224" s="13" t="s">
        <v>2206</v>
      </c>
      <c r="E1224" s="13" t="s">
        <v>2211</v>
      </c>
      <c r="F1224" s="13" t="s">
        <v>2214</v>
      </c>
      <c r="G1224" s="13">
        <v>109.05</v>
      </c>
      <c r="H1224" s="13">
        <v>0</v>
      </c>
      <c r="I1224" s="13">
        <v>109.05</v>
      </c>
      <c r="J1224" s="24">
        <v>45875</v>
      </c>
      <c r="K1224" s="13">
        <v>13</v>
      </c>
      <c r="L1224" s="13">
        <v>3.7</v>
      </c>
      <c r="M1224" s="13" t="b">
        <v>0</v>
      </c>
      <c r="O1224" s="13">
        <f t="shared" si="19"/>
        <v>3.7</v>
      </c>
    </row>
    <row r="1225" spans="1:15" x14ac:dyDescent="0.25">
      <c r="A1225" s="13" t="s">
        <v>1237</v>
      </c>
      <c r="B1225" s="13" t="s">
        <v>2192</v>
      </c>
      <c r="C1225" s="13" t="s">
        <v>2203</v>
      </c>
      <c r="D1225" s="13" t="s">
        <v>2205</v>
      </c>
      <c r="F1225" s="13" t="s">
        <v>2221</v>
      </c>
      <c r="G1225" s="13">
        <v>67.459999999999994</v>
      </c>
      <c r="H1225" s="13">
        <v>0</v>
      </c>
      <c r="I1225" s="13">
        <v>67.459999999999994</v>
      </c>
      <c r="J1225" s="24">
        <v>45875</v>
      </c>
      <c r="K1225" s="13">
        <v>28</v>
      </c>
      <c r="L1225" s="13">
        <v>1.4</v>
      </c>
      <c r="M1225" s="13" t="b">
        <v>0</v>
      </c>
      <c r="O1225" s="13">
        <f t="shared" si="19"/>
        <v>1.4</v>
      </c>
    </row>
    <row r="1226" spans="1:15" x14ac:dyDescent="0.25">
      <c r="A1226" s="13" t="s">
        <v>1238</v>
      </c>
      <c r="B1226" s="13" t="s">
        <v>2193</v>
      </c>
      <c r="C1226" s="13" t="s">
        <v>2201</v>
      </c>
      <c r="D1226" s="13" t="s">
        <v>2205</v>
      </c>
      <c r="E1226" s="13" t="s">
        <v>2213</v>
      </c>
      <c r="F1226" s="13" t="s">
        <v>2217</v>
      </c>
      <c r="G1226" s="13">
        <v>110.11</v>
      </c>
      <c r="H1226" s="13">
        <v>10.199999999999999</v>
      </c>
      <c r="I1226" s="13">
        <v>98.88</v>
      </c>
      <c r="J1226" s="24">
        <v>45875</v>
      </c>
      <c r="K1226" s="13">
        <v>47</v>
      </c>
      <c r="M1226" s="13" t="b">
        <v>0</v>
      </c>
      <c r="O1226" s="13">
        <f t="shared" si="19"/>
        <v>3.0068965517241386</v>
      </c>
    </row>
    <row r="1227" spans="1:15" x14ac:dyDescent="0.25">
      <c r="A1227" s="13" t="s">
        <v>1239</v>
      </c>
      <c r="B1227" s="13" t="s">
        <v>2193</v>
      </c>
      <c r="C1227" s="13" t="s">
        <v>2198</v>
      </c>
      <c r="D1227" s="13" t="s">
        <v>2207</v>
      </c>
      <c r="E1227" s="13" t="s">
        <v>2208</v>
      </c>
      <c r="F1227" s="13" t="s">
        <v>2217</v>
      </c>
      <c r="G1227" s="13">
        <v>162.5</v>
      </c>
      <c r="H1227" s="13">
        <v>0</v>
      </c>
      <c r="I1227" s="13">
        <v>162.5</v>
      </c>
      <c r="J1227" s="24">
        <v>45875</v>
      </c>
      <c r="K1227" s="13">
        <v>45</v>
      </c>
      <c r="M1227" s="13" t="b">
        <v>0</v>
      </c>
      <c r="O1227" s="13">
        <f t="shared" si="19"/>
        <v>3.1936170212765949</v>
      </c>
    </row>
    <row r="1228" spans="1:15" x14ac:dyDescent="0.25">
      <c r="A1228" s="13" t="s">
        <v>1240</v>
      </c>
      <c r="B1228" s="13" t="s">
        <v>2192</v>
      </c>
      <c r="C1228" s="13" t="s">
        <v>2197</v>
      </c>
      <c r="D1228" s="13" t="s">
        <v>2207</v>
      </c>
      <c r="F1228" s="13" t="s">
        <v>2216</v>
      </c>
      <c r="G1228" s="13">
        <v>23.8</v>
      </c>
      <c r="H1228" s="13">
        <v>8.3000000000000007</v>
      </c>
      <c r="I1228" s="13">
        <v>21.82</v>
      </c>
      <c r="J1228" s="24">
        <v>45875</v>
      </c>
      <c r="K1228" s="13">
        <v>0</v>
      </c>
      <c r="L1228" s="13">
        <v>3.5</v>
      </c>
      <c r="M1228" s="13" t="b">
        <v>0</v>
      </c>
      <c r="O1228" s="13">
        <f t="shared" si="19"/>
        <v>3.5</v>
      </c>
    </row>
    <row r="1229" spans="1:15" x14ac:dyDescent="0.25">
      <c r="A1229" s="13" t="s">
        <v>1241</v>
      </c>
      <c r="B1229" s="13" t="s">
        <v>2194</v>
      </c>
      <c r="C1229" s="13" t="s">
        <v>2198</v>
      </c>
      <c r="D1229" s="13" t="s">
        <v>2206</v>
      </c>
      <c r="E1229" s="13" t="s">
        <v>2212</v>
      </c>
      <c r="F1229" s="13" t="s">
        <v>2224</v>
      </c>
      <c r="G1229" s="13">
        <v>115.89</v>
      </c>
      <c r="H1229" s="13">
        <v>0</v>
      </c>
      <c r="I1229" s="13">
        <v>115.89</v>
      </c>
      <c r="J1229" s="24">
        <v>45875</v>
      </c>
      <c r="K1229" s="13">
        <v>34</v>
      </c>
      <c r="L1229" s="13">
        <v>2.9</v>
      </c>
      <c r="M1229" s="13" t="b">
        <v>0</v>
      </c>
      <c r="O1229" s="13">
        <f t="shared" si="19"/>
        <v>2.9</v>
      </c>
    </row>
    <row r="1230" spans="1:15" x14ac:dyDescent="0.25">
      <c r="A1230" s="13" t="s">
        <v>1242</v>
      </c>
      <c r="B1230" s="13" t="s">
        <v>2190</v>
      </c>
      <c r="C1230" s="13" t="s">
        <v>2200</v>
      </c>
      <c r="D1230" s="13" t="s">
        <v>2204</v>
      </c>
      <c r="E1230" s="13" t="s">
        <v>2213</v>
      </c>
      <c r="F1230" s="13" t="s">
        <v>2214</v>
      </c>
      <c r="G1230" s="13">
        <v>139.19999999999999</v>
      </c>
      <c r="H1230" s="13">
        <v>42.5</v>
      </c>
      <c r="I1230" s="13">
        <v>80.040000000000006</v>
      </c>
      <c r="J1230" s="24">
        <v>45567</v>
      </c>
      <c r="K1230" s="13">
        <v>27</v>
      </c>
      <c r="L1230" s="13">
        <v>2.9</v>
      </c>
      <c r="M1230" s="13" t="b">
        <v>0</v>
      </c>
      <c r="O1230" s="13">
        <f t="shared" si="19"/>
        <v>2.9</v>
      </c>
    </row>
    <row r="1231" spans="1:15" x14ac:dyDescent="0.25">
      <c r="A1231" s="13" t="s">
        <v>1243</v>
      </c>
      <c r="B1231" s="13" t="s">
        <v>2195</v>
      </c>
      <c r="C1231" s="13" t="s">
        <v>2203</v>
      </c>
      <c r="D1231" s="13" t="s">
        <v>2206</v>
      </c>
      <c r="E1231" s="13" t="s">
        <v>2210</v>
      </c>
      <c r="F1231" s="13" t="s">
        <v>2222</v>
      </c>
      <c r="G1231" s="13">
        <v>120.42</v>
      </c>
      <c r="H1231" s="13">
        <v>36.700000000000003</v>
      </c>
      <c r="I1231" s="13">
        <v>76.23</v>
      </c>
      <c r="J1231" s="24">
        <v>45875</v>
      </c>
      <c r="K1231" s="13">
        <v>46</v>
      </c>
      <c r="L1231" s="13">
        <v>2.4</v>
      </c>
      <c r="M1231" s="13" t="b">
        <v>0</v>
      </c>
      <c r="O1231" s="13">
        <f t="shared" si="19"/>
        <v>2.4</v>
      </c>
    </row>
    <row r="1232" spans="1:15" x14ac:dyDescent="0.25">
      <c r="A1232" s="13" t="s">
        <v>1244</v>
      </c>
      <c r="B1232" s="13" t="s">
        <v>2192</v>
      </c>
      <c r="C1232" s="13" t="s">
        <v>2198</v>
      </c>
      <c r="D1232" s="13" t="s">
        <v>2206</v>
      </c>
      <c r="F1232" s="13" t="s">
        <v>2221</v>
      </c>
      <c r="G1232" s="13">
        <v>72.81</v>
      </c>
      <c r="H1232" s="13">
        <v>0</v>
      </c>
      <c r="I1232" s="13">
        <v>72.81</v>
      </c>
      <c r="J1232" s="24">
        <v>45875</v>
      </c>
      <c r="K1232" s="13">
        <v>4</v>
      </c>
      <c r="L1232" s="13">
        <v>4.3</v>
      </c>
      <c r="M1232" s="13" t="b">
        <v>0</v>
      </c>
      <c r="O1232" s="13">
        <f t="shared" si="19"/>
        <v>4.3</v>
      </c>
    </row>
    <row r="1233" spans="1:15" x14ac:dyDescent="0.25">
      <c r="A1233" s="13" t="s">
        <v>1245</v>
      </c>
      <c r="B1233" s="13" t="s">
        <v>2192</v>
      </c>
      <c r="C1233" s="13" t="s">
        <v>2196</v>
      </c>
      <c r="D1233" s="13" t="s">
        <v>2204</v>
      </c>
      <c r="F1233" s="13" t="s">
        <v>2224</v>
      </c>
      <c r="G1233" s="13">
        <v>29.75</v>
      </c>
      <c r="H1233" s="13">
        <v>0</v>
      </c>
      <c r="I1233" s="13">
        <v>29.75</v>
      </c>
      <c r="J1233" s="24">
        <v>45695</v>
      </c>
      <c r="K1233" s="13">
        <v>37</v>
      </c>
      <c r="L1233" s="13">
        <v>3.9</v>
      </c>
      <c r="M1233" s="13" t="b">
        <v>0</v>
      </c>
      <c r="O1233" s="13">
        <f t="shared" si="19"/>
        <v>3.9</v>
      </c>
    </row>
    <row r="1234" spans="1:15" x14ac:dyDescent="0.25">
      <c r="A1234" s="13" t="s">
        <v>1246</v>
      </c>
      <c r="B1234" s="13" t="s">
        <v>2191</v>
      </c>
      <c r="C1234" s="13" t="s">
        <v>2202</v>
      </c>
      <c r="D1234" s="13" t="s">
        <v>2207</v>
      </c>
      <c r="E1234" s="13" t="s">
        <v>2208</v>
      </c>
      <c r="F1234" s="13" t="s">
        <v>2216</v>
      </c>
      <c r="G1234" s="13">
        <v>33.630000000000003</v>
      </c>
      <c r="H1234" s="13">
        <v>0</v>
      </c>
      <c r="I1234" s="13">
        <v>33.630000000000003</v>
      </c>
      <c r="J1234" s="24">
        <v>45875</v>
      </c>
      <c r="K1234" s="13">
        <v>13</v>
      </c>
      <c r="L1234" s="13">
        <v>4.7</v>
      </c>
      <c r="M1234" s="13" t="b">
        <v>0</v>
      </c>
      <c r="O1234" s="13">
        <f t="shared" si="19"/>
        <v>4.7</v>
      </c>
    </row>
    <row r="1235" spans="1:15" x14ac:dyDescent="0.25">
      <c r="A1235" s="13" t="s">
        <v>1247</v>
      </c>
      <c r="B1235" s="13" t="s">
        <v>2190</v>
      </c>
      <c r="C1235" s="13" t="s">
        <v>2198</v>
      </c>
      <c r="D1235" s="13" t="s">
        <v>2206</v>
      </c>
      <c r="E1235" s="13" t="s">
        <v>2210</v>
      </c>
      <c r="F1235" s="13" t="s">
        <v>2224</v>
      </c>
      <c r="G1235" s="13">
        <v>101.93</v>
      </c>
      <c r="H1235" s="13">
        <v>0</v>
      </c>
      <c r="I1235" s="13">
        <v>101.93</v>
      </c>
      <c r="J1235" s="24">
        <v>45875</v>
      </c>
      <c r="K1235" s="13">
        <v>31</v>
      </c>
      <c r="M1235" s="13" t="b">
        <v>0</v>
      </c>
      <c r="O1235" s="13">
        <f t="shared" si="19"/>
        <v>3.0177777777777774</v>
      </c>
    </row>
    <row r="1236" spans="1:15" x14ac:dyDescent="0.25">
      <c r="A1236" s="13" t="s">
        <v>1248</v>
      </c>
      <c r="B1236" s="13" t="s">
        <v>2192</v>
      </c>
      <c r="C1236" s="13" t="s">
        <v>2199</v>
      </c>
      <c r="D1236" s="13" t="s">
        <v>2205</v>
      </c>
      <c r="F1236" s="13" t="s">
        <v>2217</v>
      </c>
      <c r="G1236" s="13">
        <v>41.43</v>
      </c>
      <c r="H1236" s="13">
        <v>0</v>
      </c>
      <c r="I1236" s="13">
        <v>41.43</v>
      </c>
      <c r="J1236" s="24">
        <v>45875</v>
      </c>
      <c r="K1236" s="13">
        <v>10</v>
      </c>
      <c r="M1236" s="13" t="b">
        <v>0</v>
      </c>
      <c r="O1236" s="13">
        <f t="shared" si="19"/>
        <v>2.5131578947368416</v>
      </c>
    </row>
    <row r="1237" spans="1:15" x14ac:dyDescent="0.25">
      <c r="A1237" s="13" t="s">
        <v>1249</v>
      </c>
      <c r="B1237" s="13" t="s">
        <v>2190</v>
      </c>
      <c r="C1237" s="13" t="s">
        <v>2201</v>
      </c>
      <c r="D1237" s="13" t="s">
        <v>2204</v>
      </c>
      <c r="E1237" s="13" t="s">
        <v>2209</v>
      </c>
      <c r="F1237" s="13" t="s">
        <v>2220</v>
      </c>
      <c r="G1237" s="13">
        <v>126.14</v>
      </c>
      <c r="H1237" s="13">
        <v>0</v>
      </c>
      <c r="I1237" s="13">
        <v>126.14</v>
      </c>
      <c r="J1237" s="24">
        <v>45795</v>
      </c>
      <c r="K1237" s="13">
        <v>24</v>
      </c>
      <c r="L1237" s="13">
        <v>3.6</v>
      </c>
      <c r="M1237" s="13" t="b">
        <v>0</v>
      </c>
      <c r="O1237" s="13">
        <f t="shared" si="19"/>
        <v>3.6</v>
      </c>
    </row>
    <row r="1238" spans="1:15" x14ac:dyDescent="0.25">
      <c r="A1238" s="13" t="s">
        <v>1250</v>
      </c>
      <c r="B1238" s="13" t="s">
        <v>2194</v>
      </c>
      <c r="C1238" s="13" t="s">
        <v>2196</v>
      </c>
      <c r="D1238" s="13" t="s">
        <v>2204</v>
      </c>
      <c r="E1238" s="13" t="s">
        <v>2213</v>
      </c>
      <c r="F1238" s="13" t="s">
        <v>2223</v>
      </c>
      <c r="G1238" s="13">
        <v>96.76</v>
      </c>
      <c r="H1238" s="13">
        <v>0</v>
      </c>
      <c r="I1238" s="13">
        <v>96.76</v>
      </c>
      <c r="J1238" s="24">
        <v>45714</v>
      </c>
      <c r="K1238" s="13">
        <v>6</v>
      </c>
      <c r="M1238" s="13" t="b">
        <v>0</v>
      </c>
      <c r="O1238" s="13">
        <f t="shared" si="19"/>
        <v>2.9210526315789478</v>
      </c>
    </row>
    <row r="1239" spans="1:15" x14ac:dyDescent="0.25">
      <c r="A1239" s="13" t="s">
        <v>1251</v>
      </c>
      <c r="B1239" s="13" t="s">
        <v>2191</v>
      </c>
      <c r="C1239" s="13" t="s">
        <v>2199</v>
      </c>
      <c r="D1239" s="13" t="s">
        <v>2205</v>
      </c>
      <c r="E1239" s="13" t="s">
        <v>2212</v>
      </c>
      <c r="F1239" s="13" t="s">
        <v>2222</v>
      </c>
      <c r="G1239" s="13">
        <v>114.32</v>
      </c>
      <c r="H1239" s="13">
        <v>0</v>
      </c>
      <c r="I1239" s="13">
        <v>114.32</v>
      </c>
      <c r="J1239" s="24">
        <v>45875</v>
      </c>
      <c r="K1239" s="13">
        <v>27</v>
      </c>
      <c r="L1239" s="13">
        <v>5</v>
      </c>
      <c r="M1239" s="13" t="b">
        <v>0</v>
      </c>
      <c r="O1239" s="13">
        <f t="shared" si="19"/>
        <v>5</v>
      </c>
    </row>
    <row r="1240" spans="1:15" x14ac:dyDescent="0.25">
      <c r="A1240" s="13" t="s">
        <v>1252</v>
      </c>
      <c r="B1240" s="13" t="s">
        <v>2193</v>
      </c>
      <c r="C1240" s="13" t="s">
        <v>2200</v>
      </c>
      <c r="D1240" s="13" t="s">
        <v>2204</v>
      </c>
      <c r="E1240" s="13" t="s">
        <v>2210</v>
      </c>
      <c r="F1240" s="13" t="s">
        <v>2223</v>
      </c>
      <c r="G1240" s="13">
        <v>102.46</v>
      </c>
      <c r="H1240" s="13">
        <v>0</v>
      </c>
      <c r="I1240" s="13">
        <v>102.46</v>
      </c>
      <c r="J1240" s="24">
        <v>45643</v>
      </c>
      <c r="K1240" s="13">
        <v>20</v>
      </c>
      <c r="L1240" s="13">
        <v>3.7</v>
      </c>
      <c r="M1240" s="13" t="b">
        <v>1</v>
      </c>
      <c r="N1240" s="13" t="s">
        <v>2228</v>
      </c>
      <c r="O1240" s="13">
        <f t="shared" si="19"/>
        <v>3.7</v>
      </c>
    </row>
    <row r="1241" spans="1:15" x14ac:dyDescent="0.25">
      <c r="A1241" s="13" t="s">
        <v>1253</v>
      </c>
      <c r="B1241" s="13" t="s">
        <v>2194</v>
      </c>
      <c r="C1241" s="13" t="s">
        <v>2197</v>
      </c>
      <c r="D1241" s="13" t="s">
        <v>2207</v>
      </c>
      <c r="E1241" s="13" t="s">
        <v>2209</v>
      </c>
      <c r="F1241" s="13" t="s">
        <v>2215</v>
      </c>
      <c r="G1241" s="13">
        <v>95.7</v>
      </c>
      <c r="H1241" s="13">
        <v>15</v>
      </c>
      <c r="I1241" s="13">
        <v>81.34</v>
      </c>
      <c r="J1241" s="24">
        <v>45875</v>
      </c>
      <c r="K1241" s="13">
        <v>9</v>
      </c>
      <c r="L1241" s="13">
        <v>4.9000000000000004</v>
      </c>
      <c r="M1241" s="13" t="b">
        <v>0</v>
      </c>
      <c r="O1241" s="13">
        <f t="shared" si="19"/>
        <v>4.9000000000000004</v>
      </c>
    </row>
    <row r="1242" spans="1:15" x14ac:dyDescent="0.25">
      <c r="A1242" s="13" t="s">
        <v>1254</v>
      </c>
      <c r="B1242" s="13" t="s">
        <v>2194</v>
      </c>
      <c r="C1242" s="13" t="s">
        <v>2200</v>
      </c>
      <c r="D1242" s="13" t="s">
        <v>2205</v>
      </c>
      <c r="E1242" s="13" t="s">
        <v>2213</v>
      </c>
      <c r="F1242" s="13" t="s">
        <v>2219</v>
      </c>
      <c r="G1242" s="13">
        <v>55.49</v>
      </c>
      <c r="H1242" s="13">
        <v>0</v>
      </c>
      <c r="I1242" s="13">
        <v>55.49</v>
      </c>
      <c r="J1242" s="24">
        <v>45875</v>
      </c>
      <c r="K1242" s="13">
        <v>25</v>
      </c>
      <c r="L1242" s="13">
        <v>4.5999999999999996</v>
      </c>
      <c r="M1242" s="13" t="b">
        <v>0</v>
      </c>
      <c r="O1242" s="13">
        <f t="shared" si="19"/>
        <v>4.5999999999999996</v>
      </c>
    </row>
    <row r="1243" spans="1:15" x14ac:dyDescent="0.25">
      <c r="A1243" s="13" t="s">
        <v>1255</v>
      </c>
      <c r="B1243" s="13" t="s">
        <v>2192</v>
      </c>
      <c r="C1243" s="13" t="s">
        <v>2201</v>
      </c>
      <c r="D1243" s="13" t="s">
        <v>2205</v>
      </c>
      <c r="F1243" s="13" t="s">
        <v>2217</v>
      </c>
      <c r="G1243" s="13">
        <v>30.58</v>
      </c>
      <c r="H1243" s="13">
        <v>9.8000000000000007</v>
      </c>
      <c r="I1243" s="13">
        <v>27.58</v>
      </c>
      <c r="J1243" s="24">
        <v>45875</v>
      </c>
      <c r="K1243" s="13">
        <v>34</v>
      </c>
      <c r="L1243" s="13">
        <v>3.4</v>
      </c>
      <c r="M1243" s="13" t="b">
        <v>0</v>
      </c>
      <c r="O1243" s="13">
        <f t="shared" si="19"/>
        <v>3.4</v>
      </c>
    </row>
    <row r="1244" spans="1:15" x14ac:dyDescent="0.25">
      <c r="A1244" s="13" t="s">
        <v>1256</v>
      </c>
      <c r="B1244" s="13" t="s">
        <v>2194</v>
      </c>
      <c r="C1244" s="13" t="s">
        <v>2199</v>
      </c>
      <c r="D1244" s="13" t="s">
        <v>2206</v>
      </c>
      <c r="E1244" s="13" t="s">
        <v>2210</v>
      </c>
      <c r="F1244" s="13" t="s">
        <v>2214</v>
      </c>
      <c r="G1244" s="13">
        <v>116.58</v>
      </c>
      <c r="H1244" s="13">
        <v>0</v>
      </c>
      <c r="I1244" s="13">
        <v>116.58</v>
      </c>
      <c r="J1244" s="24">
        <v>45875</v>
      </c>
      <c r="K1244" s="13">
        <v>47</v>
      </c>
      <c r="L1244" s="13">
        <v>1.2</v>
      </c>
      <c r="M1244" s="13" t="b">
        <v>0</v>
      </c>
      <c r="O1244" s="13">
        <f t="shared" si="19"/>
        <v>1.2</v>
      </c>
    </row>
    <row r="1245" spans="1:15" x14ac:dyDescent="0.25">
      <c r="A1245" s="13" t="s">
        <v>1257</v>
      </c>
      <c r="B1245" s="13" t="s">
        <v>2195</v>
      </c>
      <c r="C1245" s="13" t="s">
        <v>2196</v>
      </c>
      <c r="D1245" s="13" t="s">
        <v>2205</v>
      </c>
      <c r="E1245" s="13" t="s">
        <v>2208</v>
      </c>
      <c r="F1245" s="13" t="s">
        <v>2222</v>
      </c>
      <c r="G1245" s="13">
        <v>79.180000000000007</v>
      </c>
      <c r="H1245" s="13">
        <v>21.1</v>
      </c>
      <c r="I1245" s="13">
        <v>62.47</v>
      </c>
      <c r="J1245" s="24">
        <v>45875</v>
      </c>
      <c r="K1245" s="13">
        <v>36</v>
      </c>
      <c r="L1245" s="13">
        <v>1.5</v>
      </c>
      <c r="M1245" s="13" t="b">
        <v>1</v>
      </c>
      <c r="N1245" s="13" t="s">
        <v>2229</v>
      </c>
      <c r="O1245" s="13">
        <f t="shared" si="19"/>
        <v>1.5</v>
      </c>
    </row>
    <row r="1246" spans="1:15" x14ac:dyDescent="0.25">
      <c r="A1246" s="13" t="s">
        <v>1258</v>
      </c>
      <c r="B1246" s="13" t="s">
        <v>2195</v>
      </c>
      <c r="C1246" s="13" t="s">
        <v>2203</v>
      </c>
      <c r="D1246" s="13" t="s">
        <v>2207</v>
      </c>
      <c r="F1246" s="13" t="s">
        <v>2222</v>
      </c>
      <c r="G1246" s="13">
        <v>88.71</v>
      </c>
      <c r="H1246" s="13">
        <v>0</v>
      </c>
      <c r="I1246" s="13">
        <v>88.71</v>
      </c>
      <c r="J1246" s="24">
        <v>45875</v>
      </c>
      <c r="K1246" s="13">
        <v>3</v>
      </c>
      <c r="L1246" s="13">
        <v>3.5</v>
      </c>
      <c r="M1246" s="13" t="b">
        <v>0</v>
      </c>
      <c r="O1246" s="13">
        <f t="shared" si="19"/>
        <v>3.5</v>
      </c>
    </row>
    <row r="1247" spans="1:15" x14ac:dyDescent="0.25">
      <c r="A1247" s="13" t="s">
        <v>1259</v>
      </c>
      <c r="B1247" s="13" t="s">
        <v>2195</v>
      </c>
      <c r="C1247" s="13" t="s">
        <v>2198</v>
      </c>
      <c r="D1247" s="13" t="s">
        <v>2204</v>
      </c>
      <c r="E1247" s="13" t="s">
        <v>2211</v>
      </c>
      <c r="F1247" s="13" t="s">
        <v>2223</v>
      </c>
      <c r="G1247" s="13">
        <v>150.58000000000001</v>
      </c>
      <c r="H1247" s="13">
        <v>0</v>
      </c>
      <c r="I1247" s="13">
        <v>150.58000000000001</v>
      </c>
      <c r="J1247" s="24">
        <v>45645</v>
      </c>
      <c r="K1247" s="13">
        <v>38</v>
      </c>
      <c r="L1247" s="13">
        <v>2.1</v>
      </c>
      <c r="M1247" s="13" t="b">
        <v>0</v>
      </c>
      <c r="O1247" s="13">
        <f t="shared" si="19"/>
        <v>2.1</v>
      </c>
    </row>
    <row r="1248" spans="1:15" x14ac:dyDescent="0.25">
      <c r="A1248" s="13" t="s">
        <v>1260</v>
      </c>
      <c r="B1248" s="13" t="s">
        <v>2195</v>
      </c>
      <c r="C1248" s="13" t="s">
        <v>2197</v>
      </c>
      <c r="D1248" s="13" t="s">
        <v>2207</v>
      </c>
      <c r="E1248" s="13" t="s">
        <v>2211</v>
      </c>
      <c r="F1248" s="13" t="s">
        <v>2217</v>
      </c>
      <c r="G1248" s="13">
        <v>179.9</v>
      </c>
      <c r="H1248" s="13">
        <v>9.3000000000000007</v>
      </c>
      <c r="I1248" s="13">
        <v>163.16999999999999</v>
      </c>
      <c r="J1248" s="24">
        <v>45875</v>
      </c>
      <c r="K1248" s="13">
        <v>34</v>
      </c>
      <c r="L1248" s="13">
        <v>2.1</v>
      </c>
      <c r="M1248" s="13" t="b">
        <v>0</v>
      </c>
      <c r="O1248" s="13">
        <f t="shared" si="19"/>
        <v>2.1</v>
      </c>
    </row>
    <row r="1249" spans="1:15" x14ac:dyDescent="0.25">
      <c r="A1249" s="13" t="s">
        <v>1261</v>
      </c>
      <c r="B1249" s="13" t="s">
        <v>2190</v>
      </c>
      <c r="C1249" s="13" t="s">
        <v>2203</v>
      </c>
      <c r="D1249" s="13" t="s">
        <v>2204</v>
      </c>
      <c r="E1249" s="13" t="s">
        <v>2208</v>
      </c>
      <c r="F1249" s="13" t="s">
        <v>2214</v>
      </c>
      <c r="G1249" s="13">
        <v>135.30000000000001</v>
      </c>
      <c r="H1249" s="13">
        <v>0</v>
      </c>
      <c r="I1249" s="13">
        <v>135.30000000000001</v>
      </c>
      <c r="J1249" s="24">
        <v>45704</v>
      </c>
      <c r="K1249" s="13">
        <v>19</v>
      </c>
      <c r="L1249" s="13">
        <v>4.5999999999999996</v>
      </c>
      <c r="M1249" s="13" t="b">
        <v>0</v>
      </c>
      <c r="O1249" s="13">
        <f t="shared" si="19"/>
        <v>4.5999999999999996</v>
      </c>
    </row>
    <row r="1250" spans="1:15" x14ac:dyDescent="0.25">
      <c r="A1250" s="13" t="s">
        <v>1262</v>
      </c>
      <c r="B1250" s="13" t="s">
        <v>2193</v>
      </c>
      <c r="C1250" s="13" t="s">
        <v>2197</v>
      </c>
      <c r="D1250" s="13" t="s">
        <v>2206</v>
      </c>
      <c r="E1250" s="13" t="s">
        <v>2211</v>
      </c>
      <c r="F1250" s="13" t="s">
        <v>2216</v>
      </c>
      <c r="G1250" s="13">
        <v>146.43</v>
      </c>
      <c r="H1250" s="13">
        <v>0</v>
      </c>
      <c r="I1250" s="13">
        <v>146.43</v>
      </c>
      <c r="J1250" s="24">
        <v>45875</v>
      </c>
      <c r="K1250" s="13">
        <v>7</v>
      </c>
      <c r="L1250" s="13">
        <v>2.5</v>
      </c>
      <c r="M1250" s="13" t="b">
        <v>0</v>
      </c>
      <c r="O1250" s="13">
        <f t="shared" si="19"/>
        <v>2.5</v>
      </c>
    </row>
    <row r="1251" spans="1:15" x14ac:dyDescent="0.25">
      <c r="A1251" s="13" t="s">
        <v>1263</v>
      </c>
      <c r="B1251" s="13" t="s">
        <v>2190</v>
      </c>
      <c r="C1251" s="13" t="s">
        <v>2203</v>
      </c>
      <c r="D1251" s="13" t="s">
        <v>2205</v>
      </c>
      <c r="E1251" s="13" t="s">
        <v>2213</v>
      </c>
      <c r="F1251" s="13" t="s">
        <v>2220</v>
      </c>
      <c r="G1251" s="13">
        <v>160.27000000000001</v>
      </c>
      <c r="H1251" s="13">
        <v>0</v>
      </c>
      <c r="I1251" s="13">
        <v>160.27000000000001</v>
      </c>
      <c r="J1251" s="24">
        <v>45875</v>
      </c>
      <c r="K1251" s="13">
        <v>11</v>
      </c>
      <c r="L1251" s="13">
        <v>2</v>
      </c>
      <c r="M1251" s="13" t="b">
        <v>0</v>
      </c>
      <c r="O1251" s="13">
        <f t="shared" si="19"/>
        <v>2</v>
      </c>
    </row>
    <row r="1252" spans="1:15" x14ac:dyDescent="0.25">
      <c r="A1252" s="13" t="s">
        <v>1264</v>
      </c>
      <c r="B1252" s="13" t="s">
        <v>2193</v>
      </c>
      <c r="C1252" s="13" t="s">
        <v>2199</v>
      </c>
      <c r="D1252" s="13" t="s">
        <v>2205</v>
      </c>
      <c r="E1252" s="13" t="s">
        <v>2213</v>
      </c>
      <c r="F1252" s="13" t="s">
        <v>2218</v>
      </c>
      <c r="G1252" s="13">
        <v>169.87</v>
      </c>
      <c r="H1252" s="13">
        <v>8.8000000000000007</v>
      </c>
      <c r="I1252" s="13">
        <v>154.91999999999999</v>
      </c>
      <c r="J1252" s="24">
        <v>45875</v>
      </c>
      <c r="K1252" s="13">
        <v>36</v>
      </c>
      <c r="L1252" s="13">
        <v>2.1</v>
      </c>
      <c r="M1252" s="13" t="b">
        <v>0</v>
      </c>
      <c r="O1252" s="13">
        <f t="shared" si="19"/>
        <v>2.1</v>
      </c>
    </row>
    <row r="1253" spans="1:15" x14ac:dyDescent="0.25">
      <c r="A1253" s="13" t="s">
        <v>1265</v>
      </c>
      <c r="B1253" s="13" t="s">
        <v>2193</v>
      </c>
      <c r="C1253" s="13" t="s">
        <v>2201</v>
      </c>
      <c r="D1253" s="13" t="s">
        <v>2207</v>
      </c>
      <c r="F1253" s="13" t="s">
        <v>2218</v>
      </c>
      <c r="G1253" s="13">
        <v>137.33000000000001</v>
      </c>
      <c r="H1253" s="13">
        <v>0</v>
      </c>
      <c r="I1253" s="13">
        <v>137.33000000000001</v>
      </c>
      <c r="J1253" s="24">
        <v>45875</v>
      </c>
      <c r="K1253" s="13">
        <v>35</v>
      </c>
      <c r="L1253" s="13">
        <v>4.5999999999999996</v>
      </c>
      <c r="M1253" s="13" t="b">
        <v>0</v>
      </c>
      <c r="O1253" s="13">
        <f t="shared" si="19"/>
        <v>4.5999999999999996</v>
      </c>
    </row>
    <row r="1254" spans="1:15" x14ac:dyDescent="0.25">
      <c r="A1254" s="13" t="s">
        <v>1266</v>
      </c>
      <c r="B1254" s="13" t="s">
        <v>2194</v>
      </c>
      <c r="C1254" s="13" t="s">
        <v>2203</v>
      </c>
      <c r="D1254" s="13" t="s">
        <v>2207</v>
      </c>
      <c r="E1254" s="13" t="s">
        <v>2211</v>
      </c>
      <c r="F1254" s="13" t="s">
        <v>2214</v>
      </c>
      <c r="G1254" s="13">
        <v>38.18</v>
      </c>
      <c r="H1254" s="13">
        <v>0</v>
      </c>
      <c r="I1254" s="13">
        <v>38.18</v>
      </c>
      <c r="J1254" s="24">
        <v>45875</v>
      </c>
      <c r="K1254" s="13">
        <v>38</v>
      </c>
      <c r="M1254" s="13" t="b">
        <v>0</v>
      </c>
      <c r="O1254" s="13">
        <f t="shared" si="19"/>
        <v>3.1021739130434773</v>
      </c>
    </row>
    <row r="1255" spans="1:15" x14ac:dyDescent="0.25">
      <c r="A1255" s="13" t="s">
        <v>1267</v>
      </c>
      <c r="B1255" s="13" t="s">
        <v>2191</v>
      </c>
      <c r="C1255" s="13" t="s">
        <v>2196</v>
      </c>
      <c r="D1255" s="13" t="s">
        <v>2207</v>
      </c>
      <c r="E1255" s="13" t="s">
        <v>2211</v>
      </c>
      <c r="F1255" s="13" t="s">
        <v>2219</v>
      </c>
      <c r="G1255" s="13">
        <v>40.619999999999997</v>
      </c>
      <c r="H1255" s="13">
        <v>20.100000000000001</v>
      </c>
      <c r="I1255" s="13">
        <v>32.46</v>
      </c>
      <c r="J1255" s="24">
        <v>45875</v>
      </c>
      <c r="K1255" s="13">
        <v>7</v>
      </c>
      <c r="M1255" s="13" t="b">
        <v>0</v>
      </c>
      <c r="O1255" s="13">
        <f t="shared" si="19"/>
        <v>2.9181818181818175</v>
      </c>
    </row>
    <row r="1256" spans="1:15" x14ac:dyDescent="0.25">
      <c r="A1256" s="13" t="s">
        <v>1268</v>
      </c>
      <c r="B1256" s="13" t="s">
        <v>2194</v>
      </c>
      <c r="C1256" s="13" t="s">
        <v>2200</v>
      </c>
      <c r="D1256" s="13" t="s">
        <v>2205</v>
      </c>
      <c r="E1256" s="13" t="s">
        <v>2212</v>
      </c>
      <c r="F1256" s="13" t="s">
        <v>2216</v>
      </c>
      <c r="G1256" s="13">
        <v>56.4</v>
      </c>
      <c r="H1256" s="13">
        <v>23.3</v>
      </c>
      <c r="I1256" s="13">
        <v>43.26</v>
      </c>
      <c r="J1256" s="24">
        <v>45875</v>
      </c>
      <c r="K1256" s="13">
        <v>35</v>
      </c>
      <c r="M1256" s="13" t="b">
        <v>0</v>
      </c>
      <c r="O1256" s="13">
        <f t="shared" si="19"/>
        <v>3.0659090909090896</v>
      </c>
    </row>
    <row r="1257" spans="1:15" x14ac:dyDescent="0.25">
      <c r="A1257" s="13" t="s">
        <v>1269</v>
      </c>
      <c r="B1257" s="13" t="s">
        <v>2192</v>
      </c>
      <c r="C1257" s="13" t="s">
        <v>2203</v>
      </c>
      <c r="D1257" s="13" t="s">
        <v>2207</v>
      </c>
      <c r="F1257" s="13" t="s">
        <v>2220</v>
      </c>
      <c r="G1257" s="13">
        <v>19.559999999999999</v>
      </c>
      <c r="H1257" s="13">
        <v>0</v>
      </c>
      <c r="I1257" s="13">
        <v>19.559999999999999</v>
      </c>
      <c r="J1257" s="24">
        <v>45875</v>
      </c>
      <c r="K1257" s="13">
        <v>13</v>
      </c>
      <c r="L1257" s="13">
        <v>3.1</v>
      </c>
      <c r="M1257" s="13" t="b">
        <v>0</v>
      </c>
      <c r="O1257" s="13">
        <f t="shared" si="19"/>
        <v>3.1</v>
      </c>
    </row>
    <row r="1258" spans="1:15" x14ac:dyDescent="0.25">
      <c r="A1258" s="13" t="s">
        <v>1270</v>
      </c>
      <c r="B1258" s="13" t="s">
        <v>2193</v>
      </c>
      <c r="C1258" s="13" t="s">
        <v>2200</v>
      </c>
      <c r="D1258" s="13" t="s">
        <v>2205</v>
      </c>
      <c r="E1258" s="13" t="s">
        <v>2209</v>
      </c>
      <c r="F1258" s="13" t="s">
        <v>2217</v>
      </c>
      <c r="G1258" s="13">
        <v>155.66</v>
      </c>
      <c r="H1258" s="13">
        <v>0</v>
      </c>
      <c r="I1258" s="13">
        <v>155.66</v>
      </c>
      <c r="J1258" s="24">
        <v>45875</v>
      </c>
      <c r="K1258" s="13">
        <v>3</v>
      </c>
      <c r="L1258" s="13">
        <v>4</v>
      </c>
      <c r="M1258" s="13" t="b">
        <v>0</v>
      </c>
      <c r="O1258" s="13">
        <f t="shared" si="19"/>
        <v>4</v>
      </c>
    </row>
    <row r="1259" spans="1:15" x14ac:dyDescent="0.25">
      <c r="A1259" s="13" t="s">
        <v>1271</v>
      </c>
      <c r="B1259" s="13" t="s">
        <v>2191</v>
      </c>
      <c r="C1259" s="13" t="s">
        <v>2196</v>
      </c>
      <c r="D1259" s="13" t="s">
        <v>2207</v>
      </c>
      <c r="E1259" s="13" t="s">
        <v>2210</v>
      </c>
      <c r="F1259" s="13" t="s">
        <v>2223</v>
      </c>
      <c r="G1259" s="13">
        <v>106.2</v>
      </c>
      <c r="H1259" s="13">
        <v>0</v>
      </c>
      <c r="I1259" s="13">
        <v>106.2</v>
      </c>
      <c r="J1259" s="24">
        <v>45875</v>
      </c>
      <c r="K1259" s="13">
        <v>10</v>
      </c>
      <c r="L1259" s="13">
        <v>1.1000000000000001</v>
      </c>
      <c r="M1259" s="13" t="b">
        <v>0</v>
      </c>
      <c r="O1259" s="13">
        <f t="shared" si="19"/>
        <v>1.1000000000000001</v>
      </c>
    </row>
    <row r="1260" spans="1:15" x14ac:dyDescent="0.25">
      <c r="A1260" s="13" t="s">
        <v>1272</v>
      </c>
      <c r="B1260" s="13" t="s">
        <v>2190</v>
      </c>
      <c r="C1260" s="13" t="s">
        <v>2201</v>
      </c>
      <c r="D1260" s="13" t="s">
        <v>2206</v>
      </c>
      <c r="E1260" s="13" t="s">
        <v>2211</v>
      </c>
      <c r="F1260" s="13" t="s">
        <v>2222</v>
      </c>
      <c r="G1260" s="13">
        <v>158.31</v>
      </c>
      <c r="H1260" s="13">
        <v>0</v>
      </c>
      <c r="I1260" s="13">
        <v>158.31</v>
      </c>
      <c r="J1260" s="24">
        <v>45875</v>
      </c>
      <c r="K1260" s="13">
        <v>7</v>
      </c>
      <c r="L1260" s="13">
        <v>5</v>
      </c>
      <c r="M1260" s="13" t="b">
        <v>0</v>
      </c>
      <c r="O1260" s="13">
        <f t="shared" si="19"/>
        <v>5</v>
      </c>
    </row>
    <row r="1261" spans="1:15" x14ac:dyDescent="0.25">
      <c r="A1261" s="13" t="s">
        <v>1273</v>
      </c>
      <c r="B1261" s="13" t="s">
        <v>2195</v>
      </c>
      <c r="C1261" s="13" t="s">
        <v>2199</v>
      </c>
      <c r="D1261" s="13" t="s">
        <v>2204</v>
      </c>
      <c r="E1261" s="13" t="s">
        <v>2208</v>
      </c>
      <c r="F1261" s="13" t="s">
        <v>2215</v>
      </c>
      <c r="G1261" s="13">
        <v>102.3</v>
      </c>
      <c r="H1261" s="13">
        <v>42.2</v>
      </c>
      <c r="I1261" s="13">
        <v>59.13</v>
      </c>
      <c r="J1261" s="24">
        <v>45807</v>
      </c>
      <c r="K1261" s="13">
        <v>43</v>
      </c>
      <c r="L1261" s="13">
        <v>1.3</v>
      </c>
      <c r="M1261" s="13" t="b">
        <v>0</v>
      </c>
      <c r="O1261" s="13">
        <f t="shared" si="19"/>
        <v>1.3</v>
      </c>
    </row>
    <row r="1262" spans="1:15" x14ac:dyDescent="0.25">
      <c r="A1262" s="13" t="s">
        <v>1274</v>
      </c>
      <c r="B1262" s="13" t="s">
        <v>2192</v>
      </c>
      <c r="C1262" s="13" t="s">
        <v>2202</v>
      </c>
      <c r="D1262" s="13" t="s">
        <v>2206</v>
      </c>
      <c r="F1262" s="13" t="s">
        <v>2222</v>
      </c>
      <c r="G1262" s="13">
        <v>53.46</v>
      </c>
      <c r="H1262" s="13">
        <v>58</v>
      </c>
      <c r="I1262" s="13">
        <v>22.45</v>
      </c>
      <c r="J1262" s="24">
        <v>45875</v>
      </c>
      <c r="K1262" s="13">
        <v>6</v>
      </c>
      <c r="L1262" s="13">
        <v>4.2</v>
      </c>
      <c r="M1262" s="13" t="b">
        <v>0</v>
      </c>
      <c r="O1262" s="13">
        <f t="shared" si="19"/>
        <v>4.2</v>
      </c>
    </row>
    <row r="1263" spans="1:15" x14ac:dyDescent="0.25">
      <c r="A1263" s="13" t="s">
        <v>1275</v>
      </c>
      <c r="B1263" s="13" t="s">
        <v>2195</v>
      </c>
      <c r="C1263" s="13" t="s">
        <v>2197</v>
      </c>
      <c r="D1263" s="13" t="s">
        <v>2207</v>
      </c>
      <c r="E1263" s="13" t="s">
        <v>2212</v>
      </c>
      <c r="F1263" s="13" t="s">
        <v>2219</v>
      </c>
      <c r="G1263" s="13">
        <v>101.78</v>
      </c>
      <c r="H1263" s="13">
        <v>22.9</v>
      </c>
      <c r="I1263" s="13">
        <v>78.47</v>
      </c>
      <c r="J1263" s="24">
        <v>45875</v>
      </c>
      <c r="K1263" s="13">
        <v>5</v>
      </c>
      <c r="L1263" s="13">
        <v>1.2</v>
      </c>
      <c r="M1263" s="13" t="b">
        <v>1</v>
      </c>
      <c r="N1263" s="13" t="s">
        <v>2227</v>
      </c>
      <c r="O1263" s="13">
        <f t="shared" si="19"/>
        <v>1.2</v>
      </c>
    </row>
    <row r="1264" spans="1:15" x14ac:dyDescent="0.25">
      <c r="A1264" s="13" t="s">
        <v>1276</v>
      </c>
      <c r="B1264" s="13" t="s">
        <v>2190</v>
      </c>
      <c r="C1264" s="13" t="s">
        <v>2198</v>
      </c>
      <c r="D1264" s="13" t="s">
        <v>2207</v>
      </c>
      <c r="E1264" s="13" t="s">
        <v>2213</v>
      </c>
      <c r="F1264" s="13" t="s">
        <v>2218</v>
      </c>
      <c r="G1264" s="13">
        <v>112.28</v>
      </c>
      <c r="H1264" s="13">
        <v>0</v>
      </c>
      <c r="I1264" s="13">
        <v>112.28</v>
      </c>
      <c r="J1264" s="24">
        <v>45875</v>
      </c>
      <c r="K1264" s="13">
        <v>41</v>
      </c>
      <c r="L1264" s="13">
        <v>4.0999999999999996</v>
      </c>
      <c r="M1264" s="13" t="b">
        <v>0</v>
      </c>
      <c r="O1264" s="13">
        <f t="shared" si="19"/>
        <v>4.0999999999999996</v>
      </c>
    </row>
    <row r="1265" spans="1:15" x14ac:dyDescent="0.25">
      <c r="A1265" s="13" t="s">
        <v>1277</v>
      </c>
      <c r="B1265" s="13" t="s">
        <v>2192</v>
      </c>
      <c r="C1265" s="13" t="s">
        <v>2198</v>
      </c>
      <c r="D1265" s="13" t="s">
        <v>2205</v>
      </c>
      <c r="F1265" s="13" t="s">
        <v>2215</v>
      </c>
      <c r="G1265" s="13">
        <v>47.51</v>
      </c>
      <c r="H1265" s="13">
        <v>0</v>
      </c>
      <c r="I1265" s="13">
        <v>47.51</v>
      </c>
      <c r="J1265" s="24">
        <v>45875</v>
      </c>
      <c r="K1265" s="13">
        <v>39</v>
      </c>
      <c r="L1265" s="13">
        <v>4.4000000000000004</v>
      </c>
      <c r="M1265" s="13" t="b">
        <v>0</v>
      </c>
      <c r="O1265" s="13">
        <f t="shared" si="19"/>
        <v>4.4000000000000004</v>
      </c>
    </row>
    <row r="1266" spans="1:15" x14ac:dyDescent="0.25">
      <c r="A1266" s="13" t="s">
        <v>1278</v>
      </c>
      <c r="B1266" s="13" t="s">
        <v>2191</v>
      </c>
      <c r="C1266" s="13" t="s">
        <v>2197</v>
      </c>
      <c r="D1266" s="13" t="s">
        <v>2205</v>
      </c>
      <c r="E1266" s="13" t="s">
        <v>2211</v>
      </c>
      <c r="F1266" s="13" t="s">
        <v>2221</v>
      </c>
      <c r="G1266" s="13">
        <v>80.39</v>
      </c>
      <c r="H1266" s="13">
        <v>0</v>
      </c>
      <c r="I1266" s="13">
        <v>80.39</v>
      </c>
      <c r="J1266" s="24">
        <v>45875</v>
      </c>
      <c r="K1266" s="13">
        <v>24</v>
      </c>
      <c r="M1266" s="13" t="b">
        <v>0</v>
      </c>
      <c r="O1266" s="13">
        <f t="shared" si="19"/>
        <v>3.34</v>
      </c>
    </row>
    <row r="1267" spans="1:15" x14ac:dyDescent="0.25">
      <c r="A1267" s="13" t="s">
        <v>1279</v>
      </c>
      <c r="B1267" s="13" t="s">
        <v>2194</v>
      </c>
      <c r="C1267" s="13" t="s">
        <v>2199</v>
      </c>
      <c r="D1267" s="13" t="s">
        <v>2205</v>
      </c>
      <c r="E1267" s="13" t="s">
        <v>2209</v>
      </c>
      <c r="F1267" s="13" t="s">
        <v>2214</v>
      </c>
      <c r="G1267" s="13">
        <v>64.75</v>
      </c>
      <c r="H1267" s="13">
        <v>26.4</v>
      </c>
      <c r="I1267" s="13">
        <v>47.66</v>
      </c>
      <c r="J1267" s="24">
        <v>45875</v>
      </c>
      <c r="K1267" s="13">
        <v>7</v>
      </c>
      <c r="L1267" s="13">
        <v>2.9</v>
      </c>
      <c r="M1267" s="13" t="b">
        <v>1</v>
      </c>
      <c r="N1267" s="13" t="s">
        <v>2230</v>
      </c>
      <c r="O1267" s="13">
        <f t="shared" si="19"/>
        <v>2.9</v>
      </c>
    </row>
    <row r="1268" spans="1:15" x14ac:dyDescent="0.25">
      <c r="A1268" s="13" t="s">
        <v>1280</v>
      </c>
      <c r="B1268" s="13" t="s">
        <v>2190</v>
      </c>
      <c r="C1268" s="13" t="s">
        <v>2196</v>
      </c>
      <c r="D1268" s="13" t="s">
        <v>2205</v>
      </c>
      <c r="E1268" s="13" t="s">
        <v>2209</v>
      </c>
      <c r="F1268" s="13" t="s">
        <v>2214</v>
      </c>
      <c r="G1268" s="13">
        <v>129.86000000000001</v>
      </c>
      <c r="H1268" s="13">
        <v>0</v>
      </c>
      <c r="I1268" s="13">
        <v>129.86000000000001</v>
      </c>
      <c r="J1268" s="24">
        <v>45875</v>
      </c>
      <c r="K1268" s="13">
        <v>41</v>
      </c>
      <c r="L1268" s="13">
        <v>1.7</v>
      </c>
      <c r="M1268" s="13" t="b">
        <v>0</v>
      </c>
      <c r="O1268" s="13">
        <f t="shared" si="19"/>
        <v>1.7</v>
      </c>
    </row>
    <row r="1269" spans="1:15" x14ac:dyDescent="0.25">
      <c r="A1269" s="13" t="s">
        <v>1281</v>
      </c>
      <c r="B1269" s="13" t="s">
        <v>2194</v>
      </c>
      <c r="C1269" s="13" t="s">
        <v>2198</v>
      </c>
      <c r="D1269" s="13" t="s">
        <v>2204</v>
      </c>
      <c r="E1269" s="13" t="s">
        <v>2209</v>
      </c>
      <c r="F1269" s="13" t="s">
        <v>2220</v>
      </c>
      <c r="G1269" s="13">
        <v>32.74</v>
      </c>
      <c r="H1269" s="13">
        <v>0</v>
      </c>
      <c r="I1269" s="13">
        <v>32.74</v>
      </c>
      <c r="J1269" s="24">
        <v>45516</v>
      </c>
      <c r="K1269" s="13">
        <v>23</v>
      </c>
      <c r="L1269" s="13">
        <v>4</v>
      </c>
      <c r="M1269" s="13" t="b">
        <v>1</v>
      </c>
      <c r="N1269" s="13" t="s">
        <v>2227</v>
      </c>
      <c r="O1269" s="13">
        <f t="shared" si="19"/>
        <v>4</v>
      </c>
    </row>
    <row r="1270" spans="1:15" x14ac:dyDescent="0.25">
      <c r="A1270" s="13" t="s">
        <v>1282</v>
      </c>
      <c r="B1270" s="13" t="s">
        <v>2194</v>
      </c>
      <c r="C1270" s="13" t="s">
        <v>2197</v>
      </c>
      <c r="D1270" s="13" t="s">
        <v>2204</v>
      </c>
      <c r="E1270" s="13" t="s">
        <v>2209</v>
      </c>
      <c r="F1270" s="13" t="s">
        <v>2219</v>
      </c>
      <c r="G1270" s="13">
        <v>79.27</v>
      </c>
      <c r="H1270" s="13">
        <v>0</v>
      </c>
      <c r="I1270" s="13">
        <v>79.27</v>
      </c>
      <c r="J1270" s="24">
        <v>45788</v>
      </c>
      <c r="K1270" s="13">
        <v>13</v>
      </c>
      <c r="L1270" s="13">
        <v>3.5</v>
      </c>
      <c r="M1270" s="13" t="b">
        <v>0</v>
      </c>
      <c r="O1270" s="13">
        <f t="shared" si="19"/>
        <v>3.5</v>
      </c>
    </row>
    <row r="1271" spans="1:15" x14ac:dyDescent="0.25">
      <c r="A1271" s="13" t="s">
        <v>1283</v>
      </c>
      <c r="B1271" s="13" t="s">
        <v>2191</v>
      </c>
      <c r="C1271" s="13" t="s">
        <v>2203</v>
      </c>
      <c r="D1271" s="13" t="s">
        <v>2204</v>
      </c>
      <c r="E1271" s="13" t="s">
        <v>2210</v>
      </c>
      <c r="F1271" s="13" t="s">
        <v>2221</v>
      </c>
      <c r="G1271" s="13">
        <v>119.38</v>
      </c>
      <c r="H1271" s="13">
        <v>0</v>
      </c>
      <c r="I1271" s="13">
        <v>119.38</v>
      </c>
      <c r="J1271" s="24">
        <v>45708</v>
      </c>
      <c r="K1271" s="13">
        <v>18</v>
      </c>
      <c r="L1271" s="13">
        <v>4.4000000000000004</v>
      </c>
      <c r="M1271" s="13" t="b">
        <v>0</v>
      </c>
      <c r="O1271" s="13">
        <f t="shared" si="19"/>
        <v>4.4000000000000004</v>
      </c>
    </row>
    <row r="1272" spans="1:15" x14ac:dyDescent="0.25">
      <c r="A1272" s="13" t="s">
        <v>1284</v>
      </c>
      <c r="B1272" s="13" t="s">
        <v>2195</v>
      </c>
      <c r="C1272" s="13" t="s">
        <v>2200</v>
      </c>
      <c r="D1272" s="13" t="s">
        <v>2205</v>
      </c>
      <c r="E1272" s="13" t="s">
        <v>2210</v>
      </c>
      <c r="F1272" s="13" t="s">
        <v>2217</v>
      </c>
      <c r="G1272" s="13">
        <v>66.17</v>
      </c>
      <c r="H1272" s="13">
        <v>0</v>
      </c>
      <c r="I1272" s="13">
        <v>66.17</v>
      </c>
      <c r="J1272" s="24">
        <v>45875</v>
      </c>
      <c r="K1272" s="13">
        <v>1</v>
      </c>
      <c r="M1272" s="13" t="b">
        <v>0</v>
      </c>
      <c r="O1272" s="13">
        <f t="shared" si="19"/>
        <v>3.1051282051282048</v>
      </c>
    </row>
    <row r="1273" spans="1:15" x14ac:dyDescent="0.25">
      <c r="A1273" s="13" t="s">
        <v>1285</v>
      </c>
      <c r="B1273" s="13" t="s">
        <v>2192</v>
      </c>
      <c r="C1273" s="13" t="s">
        <v>2200</v>
      </c>
      <c r="D1273" s="13" t="s">
        <v>2206</v>
      </c>
      <c r="F1273" s="13" t="s">
        <v>2223</v>
      </c>
      <c r="G1273" s="13">
        <v>68.3</v>
      </c>
      <c r="H1273" s="13">
        <v>8</v>
      </c>
      <c r="I1273" s="13">
        <v>62.84</v>
      </c>
      <c r="J1273" s="24">
        <v>45875</v>
      </c>
      <c r="K1273" s="13">
        <v>18</v>
      </c>
      <c r="L1273" s="13">
        <v>3.1</v>
      </c>
      <c r="M1273" s="13" t="b">
        <v>0</v>
      </c>
      <c r="O1273" s="13">
        <f t="shared" si="19"/>
        <v>3.1</v>
      </c>
    </row>
    <row r="1274" spans="1:15" x14ac:dyDescent="0.25">
      <c r="A1274" s="13" t="s">
        <v>1286</v>
      </c>
      <c r="B1274" s="13" t="s">
        <v>2190</v>
      </c>
      <c r="C1274" s="13" t="s">
        <v>2199</v>
      </c>
      <c r="D1274" s="13" t="s">
        <v>2206</v>
      </c>
      <c r="E1274" s="13" t="s">
        <v>2209</v>
      </c>
      <c r="F1274" s="13" t="s">
        <v>2223</v>
      </c>
      <c r="G1274" s="13">
        <v>209.66</v>
      </c>
      <c r="H1274" s="13">
        <v>0</v>
      </c>
      <c r="I1274" s="13">
        <v>209.66</v>
      </c>
      <c r="J1274" s="24">
        <v>45875</v>
      </c>
      <c r="K1274" s="13">
        <v>30</v>
      </c>
      <c r="L1274" s="13">
        <v>2.1</v>
      </c>
      <c r="M1274" s="13" t="b">
        <v>0</v>
      </c>
      <c r="O1274" s="13">
        <f t="shared" si="19"/>
        <v>2.1</v>
      </c>
    </row>
    <row r="1275" spans="1:15" x14ac:dyDescent="0.25">
      <c r="A1275" s="13" t="s">
        <v>1287</v>
      </c>
      <c r="B1275" s="13" t="s">
        <v>2193</v>
      </c>
      <c r="C1275" s="13" t="s">
        <v>2197</v>
      </c>
      <c r="D1275" s="13" t="s">
        <v>2207</v>
      </c>
      <c r="E1275" s="13" t="s">
        <v>2212</v>
      </c>
      <c r="F1275" s="13" t="s">
        <v>2219</v>
      </c>
      <c r="G1275" s="13">
        <v>154.82</v>
      </c>
      <c r="H1275" s="13">
        <v>0</v>
      </c>
      <c r="I1275" s="13">
        <v>154.82</v>
      </c>
      <c r="J1275" s="24">
        <v>45875</v>
      </c>
      <c r="K1275" s="13">
        <v>31</v>
      </c>
      <c r="M1275" s="13" t="b">
        <v>0</v>
      </c>
      <c r="O1275" s="13">
        <f t="shared" si="19"/>
        <v>2.8205128205128198</v>
      </c>
    </row>
    <row r="1276" spans="1:15" x14ac:dyDescent="0.25">
      <c r="A1276" s="13" t="s">
        <v>1288</v>
      </c>
      <c r="B1276" s="13" t="s">
        <v>2194</v>
      </c>
      <c r="C1276" s="13" t="s">
        <v>2200</v>
      </c>
      <c r="D1276" s="13" t="s">
        <v>2205</v>
      </c>
      <c r="E1276" s="13" t="s">
        <v>2210</v>
      </c>
      <c r="F1276" s="13" t="s">
        <v>2218</v>
      </c>
      <c r="G1276" s="13">
        <v>37.53</v>
      </c>
      <c r="H1276" s="13">
        <v>0</v>
      </c>
      <c r="I1276" s="13">
        <v>37.53</v>
      </c>
      <c r="J1276" s="24">
        <v>45875</v>
      </c>
      <c r="K1276" s="13">
        <v>8</v>
      </c>
      <c r="L1276" s="13">
        <v>3</v>
      </c>
      <c r="M1276" s="13" t="b">
        <v>1</v>
      </c>
      <c r="N1276" s="13" t="s">
        <v>2229</v>
      </c>
      <c r="O1276" s="13">
        <f t="shared" si="19"/>
        <v>3</v>
      </c>
    </row>
    <row r="1277" spans="1:15" x14ac:dyDescent="0.25">
      <c r="A1277" s="13" t="s">
        <v>1289</v>
      </c>
      <c r="B1277" s="13" t="s">
        <v>2193</v>
      </c>
      <c r="C1277" s="13" t="s">
        <v>2196</v>
      </c>
      <c r="D1277" s="13" t="s">
        <v>2207</v>
      </c>
      <c r="E1277" s="13" t="s">
        <v>2212</v>
      </c>
      <c r="F1277" s="13" t="s">
        <v>2216</v>
      </c>
      <c r="G1277" s="13">
        <v>140.28</v>
      </c>
      <c r="H1277" s="13">
        <v>0</v>
      </c>
      <c r="I1277" s="13">
        <v>140.28</v>
      </c>
      <c r="J1277" s="24">
        <v>45875</v>
      </c>
      <c r="K1277" s="13">
        <v>10</v>
      </c>
      <c r="L1277" s="13">
        <v>1.9</v>
      </c>
      <c r="M1277" s="13" t="b">
        <v>0</v>
      </c>
      <c r="O1277" s="13">
        <f t="shared" si="19"/>
        <v>1.9</v>
      </c>
    </row>
    <row r="1278" spans="1:15" x14ac:dyDescent="0.25">
      <c r="A1278" s="13" t="s">
        <v>1290</v>
      </c>
      <c r="B1278" s="13" t="s">
        <v>2193</v>
      </c>
      <c r="C1278" s="13" t="s">
        <v>2197</v>
      </c>
      <c r="D1278" s="13" t="s">
        <v>2207</v>
      </c>
      <c r="E1278" s="13" t="s">
        <v>2212</v>
      </c>
      <c r="F1278" s="13" t="s">
        <v>2217</v>
      </c>
      <c r="G1278" s="13">
        <v>171.07</v>
      </c>
      <c r="H1278" s="13">
        <v>0</v>
      </c>
      <c r="I1278" s="13">
        <v>171.07</v>
      </c>
      <c r="J1278" s="24">
        <v>45875</v>
      </c>
      <c r="K1278" s="13">
        <v>25</v>
      </c>
      <c r="L1278" s="13">
        <v>3</v>
      </c>
      <c r="M1278" s="13" t="b">
        <v>0</v>
      </c>
      <c r="O1278" s="13">
        <f t="shared" si="19"/>
        <v>3</v>
      </c>
    </row>
    <row r="1279" spans="1:15" x14ac:dyDescent="0.25">
      <c r="A1279" s="13" t="s">
        <v>1291</v>
      </c>
      <c r="B1279" s="13" t="s">
        <v>2191</v>
      </c>
      <c r="C1279" s="13" t="s">
        <v>2196</v>
      </c>
      <c r="D1279" s="13" t="s">
        <v>2207</v>
      </c>
      <c r="E1279" s="13" t="s">
        <v>2213</v>
      </c>
      <c r="F1279" s="13" t="s">
        <v>2223</v>
      </c>
      <c r="G1279" s="13">
        <v>77.87</v>
      </c>
      <c r="H1279" s="13">
        <v>0</v>
      </c>
      <c r="I1279" s="13">
        <v>77.87</v>
      </c>
      <c r="J1279" s="24">
        <v>45875</v>
      </c>
      <c r="K1279" s="13">
        <v>4</v>
      </c>
      <c r="L1279" s="13">
        <v>2.7</v>
      </c>
      <c r="M1279" s="13" t="b">
        <v>0</v>
      </c>
      <c r="O1279" s="13">
        <f t="shared" si="19"/>
        <v>2.7</v>
      </c>
    </row>
    <row r="1280" spans="1:15" x14ac:dyDescent="0.25">
      <c r="A1280" s="13" t="s">
        <v>1292</v>
      </c>
      <c r="B1280" s="13" t="s">
        <v>2191</v>
      </c>
      <c r="C1280" s="13" t="s">
        <v>2200</v>
      </c>
      <c r="D1280" s="13" t="s">
        <v>2204</v>
      </c>
      <c r="E1280" s="13" t="s">
        <v>2208</v>
      </c>
      <c r="F1280" s="13" t="s">
        <v>2222</v>
      </c>
      <c r="G1280" s="13">
        <v>80.540000000000006</v>
      </c>
      <c r="H1280" s="13">
        <v>0</v>
      </c>
      <c r="I1280" s="13">
        <v>80.540000000000006</v>
      </c>
      <c r="J1280" s="24">
        <v>45636</v>
      </c>
      <c r="K1280" s="13">
        <v>50</v>
      </c>
      <c r="L1280" s="13">
        <v>2.1</v>
      </c>
      <c r="M1280" s="13" t="b">
        <v>0</v>
      </c>
      <c r="O1280" s="13">
        <f t="shared" si="19"/>
        <v>2.1</v>
      </c>
    </row>
    <row r="1281" spans="1:15" x14ac:dyDescent="0.25">
      <c r="A1281" s="13" t="s">
        <v>1293</v>
      </c>
      <c r="B1281" s="13" t="s">
        <v>2194</v>
      </c>
      <c r="C1281" s="13" t="s">
        <v>2197</v>
      </c>
      <c r="D1281" s="13" t="s">
        <v>2207</v>
      </c>
      <c r="E1281" s="13" t="s">
        <v>2210</v>
      </c>
      <c r="F1281" s="13" t="s">
        <v>2217</v>
      </c>
      <c r="G1281" s="13">
        <v>48.68</v>
      </c>
      <c r="H1281" s="13">
        <v>41.7</v>
      </c>
      <c r="I1281" s="13">
        <v>28.38</v>
      </c>
      <c r="J1281" s="24">
        <v>45875</v>
      </c>
      <c r="K1281" s="13">
        <v>20</v>
      </c>
      <c r="L1281" s="13">
        <v>1.3</v>
      </c>
      <c r="M1281" s="13" t="b">
        <v>1</v>
      </c>
      <c r="N1281" s="13" t="s">
        <v>2227</v>
      </c>
      <c r="O1281" s="13">
        <f t="shared" si="19"/>
        <v>1.3</v>
      </c>
    </row>
    <row r="1282" spans="1:15" x14ac:dyDescent="0.25">
      <c r="A1282" s="13" t="s">
        <v>1294</v>
      </c>
      <c r="B1282" s="13" t="s">
        <v>2193</v>
      </c>
      <c r="C1282" s="13" t="s">
        <v>2201</v>
      </c>
      <c r="D1282" s="13" t="s">
        <v>2205</v>
      </c>
      <c r="E1282" s="13" t="s">
        <v>2212</v>
      </c>
      <c r="F1282" s="13" t="s">
        <v>2223</v>
      </c>
      <c r="G1282" s="13">
        <v>137.83000000000001</v>
      </c>
      <c r="H1282" s="13">
        <v>0</v>
      </c>
      <c r="I1282" s="13">
        <v>137.83000000000001</v>
      </c>
      <c r="J1282" s="24">
        <v>45875</v>
      </c>
      <c r="K1282" s="13">
        <v>32</v>
      </c>
      <c r="L1282" s="13">
        <v>3.4</v>
      </c>
      <c r="M1282" s="13" t="b">
        <v>1</v>
      </c>
      <c r="N1282" s="13" t="s">
        <v>2229</v>
      </c>
      <c r="O1282" s="13">
        <f t="shared" si="19"/>
        <v>3.4</v>
      </c>
    </row>
    <row r="1283" spans="1:15" x14ac:dyDescent="0.25">
      <c r="A1283" s="13" t="s">
        <v>1295</v>
      </c>
      <c r="B1283" s="13" t="s">
        <v>2194</v>
      </c>
      <c r="C1283" s="13" t="s">
        <v>2196</v>
      </c>
      <c r="D1283" s="13" t="s">
        <v>2206</v>
      </c>
      <c r="E1283" s="13" t="s">
        <v>2211</v>
      </c>
      <c r="F1283" s="13" t="s">
        <v>2224</v>
      </c>
      <c r="G1283" s="13">
        <v>96.88</v>
      </c>
      <c r="H1283" s="13">
        <v>44.8</v>
      </c>
      <c r="I1283" s="13">
        <v>53.48</v>
      </c>
      <c r="J1283" s="24">
        <v>45875</v>
      </c>
      <c r="K1283" s="13">
        <v>15</v>
      </c>
      <c r="L1283" s="13">
        <v>1.3</v>
      </c>
      <c r="M1283" s="13" t="b">
        <v>0</v>
      </c>
      <c r="O1283" s="13">
        <f t="shared" ref="O1283:O1346" si="20">IF(L1283="",AVERAGEIFS($L$2:$L$2177,$B$2:$B$2177,B1283,$C$2:$C$2177,C1283),L1283)</f>
        <v>1.3</v>
      </c>
    </row>
    <row r="1284" spans="1:15" x14ac:dyDescent="0.25">
      <c r="A1284" s="13" t="s">
        <v>1296</v>
      </c>
      <c r="B1284" s="13" t="s">
        <v>2191</v>
      </c>
      <c r="C1284" s="13" t="s">
        <v>2200</v>
      </c>
      <c r="D1284" s="13" t="s">
        <v>2204</v>
      </c>
      <c r="E1284" s="13" t="s">
        <v>2208</v>
      </c>
      <c r="F1284" s="13" t="s">
        <v>2219</v>
      </c>
      <c r="G1284" s="13">
        <v>46.44</v>
      </c>
      <c r="H1284" s="13">
        <v>36.799999999999997</v>
      </c>
      <c r="I1284" s="13">
        <v>29.35</v>
      </c>
      <c r="J1284" s="24">
        <v>45727</v>
      </c>
      <c r="K1284" s="13">
        <v>19</v>
      </c>
      <c r="L1284" s="13">
        <v>1.9</v>
      </c>
      <c r="M1284" s="13" t="b">
        <v>0</v>
      </c>
      <c r="O1284" s="13">
        <f t="shared" si="20"/>
        <v>1.9</v>
      </c>
    </row>
    <row r="1285" spans="1:15" x14ac:dyDescent="0.25">
      <c r="A1285" s="13" t="s">
        <v>1297</v>
      </c>
      <c r="B1285" s="13" t="s">
        <v>2194</v>
      </c>
      <c r="C1285" s="13" t="s">
        <v>2202</v>
      </c>
      <c r="D1285" s="13" t="s">
        <v>2205</v>
      </c>
      <c r="E1285" s="13" t="s">
        <v>2209</v>
      </c>
      <c r="F1285" s="13" t="s">
        <v>2224</v>
      </c>
      <c r="G1285" s="13">
        <v>86.4</v>
      </c>
      <c r="H1285" s="13">
        <v>0</v>
      </c>
      <c r="I1285" s="13">
        <v>86.4</v>
      </c>
      <c r="J1285" s="24">
        <v>45875</v>
      </c>
      <c r="K1285" s="13">
        <v>26</v>
      </c>
      <c r="L1285" s="13">
        <v>3.7</v>
      </c>
      <c r="M1285" s="13" t="b">
        <v>0</v>
      </c>
      <c r="O1285" s="13">
        <f t="shared" si="20"/>
        <v>3.7</v>
      </c>
    </row>
    <row r="1286" spans="1:15" x14ac:dyDescent="0.25">
      <c r="A1286" s="13" t="s">
        <v>1298</v>
      </c>
      <c r="B1286" s="13" t="s">
        <v>2194</v>
      </c>
      <c r="C1286" s="13" t="s">
        <v>2199</v>
      </c>
      <c r="D1286" s="13" t="s">
        <v>2206</v>
      </c>
      <c r="E1286" s="13" t="s">
        <v>2211</v>
      </c>
      <c r="F1286" s="13" t="s">
        <v>2220</v>
      </c>
      <c r="G1286" s="13">
        <v>113.83</v>
      </c>
      <c r="H1286" s="13">
        <v>51.6</v>
      </c>
      <c r="I1286" s="13">
        <v>55.09</v>
      </c>
      <c r="J1286" s="24">
        <v>45875</v>
      </c>
      <c r="K1286" s="13">
        <v>12</v>
      </c>
      <c r="L1286" s="13">
        <v>2.9</v>
      </c>
      <c r="M1286" s="13" t="b">
        <v>0</v>
      </c>
      <c r="O1286" s="13">
        <f t="shared" si="20"/>
        <v>2.9</v>
      </c>
    </row>
    <row r="1287" spans="1:15" x14ac:dyDescent="0.25">
      <c r="A1287" s="13" t="s">
        <v>1299</v>
      </c>
      <c r="B1287" s="13" t="s">
        <v>2194</v>
      </c>
      <c r="C1287" s="13" t="s">
        <v>2196</v>
      </c>
      <c r="D1287" s="13" t="s">
        <v>2207</v>
      </c>
      <c r="E1287" s="13" t="s">
        <v>2212</v>
      </c>
      <c r="F1287" s="13" t="s">
        <v>2223</v>
      </c>
      <c r="G1287" s="13">
        <v>64.680000000000007</v>
      </c>
      <c r="H1287" s="13">
        <v>42.9</v>
      </c>
      <c r="I1287" s="13">
        <v>36.93</v>
      </c>
      <c r="J1287" s="24">
        <v>45875</v>
      </c>
      <c r="K1287" s="13">
        <v>36</v>
      </c>
      <c r="M1287" s="13" t="b">
        <v>0</v>
      </c>
      <c r="O1287" s="13">
        <f t="shared" si="20"/>
        <v>2.9210526315789478</v>
      </c>
    </row>
    <row r="1288" spans="1:15" x14ac:dyDescent="0.25">
      <c r="A1288" s="13" t="s">
        <v>1300</v>
      </c>
      <c r="B1288" s="13" t="s">
        <v>2193</v>
      </c>
      <c r="C1288" s="13" t="s">
        <v>2203</v>
      </c>
      <c r="D1288" s="13" t="s">
        <v>2206</v>
      </c>
      <c r="F1288" s="13" t="s">
        <v>2221</v>
      </c>
      <c r="G1288" s="13">
        <v>123.23</v>
      </c>
      <c r="H1288" s="13">
        <v>0</v>
      </c>
      <c r="I1288" s="13">
        <v>123.23</v>
      </c>
      <c r="J1288" s="24">
        <v>45875</v>
      </c>
      <c r="K1288" s="13">
        <v>40</v>
      </c>
      <c r="L1288" s="13">
        <v>4.3</v>
      </c>
      <c r="M1288" s="13" t="b">
        <v>0</v>
      </c>
      <c r="O1288" s="13">
        <f t="shared" si="20"/>
        <v>4.3</v>
      </c>
    </row>
    <row r="1289" spans="1:15" x14ac:dyDescent="0.25">
      <c r="A1289" s="13" t="s">
        <v>1301</v>
      </c>
      <c r="B1289" s="13" t="s">
        <v>2192</v>
      </c>
      <c r="C1289" s="13" t="s">
        <v>2201</v>
      </c>
      <c r="D1289" s="13" t="s">
        <v>2205</v>
      </c>
      <c r="F1289" s="13" t="s">
        <v>2214</v>
      </c>
      <c r="G1289" s="13">
        <v>69.69</v>
      </c>
      <c r="H1289" s="13">
        <v>0</v>
      </c>
      <c r="I1289" s="13">
        <v>69.69</v>
      </c>
      <c r="J1289" s="24">
        <v>45875</v>
      </c>
      <c r="K1289" s="13">
        <v>35</v>
      </c>
      <c r="L1289" s="13">
        <v>3</v>
      </c>
      <c r="M1289" s="13" t="b">
        <v>0</v>
      </c>
      <c r="O1289" s="13">
        <f t="shared" si="20"/>
        <v>3</v>
      </c>
    </row>
    <row r="1290" spans="1:15" x14ac:dyDescent="0.25">
      <c r="A1290" s="13" t="s">
        <v>1302</v>
      </c>
      <c r="B1290" s="13" t="s">
        <v>2192</v>
      </c>
      <c r="C1290" s="13" t="s">
        <v>2198</v>
      </c>
      <c r="D1290" s="13" t="s">
        <v>2205</v>
      </c>
      <c r="F1290" s="13" t="s">
        <v>2220</v>
      </c>
      <c r="G1290" s="13">
        <v>46.15</v>
      </c>
      <c r="H1290" s="13">
        <v>24.4</v>
      </c>
      <c r="I1290" s="13">
        <v>34.89</v>
      </c>
      <c r="J1290" s="24">
        <v>45875</v>
      </c>
      <c r="K1290" s="13">
        <v>31</v>
      </c>
      <c r="L1290" s="13">
        <v>4.4000000000000004</v>
      </c>
      <c r="M1290" s="13" t="b">
        <v>1</v>
      </c>
      <c r="N1290" s="13" t="s">
        <v>2226</v>
      </c>
      <c r="O1290" s="13">
        <f t="shared" si="20"/>
        <v>4.4000000000000004</v>
      </c>
    </row>
    <row r="1291" spans="1:15" x14ac:dyDescent="0.25">
      <c r="A1291" s="13" t="s">
        <v>1303</v>
      </c>
      <c r="B1291" s="13" t="s">
        <v>2190</v>
      </c>
      <c r="C1291" s="13" t="s">
        <v>2200</v>
      </c>
      <c r="D1291" s="13" t="s">
        <v>2207</v>
      </c>
      <c r="E1291" s="13" t="s">
        <v>2212</v>
      </c>
      <c r="F1291" s="13" t="s">
        <v>2222</v>
      </c>
      <c r="G1291" s="13">
        <v>229.8</v>
      </c>
      <c r="H1291" s="13">
        <v>0</v>
      </c>
      <c r="I1291" s="13">
        <v>229.8</v>
      </c>
      <c r="J1291" s="24">
        <v>45875</v>
      </c>
      <c r="K1291" s="13">
        <v>46</v>
      </c>
      <c r="L1291" s="13">
        <v>3.6</v>
      </c>
      <c r="M1291" s="13" t="b">
        <v>0</v>
      </c>
      <c r="O1291" s="13">
        <f t="shared" si="20"/>
        <v>3.6</v>
      </c>
    </row>
    <row r="1292" spans="1:15" x14ac:dyDescent="0.25">
      <c r="A1292" s="13" t="s">
        <v>1304</v>
      </c>
      <c r="B1292" s="13" t="s">
        <v>2190</v>
      </c>
      <c r="C1292" s="13" t="s">
        <v>2197</v>
      </c>
      <c r="D1292" s="13" t="s">
        <v>2206</v>
      </c>
      <c r="E1292" s="13" t="s">
        <v>2212</v>
      </c>
      <c r="F1292" s="13" t="s">
        <v>2223</v>
      </c>
      <c r="G1292" s="13">
        <v>179.44</v>
      </c>
      <c r="H1292" s="13">
        <v>19.600000000000001</v>
      </c>
      <c r="I1292" s="13">
        <v>144.27000000000001</v>
      </c>
      <c r="J1292" s="24">
        <v>45875</v>
      </c>
      <c r="K1292" s="13">
        <v>42</v>
      </c>
      <c r="L1292" s="13">
        <v>3</v>
      </c>
      <c r="M1292" s="13" t="b">
        <v>0</v>
      </c>
      <c r="O1292" s="13">
        <f t="shared" si="20"/>
        <v>3</v>
      </c>
    </row>
    <row r="1293" spans="1:15" x14ac:dyDescent="0.25">
      <c r="A1293" s="13" t="s">
        <v>1305</v>
      </c>
      <c r="B1293" s="13" t="s">
        <v>2193</v>
      </c>
      <c r="C1293" s="13" t="s">
        <v>2198</v>
      </c>
      <c r="D1293" s="13" t="s">
        <v>2206</v>
      </c>
      <c r="E1293" s="13" t="s">
        <v>2209</v>
      </c>
      <c r="F1293" s="13" t="s">
        <v>2220</v>
      </c>
      <c r="G1293" s="13">
        <v>80.959999999999994</v>
      </c>
      <c r="H1293" s="13">
        <v>56.3</v>
      </c>
      <c r="I1293" s="13">
        <v>35.380000000000003</v>
      </c>
      <c r="J1293" s="24">
        <v>45875</v>
      </c>
      <c r="K1293" s="13">
        <v>41</v>
      </c>
      <c r="L1293" s="13">
        <v>2.2000000000000002</v>
      </c>
      <c r="M1293" s="13" t="b">
        <v>1</v>
      </c>
      <c r="N1293" s="13" t="s">
        <v>2229</v>
      </c>
      <c r="O1293" s="13">
        <f t="shared" si="20"/>
        <v>2.2000000000000002</v>
      </c>
    </row>
    <row r="1294" spans="1:15" x14ac:dyDescent="0.25">
      <c r="A1294" s="13" t="s">
        <v>1306</v>
      </c>
      <c r="B1294" s="13" t="s">
        <v>2194</v>
      </c>
      <c r="C1294" s="13" t="s">
        <v>2197</v>
      </c>
      <c r="D1294" s="13" t="s">
        <v>2206</v>
      </c>
      <c r="E1294" s="13" t="s">
        <v>2209</v>
      </c>
      <c r="F1294" s="13" t="s">
        <v>2220</v>
      </c>
      <c r="G1294" s="13">
        <v>62.3</v>
      </c>
      <c r="H1294" s="13">
        <v>19.2</v>
      </c>
      <c r="I1294" s="13">
        <v>50.34</v>
      </c>
      <c r="J1294" s="24">
        <v>45875</v>
      </c>
      <c r="K1294" s="13">
        <v>9</v>
      </c>
      <c r="L1294" s="13">
        <v>2.5</v>
      </c>
      <c r="M1294" s="13" t="b">
        <v>0</v>
      </c>
      <c r="O1294" s="13">
        <f t="shared" si="20"/>
        <v>2.5</v>
      </c>
    </row>
    <row r="1295" spans="1:15" x14ac:dyDescent="0.25">
      <c r="A1295" s="13" t="s">
        <v>1307</v>
      </c>
      <c r="B1295" s="13" t="s">
        <v>2192</v>
      </c>
      <c r="C1295" s="13" t="s">
        <v>2197</v>
      </c>
      <c r="D1295" s="13" t="s">
        <v>2206</v>
      </c>
      <c r="F1295" s="13" t="s">
        <v>2221</v>
      </c>
      <c r="G1295" s="13">
        <v>58.83</v>
      </c>
      <c r="H1295" s="13">
        <v>12.5</v>
      </c>
      <c r="I1295" s="13">
        <v>51.48</v>
      </c>
      <c r="J1295" s="24">
        <v>45875</v>
      </c>
      <c r="K1295" s="13">
        <v>3</v>
      </c>
      <c r="L1295" s="13">
        <v>1.5</v>
      </c>
      <c r="M1295" s="13" t="b">
        <v>0</v>
      </c>
      <c r="O1295" s="13">
        <f t="shared" si="20"/>
        <v>1.5</v>
      </c>
    </row>
    <row r="1296" spans="1:15" x14ac:dyDescent="0.25">
      <c r="A1296" s="13" t="s">
        <v>1308</v>
      </c>
      <c r="B1296" s="13" t="s">
        <v>2191</v>
      </c>
      <c r="C1296" s="13" t="s">
        <v>2200</v>
      </c>
      <c r="D1296" s="13" t="s">
        <v>2207</v>
      </c>
      <c r="E1296" s="13" t="s">
        <v>2211</v>
      </c>
      <c r="F1296" s="13" t="s">
        <v>2222</v>
      </c>
      <c r="G1296" s="13">
        <v>119.04</v>
      </c>
      <c r="H1296" s="13">
        <v>1.7</v>
      </c>
      <c r="I1296" s="13">
        <v>117.02</v>
      </c>
      <c r="J1296" s="24">
        <v>45875</v>
      </c>
      <c r="K1296" s="13">
        <v>34</v>
      </c>
      <c r="L1296" s="13">
        <v>4.0999999999999996</v>
      </c>
      <c r="M1296" s="13" t="b">
        <v>0</v>
      </c>
      <c r="O1296" s="13">
        <f t="shared" si="20"/>
        <v>4.0999999999999996</v>
      </c>
    </row>
    <row r="1297" spans="1:15" x14ac:dyDescent="0.25">
      <c r="A1297" s="13" t="s">
        <v>1309</v>
      </c>
      <c r="B1297" s="13" t="s">
        <v>2190</v>
      </c>
      <c r="C1297" s="13" t="s">
        <v>2196</v>
      </c>
      <c r="D1297" s="13" t="s">
        <v>2207</v>
      </c>
      <c r="E1297" s="13" t="s">
        <v>2210</v>
      </c>
      <c r="F1297" s="13" t="s">
        <v>2222</v>
      </c>
      <c r="G1297" s="13">
        <v>80.540000000000006</v>
      </c>
      <c r="H1297" s="13">
        <v>0</v>
      </c>
      <c r="I1297" s="13">
        <v>80.540000000000006</v>
      </c>
      <c r="J1297" s="24">
        <v>45875</v>
      </c>
      <c r="K1297" s="13">
        <v>3</v>
      </c>
      <c r="L1297" s="13">
        <v>1.8</v>
      </c>
      <c r="M1297" s="13" t="b">
        <v>1</v>
      </c>
      <c r="N1297" s="13" t="s">
        <v>2226</v>
      </c>
      <c r="O1297" s="13">
        <f t="shared" si="20"/>
        <v>1.8</v>
      </c>
    </row>
    <row r="1298" spans="1:15" x14ac:dyDescent="0.25">
      <c r="A1298" s="13" t="s">
        <v>1310</v>
      </c>
      <c r="B1298" s="13" t="s">
        <v>2194</v>
      </c>
      <c r="C1298" s="13" t="s">
        <v>2198</v>
      </c>
      <c r="D1298" s="13" t="s">
        <v>2205</v>
      </c>
      <c r="E1298" s="13" t="s">
        <v>2212</v>
      </c>
      <c r="F1298" s="13" t="s">
        <v>2216</v>
      </c>
      <c r="G1298" s="13">
        <v>47.32</v>
      </c>
      <c r="H1298" s="13">
        <v>25.7</v>
      </c>
      <c r="I1298" s="13">
        <v>35.159999999999997</v>
      </c>
      <c r="J1298" s="24">
        <v>45875</v>
      </c>
      <c r="K1298" s="13">
        <v>2</v>
      </c>
      <c r="L1298" s="13">
        <v>3.2</v>
      </c>
      <c r="M1298" s="13" t="b">
        <v>0</v>
      </c>
      <c r="O1298" s="13">
        <f t="shared" si="20"/>
        <v>3.2</v>
      </c>
    </row>
    <row r="1299" spans="1:15" x14ac:dyDescent="0.25">
      <c r="A1299" s="13" t="s">
        <v>1311</v>
      </c>
      <c r="B1299" s="13" t="s">
        <v>2193</v>
      </c>
      <c r="C1299" s="13" t="s">
        <v>2202</v>
      </c>
      <c r="D1299" s="13" t="s">
        <v>2205</v>
      </c>
      <c r="E1299" s="13" t="s">
        <v>2208</v>
      </c>
      <c r="F1299" s="13" t="s">
        <v>2215</v>
      </c>
      <c r="G1299" s="13">
        <v>104.57</v>
      </c>
      <c r="H1299" s="13">
        <v>27.4</v>
      </c>
      <c r="I1299" s="13">
        <v>75.92</v>
      </c>
      <c r="J1299" s="24">
        <v>45875</v>
      </c>
      <c r="K1299" s="13">
        <v>7</v>
      </c>
      <c r="L1299" s="13">
        <v>1</v>
      </c>
      <c r="M1299" s="13" t="b">
        <v>1</v>
      </c>
      <c r="N1299" s="13" t="s">
        <v>2228</v>
      </c>
      <c r="O1299" s="13">
        <f t="shared" si="20"/>
        <v>1</v>
      </c>
    </row>
    <row r="1300" spans="1:15" x14ac:dyDescent="0.25">
      <c r="A1300" s="13" t="s">
        <v>1312</v>
      </c>
      <c r="B1300" s="13" t="s">
        <v>2192</v>
      </c>
      <c r="C1300" s="13" t="s">
        <v>2196</v>
      </c>
      <c r="D1300" s="13" t="s">
        <v>2205</v>
      </c>
      <c r="F1300" s="13" t="s">
        <v>2219</v>
      </c>
      <c r="G1300" s="13">
        <v>38.369999999999997</v>
      </c>
      <c r="H1300" s="13">
        <v>23.3</v>
      </c>
      <c r="I1300" s="13">
        <v>29.43</v>
      </c>
      <c r="J1300" s="24">
        <v>45875</v>
      </c>
      <c r="K1300" s="13">
        <v>22</v>
      </c>
      <c r="L1300" s="13">
        <v>1.4</v>
      </c>
      <c r="M1300" s="13" t="b">
        <v>0</v>
      </c>
      <c r="O1300" s="13">
        <f t="shared" si="20"/>
        <v>1.4</v>
      </c>
    </row>
    <row r="1301" spans="1:15" x14ac:dyDescent="0.25">
      <c r="A1301" s="13" t="s">
        <v>1313</v>
      </c>
      <c r="B1301" s="13" t="s">
        <v>2190</v>
      </c>
      <c r="C1301" s="13" t="s">
        <v>2200</v>
      </c>
      <c r="D1301" s="13" t="s">
        <v>2205</v>
      </c>
      <c r="F1301" s="13" t="s">
        <v>2214</v>
      </c>
      <c r="G1301" s="13">
        <v>86.3</v>
      </c>
      <c r="H1301" s="13">
        <v>0</v>
      </c>
      <c r="I1301" s="13">
        <v>86.3</v>
      </c>
      <c r="J1301" s="24">
        <v>45875</v>
      </c>
      <c r="K1301" s="13">
        <v>33</v>
      </c>
      <c r="L1301" s="13">
        <v>3.9</v>
      </c>
      <c r="M1301" s="13" t="b">
        <v>0</v>
      </c>
      <c r="O1301" s="13">
        <f t="shared" si="20"/>
        <v>3.9</v>
      </c>
    </row>
    <row r="1302" spans="1:15" x14ac:dyDescent="0.25">
      <c r="A1302" s="13" t="s">
        <v>1314</v>
      </c>
      <c r="B1302" s="13" t="s">
        <v>2192</v>
      </c>
      <c r="C1302" s="13" t="s">
        <v>2199</v>
      </c>
      <c r="D1302" s="13" t="s">
        <v>2205</v>
      </c>
      <c r="F1302" s="13" t="s">
        <v>2223</v>
      </c>
      <c r="G1302" s="13">
        <v>64.89</v>
      </c>
      <c r="H1302" s="13">
        <v>4.2</v>
      </c>
      <c r="I1302" s="13">
        <v>62.16</v>
      </c>
      <c r="J1302" s="24">
        <v>45875</v>
      </c>
      <c r="K1302" s="13">
        <v>40</v>
      </c>
      <c r="L1302" s="13">
        <v>1.4</v>
      </c>
      <c r="M1302" s="13" t="b">
        <v>0</v>
      </c>
      <c r="O1302" s="13">
        <f t="shared" si="20"/>
        <v>1.4</v>
      </c>
    </row>
    <row r="1303" spans="1:15" x14ac:dyDescent="0.25">
      <c r="A1303" s="13" t="s">
        <v>1315</v>
      </c>
      <c r="B1303" s="13" t="s">
        <v>2192</v>
      </c>
      <c r="C1303" s="13" t="s">
        <v>2199</v>
      </c>
      <c r="D1303" s="13" t="s">
        <v>2206</v>
      </c>
      <c r="F1303" s="13" t="s">
        <v>2222</v>
      </c>
      <c r="G1303" s="13">
        <v>53.64</v>
      </c>
      <c r="H1303" s="13">
        <v>0</v>
      </c>
      <c r="I1303" s="13">
        <v>53.64</v>
      </c>
      <c r="J1303" s="24">
        <v>45875</v>
      </c>
      <c r="K1303" s="13">
        <v>18</v>
      </c>
      <c r="L1303" s="13">
        <v>2.2999999999999998</v>
      </c>
      <c r="M1303" s="13" t="b">
        <v>0</v>
      </c>
      <c r="O1303" s="13">
        <f t="shared" si="20"/>
        <v>2.2999999999999998</v>
      </c>
    </row>
    <row r="1304" spans="1:15" x14ac:dyDescent="0.25">
      <c r="A1304" s="13" t="s">
        <v>1316</v>
      </c>
      <c r="B1304" s="13" t="s">
        <v>2195</v>
      </c>
      <c r="C1304" s="13" t="s">
        <v>2199</v>
      </c>
      <c r="D1304" s="13" t="s">
        <v>2207</v>
      </c>
      <c r="E1304" s="13" t="s">
        <v>2211</v>
      </c>
      <c r="F1304" s="13" t="s">
        <v>2215</v>
      </c>
      <c r="G1304" s="13">
        <v>113.81</v>
      </c>
      <c r="H1304" s="13">
        <v>9.1999999999999993</v>
      </c>
      <c r="I1304" s="13">
        <v>103.34</v>
      </c>
      <c r="J1304" s="24">
        <v>45875</v>
      </c>
      <c r="K1304" s="13">
        <v>11</v>
      </c>
      <c r="L1304" s="13">
        <v>2.4</v>
      </c>
      <c r="M1304" s="13" t="b">
        <v>0</v>
      </c>
      <c r="O1304" s="13">
        <f t="shared" si="20"/>
        <v>2.4</v>
      </c>
    </row>
    <row r="1305" spans="1:15" x14ac:dyDescent="0.25">
      <c r="A1305" s="13" t="s">
        <v>1317</v>
      </c>
      <c r="B1305" s="13" t="s">
        <v>2191</v>
      </c>
      <c r="C1305" s="13" t="s">
        <v>2201</v>
      </c>
      <c r="D1305" s="13" t="s">
        <v>2207</v>
      </c>
      <c r="E1305" s="13" t="s">
        <v>2211</v>
      </c>
      <c r="F1305" s="13" t="s">
        <v>2221</v>
      </c>
      <c r="G1305" s="13">
        <v>40.119999999999997</v>
      </c>
      <c r="H1305" s="13">
        <v>27.7</v>
      </c>
      <c r="I1305" s="13">
        <v>29.01</v>
      </c>
      <c r="J1305" s="24">
        <v>45875</v>
      </c>
      <c r="K1305" s="13">
        <v>29</v>
      </c>
      <c r="L1305" s="13">
        <v>1.7</v>
      </c>
      <c r="M1305" s="13" t="b">
        <v>1</v>
      </c>
      <c r="N1305" s="13" t="s">
        <v>2226</v>
      </c>
      <c r="O1305" s="13">
        <f t="shared" si="20"/>
        <v>1.7</v>
      </c>
    </row>
    <row r="1306" spans="1:15" x14ac:dyDescent="0.25">
      <c r="A1306" s="13" t="s">
        <v>1318</v>
      </c>
      <c r="B1306" s="13" t="s">
        <v>2191</v>
      </c>
      <c r="C1306" s="13" t="s">
        <v>2202</v>
      </c>
      <c r="D1306" s="13" t="s">
        <v>2205</v>
      </c>
      <c r="E1306" s="13" t="s">
        <v>2213</v>
      </c>
      <c r="F1306" s="13" t="s">
        <v>2216</v>
      </c>
      <c r="G1306" s="13">
        <v>49.64</v>
      </c>
      <c r="H1306" s="13">
        <v>30.9</v>
      </c>
      <c r="I1306" s="13">
        <v>34.299999999999997</v>
      </c>
      <c r="J1306" s="24">
        <v>45875</v>
      </c>
      <c r="K1306" s="13">
        <v>21</v>
      </c>
      <c r="L1306" s="13">
        <v>2</v>
      </c>
      <c r="M1306" s="13" t="b">
        <v>0</v>
      </c>
      <c r="O1306" s="13">
        <f t="shared" si="20"/>
        <v>2</v>
      </c>
    </row>
    <row r="1307" spans="1:15" x14ac:dyDescent="0.25">
      <c r="A1307" s="13" t="s">
        <v>1319</v>
      </c>
      <c r="B1307" s="13" t="s">
        <v>2194</v>
      </c>
      <c r="C1307" s="13" t="s">
        <v>2203</v>
      </c>
      <c r="D1307" s="13" t="s">
        <v>2207</v>
      </c>
      <c r="E1307" s="13" t="s">
        <v>2209</v>
      </c>
      <c r="F1307" s="13" t="s">
        <v>2224</v>
      </c>
      <c r="G1307" s="13">
        <v>117.64</v>
      </c>
      <c r="H1307" s="13">
        <v>54.2</v>
      </c>
      <c r="I1307" s="13">
        <v>53.88</v>
      </c>
      <c r="J1307" s="24">
        <v>45875</v>
      </c>
      <c r="K1307" s="13">
        <v>25</v>
      </c>
      <c r="L1307" s="13">
        <v>4.5999999999999996</v>
      </c>
      <c r="M1307" s="13" t="b">
        <v>1</v>
      </c>
      <c r="N1307" s="13" t="s">
        <v>2230</v>
      </c>
      <c r="O1307" s="13">
        <f t="shared" si="20"/>
        <v>4.5999999999999996</v>
      </c>
    </row>
    <row r="1308" spans="1:15" x14ac:dyDescent="0.25">
      <c r="A1308" s="13" t="s">
        <v>1320</v>
      </c>
      <c r="B1308" s="13" t="s">
        <v>2192</v>
      </c>
      <c r="C1308" s="13" t="s">
        <v>2199</v>
      </c>
      <c r="D1308" s="13" t="s">
        <v>2207</v>
      </c>
      <c r="F1308" s="13" t="s">
        <v>2214</v>
      </c>
      <c r="G1308" s="13">
        <v>69.78</v>
      </c>
      <c r="H1308" s="13">
        <v>3.7</v>
      </c>
      <c r="I1308" s="13">
        <v>67.2</v>
      </c>
      <c r="J1308" s="24">
        <v>45875</v>
      </c>
      <c r="K1308" s="13">
        <v>14</v>
      </c>
      <c r="L1308" s="13">
        <v>3.2</v>
      </c>
      <c r="M1308" s="13" t="b">
        <v>0</v>
      </c>
      <c r="O1308" s="13">
        <f t="shared" si="20"/>
        <v>3.2</v>
      </c>
    </row>
    <row r="1309" spans="1:15" x14ac:dyDescent="0.25">
      <c r="A1309" s="13" t="s">
        <v>1321</v>
      </c>
      <c r="B1309" s="13" t="s">
        <v>2192</v>
      </c>
      <c r="C1309" s="13" t="s">
        <v>2203</v>
      </c>
      <c r="D1309" s="13" t="s">
        <v>2204</v>
      </c>
      <c r="F1309" s="13" t="s">
        <v>2217</v>
      </c>
      <c r="G1309" s="13">
        <v>29.91</v>
      </c>
      <c r="H1309" s="13">
        <v>18.399999999999999</v>
      </c>
      <c r="I1309" s="13">
        <v>24.41</v>
      </c>
      <c r="J1309" s="24">
        <v>45719</v>
      </c>
      <c r="K1309" s="13">
        <v>10</v>
      </c>
      <c r="L1309" s="13">
        <v>4.9000000000000004</v>
      </c>
      <c r="M1309" s="13" t="b">
        <v>0</v>
      </c>
      <c r="O1309" s="13">
        <f t="shared" si="20"/>
        <v>4.9000000000000004</v>
      </c>
    </row>
    <row r="1310" spans="1:15" x14ac:dyDescent="0.25">
      <c r="A1310" s="13" t="s">
        <v>1322</v>
      </c>
      <c r="B1310" s="13" t="s">
        <v>2193</v>
      </c>
      <c r="C1310" s="13" t="s">
        <v>2200</v>
      </c>
      <c r="D1310" s="13" t="s">
        <v>2206</v>
      </c>
      <c r="E1310" s="13" t="s">
        <v>2208</v>
      </c>
      <c r="F1310" s="13" t="s">
        <v>2216</v>
      </c>
      <c r="G1310" s="13">
        <v>187.11</v>
      </c>
      <c r="H1310" s="13">
        <v>43.3</v>
      </c>
      <c r="I1310" s="13">
        <v>106.09</v>
      </c>
      <c r="J1310" s="24">
        <v>45875</v>
      </c>
      <c r="K1310" s="13">
        <v>26</v>
      </c>
      <c r="L1310" s="13">
        <v>3</v>
      </c>
      <c r="M1310" s="13" t="b">
        <v>0</v>
      </c>
      <c r="O1310" s="13">
        <f t="shared" si="20"/>
        <v>3</v>
      </c>
    </row>
    <row r="1311" spans="1:15" x14ac:dyDescent="0.25">
      <c r="A1311" s="13" t="s">
        <v>1323</v>
      </c>
      <c r="B1311" s="13" t="s">
        <v>2192</v>
      </c>
      <c r="C1311" s="13" t="s">
        <v>2201</v>
      </c>
      <c r="D1311" s="13" t="s">
        <v>2207</v>
      </c>
      <c r="F1311" s="13" t="s">
        <v>2221</v>
      </c>
      <c r="G1311" s="13">
        <v>40.04</v>
      </c>
      <c r="H1311" s="13">
        <v>15.8</v>
      </c>
      <c r="I1311" s="13">
        <v>33.71</v>
      </c>
      <c r="J1311" s="24">
        <v>45875</v>
      </c>
      <c r="K1311" s="13">
        <v>31</v>
      </c>
      <c r="L1311" s="13">
        <v>1.8</v>
      </c>
      <c r="M1311" s="13" t="b">
        <v>0</v>
      </c>
      <c r="O1311" s="13">
        <f t="shared" si="20"/>
        <v>1.8</v>
      </c>
    </row>
    <row r="1312" spans="1:15" x14ac:dyDescent="0.25">
      <c r="A1312" s="13" t="s">
        <v>1324</v>
      </c>
      <c r="B1312" s="13" t="s">
        <v>2195</v>
      </c>
      <c r="C1312" s="13" t="s">
        <v>2199</v>
      </c>
      <c r="D1312" s="13" t="s">
        <v>2204</v>
      </c>
      <c r="E1312" s="13" t="s">
        <v>2212</v>
      </c>
      <c r="F1312" s="13" t="s">
        <v>2221</v>
      </c>
      <c r="G1312" s="13">
        <v>113.44</v>
      </c>
      <c r="H1312" s="13">
        <v>23.4</v>
      </c>
      <c r="I1312" s="13">
        <v>86.9</v>
      </c>
      <c r="J1312" s="24">
        <v>45723</v>
      </c>
      <c r="K1312" s="13">
        <v>1</v>
      </c>
      <c r="M1312" s="13" t="b">
        <v>0</v>
      </c>
      <c r="O1312" s="13">
        <f t="shared" si="20"/>
        <v>2.8372093023255811</v>
      </c>
    </row>
    <row r="1313" spans="1:15" x14ac:dyDescent="0.25">
      <c r="A1313" s="13" t="s">
        <v>1325</v>
      </c>
      <c r="B1313" s="13" t="s">
        <v>2194</v>
      </c>
      <c r="C1313" s="13" t="s">
        <v>2196</v>
      </c>
      <c r="D1313" s="13" t="s">
        <v>2204</v>
      </c>
      <c r="E1313" s="13" t="s">
        <v>2210</v>
      </c>
      <c r="F1313" s="13" t="s">
        <v>2218</v>
      </c>
      <c r="G1313" s="13">
        <v>119.84</v>
      </c>
      <c r="H1313" s="13">
        <v>0</v>
      </c>
      <c r="I1313" s="13">
        <v>119.84</v>
      </c>
      <c r="J1313" s="24">
        <v>45562</v>
      </c>
      <c r="K1313" s="13">
        <v>47</v>
      </c>
      <c r="L1313" s="13">
        <v>1.4</v>
      </c>
      <c r="M1313" s="13" t="b">
        <v>0</v>
      </c>
      <c r="O1313" s="13">
        <f t="shared" si="20"/>
        <v>1.4</v>
      </c>
    </row>
    <row r="1314" spans="1:15" x14ac:dyDescent="0.25">
      <c r="A1314" s="13" t="s">
        <v>1326</v>
      </c>
      <c r="B1314" s="13" t="s">
        <v>2193</v>
      </c>
      <c r="C1314" s="13" t="s">
        <v>2197</v>
      </c>
      <c r="D1314" s="13" t="s">
        <v>2206</v>
      </c>
      <c r="E1314" s="13" t="s">
        <v>2211</v>
      </c>
      <c r="F1314" s="13" t="s">
        <v>2224</v>
      </c>
      <c r="G1314" s="13">
        <v>167.27</v>
      </c>
      <c r="H1314" s="13">
        <v>0</v>
      </c>
      <c r="I1314" s="13">
        <v>167.27</v>
      </c>
      <c r="J1314" s="24">
        <v>45875</v>
      </c>
      <c r="K1314" s="13">
        <v>9</v>
      </c>
      <c r="L1314" s="13">
        <v>4</v>
      </c>
      <c r="M1314" s="13" t="b">
        <v>0</v>
      </c>
      <c r="O1314" s="13">
        <f t="shared" si="20"/>
        <v>4</v>
      </c>
    </row>
    <row r="1315" spans="1:15" x14ac:dyDescent="0.25">
      <c r="A1315" s="13" t="s">
        <v>1327</v>
      </c>
      <c r="B1315" s="13" t="s">
        <v>2195</v>
      </c>
      <c r="C1315" s="13" t="s">
        <v>2198</v>
      </c>
      <c r="D1315" s="13" t="s">
        <v>2204</v>
      </c>
      <c r="E1315" s="13" t="s">
        <v>2208</v>
      </c>
      <c r="F1315" s="13" t="s">
        <v>2219</v>
      </c>
      <c r="G1315" s="13">
        <v>148</v>
      </c>
      <c r="H1315" s="13">
        <v>1.1000000000000001</v>
      </c>
      <c r="I1315" s="13">
        <v>146.37</v>
      </c>
      <c r="J1315" s="24">
        <v>45711</v>
      </c>
      <c r="K1315" s="13">
        <v>43</v>
      </c>
      <c r="L1315" s="13">
        <v>2</v>
      </c>
      <c r="M1315" s="13" t="b">
        <v>0</v>
      </c>
      <c r="O1315" s="13">
        <f t="shared" si="20"/>
        <v>2</v>
      </c>
    </row>
    <row r="1316" spans="1:15" x14ac:dyDescent="0.25">
      <c r="A1316" s="13" t="s">
        <v>1328</v>
      </c>
      <c r="B1316" s="13" t="s">
        <v>2194</v>
      </c>
      <c r="C1316" s="13" t="s">
        <v>2200</v>
      </c>
      <c r="D1316" s="13" t="s">
        <v>2205</v>
      </c>
      <c r="E1316" s="13" t="s">
        <v>2211</v>
      </c>
      <c r="F1316" s="13" t="s">
        <v>2214</v>
      </c>
      <c r="G1316" s="13">
        <v>65.34</v>
      </c>
      <c r="H1316" s="13">
        <v>49.8</v>
      </c>
      <c r="I1316" s="13">
        <v>32.799999999999997</v>
      </c>
      <c r="J1316" s="24">
        <v>45875</v>
      </c>
      <c r="K1316" s="13">
        <v>9</v>
      </c>
      <c r="M1316" s="13" t="b">
        <v>0</v>
      </c>
      <c r="O1316" s="13">
        <f t="shared" si="20"/>
        <v>3.0659090909090896</v>
      </c>
    </row>
    <row r="1317" spans="1:15" x14ac:dyDescent="0.25">
      <c r="A1317" s="13" t="s">
        <v>1329</v>
      </c>
      <c r="B1317" s="13" t="s">
        <v>2193</v>
      </c>
      <c r="C1317" s="13" t="s">
        <v>2198</v>
      </c>
      <c r="D1317" s="13" t="s">
        <v>2204</v>
      </c>
      <c r="E1317" s="13" t="s">
        <v>2213</v>
      </c>
      <c r="F1317" s="13" t="s">
        <v>2220</v>
      </c>
      <c r="G1317" s="13">
        <v>84.57</v>
      </c>
      <c r="H1317" s="13">
        <v>5.4</v>
      </c>
      <c r="I1317" s="13">
        <v>80</v>
      </c>
      <c r="J1317" s="24">
        <v>45855</v>
      </c>
      <c r="K1317" s="13">
        <v>33</v>
      </c>
      <c r="M1317" s="13" t="b">
        <v>0</v>
      </c>
      <c r="O1317" s="13">
        <f t="shared" si="20"/>
        <v>3.1936170212765949</v>
      </c>
    </row>
    <row r="1318" spans="1:15" x14ac:dyDescent="0.25">
      <c r="A1318" s="13" t="s">
        <v>1330</v>
      </c>
      <c r="B1318" s="13" t="s">
        <v>2194</v>
      </c>
      <c r="C1318" s="13" t="s">
        <v>2202</v>
      </c>
      <c r="D1318" s="13" t="s">
        <v>2207</v>
      </c>
      <c r="E1318" s="13" t="s">
        <v>2212</v>
      </c>
      <c r="F1318" s="13" t="s">
        <v>2218</v>
      </c>
      <c r="G1318" s="13">
        <v>52.6</v>
      </c>
      <c r="H1318" s="13">
        <v>0</v>
      </c>
      <c r="I1318" s="13">
        <v>52.6</v>
      </c>
      <c r="J1318" s="24">
        <v>45875</v>
      </c>
      <c r="K1318" s="13">
        <v>35</v>
      </c>
      <c r="L1318" s="13">
        <v>1.2</v>
      </c>
      <c r="M1318" s="13" t="b">
        <v>1</v>
      </c>
      <c r="N1318" s="13" t="s">
        <v>2225</v>
      </c>
      <c r="O1318" s="13">
        <f t="shared" si="20"/>
        <v>1.2</v>
      </c>
    </row>
    <row r="1319" spans="1:15" x14ac:dyDescent="0.25">
      <c r="A1319" s="13" t="s">
        <v>1331</v>
      </c>
      <c r="B1319" s="13" t="s">
        <v>2193</v>
      </c>
      <c r="C1319" s="13" t="s">
        <v>2197</v>
      </c>
      <c r="D1319" s="13" t="s">
        <v>2207</v>
      </c>
      <c r="E1319" s="13" t="s">
        <v>2209</v>
      </c>
      <c r="F1319" s="13" t="s">
        <v>2220</v>
      </c>
      <c r="G1319" s="13">
        <v>106.37</v>
      </c>
      <c r="H1319" s="13">
        <v>0</v>
      </c>
      <c r="I1319" s="13">
        <v>106.37</v>
      </c>
      <c r="J1319" s="24">
        <v>45875</v>
      </c>
      <c r="K1319" s="13">
        <v>30</v>
      </c>
      <c r="L1319" s="13">
        <v>1.1000000000000001</v>
      </c>
      <c r="M1319" s="13" t="b">
        <v>0</v>
      </c>
      <c r="O1319" s="13">
        <f t="shared" si="20"/>
        <v>1.1000000000000001</v>
      </c>
    </row>
    <row r="1320" spans="1:15" x14ac:dyDescent="0.25">
      <c r="A1320" s="13" t="s">
        <v>1332</v>
      </c>
      <c r="B1320" s="13" t="s">
        <v>2191</v>
      </c>
      <c r="C1320" s="13" t="s">
        <v>2202</v>
      </c>
      <c r="D1320" s="13" t="s">
        <v>2207</v>
      </c>
      <c r="E1320" s="13" t="s">
        <v>2211</v>
      </c>
      <c r="F1320" s="13" t="s">
        <v>2216</v>
      </c>
      <c r="G1320" s="13">
        <v>96.77</v>
      </c>
      <c r="H1320" s="13">
        <v>40.4</v>
      </c>
      <c r="I1320" s="13">
        <v>57.67</v>
      </c>
      <c r="J1320" s="24">
        <v>45875</v>
      </c>
      <c r="K1320" s="13">
        <v>31</v>
      </c>
      <c r="L1320" s="13">
        <v>4.5</v>
      </c>
      <c r="M1320" s="13" t="b">
        <v>0</v>
      </c>
      <c r="O1320" s="13">
        <f t="shared" si="20"/>
        <v>4.5</v>
      </c>
    </row>
    <row r="1321" spans="1:15" x14ac:dyDescent="0.25">
      <c r="A1321" s="13" t="s">
        <v>1333</v>
      </c>
      <c r="B1321" s="13" t="s">
        <v>2190</v>
      </c>
      <c r="C1321" s="13" t="s">
        <v>2198</v>
      </c>
      <c r="D1321" s="13" t="s">
        <v>2204</v>
      </c>
      <c r="E1321" s="13" t="s">
        <v>2209</v>
      </c>
      <c r="F1321" s="13" t="s">
        <v>2224</v>
      </c>
      <c r="G1321" s="13">
        <v>99.02</v>
      </c>
      <c r="H1321" s="13">
        <v>0</v>
      </c>
      <c r="I1321" s="13">
        <v>99.02</v>
      </c>
      <c r="J1321" s="24">
        <v>45581</v>
      </c>
      <c r="K1321" s="13">
        <v>21</v>
      </c>
      <c r="L1321" s="13">
        <v>1.2</v>
      </c>
      <c r="M1321" s="13" t="b">
        <v>0</v>
      </c>
      <c r="O1321" s="13">
        <f t="shared" si="20"/>
        <v>1.2</v>
      </c>
    </row>
    <row r="1322" spans="1:15" x14ac:dyDescent="0.25">
      <c r="A1322" s="13" t="s">
        <v>1334</v>
      </c>
      <c r="B1322" s="13" t="s">
        <v>2192</v>
      </c>
      <c r="C1322" s="13" t="s">
        <v>2196</v>
      </c>
      <c r="D1322" s="13" t="s">
        <v>2204</v>
      </c>
      <c r="F1322" s="13" t="s">
        <v>2223</v>
      </c>
      <c r="G1322" s="13">
        <v>68.89</v>
      </c>
      <c r="H1322" s="13">
        <v>36.9</v>
      </c>
      <c r="I1322" s="13">
        <v>43.47</v>
      </c>
      <c r="J1322" s="24">
        <v>45631</v>
      </c>
      <c r="K1322" s="13">
        <v>9</v>
      </c>
      <c r="L1322" s="13">
        <v>1.8</v>
      </c>
      <c r="M1322" s="13" t="b">
        <v>0</v>
      </c>
      <c r="O1322" s="13">
        <f t="shared" si="20"/>
        <v>1.8</v>
      </c>
    </row>
    <row r="1323" spans="1:15" x14ac:dyDescent="0.25">
      <c r="A1323" s="13" t="s">
        <v>1335</v>
      </c>
      <c r="B1323" s="13" t="s">
        <v>2195</v>
      </c>
      <c r="C1323" s="13" t="s">
        <v>2200</v>
      </c>
      <c r="D1323" s="13" t="s">
        <v>2204</v>
      </c>
      <c r="E1323" s="13" t="s">
        <v>2210</v>
      </c>
      <c r="F1323" s="13" t="s">
        <v>2215</v>
      </c>
      <c r="G1323" s="13">
        <v>63.91</v>
      </c>
      <c r="H1323" s="13">
        <v>3.5</v>
      </c>
      <c r="I1323" s="13">
        <v>61.67</v>
      </c>
      <c r="J1323" s="24">
        <v>45796</v>
      </c>
      <c r="K1323" s="13">
        <v>14</v>
      </c>
      <c r="L1323" s="13">
        <v>2.1</v>
      </c>
      <c r="M1323" s="13" t="b">
        <v>0</v>
      </c>
      <c r="O1323" s="13">
        <f t="shared" si="20"/>
        <v>2.1</v>
      </c>
    </row>
    <row r="1324" spans="1:15" x14ac:dyDescent="0.25">
      <c r="A1324" s="13" t="s">
        <v>1336</v>
      </c>
      <c r="B1324" s="13" t="s">
        <v>2193</v>
      </c>
      <c r="C1324" s="13" t="s">
        <v>2199</v>
      </c>
      <c r="D1324" s="13" t="s">
        <v>2206</v>
      </c>
      <c r="E1324" s="13" t="s">
        <v>2210</v>
      </c>
      <c r="F1324" s="13" t="s">
        <v>2222</v>
      </c>
      <c r="G1324" s="13">
        <v>116.38</v>
      </c>
      <c r="H1324" s="13">
        <v>11.4</v>
      </c>
      <c r="I1324" s="13">
        <v>103.11</v>
      </c>
      <c r="J1324" s="24">
        <v>45875</v>
      </c>
      <c r="K1324" s="13">
        <v>15</v>
      </c>
      <c r="M1324" s="13" t="b">
        <v>0</v>
      </c>
      <c r="O1324" s="13">
        <f t="shared" si="20"/>
        <v>2.9804347826086954</v>
      </c>
    </row>
    <row r="1325" spans="1:15" x14ac:dyDescent="0.25">
      <c r="A1325" s="13" t="s">
        <v>1337</v>
      </c>
      <c r="B1325" s="13" t="s">
        <v>2194</v>
      </c>
      <c r="C1325" s="13" t="s">
        <v>2197</v>
      </c>
      <c r="D1325" s="13" t="s">
        <v>2206</v>
      </c>
      <c r="E1325" s="13" t="s">
        <v>2212</v>
      </c>
      <c r="F1325" s="13" t="s">
        <v>2220</v>
      </c>
      <c r="G1325" s="13">
        <v>71.739999999999995</v>
      </c>
      <c r="H1325" s="13">
        <v>0</v>
      </c>
      <c r="I1325" s="13">
        <v>71.739999999999995</v>
      </c>
      <c r="J1325" s="24">
        <v>45875</v>
      </c>
      <c r="K1325" s="13">
        <v>16</v>
      </c>
      <c r="M1325" s="13" t="b">
        <v>0</v>
      </c>
      <c r="O1325" s="13">
        <f t="shared" si="20"/>
        <v>3.0846153846153843</v>
      </c>
    </row>
    <row r="1326" spans="1:15" x14ac:dyDescent="0.25">
      <c r="A1326" s="13" t="s">
        <v>1338</v>
      </c>
      <c r="B1326" s="13" t="s">
        <v>2194</v>
      </c>
      <c r="C1326" s="13" t="s">
        <v>2203</v>
      </c>
      <c r="D1326" s="13" t="s">
        <v>2205</v>
      </c>
      <c r="E1326" s="13" t="s">
        <v>2213</v>
      </c>
      <c r="F1326" s="13" t="s">
        <v>2221</v>
      </c>
      <c r="G1326" s="13">
        <v>91.11</v>
      </c>
      <c r="H1326" s="13">
        <v>0</v>
      </c>
      <c r="I1326" s="13">
        <v>91.11</v>
      </c>
      <c r="J1326" s="24">
        <v>45875</v>
      </c>
      <c r="K1326" s="13">
        <v>38</v>
      </c>
      <c r="L1326" s="13">
        <v>3.3</v>
      </c>
      <c r="M1326" s="13" t="b">
        <v>0</v>
      </c>
      <c r="O1326" s="13">
        <f t="shared" si="20"/>
        <v>3.3</v>
      </c>
    </row>
    <row r="1327" spans="1:15" x14ac:dyDescent="0.25">
      <c r="A1327" s="13" t="s">
        <v>1339</v>
      </c>
      <c r="B1327" s="13" t="s">
        <v>2192</v>
      </c>
      <c r="C1327" s="13" t="s">
        <v>2196</v>
      </c>
      <c r="D1327" s="13" t="s">
        <v>2207</v>
      </c>
      <c r="F1327" s="13" t="s">
        <v>2217</v>
      </c>
      <c r="G1327" s="13">
        <v>46.07</v>
      </c>
      <c r="H1327" s="13">
        <v>0</v>
      </c>
      <c r="I1327" s="13">
        <v>46.07</v>
      </c>
      <c r="J1327" s="24">
        <v>45875</v>
      </c>
      <c r="K1327" s="13">
        <v>25</v>
      </c>
      <c r="L1327" s="13">
        <v>2.5</v>
      </c>
      <c r="M1327" s="13" t="b">
        <v>0</v>
      </c>
      <c r="O1327" s="13">
        <f t="shared" si="20"/>
        <v>2.5</v>
      </c>
    </row>
    <row r="1328" spans="1:15" x14ac:dyDescent="0.25">
      <c r="A1328" s="13" t="s">
        <v>1340</v>
      </c>
      <c r="B1328" s="13" t="s">
        <v>2195</v>
      </c>
      <c r="C1328" s="13" t="s">
        <v>2199</v>
      </c>
      <c r="D1328" s="13" t="s">
        <v>2206</v>
      </c>
      <c r="E1328" s="13" t="s">
        <v>2210</v>
      </c>
      <c r="F1328" s="13" t="s">
        <v>2220</v>
      </c>
      <c r="G1328" s="13">
        <v>156.27000000000001</v>
      </c>
      <c r="H1328" s="13">
        <v>0</v>
      </c>
      <c r="I1328" s="13">
        <v>156.27000000000001</v>
      </c>
      <c r="J1328" s="24">
        <v>45875</v>
      </c>
      <c r="K1328" s="13">
        <v>43</v>
      </c>
      <c r="M1328" s="13" t="b">
        <v>0</v>
      </c>
      <c r="O1328" s="13">
        <f t="shared" si="20"/>
        <v>2.8372093023255811</v>
      </c>
    </row>
    <row r="1329" spans="1:15" x14ac:dyDescent="0.25">
      <c r="A1329" s="13" t="s">
        <v>1341</v>
      </c>
      <c r="B1329" s="13" t="s">
        <v>2191</v>
      </c>
      <c r="C1329" s="13" t="s">
        <v>2199</v>
      </c>
      <c r="D1329" s="13" t="s">
        <v>2206</v>
      </c>
      <c r="E1329" s="13" t="s">
        <v>2212</v>
      </c>
      <c r="F1329" s="13" t="s">
        <v>2215</v>
      </c>
      <c r="G1329" s="13">
        <v>56.35</v>
      </c>
      <c r="H1329" s="13">
        <v>0</v>
      </c>
      <c r="I1329" s="13">
        <v>56.35</v>
      </c>
      <c r="J1329" s="24">
        <v>45875</v>
      </c>
      <c r="K1329" s="13">
        <v>31</v>
      </c>
      <c r="L1329" s="13">
        <v>1.5</v>
      </c>
      <c r="M1329" s="13" t="b">
        <v>0</v>
      </c>
      <c r="O1329" s="13">
        <f t="shared" si="20"/>
        <v>1.5</v>
      </c>
    </row>
    <row r="1330" spans="1:15" x14ac:dyDescent="0.25">
      <c r="A1330" s="13" t="s">
        <v>1342</v>
      </c>
      <c r="B1330" s="13" t="s">
        <v>2194</v>
      </c>
      <c r="C1330" s="13" t="s">
        <v>2196</v>
      </c>
      <c r="D1330" s="13" t="s">
        <v>2205</v>
      </c>
      <c r="E1330" s="13" t="s">
        <v>2212</v>
      </c>
      <c r="F1330" s="13" t="s">
        <v>2223</v>
      </c>
      <c r="G1330" s="13">
        <v>118.21</v>
      </c>
      <c r="H1330" s="13">
        <v>23.1</v>
      </c>
      <c r="I1330" s="13">
        <v>90.9</v>
      </c>
      <c r="J1330" s="24">
        <v>45875</v>
      </c>
      <c r="K1330" s="13">
        <v>15</v>
      </c>
      <c r="L1330" s="13">
        <v>5</v>
      </c>
      <c r="M1330" s="13" t="b">
        <v>0</v>
      </c>
      <c r="O1330" s="13">
        <f t="shared" si="20"/>
        <v>5</v>
      </c>
    </row>
    <row r="1331" spans="1:15" x14ac:dyDescent="0.25">
      <c r="A1331" s="13" t="s">
        <v>1343</v>
      </c>
      <c r="B1331" s="13" t="s">
        <v>2191</v>
      </c>
      <c r="C1331" s="13" t="s">
        <v>2202</v>
      </c>
      <c r="D1331" s="13" t="s">
        <v>2206</v>
      </c>
      <c r="E1331" s="13" t="s">
        <v>2212</v>
      </c>
      <c r="F1331" s="13" t="s">
        <v>2221</v>
      </c>
      <c r="G1331" s="13">
        <v>25.86</v>
      </c>
      <c r="H1331" s="13">
        <v>0</v>
      </c>
      <c r="I1331" s="13">
        <v>25.86</v>
      </c>
      <c r="J1331" s="24">
        <v>45875</v>
      </c>
      <c r="K1331" s="13">
        <v>46</v>
      </c>
      <c r="L1331" s="13">
        <v>1.5</v>
      </c>
      <c r="M1331" s="13" t="b">
        <v>0</v>
      </c>
      <c r="O1331" s="13">
        <f t="shared" si="20"/>
        <v>1.5</v>
      </c>
    </row>
    <row r="1332" spans="1:15" x14ac:dyDescent="0.25">
      <c r="A1332" s="13" t="s">
        <v>1344</v>
      </c>
      <c r="B1332" s="13" t="s">
        <v>2191</v>
      </c>
      <c r="C1332" s="13" t="s">
        <v>2200</v>
      </c>
      <c r="D1332" s="13" t="s">
        <v>2206</v>
      </c>
      <c r="E1332" s="13" t="s">
        <v>2210</v>
      </c>
      <c r="F1332" s="13" t="s">
        <v>2220</v>
      </c>
      <c r="G1332" s="13">
        <v>91.67</v>
      </c>
      <c r="H1332" s="13">
        <v>23.7</v>
      </c>
      <c r="I1332" s="13">
        <v>69.94</v>
      </c>
      <c r="J1332" s="24">
        <v>45875</v>
      </c>
      <c r="K1332" s="13">
        <v>3</v>
      </c>
      <c r="L1332" s="13">
        <v>3.7</v>
      </c>
      <c r="M1332" s="13" t="b">
        <v>0</v>
      </c>
      <c r="O1332" s="13">
        <f t="shared" si="20"/>
        <v>3.7</v>
      </c>
    </row>
    <row r="1333" spans="1:15" x14ac:dyDescent="0.25">
      <c r="A1333" s="13" t="s">
        <v>1345</v>
      </c>
      <c r="B1333" s="13" t="s">
        <v>2194</v>
      </c>
      <c r="C1333" s="13" t="s">
        <v>2197</v>
      </c>
      <c r="D1333" s="13" t="s">
        <v>2206</v>
      </c>
      <c r="E1333" s="13" t="s">
        <v>2209</v>
      </c>
      <c r="F1333" s="13" t="s">
        <v>2219</v>
      </c>
      <c r="G1333" s="13">
        <v>25.29</v>
      </c>
      <c r="H1333" s="13">
        <v>7.9</v>
      </c>
      <c r="I1333" s="13">
        <v>23.29</v>
      </c>
      <c r="J1333" s="24">
        <v>45875</v>
      </c>
      <c r="K1333" s="13">
        <v>39</v>
      </c>
      <c r="L1333" s="13">
        <v>1.7</v>
      </c>
      <c r="M1333" s="13" t="b">
        <v>0</v>
      </c>
      <c r="O1333" s="13">
        <f t="shared" si="20"/>
        <v>1.7</v>
      </c>
    </row>
    <row r="1334" spans="1:15" x14ac:dyDescent="0.25">
      <c r="A1334" s="13" t="s">
        <v>1346</v>
      </c>
      <c r="B1334" s="13" t="s">
        <v>2192</v>
      </c>
      <c r="C1334" s="13" t="s">
        <v>2200</v>
      </c>
      <c r="D1334" s="13" t="s">
        <v>2205</v>
      </c>
      <c r="F1334" s="13" t="s">
        <v>2222</v>
      </c>
      <c r="G1334" s="13">
        <v>51.61</v>
      </c>
      <c r="H1334" s="13">
        <v>32.200000000000003</v>
      </c>
      <c r="I1334" s="13">
        <v>34.99</v>
      </c>
      <c r="J1334" s="24">
        <v>45875</v>
      </c>
      <c r="K1334" s="13">
        <v>34</v>
      </c>
      <c r="L1334" s="13">
        <v>4.8</v>
      </c>
      <c r="M1334" s="13" t="b">
        <v>0</v>
      </c>
      <c r="O1334" s="13">
        <f t="shared" si="20"/>
        <v>4.8</v>
      </c>
    </row>
    <row r="1335" spans="1:15" x14ac:dyDescent="0.25">
      <c r="A1335" s="13" t="s">
        <v>1347</v>
      </c>
      <c r="B1335" s="13" t="s">
        <v>2190</v>
      </c>
      <c r="C1335" s="13" t="s">
        <v>2198</v>
      </c>
      <c r="D1335" s="13" t="s">
        <v>2207</v>
      </c>
      <c r="E1335" s="13" t="s">
        <v>2208</v>
      </c>
      <c r="F1335" s="13" t="s">
        <v>2216</v>
      </c>
      <c r="G1335" s="13">
        <v>143.61000000000001</v>
      </c>
      <c r="H1335" s="13">
        <v>24.6</v>
      </c>
      <c r="I1335" s="13">
        <v>108.28</v>
      </c>
      <c r="J1335" s="24">
        <v>45875</v>
      </c>
      <c r="K1335" s="13">
        <v>50</v>
      </c>
      <c r="L1335" s="13">
        <v>4.0999999999999996</v>
      </c>
      <c r="M1335" s="13" t="b">
        <v>0</v>
      </c>
      <c r="O1335" s="13">
        <f t="shared" si="20"/>
        <v>4.0999999999999996</v>
      </c>
    </row>
    <row r="1336" spans="1:15" x14ac:dyDescent="0.25">
      <c r="A1336" s="13" t="s">
        <v>1348</v>
      </c>
      <c r="B1336" s="13" t="s">
        <v>2194</v>
      </c>
      <c r="C1336" s="13" t="s">
        <v>2202</v>
      </c>
      <c r="D1336" s="13" t="s">
        <v>2207</v>
      </c>
      <c r="E1336" s="13" t="s">
        <v>2209</v>
      </c>
      <c r="F1336" s="13" t="s">
        <v>2214</v>
      </c>
      <c r="G1336" s="13">
        <v>45.48</v>
      </c>
      <c r="H1336" s="13">
        <v>0</v>
      </c>
      <c r="I1336" s="13">
        <v>45.48</v>
      </c>
      <c r="J1336" s="24">
        <v>45875</v>
      </c>
      <c r="K1336" s="13">
        <v>29</v>
      </c>
      <c r="L1336" s="13">
        <v>2.2999999999999998</v>
      </c>
      <c r="M1336" s="13" t="b">
        <v>0</v>
      </c>
      <c r="O1336" s="13">
        <f t="shared" si="20"/>
        <v>2.2999999999999998</v>
      </c>
    </row>
    <row r="1337" spans="1:15" x14ac:dyDescent="0.25">
      <c r="A1337" s="13" t="s">
        <v>1349</v>
      </c>
      <c r="B1337" s="13" t="s">
        <v>2193</v>
      </c>
      <c r="C1337" s="13" t="s">
        <v>2196</v>
      </c>
      <c r="D1337" s="13" t="s">
        <v>2207</v>
      </c>
      <c r="F1337" s="13" t="s">
        <v>2217</v>
      </c>
      <c r="G1337" s="13">
        <v>177.79</v>
      </c>
      <c r="H1337" s="13">
        <v>10.7</v>
      </c>
      <c r="I1337" s="13">
        <v>158.77000000000001</v>
      </c>
      <c r="J1337" s="24">
        <v>45875</v>
      </c>
      <c r="K1337" s="13">
        <v>37</v>
      </c>
      <c r="M1337" s="13" t="b">
        <v>0</v>
      </c>
      <c r="O1337" s="13">
        <f t="shared" si="20"/>
        <v>2.9153846153846157</v>
      </c>
    </row>
    <row r="1338" spans="1:15" x14ac:dyDescent="0.25">
      <c r="A1338" s="13" t="s">
        <v>1350</v>
      </c>
      <c r="B1338" s="13" t="s">
        <v>2190</v>
      </c>
      <c r="C1338" s="13" t="s">
        <v>2202</v>
      </c>
      <c r="D1338" s="13" t="s">
        <v>2206</v>
      </c>
      <c r="E1338" s="13" t="s">
        <v>2212</v>
      </c>
      <c r="F1338" s="13" t="s">
        <v>2223</v>
      </c>
      <c r="G1338" s="13">
        <v>145.1</v>
      </c>
      <c r="H1338" s="13">
        <v>34.200000000000003</v>
      </c>
      <c r="I1338" s="13">
        <v>95.48</v>
      </c>
      <c r="J1338" s="24">
        <v>45875</v>
      </c>
      <c r="K1338" s="13">
        <v>14</v>
      </c>
      <c r="M1338" s="13" t="b">
        <v>0</v>
      </c>
      <c r="O1338" s="13">
        <f t="shared" si="20"/>
        <v>2.9034482758620692</v>
      </c>
    </row>
    <row r="1339" spans="1:15" x14ac:dyDescent="0.25">
      <c r="A1339" s="13" t="s">
        <v>1351</v>
      </c>
      <c r="B1339" s="13" t="s">
        <v>2193</v>
      </c>
      <c r="C1339" s="13" t="s">
        <v>2201</v>
      </c>
      <c r="D1339" s="13" t="s">
        <v>2207</v>
      </c>
      <c r="E1339" s="13" t="s">
        <v>2211</v>
      </c>
      <c r="F1339" s="13" t="s">
        <v>2222</v>
      </c>
      <c r="G1339" s="13">
        <v>190.78</v>
      </c>
      <c r="H1339" s="13">
        <v>0</v>
      </c>
      <c r="I1339" s="13">
        <v>190.78</v>
      </c>
      <c r="J1339" s="24">
        <v>45875</v>
      </c>
      <c r="K1339" s="13">
        <v>39</v>
      </c>
      <c r="L1339" s="13">
        <v>3.7</v>
      </c>
      <c r="M1339" s="13" t="b">
        <v>0</v>
      </c>
      <c r="O1339" s="13">
        <f t="shared" si="20"/>
        <v>3.7</v>
      </c>
    </row>
    <row r="1340" spans="1:15" x14ac:dyDescent="0.25">
      <c r="A1340" s="13" t="s">
        <v>1352</v>
      </c>
      <c r="B1340" s="13" t="s">
        <v>2192</v>
      </c>
      <c r="C1340" s="13" t="s">
        <v>2203</v>
      </c>
      <c r="D1340" s="13" t="s">
        <v>2206</v>
      </c>
      <c r="F1340" s="13" t="s">
        <v>2219</v>
      </c>
      <c r="G1340" s="13">
        <v>44.73</v>
      </c>
      <c r="H1340" s="13">
        <v>0</v>
      </c>
      <c r="I1340" s="13">
        <v>44.73</v>
      </c>
      <c r="J1340" s="24">
        <v>45875</v>
      </c>
      <c r="K1340" s="13">
        <v>25</v>
      </c>
      <c r="L1340" s="13">
        <v>1.1000000000000001</v>
      </c>
      <c r="M1340" s="13" t="b">
        <v>0</v>
      </c>
      <c r="O1340" s="13">
        <f t="shared" si="20"/>
        <v>1.1000000000000001</v>
      </c>
    </row>
    <row r="1341" spans="1:15" x14ac:dyDescent="0.25">
      <c r="A1341" s="13" t="s">
        <v>1353</v>
      </c>
      <c r="B1341" s="13" t="s">
        <v>2193</v>
      </c>
      <c r="C1341" s="13" t="s">
        <v>2198</v>
      </c>
      <c r="D1341" s="13" t="s">
        <v>2205</v>
      </c>
      <c r="E1341" s="13" t="s">
        <v>2211</v>
      </c>
      <c r="F1341" s="13" t="s">
        <v>2217</v>
      </c>
      <c r="G1341" s="13">
        <v>65.48</v>
      </c>
      <c r="H1341" s="13">
        <v>0</v>
      </c>
      <c r="I1341" s="13">
        <v>65.48</v>
      </c>
      <c r="J1341" s="24">
        <v>45875</v>
      </c>
      <c r="K1341" s="13">
        <v>7</v>
      </c>
      <c r="L1341" s="13">
        <v>4.5999999999999996</v>
      </c>
      <c r="M1341" s="13" t="b">
        <v>0</v>
      </c>
      <c r="O1341" s="13">
        <f t="shared" si="20"/>
        <v>4.5999999999999996</v>
      </c>
    </row>
    <row r="1342" spans="1:15" x14ac:dyDescent="0.25">
      <c r="A1342" s="13" t="s">
        <v>1354</v>
      </c>
      <c r="B1342" s="13" t="s">
        <v>2193</v>
      </c>
      <c r="C1342" s="13" t="s">
        <v>2202</v>
      </c>
      <c r="D1342" s="13" t="s">
        <v>2204</v>
      </c>
      <c r="E1342" s="13" t="s">
        <v>2212</v>
      </c>
      <c r="F1342" s="13" t="s">
        <v>2223</v>
      </c>
      <c r="G1342" s="13">
        <v>86.1</v>
      </c>
      <c r="H1342" s="13">
        <v>0</v>
      </c>
      <c r="I1342" s="13">
        <v>86.1</v>
      </c>
      <c r="J1342" s="24">
        <v>45653</v>
      </c>
      <c r="K1342" s="13">
        <v>4</v>
      </c>
      <c r="L1342" s="13">
        <v>2.4</v>
      </c>
      <c r="M1342" s="13" t="b">
        <v>0</v>
      </c>
      <c r="O1342" s="13">
        <f t="shared" si="20"/>
        <v>2.4</v>
      </c>
    </row>
    <row r="1343" spans="1:15" x14ac:dyDescent="0.25">
      <c r="A1343" s="13" t="s">
        <v>1355</v>
      </c>
      <c r="B1343" s="13" t="s">
        <v>2194</v>
      </c>
      <c r="C1343" s="13" t="s">
        <v>2197</v>
      </c>
      <c r="D1343" s="13" t="s">
        <v>2205</v>
      </c>
      <c r="E1343" s="13" t="s">
        <v>2212</v>
      </c>
      <c r="F1343" s="13" t="s">
        <v>2220</v>
      </c>
      <c r="G1343" s="13">
        <v>100.14</v>
      </c>
      <c r="H1343" s="13">
        <v>0</v>
      </c>
      <c r="I1343" s="13">
        <v>100.14</v>
      </c>
      <c r="J1343" s="24">
        <v>45875</v>
      </c>
      <c r="K1343" s="13">
        <v>48</v>
      </c>
      <c r="L1343" s="13">
        <v>4.2</v>
      </c>
      <c r="M1343" s="13" t="b">
        <v>0</v>
      </c>
      <c r="O1343" s="13">
        <f t="shared" si="20"/>
        <v>4.2</v>
      </c>
    </row>
    <row r="1344" spans="1:15" x14ac:dyDescent="0.25">
      <c r="A1344" s="13" t="s">
        <v>1356</v>
      </c>
      <c r="B1344" s="13" t="s">
        <v>2190</v>
      </c>
      <c r="C1344" s="13" t="s">
        <v>2198</v>
      </c>
      <c r="D1344" s="13" t="s">
        <v>2205</v>
      </c>
      <c r="F1344" s="13" t="s">
        <v>2214</v>
      </c>
      <c r="G1344" s="13">
        <v>203.4</v>
      </c>
      <c r="H1344" s="13">
        <v>0</v>
      </c>
      <c r="I1344" s="13">
        <v>203.4</v>
      </c>
      <c r="J1344" s="24">
        <v>45875</v>
      </c>
      <c r="K1344" s="13">
        <v>18</v>
      </c>
      <c r="L1344" s="13">
        <v>1.8</v>
      </c>
      <c r="M1344" s="13" t="b">
        <v>0</v>
      </c>
      <c r="O1344" s="13">
        <f t="shared" si="20"/>
        <v>1.8</v>
      </c>
    </row>
    <row r="1345" spans="1:15" x14ac:dyDescent="0.25">
      <c r="A1345" s="13" t="s">
        <v>1357</v>
      </c>
      <c r="B1345" s="13" t="s">
        <v>2191</v>
      </c>
      <c r="C1345" s="13" t="s">
        <v>2202</v>
      </c>
      <c r="D1345" s="13" t="s">
        <v>2205</v>
      </c>
      <c r="E1345" s="13" t="s">
        <v>2212</v>
      </c>
      <c r="F1345" s="13" t="s">
        <v>2217</v>
      </c>
      <c r="G1345" s="13">
        <v>95.22</v>
      </c>
      <c r="H1345" s="13">
        <v>24.4</v>
      </c>
      <c r="I1345" s="13">
        <v>71.989999999999995</v>
      </c>
      <c r="J1345" s="24">
        <v>45875</v>
      </c>
      <c r="K1345" s="13">
        <v>26</v>
      </c>
      <c r="L1345" s="13">
        <v>2.2999999999999998</v>
      </c>
      <c r="M1345" s="13" t="b">
        <v>0</v>
      </c>
      <c r="O1345" s="13">
        <f t="shared" si="20"/>
        <v>2.2999999999999998</v>
      </c>
    </row>
    <row r="1346" spans="1:15" x14ac:dyDescent="0.25">
      <c r="A1346" s="13" t="s">
        <v>1358</v>
      </c>
      <c r="B1346" s="13" t="s">
        <v>2195</v>
      </c>
      <c r="C1346" s="13" t="s">
        <v>2200</v>
      </c>
      <c r="D1346" s="13" t="s">
        <v>2206</v>
      </c>
      <c r="E1346" s="13" t="s">
        <v>2208</v>
      </c>
      <c r="F1346" s="13" t="s">
        <v>2214</v>
      </c>
      <c r="G1346" s="13">
        <v>173.88</v>
      </c>
      <c r="H1346" s="13">
        <v>31.6</v>
      </c>
      <c r="I1346" s="13">
        <v>118.93</v>
      </c>
      <c r="J1346" s="24">
        <v>45875</v>
      </c>
      <c r="K1346" s="13">
        <v>5</v>
      </c>
      <c r="L1346" s="13">
        <v>3.2</v>
      </c>
      <c r="M1346" s="13" t="b">
        <v>0</v>
      </c>
      <c r="O1346" s="13">
        <f t="shared" si="20"/>
        <v>3.2</v>
      </c>
    </row>
    <row r="1347" spans="1:15" x14ac:dyDescent="0.25">
      <c r="A1347" s="13" t="s">
        <v>1359</v>
      </c>
      <c r="B1347" s="13" t="s">
        <v>2195</v>
      </c>
      <c r="C1347" s="13" t="s">
        <v>2200</v>
      </c>
      <c r="D1347" s="13" t="s">
        <v>2205</v>
      </c>
      <c r="E1347" s="13" t="s">
        <v>2209</v>
      </c>
      <c r="F1347" s="13" t="s">
        <v>2221</v>
      </c>
      <c r="G1347" s="13">
        <v>160.05000000000001</v>
      </c>
      <c r="H1347" s="13">
        <v>0</v>
      </c>
      <c r="I1347" s="13">
        <v>160.05000000000001</v>
      </c>
      <c r="J1347" s="24">
        <v>45875</v>
      </c>
      <c r="K1347" s="13">
        <v>23</v>
      </c>
      <c r="L1347" s="13">
        <v>4</v>
      </c>
      <c r="M1347" s="13" t="b">
        <v>0</v>
      </c>
      <c r="O1347" s="13">
        <f t="shared" ref="O1347:O1410" si="21">IF(L1347="",AVERAGEIFS($L$2:$L$2177,$B$2:$B$2177,B1347,$C$2:$C$2177,C1347),L1347)</f>
        <v>4</v>
      </c>
    </row>
    <row r="1348" spans="1:15" x14ac:dyDescent="0.25">
      <c r="A1348" s="13" t="s">
        <v>1360</v>
      </c>
      <c r="B1348" s="13" t="s">
        <v>2191</v>
      </c>
      <c r="C1348" s="13" t="s">
        <v>2203</v>
      </c>
      <c r="D1348" s="13" t="s">
        <v>2205</v>
      </c>
      <c r="E1348" s="13" t="s">
        <v>2212</v>
      </c>
      <c r="F1348" s="13" t="s">
        <v>2219</v>
      </c>
      <c r="G1348" s="13">
        <v>59.53</v>
      </c>
      <c r="H1348" s="13">
        <v>0</v>
      </c>
      <c r="I1348" s="13">
        <v>59.53</v>
      </c>
      <c r="J1348" s="24">
        <v>45875</v>
      </c>
      <c r="K1348" s="13">
        <v>28</v>
      </c>
      <c r="L1348" s="13">
        <v>1.5</v>
      </c>
      <c r="M1348" s="13" t="b">
        <v>0</v>
      </c>
      <c r="O1348" s="13">
        <f t="shared" si="21"/>
        <v>1.5</v>
      </c>
    </row>
    <row r="1349" spans="1:15" x14ac:dyDescent="0.25">
      <c r="A1349" s="13" t="s">
        <v>1361</v>
      </c>
      <c r="B1349" s="13" t="s">
        <v>2195</v>
      </c>
      <c r="C1349" s="13" t="s">
        <v>2199</v>
      </c>
      <c r="D1349" s="13" t="s">
        <v>2206</v>
      </c>
      <c r="E1349" s="13" t="s">
        <v>2212</v>
      </c>
      <c r="F1349" s="13" t="s">
        <v>2219</v>
      </c>
      <c r="G1349" s="13">
        <v>155.32</v>
      </c>
      <c r="H1349" s="13">
        <v>0</v>
      </c>
      <c r="I1349" s="13">
        <v>155.32</v>
      </c>
      <c r="J1349" s="24">
        <v>45875</v>
      </c>
      <c r="K1349" s="13">
        <v>19</v>
      </c>
      <c r="L1349" s="13">
        <v>4.0999999999999996</v>
      </c>
      <c r="M1349" s="13" t="b">
        <v>0</v>
      </c>
      <c r="O1349" s="13">
        <f t="shared" si="21"/>
        <v>4.0999999999999996</v>
      </c>
    </row>
    <row r="1350" spans="1:15" x14ac:dyDescent="0.25">
      <c r="A1350" s="13" t="s">
        <v>1362</v>
      </c>
      <c r="B1350" s="13" t="s">
        <v>2194</v>
      </c>
      <c r="C1350" s="13" t="s">
        <v>2203</v>
      </c>
      <c r="D1350" s="13" t="s">
        <v>2204</v>
      </c>
      <c r="E1350" s="13" t="s">
        <v>2208</v>
      </c>
      <c r="F1350" s="13" t="s">
        <v>2216</v>
      </c>
      <c r="G1350" s="13">
        <v>29.65</v>
      </c>
      <c r="H1350" s="13">
        <v>41</v>
      </c>
      <c r="I1350" s="13">
        <v>17.489999999999998</v>
      </c>
      <c r="J1350" s="24">
        <v>45530</v>
      </c>
      <c r="K1350" s="13">
        <v>21</v>
      </c>
      <c r="L1350" s="13">
        <v>4.5</v>
      </c>
      <c r="M1350" s="13" t="b">
        <v>1</v>
      </c>
      <c r="N1350" s="13" t="s">
        <v>2228</v>
      </c>
      <c r="O1350" s="13">
        <f t="shared" si="21"/>
        <v>4.5</v>
      </c>
    </row>
    <row r="1351" spans="1:15" x14ac:dyDescent="0.25">
      <c r="A1351" s="13" t="s">
        <v>1363</v>
      </c>
      <c r="B1351" s="13" t="s">
        <v>2190</v>
      </c>
      <c r="C1351" s="13" t="s">
        <v>2199</v>
      </c>
      <c r="D1351" s="13" t="s">
        <v>2205</v>
      </c>
      <c r="E1351" s="13" t="s">
        <v>2211</v>
      </c>
      <c r="F1351" s="13" t="s">
        <v>2224</v>
      </c>
      <c r="G1351" s="13">
        <v>237.53</v>
      </c>
      <c r="H1351" s="13">
        <v>23.2</v>
      </c>
      <c r="I1351" s="13">
        <v>182.42</v>
      </c>
      <c r="J1351" s="24">
        <v>45875</v>
      </c>
      <c r="K1351" s="13">
        <v>23</v>
      </c>
      <c r="L1351" s="13">
        <v>2.2000000000000002</v>
      </c>
      <c r="M1351" s="13" t="b">
        <v>0</v>
      </c>
      <c r="O1351" s="13">
        <f t="shared" si="21"/>
        <v>2.2000000000000002</v>
      </c>
    </row>
    <row r="1352" spans="1:15" x14ac:dyDescent="0.25">
      <c r="A1352" s="13" t="s">
        <v>1364</v>
      </c>
      <c r="B1352" s="13" t="s">
        <v>2190</v>
      </c>
      <c r="C1352" s="13" t="s">
        <v>2201</v>
      </c>
      <c r="D1352" s="13" t="s">
        <v>2207</v>
      </c>
      <c r="E1352" s="13" t="s">
        <v>2213</v>
      </c>
      <c r="F1352" s="13" t="s">
        <v>2215</v>
      </c>
      <c r="G1352" s="13">
        <v>81.67</v>
      </c>
      <c r="H1352" s="13">
        <v>0</v>
      </c>
      <c r="I1352" s="13">
        <v>81.67</v>
      </c>
      <c r="J1352" s="24">
        <v>45875</v>
      </c>
      <c r="K1352" s="13">
        <v>34</v>
      </c>
      <c r="L1352" s="13">
        <v>3.1</v>
      </c>
      <c r="M1352" s="13" t="b">
        <v>1</v>
      </c>
      <c r="N1352" s="13" t="s">
        <v>2227</v>
      </c>
      <c r="O1352" s="13">
        <f t="shared" si="21"/>
        <v>3.1</v>
      </c>
    </row>
    <row r="1353" spans="1:15" x14ac:dyDescent="0.25">
      <c r="A1353" s="13" t="s">
        <v>1365</v>
      </c>
      <c r="B1353" s="13" t="s">
        <v>2194</v>
      </c>
      <c r="C1353" s="13" t="s">
        <v>2198</v>
      </c>
      <c r="D1353" s="13" t="s">
        <v>2204</v>
      </c>
      <c r="E1353" s="13" t="s">
        <v>2213</v>
      </c>
      <c r="F1353" s="13" t="s">
        <v>2221</v>
      </c>
      <c r="G1353" s="13">
        <v>37.07</v>
      </c>
      <c r="H1353" s="13">
        <v>0</v>
      </c>
      <c r="I1353" s="13">
        <v>37.07</v>
      </c>
      <c r="J1353" s="24">
        <v>45778</v>
      </c>
      <c r="K1353" s="13">
        <v>13</v>
      </c>
      <c r="M1353" s="13" t="b">
        <v>0</v>
      </c>
      <c r="O1353" s="13">
        <f t="shared" si="21"/>
        <v>3.0384615384615379</v>
      </c>
    </row>
    <row r="1354" spans="1:15" x14ac:dyDescent="0.25">
      <c r="A1354" s="13" t="s">
        <v>1366</v>
      </c>
      <c r="B1354" s="13" t="s">
        <v>2191</v>
      </c>
      <c r="C1354" s="13" t="s">
        <v>2197</v>
      </c>
      <c r="D1354" s="13" t="s">
        <v>2206</v>
      </c>
      <c r="E1354" s="13" t="s">
        <v>2211</v>
      </c>
      <c r="F1354" s="13" t="s">
        <v>2223</v>
      </c>
      <c r="G1354" s="13">
        <v>80.97</v>
      </c>
      <c r="H1354" s="13">
        <v>0</v>
      </c>
      <c r="I1354" s="13">
        <v>80.97</v>
      </c>
      <c r="J1354" s="24">
        <v>45875</v>
      </c>
      <c r="K1354" s="13">
        <v>13</v>
      </c>
      <c r="M1354" s="13" t="b">
        <v>0</v>
      </c>
      <c r="O1354" s="13">
        <f t="shared" si="21"/>
        <v>3.34</v>
      </c>
    </row>
    <row r="1355" spans="1:15" x14ac:dyDescent="0.25">
      <c r="A1355" s="13" t="s">
        <v>1367</v>
      </c>
      <c r="B1355" s="13" t="s">
        <v>2192</v>
      </c>
      <c r="C1355" s="13" t="s">
        <v>2196</v>
      </c>
      <c r="D1355" s="13" t="s">
        <v>2204</v>
      </c>
      <c r="F1355" s="13" t="s">
        <v>2218</v>
      </c>
      <c r="G1355" s="13">
        <v>77.680000000000007</v>
      </c>
      <c r="H1355" s="13">
        <v>29.9</v>
      </c>
      <c r="I1355" s="13">
        <v>54.45</v>
      </c>
      <c r="J1355" s="24">
        <v>45862</v>
      </c>
      <c r="K1355" s="13">
        <v>33</v>
      </c>
      <c r="L1355" s="13">
        <v>4</v>
      </c>
      <c r="M1355" s="13" t="b">
        <v>1</v>
      </c>
      <c r="N1355" s="13" t="s">
        <v>2227</v>
      </c>
      <c r="O1355" s="13">
        <f t="shared" si="21"/>
        <v>4</v>
      </c>
    </row>
    <row r="1356" spans="1:15" x14ac:dyDescent="0.25">
      <c r="A1356" s="13" t="s">
        <v>1368</v>
      </c>
      <c r="B1356" s="13" t="s">
        <v>2191</v>
      </c>
      <c r="C1356" s="13" t="s">
        <v>2198</v>
      </c>
      <c r="D1356" s="13" t="s">
        <v>2207</v>
      </c>
      <c r="E1356" s="13" t="s">
        <v>2211</v>
      </c>
      <c r="F1356" s="13" t="s">
        <v>2220</v>
      </c>
      <c r="G1356" s="13">
        <v>117.58</v>
      </c>
      <c r="H1356" s="13">
        <v>1</v>
      </c>
      <c r="I1356" s="13">
        <v>116.4</v>
      </c>
      <c r="J1356" s="24">
        <v>45875</v>
      </c>
      <c r="K1356" s="13">
        <v>27</v>
      </c>
      <c r="L1356" s="13">
        <v>3.3</v>
      </c>
      <c r="M1356" s="13" t="b">
        <v>0</v>
      </c>
      <c r="O1356" s="13">
        <f t="shared" si="21"/>
        <v>3.3</v>
      </c>
    </row>
    <row r="1357" spans="1:15" x14ac:dyDescent="0.25">
      <c r="A1357" s="13" t="s">
        <v>1369</v>
      </c>
      <c r="B1357" s="13" t="s">
        <v>2190</v>
      </c>
      <c r="C1357" s="13" t="s">
        <v>2199</v>
      </c>
      <c r="D1357" s="13" t="s">
        <v>2206</v>
      </c>
      <c r="E1357" s="13" t="s">
        <v>2208</v>
      </c>
      <c r="F1357" s="13" t="s">
        <v>2219</v>
      </c>
      <c r="G1357" s="13">
        <v>130.09</v>
      </c>
      <c r="H1357" s="13">
        <v>28.3</v>
      </c>
      <c r="I1357" s="13">
        <v>93.27</v>
      </c>
      <c r="J1357" s="24">
        <v>45875</v>
      </c>
      <c r="K1357" s="13">
        <v>41</v>
      </c>
      <c r="L1357" s="13">
        <v>2.2999999999999998</v>
      </c>
      <c r="M1357" s="13" t="b">
        <v>0</v>
      </c>
      <c r="O1357" s="13">
        <f t="shared" si="21"/>
        <v>2.2999999999999998</v>
      </c>
    </row>
    <row r="1358" spans="1:15" x14ac:dyDescent="0.25">
      <c r="A1358" s="13" t="s">
        <v>1370</v>
      </c>
      <c r="B1358" s="13" t="s">
        <v>2191</v>
      </c>
      <c r="C1358" s="13" t="s">
        <v>2197</v>
      </c>
      <c r="D1358" s="13" t="s">
        <v>2206</v>
      </c>
      <c r="E1358" s="13" t="s">
        <v>2212</v>
      </c>
      <c r="F1358" s="13" t="s">
        <v>2223</v>
      </c>
      <c r="G1358" s="13">
        <v>63.69</v>
      </c>
      <c r="H1358" s="13">
        <v>0</v>
      </c>
      <c r="I1358" s="13">
        <v>63.69</v>
      </c>
      <c r="J1358" s="24">
        <v>45875</v>
      </c>
      <c r="K1358" s="13">
        <v>11</v>
      </c>
      <c r="L1358" s="13">
        <v>3</v>
      </c>
      <c r="M1358" s="13" t="b">
        <v>0</v>
      </c>
      <c r="O1358" s="13">
        <f t="shared" si="21"/>
        <v>3</v>
      </c>
    </row>
    <row r="1359" spans="1:15" x14ac:dyDescent="0.25">
      <c r="A1359" s="13" t="s">
        <v>1371</v>
      </c>
      <c r="B1359" s="13" t="s">
        <v>2190</v>
      </c>
      <c r="C1359" s="13" t="s">
        <v>2198</v>
      </c>
      <c r="D1359" s="13" t="s">
        <v>2204</v>
      </c>
      <c r="E1359" s="13" t="s">
        <v>2208</v>
      </c>
      <c r="F1359" s="13" t="s">
        <v>2214</v>
      </c>
      <c r="G1359" s="13">
        <v>135.02000000000001</v>
      </c>
      <c r="H1359" s="13">
        <v>0</v>
      </c>
      <c r="I1359" s="13">
        <v>135.02000000000001</v>
      </c>
      <c r="J1359" s="24">
        <v>45868</v>
      </c>
      <c r="K1359" s="13">
        <v>25</v>
      </c>
      <c r="L1359" s="13">
        <v>3.4</v>
      </c>
      <c r="M1359" s="13" t="b">
        <v>1</v>
      </c>
      <c r="N1359" s="13" t="s">
        <v>2229</v>
      </c>
      <c r="O1359" s="13">
        <f t="shared" si="21"/>
        <v>3.4</v>
      </c>
    </row>
    <row r="1360" spans="1:15" x14ac:dyDescent="0.25">
      <c r="A1360" s="13" t="s">
        <v>1372</v>
      </c>
      <c r="B1360" s="13" t="s">
        <v>2192</v>
      </c>
      <c r="C1360" s="13" t="s">
        <v>2200</v>
      </c>
      <c r="D1360" s="13" t="s">
        <v>2205</v>
      </c>
      <c r="F1360" s="13" t="s">
        <v>2221</v>
      </c>
      <c r="G1360" s="13">
        <v>45.37</v>
      </c>
      <c r="H1360" s="13">
        <v>0</v>
      </c>
      <c r="I1360" s="13">
        <v>45.37</v>
      </c>
      <c r="J1360" s="24">
        <v>45875</v>
      </c>
      <c r="K1360" s="13">
        <v>19</v>
      </c>
      <c r="L1360" s="13">
        <v>1.1000000000000001</v>
      </c>
      <c r="M1360" s="13" t="b">
        <v>0</v>
      </c>
      <c r="O1360" s="13">
        <f t="shared" si="21"/>
        <v>1.1000000000000001</v>
      </c>
    </row>
    <row r="1361" spans="1:15" x14ac:dyDescent="0.25">
      <c r="A1361" s="13" t="s">
        <v>1373</v>
      </c>
      <c r="B1361" s="13" t="s">
        <v>2194</v>
      </c>
      <c r="C1361" s="13" t="s">
        <v>2196</v>
      </c>
      <c r="D1361" s="13" t="s">
        <v>2205</v>
      </c>
      <c r="E1361" s="13" t="s">
        <v>2208</v>
      </c>
      <c r="F1361" s="13" t="s">
        <v>2224</v>
      </c>
      <c r="G1361" s="13">
        <v>51.17</v>
      </c>
      <c r="H1361" s="13">
        <v>8</v>
      </c>
      <c r="I1361" s="13">
        <v>47.08</v>
      </c>
      <c r="J1361" s="24">
        <v>45875</v>
      </c>
      <c r="K1361" s="13">
        <v>7</v>
      </c>
      <c r="M1361" s="13" t="b">
        <v>0</v>
      </c>
      <c r="O1361" s="13">
        <f t="shared" si="21"/>
        <v>2.9210526315789478</v>
      </c>
    </row>
    <row r="1362" spans="1:15" x14ac:dyDescent="0.25">
      <c r="A1362" s="13" t="s">
        <v>1374</v>
      </c>
      <c r="B1362" s="13" t="s">
        <v>2195</v>
      </c>
      <c r="C1362" s="13" t="s">
        <v>2203</v>
      </c>
      <c r="D1362" s="13" t="s">
        <v>2207</v>
      </c>
      <c r="E1362" s="13" t="s">
        <v>2211</v>
      </c>
      <c r="F1362" s="13" t="s">
        <v>2224</v>
      </c>
      <c r="G1362" s="13">
        <v>49.34</v>
      </c>
      <c r="H1362" s="13">
        <v>5.5</v>
      </c>
      <c r="I1362" s="13">
        <v>46.63</v>
      </c>
      <c r="J1362" s="24">
        <v>45875</v>
      </c>
      <c r="K1362" s="13">
        <v>10</v>
      </c>
      <c r="L1362" s="13">
        <v>4.3</v>
      </c>
      <c r="M1362" s="13" t="b">
        <v>0</v>
      </c>
      <c r="O1362" s="13">
        <f t="shared" si="21"/>
        <v>4.3</v>
      </c>
    </row>
    <row r="1363" spans="1:15" x14ac:dyDescent="0.25">
      <c r="A1363" s="13" t="s">
        <v>1375</v>
      </c>
      <c r="B1363" s="13" t="s">
        <v>2193</v>
      </c>
      <c r="C1363" s="13" t="s">
        <v>2197</v>
      </c>
      <c r="D1363" s="13" t="s">
        <v>2204</v>
      </c>
      <c r="E1363" s="13" t="s">
        <v>2210</v>
      </c>
      <c r="F1363" s="13" t="s">
        <v>2220</v>
      </c>
      <c r="G1363" s="13">
        <v>119.78</v>
      </c>
      <c r="H1363" s="13">
        <v>0</v>
      </c>
      <c r="I1363" s="13">
        <v>119.78</v>
      </c>
      <c r="J1363" s="24">
        <v>45818</v>
      </c>
      <c r="K1363" s="13">
        <v>40</v>
      </c>
      <c r="M1363" s="13" t="b">
        <v>0</v>
      </c>
      <c r="O1363" s="13">
        <f t="shared" si="21"/>
        <v>2.8205128205128198</v>
      </c>
    </row>
    <row r="1364" spans="1:15" x14ac:dyDescent="0.25">
      <c r="A1364" s="13" t="s">
        <v>1376</v>
      </c>
      <c r="B1364" s="13" t="s">
        <v>2191</v>
      </c>
      <c r="C1364" s="13" t="s">
        <v>2198</v>
      </c>
      <c r="D1364" s="13" t="s">
        <v>2204</v>
      </c>
      <c r="E1364" s="13" t="s">
        <v>2210</v>
      </c>
      <c r="F1364" s="13" t="s">
        <v>2218</v>
      </c>
      <c r="G1364" s="13">
        <v>77.3</v>
      </c>
      <c r="H1364" s="13">
        <v>35.1</v>
      </c>
      <c r="I1364" s="13">
        <v>50.17</v>
      </c>
      <c r="J1364" s="24">
        <v>45864</v>
      </c>
      <c r="K1364" s="13">
        <v>16</v>
      </c>
      <c r="M1364" s="13" t="b">
        <v>0</v>
      </c>
      <c r="O1364" s="13">
        <f t="shared" si="21"/>
        <v>2.953125</v>
      </c>
    </row>
    <row r="1365" spans="1:15" x14ac:dyDescent="0.25">
      <c r="A1365" s="13" t="s">
        <v>1377</v>
      </c>
      <c r="B1365" s="13" t="s">
        <v>2191</v>
      </c>
      <c r="C1365" s="13" t="s">
        <v>2202</v>
      </c>
      <c r="D1365" s="13" t="s">
        <v>2206</v>
      </c>
      <c r="E1365" s="13" t="s">
        <v>2212</v>
      </c>
      <c r="F1365" s="13" t="s">
        <v>2214</v>
      </c>
      <c r="G1365" s="13">
        <v>72.69</v>
      </c>
      <c r="H1365" s="13">
        <v>0</v>
      </c>
      <c r="I1365" s="13">
        <v>72.69</v>
      </c>
      <c r="J1365" s="24">
        <v>45875</v>
      </c>
      <c r="K1365" s="13">
        <v>6</v>
      </c>
      <c r="M1365" s="13" t="b">
        <v>0</v>
      </c>
      <c r="O1365" s="13">
        <f t="shared" si="21"/>
        <v>2.9074999999999998</v>
      </c>
    </row>
    <row r="1366" spans="1:15" x14ac:dyDescent="0.25">
      <c r="A1366" s="13" t="s">
        <v>1378</v>
      </c>
      <c r="B1366" s="13" t="s">
        <v>2193</v>
      </c>
      <c r="C1366" s="13" t="s">
        <v>2202</v>
      </c>
      <c r="D1366" s="13" t="s">
        <v>2206</v>
      </c>
      <c r="E1366" s="13" t="s">
        <v>2208</v>
      </c>
      <c r="F1366" s="13" t="s">
        <v>2224</v>
      </c>
      <c r="G1366" s="13">
        <v>117.57</v>
      </c>
      <c r="H1366" s="13">
        <v>0</v>
      </c>
      <c r="I1366" s="13">
        <v>117.57</v>
      </c>
      <c r="J1366" s="24">
        <v>45875</v>
      </c>
      <c r="K1366" s="13">
        <v>30</v>
      </c>
      <c r="L1366" s="13">
        <v>4.8</v>
      </c>
      <c r="M1366" s="13" t="b">
        <v>0</v>
      </c>
      <c r="O1366" s="13">
        <f t="shared" si="21"/>
        <v>4.8</v>
      </c>
    </row>
    <row r="1367" spans="1:15" x14ac:dyDescent="0.25">
      <c r="A1367" s="13" t="s">
        <v>1379</v>
      </c>
      <c r="B1367" s="13" t="s">
        <v>2190</v>
      </c>
      <c r="C1367" s="13" t="s">
        <v>2203</v>
      </c>
      <c r="D1367" s="13" t="s">
        <v>2204</v>
      </c>
      <c r="E1367" s="13" t="s">
        <v>2210</v>
      </c>
      <c r="F1367" s="13" t="s">
        <v>2220</v>
      </c>
      <c r="G1367" s="13">
        <v>161.25</v>
      </c>
      <c r="H1367" s="13">
        <v>48.4</v>
      </c>
      <c r="I1367" s="13">
        <v>83.2</v>
      </c>
      <c r="J1367" s="24">
        <v>45607</v>
      </c>
      <c r="K1367" s="13">
        <v>32</v>
      </c>
      <c r="M1367" s="13" t="b">
        <v>0</v>
      </c>
      <c r="O1367" s="13">
        <f t="shared" si="21"/>
        <v>2.9718749999999998</v>
      </c>
    </row>
    <row r="1368" spans="1:15" x14ac:dyDescent="0.25">
      <c r="A1368" s="13" t="s">
        <v>1380</v>
      </c>
      <c r="B1368" s="13" t="s">
        <v>2193</v>
      </c>
      <c r="C1368" s="13" t="s">
        <v>2201</v>
      </c>
      <c r="D1368" s="13" t="s">
        <v>2206</v>
      </c>
      <c r="E1368" s="13" t="s">
        <v>2210</v>
      </c>
      <c r="F1368" s="13" t="s">
        <v>2223</v>
      </c>
      <c r="G1368" s="13">
        <v>158.01</v>
      </c>
      <c r="H1368" s="13">
        <v>0</v>
      </c>
      <c r="I1368" s="13">
        <v>158.01</v>
      </c>
      <c r="J1368" s="24">
        <v>45875</v>
      </c>
      <c r="K1368" s="13">
        <v>19</v>
      </c>
      <c r="L1368" s="13">
        <v>2.6</v>
      </c>
      <c r="M1368" s="13" t="b">
        <v>0</v>
      </c>
      <c r="O1368" s="13">
        <f t="shared" si="21"/>
        <v>2.6</v>
      </c>
    </row>
    <row r="1369" spans="1:15" x14ac:dyDescent="0.25">
      <c r="A1369" s="13" t="s">
        <v>1381</v>
      </c>
      <c r="B1369" s="13" t="s">
        <v>2191</v>
      </c>
      <c r="C1369" s="13" t="s">
        <v>2201</v>
      </c>
      <c r="D1369" s="13" t="s">
        <v>2207</v>
      </c>
      <c r="E1369" s="13" t="s">
        <v>2209</v>
      </c>
      <c r="F1369" s="13" t="s">
        <v>2219</v>
      </c>
      <c r="G1369" s="13">
        <v>60.92</v>
      </c>
      <c r="H1369" s="13">
        <v>0</v>
      </c>
      <c r="I1369" s="13">
        <v>60.92</v>
      </c>
      <c r="J1369" s="24">
        <v>45875</v>
      </c>
      <c r="K1369" s="13">
        <v>25</v>
      </c>
      <c r="M1369" s="13" t="b">
        <v>1</v>
      </c>
      <c r="N1369" s="13" t="s">
        <v>2228</v>
      </c>
      <c r="O1369" s="13">
        <f t="shared" si="21"/>
        <v>2.9846153846153847</v>
      </c>
    </row>
    <row r="1370" spans="1:15" x14ac:dyDescent="0.25">
      <c r="A1370" s="13" t="s">
        <v>1382</v>
      </c>
      <c r="B1370" s="13" t="s">
        <v>2193</v>
      </c>
      <c r="C1370" s="13" t="s">
        <v>2200</v>
      </c>
      <c r="D1370" s="13" t="s">
        <v>2207</v>
      </c>
      <c r="E1370" s="13" t="s">
        <v>2208</v>
      </c>
      <c r="F1370" s="13" t="s">
        <v>2218</v>
      </c>
      <c r="G1370" s="13">
        <v>122.03</v>
      </c>
      <c r="H1370" s="13">
        <v>25.2</v>
      </c>
      <c r="I1370" s="13">
        <v>91.28</v>
      </c>
      <c r="J1370" s="24">
        <v>45875</v>
      </c>
      <c r="K1370" s="13">
        <v>21</v>
      </c>
      <c r="L1370" s="13">
        <v>4.7</v>
      </c>
      <c r="M1370" s="13" t="b">
        <v>0</v>
      </c>
      <c r="O1370" s="13">
        <f t="shared" si="21"/>
        <v>4.7</v>
      </c>
    </row>
    <row r="1371" spans="1:15" x14ac:dyDescent="0.25">
      <c r="A1371" s="13" t="s">
        <v>1383</v>
      </c>
      <c r="B1371" s="13" t="s">
        <v>2193</v>
      </c>
      <c r="C1371" s="13" t="s">
        <v>2199</v>
      </c>
      <c r="D1371" s="13" t="s">
        <v>2204</v>
      </c>
      <c r="E1371" s="13" t="s">
        <v>2210</v>
      </c>
      <c r="F1371" s="13" t="s">
        <v>2224</v>
      </c>
      <c r="G1371" s="13">
        <v>109.15</v>
      </c>
      <c r="H1371" s="13">
        <v>0</v>
      </c>
      <c r="I1371" s="13">
        <v>109.15</v>
      </c>
      <c r="J1371" s="24">
        <v>45607</v>
      </c>
      <c r="K1371" s="13">
        <v>11</v>
      </c>
      <c r="M1371" s="13" t="b">
        <v>0</v>
      </c>
      <c r="O1371" s="13">
        <f t="shared" si="21"/>
        <v>2.9804347826086954</v>
      </c>
    </row>
    <row r="1372" spans="1:15" x14ac:dyDescent="0.25">
      <c r="A1372" s="13" t="s">
        <v>1384</v>
      </c>
      <c r="B1372" s="13" t="s">
        <v>2194</v>
      </c>
      <c r="C1372" s="13" t="s">
        <v>2201</v>
      </c>
      <c r="D1372" s="13" t="s">
        <v>2206</v>
      </c>
      <c r="E1372" s="13" t="s">
        <v>2213</v>
      </c>
      <c r="F1372" s="13" t="s">
        <v>2221</v>
      </c>
      <c r="G1372" s="13">
        <v>60.97</v>
      </c>
      <c r="H1372" s="13">
        <v>0</v>
      </c>
      <c r="I1372" s="13">
        <v>60.97</v>
      </c>
      <c r="J1372" s="24">
        <v>45875</v>
      </c>
      <c r="K1372" s="13">
        <v>29</v>
      </c>
      <c r="L1372" s="13">
        <v>4.5</v>
      </c>
      <c r="M1372" s="13" t="b">
        <v>0</v>
      </c>
      <c r="O1372" s="13">
        <f t="shared" si="21"/>
        <v>4.5</v>
      </c>
    </row>
    <row r="1373" spans="1:15" x14ac:dyDescent="0.25">
      <c r="A1373" s="13" t="s">
        <v>1385</v>
      </c>
      <c r="B1373" s="13" t="s">
        <v>2192</v>
      </c>
      <c r="C1373" s="13" t="s">
        <v>2197</v>
      </c>
      <c r="D1373" s="13" t="s">
        <v>2207</v>
      </c>
      <c r="F1373" s="13" t="s">
        <v>2215</v>
      </c>
      <c r="G1373" s="13">
        <v>64.87</v>
      </c>
      <c r="H1373" s="13">
        <v>35.299999999999997</v>
      </c>
      <c r="I1373" s="13">
        <v>41.97</v>
      </c>
      <c r="J1373" s="24">
        <v>45875</v>
      </c>
      <c r="K1373" s="13">
        <v>12</v>
      </c>
      <c r="L1373" s="13">
        <v>4.2</v>
      </c>
      <c r="M1373" s="13" t="b">
        <v>1</v>
      </c>
      <c r="N1373" s="13" t="s">
        <v>2226</v>
      </c>
      <c r="O1373" s="13">
        <f t="shared" si="21"/>
        <v>4.2</v>
      </c>
    </row>
    <row r="1374" spans="1:15" x14ac:dyDescent="0.25">
      <c r="A1374" s="13" t="s">
        <v>1386</v>
      </c>
      <c r="B1374" s="13" t="s">
        <v>2193</v>
      </c>
      <c r="C1374" s="13" t="s">
        <v>2199</v>
      </c>
      <c r="D1374" s="13" t="s">
        <v>2206</v>
      </c>
      <c r="E1374" s="13" t="s">
        <v>2210</v>
      </c>
      <c r="F1374" s="13" t="s">
        <v>2215</v>
      </c>
      <c r="G1374" s="13">
        <v>151.35</v>
      </c>
      <c r="H1374" s="13">
        <v>0</v>
      </c>
      <c r="I1374" s="13">
        <v>151.35</v>
      </c>
      <c r="J1374" s="24">
        <v>45875</v>
      </c>
      <c r="K1374" s="13">
        <v>18</v>
      </c>
      <c r="M1374" s="13" t="b">
        <v>0</v>
      </c>
      <c r="O1374" s="13">
        <f t="shared" si="21"/>
        <v>2.9804347826086954</v>
      </c>
    </row>
    <row r="1375" spans="1:15" x14ac:dyDescent="0.25">
      <c r="A1375" s="13" t="s">
        <v>1387</v>
      </c>
      <c r="B1375" s="13" t="s">
        <v>2192</v>
      </c>
      <c r="C1375" s="13" t="s">
        <v>2202</v>
      </c>
      <c r="D1375" s="13" t="s">
        <v>2205</v>
      </c>
      <c r="F1375" s="13" t="s">
        <v>2219</v>
      </c>
      <c r="G1375" s="13">
        <v>72.900000000000006</v>
      </c>
      <c r="H1375" s="13">
        <v>44</v>
      </c>
      <c r="I1375" s="13">
        <v>40.82</v>
      </c>
      <c r="J1375" s="24">
        <v>45875</v>
      </c>
      <c r="K1375" s="13">
        <v>25</v>
      </c>
      <c r="L1375" s="13">
        <v>3</v>
      </c>
      <c r="M1375" s="13" t="b">
        <v>0</v>
      </c>
      <c r="O1375" s="13">
        <f t="shared" si="21"/>
        <v>3</v>
      </c>
    </row>
    <row r="1376" spans="1:15" x14ac:dyDescent="0.25">
      <c r="A1376" s="13" t="s">
        <v>1388</v>
      </c>
      <c r="B1376" s="13" t="s">
        <v>2192</v>
      </c>
      <c r="C1376" s="13" t="s">
        <v>2202</v>
      </c>
      <c r="D1376" s="13" t="s">
        <v>2205</v>
      </c>
      <c r="F1376" s="13" t="s">
        <v>2223</v>
      </c>
      <c r="G1376" s="13">
        <v>79.48</v>
      </c>
      <c r="H1376" s="13">
        <v>0</v>
      </c>
      <c r="I1376" s="13">
        <v>79.48</v>
      </c>
      <c r="J1376" s="24">
        <v>45875</v>
      </c>
      <c r="K1376" s="13">
        <v>2</v>
      </c>
      <c r="L1376" s="13">
        <v>3.3</v>
      </c>
      <c r="M1376" s="13" t="b">
        <v>0</v>
      </c>
      <c r="O1376" s="13">
        <f t="shared" si="21"/>
        <v>3.3</v>
      </c>
    </row>
    <row r="1377" spans="1:15" x14ac:dyDescent="0.25">
      <c r="A1377" s="13" t="s">
        <v>1389</v>
      </c>
      <c r="B1377" s="13" t="s">
        <v>2193</v>
      </c>
      <c r="C1377" s="13" t="s">
        <v>2199</v>
      </c>
      <c r="D1377" s="13" t="s">
        <v>2206</v>
      </c>
      <c r="E1377" s="13" t="s">
        <v>2213</v>
      </c>
      <c r="F1377" s="13" t="s">
        <v>2221</v>
      </c>
      <c r="G1377" s="13">
        <v>122.77</v>
      </c>
      <c r="H1377" s="13">
        <v>59.8</v>
      </c>
      <c r="I1377" s="13">
        <v>49.35</v>
      </c>
      <c r="J1377" s="24">
        <v>45875</v>
      </c>
      <c r="K1377" s="13">
        <v>33</v>
      </c>
      <c r="L1377" s="13">
        <v>4</v>
      </c>
      <c r="M1377" s="13" t="b">
        <v>0</v>
      </c>
      <c r="O1377" s="13">
        <f t="shared" si="21"/>
        <v>4</v>
      </c>
    </row>
    <row r="1378" spans="1:15" x14ac:dyDescent="0.25">
      <c r="A1378" s="13" t="s">
        <v>1390</v>
      </c>
      <c r="B1378" s="13" t="s">
        <v>2194</v>
      </c>
      <c r="C1378" s="13" t="s">
        <v>2203</v>
      </c>
      <c r="D1378" s="13" t="s">
        <v>2207</v>
      </c>
      <c r="E1378" s="13" t="s">
        <v>2208</v>
      </c>
      <c r="F1378" s="13" t="s">
        <v>2216</v>
      </c>
      <c r="G1378" s="13">
        <v>79.61</v>
      </c>
      <c r="H1378" s="13">
        <v>0</v>
      </c>
      <c r="I1378" s="13">
        <v>79.61</v>
      </c>
      <c r="J1378" s="24">
        <v>45875</v>
      </c>
      <c r="K1378" s="13">
        <v>29</v>
      </c>
      <c r="L1378" s="13">
        <v>3.7</v>
      </c>
      <c r="M1378" s="13" t="b">
        <v>0</v>
      </c>
      <c r="O1378" s="13">
        <f t="shared" si="21"/>
        <v>3.7</v>
      </c>
    </row>
    <row r="1379" spans="1:15" x14ac:dyDescent="0.25">
      <c r="A1379" s="13" t="s">
        <v>1391</v>
      </c>
      <c r="B1379" s="13" t="s">
        <v>2194</v>
      </c>
      <c r="C1379" s="13" t="s">
        <v>2197</v>
      </c>
      <c r="D1379" s="13" t="s">
        <v>2205</v>
      </c>
      <c r="E1379" s="13" t="s">
        <v>2209</v>
      </c>
      <c r="F1379" s="13" t="s">
        <v>2217</v>
      </c>
      <c r="G1379" s="13">
        <v>60.13</v>
      </c>
      <c r="H1379" s="13">
        <v>0</v>
      </c>
      <c r="I1379" s="13">
        <v>60.13</v>
      </c>
      <c r="J1379" s="24">
        <v>45875</v>
      </c>
      <c r="K1379" s="13">
        <v>27</v>
      </c>
      <c r="M1379" s="13" t="b">
        <v>0</v>
      </c>
      <c r="O1379" s="13">
        <f t="shared" si="21"/>
        <v>3.0846153846153843</v>
      </c>
    </row>
    <row r="1380" spans="1:15" x14ac:dyDescent="0.25">
      <c r="A1380" s="13" t="s">
        <v>1392</v>
      </c>
      <c r="B1380" s="13" t="s">
        <v>2192</v>
      </c>
      <c r="C1380" s="13" t="s">
        <v>2202</v>
      </c>
      <c r="D1380" s="13" t="s">
        <v>2205</v>
      </c>
      <c r="F1380" s="13" t="s">
        <v>2218</v>
      </c>
      <c r="G1380" s="13">
        <v>72.260000000000005</v>
      </c>
      <c r="H1380" s="13">
        <v>41</v>
      </c>
      <c r="I1380" s="13">
        <v>42.63</v>
      </c>
      <c r="J1380" s="24">
        <v>45875</v>
      </c>
      <c r="K1380" s="13">
        <v>43</v>
      </c>
      <c r="L1380" s="13">
        <v>3.5</v>
      </c>
      <c r="M1380" s="13" t="b">
        <v>0</v>
      </c>
      <c r="O1380" s="13">
        <f t="shared" si="21"/>
        <v>3.5</v>
      </c>
    </row>
    <row r="1381" spans="1:15" x14ac:dyDescent="0.25">
      <c r="A1381" s="13" t="s">
        <v>1393</v>
      </c>
      <c r="B1381" s="13" t="s">
        <v>2194</v>
      </c>
      <c r="C1381" s="13" t="s">
        <v>2199</v>
      </c>
      <c r="D1381" s="13" t="s">
        <v>2207</v>
      </c>
      <c r="E1381" s="13" t="s">
        <v>2208</v>
      </c>
      <c r="F1381" s="13" t="s">
        <v>2220</v>
      </c>
      <c r="G1381" s="13">
        <v>66.38</v>
      </c>
      <c r="H1381" s="13">
        <v>17</v>
      </c>
      <c r="I1381" s="13">
        <v>55.1</v>
      </c>
      <c r="J1381" s="24">
        <v>45875</v>
      </c>
      <c r="K1381" s="13">
        <v>24</v>
      </c>
      <c r="L1381" s="13">
        <v>4.9000000000000004</v>
      </c>
      <c r="M1381" s="13" t="b">
        <v>1</v>
      </c>
      <c r="N1381" s="13" t="s">
        <v>2226</v>
      </c>
      <c r="O1381" s="13">
        <f t="shared" si="21"/>
        <v>4.9000000000000004</v>
      </c>
    </row>
    <row r="1382" spans="1:15" x14ac:dyDescent="0.25">
      <c r="A1382" s="13" t="s">
        <v>1394</v>
      </c>
      <c r="B1382" s="13" t="s">
        <v>2190</v>
      </c>
      <c r="C1382" s="13" t="s">
        <v>2201</v>
      </c>
      <c r="D1382" s="13" t="s">
        <v>2204</v>
      </c>
      <c r="E1382" s="13" t="s">
        <v>2212</v>
      </c>
      <c r="F1382" s="13" t="s">
        <v>2221</v>
      </c>
      <c r="G1382" s="13">
        <v>100.27</v>
      </c>
      <c r="H1382" s="13">
        <v>0</v>
      </c>
      <c r="I1382" s="13">
        <v>100.27</v>
      </c>
      <c r="J1382" s="24">
        <v>45719</v>
      </c>
      <c r="K1382" s="13">
        <v>37</v>
      </c>
      <c r="L1382" s="13">
        <v>3.1</v>
      </c>
      <c r="M1382" s="13" t="b">
        <v>0</v>
      </c>
      <c r="O1382" s="13">
        <f t="shared" si="21"/>
        <v>3.1</v>
      </c>
    </row>
    <row r="1383" spans="1:15" x14ac:dyDescent="0.25">
      <c r="A1383" s="13" t="s">
        <v>1395</v>
      </c>
      <c r="B1383" s="13" t="s">
        <v>2195</v>
      </c>
      <c r="C1383" s="13" t="s">
        <v>2196</v>
      </c>
      <c r="D1383" s="13" t="s">
        <v>2207</v>
      </c>
      <c r="E1383" s="13" t="s">
        <v>2210</v>
      </c>
      <c r="F1383" s="13" t="s">
        <v>2221</v>
      </c>
      <c r="G1383" s="13">
        <v>116.09</v>
      </c>
      <c r="H1383" s="13">
        <v>52.8</v>
      </c>
      <c r="I1383" s="13">
        <v>54.79</v>
      </c>
      <c r="J1383" s="24">
        <v>45875</v>
      </c>
      <c r="K1383" s="13">
        <v>22</v>
      </c>
      <c r="M1383" s="13" t="b">
        <v>0</v>
      </c>
      <c r="O1383" s="13">
        <f t="shared" si="21"/>
        <v>3.0424242424242425</v>
      </c>
    </row>
    <row r="1384" spans="1:15" x14ac:dyDescent="0.25">
      <c r="A1384" s="13" t="s">
        <v>1396</v>
      </c>
      <c r="B1384" s="13" t="s">
        <v>2190</v>
      </c>
      <c r="C1384" s="13" t="s">
        <v>2199</v>
      </c>
      <c r="D1384" s="13" t="s">
        <v>2206</v>
      </c>
      <c r="E1384" s="13" t="s">
        <v>2210</v>
      </c>
      <c r="F1384" s="13" t="s">
        <v>2217</v>
      </c>
      <c r="G1384" s="13">
        <v>80.709999999999994</v>
      </c>
      <c r="H1384" s="13">
        <v>0.9</v>
      </c>
      <c r="I1384" s="13">
        <v>79.98</v>
      </c>
      <c r="J1384" s="24">
        <v>45875</v>
      </c>
      <c r="K1384" s="13">
        <v>11</v>
      </c>
      <c r="L1384" s="13">
        <v>1.1000000000000001</v>
      </c>
      <c r="M1384" s="13" t="b">
        <v>0</v>
      </c>
      <c r="O1384" s="13">
        <f t="shared" si="21"/>
        <v>1.1000000000000001</v>
      </c>
    </row>
    <row r="1385" spans="1:15" x14ac:dyDescent="0.25">
      <c r="A1385" s="13" t="s">
        <v>1397</v>
      </c>
      <c r="B1385" s="13" t="s">
        <v>2195</v>
      </c>
      <c r="C1385" s="13" t="s">
        <v>2198</v>
      </c>
      <c r="D1385" s="13" t="s">
        <v>2207</v>
      </c>
      <c r="E1385" s="13" t="s">
        <v>2213</v>
      </c>
      <c r="F1385" s="13" t="s">
        <v>2219</v>
      </c>
      <c r="G1385" s="13">
        <v>175.11</v>
      </c>
      <c r="H1385" s="13">
        <v>0</v>
      </c>
      <c r="I1385" s="13">
        <v>175.11</v>
      </c>
      <c r="J1385" s="24">
        <v>45875</v>
      </c>
      <c r="K1385" s="13">
        <v>39</v>
      </c>
      <c r="L1385" s="13">
        <v>2.9</v>
      </c>
      <c r="M1385" s="13" t="b">
        <v>0</v>
      </c>
      <c r="O1385" s="13">
        <f t="shared" si="21"/>
        <v>2.9</v>
      </c>
    </row>
    <row r="1386" spans="1:15" x14ac:dyDescent="0.25">
      <c r="A1386" s="13" t="s">
        <v>1398</v>
      </c>
      <c r="B1386" s="13" t="s">
        <v>2195</v>
      </c>
      <c r="C1386" s="13" t="s">
        <v>2199</v>
      </c>
      <c r="D1386" s="13" t="s">
        <v>2206</v>
      </c>
      <c r="E1386" s="13" t="s">
        <v>2212</v>
      </c>
      <c r="F1386" s="13" t="s">
        <v>2224</v>
      </c>
      <c r="G1386" s="13">
        <v>122.35</v>
      </c>
      <c r="H1386" s="13">
        <v>37</v>
      </c>
      <c r="I1386" s="13">
        <v>77.08</v>
      </c>
      <c r="J1386" s="24">
        <v>45875</v>
      </c>
      <c r="K1386" s="13">
        <v>25</v>
      </c>
      <c r="M1386" s="13" t="b">
        <v>0</v>
      </c>
      <c r="O1386" s="13">
        <f t="shared" si="21"/>
        <v>2.8372093023255811</v>
      </c>
    </row>
    <row r="1387" spans="1:15" x14ac:dyDescent="0.25">
      <c r="A1387" s="13" t="s">
        <v>1399</v>
      </c>
      <c r="B1387" s="13" t="s">
        <v>2193</v>
      </c>
      <c r="C1387" s="13" t="s">
        <v>2197</v>
      </c>
      <c r="D1387" s="13" t="s">
        <v>2205</v>
      </c>
      <c r="E1387" s="13" t="s">
        <v>2210</v>
      </c>
      <c r="F1387" s="13" t="s">
        <v>2219</v>
      </c>
      <c r="G1387" s="13">
        <v>127.99</v>
      </c>
      <c r="H1387" s="13">
        <v>0</v>
      </c>
      <c r="I1387" s="13">
        <v>127.99</v>
      </c>
      <c r="J1387" s="24">
        <v>45875</v>
      </c>
      <c r="K1387" s="13">
        <v>14</v>
      </c>
      <c r="L1387" s="13">
        <v>2.7</v>
      </c>
      <c r="M1387" s="13" t="b">
        <v>0</v>
      </c>
      <c r="O1387" s="13">
        <f t="shared" si="21"/>
        <v>2.7</v>
      </c>
    </row>
    <row r="1388" spans="1:15" x14ac:dyDescent="0.25">
      <c r="A1388" s="13" t="s">
        <v>1400</v>
      </c>
      <c r="B1388" s="13" t="s">
        <v>2194</v>
      </c>
      <c r="C1388" s="13" t="s">
        <v>2196</v>
      </c>
      <c r="D1388" s="13" t="s">
        <v>2207</v>
      </c>
      <c r="E1388" s="13" t="s">
        <v>2210</v>
      </c>
      <c r="F1388" s="13" t="s">
        <v>2224</v>
      </c>
      <c r="G1388" s="13">
        <v>101.07</v>
      </c>
      <c r="H1388" s="13">
        <v>4.5999999999999996</v>
      </c>
      <c r="I1388" s="13">
        <v>96.42</v>
      </c>
      <c r="J1388" s="24">
        <v>45875</v>
      </c>
      <c r="K1388" s="13">
        <v>19</v>
      </c>
      <c r="L1388" s="13">
        <v>4.7</v>
      </c>
      <c r="M1388" s="13" t="b">
        <v>0</v>
      </c>
      <c r="O1388" s="13">
        <f t="shared" si="21"/>
        <v>4.7</v>
      </c>
    </row>
    <row r="1389" spans="1:15" x14ac:dyDescent="0.25">
      <c r="A1389" s="13" t="s">
        <v>1401</v>
      </c>
      <c r="B1389" s="13" t="s">
        <v>2194</v>
      </c>
      <c r="C1389" s="13" t="s">
        <v>2203</v>
      </c>
      <c r="D1389" s="13" t="s">
        <v>2205</v>
      </c>
      <c r="E1389" s="13" t="s">
        <v>2209</v>
      </c>
      <c r="F1389" s="13" t="s">
        <v>2224</v>
      </c>
      <c r="G1389" s="13">
        <v>41.83</v>
      </c>
      <c r="H1389" s="13">
        <v>44.1</v>
      </c>
      <c r="I1389" s="13">
        <v>23.38</v>
      </c>
      <c r="J1389" s="24">
        <v>45875</v>
      </c>
      <c r="K1389" s="13">
        <v>6</v>
      </c>
      <c r="L1389" s="13">
        <v>2.4</v>
      </c>
      <c r="M1389" s="13" t="b">
        <v>0</v>
      </c>
      <c r="O1389" s="13">
        <f t="shared" si="21"/>
        <v>2.4</v>
      </c>
    </row>
    <row r="1390" spans="1:15" x14ac:dyDescent="0.25">
      <c r="A1390" s="13" t="s">
        <v>1402</v>
      </c>
      <c r="B1390" s="13" t="s">
        <v>2193</v>
      </c>
      <c r="C1390" s="13" t="s">
        <v>2200</v>
      </c>
      <c r="D1390" s="13" t="s">
        <v>2204</v>
      </c>
      <c r="E1390" s="13" t="s">
        <v>2213</v>
      </c>
      <c r="F1390" s="13" t="s">
        <v>2220</v>
      </c>
      <c r="G1390" s="13">
        <v>147.52000000000001</v>
      </c>
      <c r="H1390" s="13">
        <v>0</v>
      </c>
      <c r="I1390" s="13">
        <v>147.52000000000001</v>
      </c>
      <c r="J1390" s="24">
        <v>45665</v>
      </c>
      <c r="K1390" s="13">
        <v>41</v>
      </c>
      <c r="L1390" s="13">
        <v>4</v>
      </c>
      <c r="M1390" s="13" t="b">
        <v>0</v>
      </c>
      <c r="O1390" s="13">
        <f t="shared" si="21"/>
        <v>4</v>
      </c>
    </row>
    <row r="1391" spans="1:15" x14ac:dyDescent="0.25">
      <c r="A1391" s="13" t="s">
        <v>1403</v>
      </c>
      <c r="B1391" s="13" t="s">
        <v>2191</v>
      </c>
      <c r="C1391" s="13" t="s">
        <v>2198</v>
      </c>
      <c r="D1391" s="13" t="s">
        <v>2206</v>
      </c>
      <c r="E1391" s="13" t="s">
        <v>2210</v>
      </c>
      <c r="F1391" s="13" t="s">
        <v>2218</v>
      </c>
      <c r="G1391" s="13">
        <v>85.94</v>
      </c>
      <c r="H1391" s="13">
        <v>0</v>
      </c>
      <c r="I1391" s="13">
        <v>85.94</v>
      </c>
      <c r="J1391" s="24">
        <v>45875</v>
      </c>
      <c r="K1391" s="13">
        <v>49</v>
      </c>
      <c r="L1391" s="13">
        <v>1.5</v>
      </c>
      <c r="M1391" s="13" t="b">
        <v>0</v>
      </c>
      <c r="O1391" s="13">
        <f t="shared" si="21"/>
        <v>1.5</v>
      </c>
    </row>
    <row r="1392" spans="1:15" x14ac:dyDescent="0.25">
      <c r="A1392" s="13" t="s">
        <v>1404</v>
      </c>
      <c r="B1392" s="13" t="s">
        <v>2195</v>
      </c>
      <c r="C1392" s="13" t="s">
        <v>2202</v>
      </c>
      <c r="D1392" s="13" t="s">
        <v>2205</v>
      </c>
      <c r="E1392" s="13" t="s">
        <v>2211</v>
      </c>
      <c r="F1392" s="13" t="s">
        <v>2220</v>
      </c>
      <c r="G1392" s="13">
        <v>115.61</v>
      </c>
      <c r="H1392" s="13">
        <v>0</v>
      </c>
      <c r="I1392" s="13">
        <v>115.61</v>
      </c>
      <c r="J1392" s="24">
        <v>45875</v>
      </c>
      <c r="K1392" s="13">
        <v>35</v>
      </c>
      <c r="L1392" s="13">
        <v>1.8</v>
      </c>
      <c r="M1392" s="13" t="b">
        <v>0</v>
      </c>
      <c r="O1392" s="13">
        <f t="shared" si="21"/>
        <v>1.8</v>
      </c>
    </row>
    <row r="1393" spans="1:15" x14ac:dyDescent="0.25">
      <c r="A1393" s="13" t="s">
        <v>1405</v>
      </c>
      <c r="B1393" s="13" t="s">
        <v>2190</v>
      </c>
      <c r="C1393" s="13" t="s">
        <v>2201</v>
      </c>
      <c r="D1393" s="13" t="s">
        <v>2205</v>
      </c>
      <c r="E1393" s="13" t="s">
        <v>2212</v>
      </c>
      <c r="F1393" s="13" t="s">
        <v>2215</v>
      </c>
      <c r="G1393" s="13">
        <v>90.58</v>
      </c>
      <c r="H1393" s="13">
        <v>0</v>
      </c>
      <c r="I1393" s="13">
        <v>90.58</v>
      </c>
      <c r="J1393" s="24">
        <v>45875</v>
      </c>
      <c r="K1393" s="13">
        <v>1</v>
      </c>
      <c r="L1393" s="13">
        <v>1</v>
      </c>
      <c r="M1393" s="13" t="b">
        <v>0</v>
      </c>
      <c r="O1393" s="13">
        <f t="shared" si="21"/>
        <v>1</v>
      </c>
    </row>
    <row r="1394" spans="1:15" x14ac:dyDescent="0.25">
      <c r="A1394" s="13" t="s">
        <v>1406</v>
      </c>
      <c r="B1394" s="13" t="s">
        <v>2191</v>
      </c>
      <c r="C1394" s="13" t="s">
        <v>2202</v>
      </c>
      <c r="D1394" s="13" t="s">
        <v>2204</v>
      </c>
      <c r="E1394" s="13" t="s">
        <v>2210</v>
      </c>
      <c r="F1394" s="13" t="s">
        <v>2214</v>
      </c>
      <c r="G1394" s="13">
        <v>64.84</v>
      </c>
      <c r="H1394" s="13">
        <v>0</v>
      </c>
      <c r="I1394" s="13">
        <v>64.84</v>
      </c>
      <c r="J1394" s="24">
        <v>45591</v>
      </c>
      <c r="K1394" s="13">
        <v>25</v>
      </c>
      <c r="L1394" s="13">
        <v>3.9</v>
      </c>
      <c r="M1394" s="13" t="b">
        <v>0</v>
      </c>
      <c r="O1394" s="13">
        <f t="shared" si="21"/>
        <v>3.9</v>
      </c>
    </row>
    <row r="1395" spans="1:15" x14ac:dyDescent="0.25">
      <c r="A1395" s="13" t="s">
        <v>1407</v>
      </c>
      <c r="B1395" s="13" t="s">
        <v>2194</v>
      </c>
      <c r="C1395" s="13" t="s">
        <v>2198</v>
      </c>
      <c r="D1395" s="13" t="s">
        <v>2207</v>
      </c>
      <c r="E1395" s="13" t="s">
        <v>2212</v>
      </c>
      <c r="F1395" s="13" t="s">
        <v>2216</v>
      </c>
      <c r="G1395" s="13">
        <v>37.270000000000003</v>
      </c>
      <c r="H1395" s="13">
        <v>0</v>
      </c>
      <c r="I1395" s="13">
        <v>37.270000000000003</v>
      </c>
      <c r="J1395" s="24">
        <v>45875</v>
      </c>
      <c r="K1395" s="13">
        <v>27</v>
      </c>
      <c r="L1395" s="13">
        <v>2.8</v>
      </c>
      <c r="M1395" s="13" t="b">
        <v>1</v>
      </c>
      <c r="N1395" s="13" t="s">
        <v>2229</v>
      </c>
      <c r="O1395" s="13">
        <f t="shared" si="21"/>
        <v>2.8</v>
      </c>
    </row>
    <row r="1396" spans="1:15" x14ac:dyDescent="0.25">
      <c r="A1396" s="13" t="s">
        <v>1408</v>
      </c>
      <c r="B1396" s="13" t="s">
        <v>2191</v>
      </c>
      <c r="C1396" s="13" t="s">
        <v>2202</v>
      </c>
      <c r="D1396" s="13" t="s">
        <v>2207</v>
      </c>
      <c r="E1396" s="13" t="s">
        <v>2208</v>
      </c>
      <c r="F1396" s="13" t="s">
        <v>2219</v>
      </c>
      <c r="G1396" s="13">
        <v>90.48</v>
      </c>
      <c r="H1396" s="13">
        <v>55.2</v>
      </c>
      <c r="I1396" s="13">
        <v>40.54</v>
      </c>
      <c r="J1396" s="24">
        <v>45875</v>
      </c>
      <c r="K1396" s="13">
        <v>26</v>
      </c>
      <c r="L1396" s="13">
        <v>3</v>
      </c>
      <c r="M1396" s="13" t="b">
        <v>0</v>
      </c>
      <c r="O1396" s="13">
        <f t="shared" si="21"/>
        <v>3</v>
      </c>
    </row>
    <row r="1397" spans="1:15" x14ac:dyDescent="0.25">
      <c r="A1397" s="13" t="s">
        <v>1409</v>
      </c>
      <c r="B1397" s="13" t="s">
        <v>2193</v>
      </c>
      <c r="C1397" s="13" t="s">
        <v>2202</v>
      </c>
      <c r="D1397" s="13" t="s">
        <v>2207</v>
      </c>
      <c r="E1397" s="13" t="s">
        <v>2210</v>
      </c>
      <c r="F1397" s="13" t="s">
        <v>2220</v>
      </c>
      <c r="G1397" s="13">
        <v>159.62</v>
      </c>
      <c r="H1397" s="13">
        <v>58.4</v>
      </c>
      <c r="I1397" s="13">
        <v>66.400000000000006</v>
      </c>
      <c r="J1397" s="24">
        <v>45875</v>
      </c>
      <c r="K1397" s="13">
        <v>45</v>
      </c>
      <c r="L1397" s="13">
        <v>1.1000000000000001</v>
      </c>
      <c r="M1397" s="13" t="b">
        <v>0</v>
      </c>
      <c r="O1397" s="13">
        <f t="shared" si="21"/>
        <v>1.1000000000000001</v>
      </c>
    </row>
    <row r="1398" spans="1:15" x14ac:dyDescent="0.25">
      <c r="A1398" s="13" t="s">
        <v>1410</v>
      </c>
      <c r="B1398" s="13" t="s">
        <v>2193</v>
      </c>
      <c r="C1398" s="13" t="s">
        <v>2201</v>
      </c>
      <c r="D1398" s="13" t="s">
        <v>2207</v>
      </c>
      <c r="E1398" s="13" t="s">
        <v>2209</v>
      </c>
      <c r="F1398" s="13" t="s">
        <v>2218</v>
      </c>
      <c r="G1398" s="13">
        <v>81.459999999999994</v>
      </c>
      <c r="H1398" s="13">
        <v>58.8</v>
      </c>
      <c r="I1398" s="13">
        <v>33.56</v>
      </c>
      <c r="J1398" s="24">
        <v>45875</v>
      </c>
      <c r="K1398" s="13">
        <v>37</v>
      </c>
      <c r="L1398" s="13">
        <v>4.5999999999999996</v>
      </c>
      <c r="M1398" s="13" t="b">
        <v>0</v>
      </c>
      <c r="O1398" s="13">
        <f t="shared" si="21"/>
        <v>4.5999999999999996</v>
      </c>
    </row>
    <row r="1399" spans="1:15" x14ac:dyDescent="0.25">
      <c r="A1399" s="13" t="s">
        <v>1411</v>
      </c>
      <c r="B1399" s="13" t="s">
        <v>2193</v>
      </c>
      <c r="C1399" s="13" t="s">
        <v>2203</v>
      </c>
      <c r="D1399" s="13" t="s">
        <v>2205</v>
      </c>
      <c r="E1399" s="13" t="s">
        <v>2212</v>
      </c>
      <c r="F1399" s="13" t="s">
        <v>2217</v>
      </c>
      <c r="G1399" s="13">
        <v>93.63</v>
      </c>
      <c r="H1399" s="13">
        <v>0</v>
      </c>
      <c r="I1399" s="13">
        <v>93.63</v>
      </c>
      <c r="J1399" s="24">
        <v>45875</v>
      </c>
      <c r="K1399" s="13">
        <v>47</v>
      </c>
      <c r="L1399" s="13">
        <v>4.0999999999999996</v>
      </c>
      <c r="M1399" s="13" t="b">
        <v>0</v>
      </c>
      <c r="O1399" s="13">
        <f t="shared" si="21"/>
        <v>4.0999999999999996</v>
      </c>
    </row>
    <row r="1400" spans="1:15" x14ac:dyDescent="0.25">
      <c r="A1400" s="13" t="s">
        <v>1412</v>
      </c>
      <c r="B1400" s="13" t="s">
        <v>2191</v>
      </c>
      <c r="C1400" s="13" t="s">
        <v>2201</v>
      </c>
      <c r="D1400" s="13" t="s">
        <v>2207</v>
      </c>
      <c r="E1400" s="13" t="s">
        <v>2213</v>
      </c>
      <c r="F1400" s="13" t="s">
        <v>2224</v>
      </c>
      <c r="G1400" s="13">
        <v>95.55</v>
      </c>
      <c r="H1400" s="13">
        <v>0</v>
      </c>
      <c r="I1400" s="13">
        <v>95.55</v>
      </c>
      <c r="J1400" s="24">
        <v>45875</v>
      </c>
      <c r="K1400" s="13">
        <v>25</v>
      </c>
      <c r="L1400" s="13">
        <v>4.7</v>
      </c>
      <c r="M1400" s="13" t="b">
        <v>0</v>
      </c>
      <c r="O1400" s="13">
        <f t="shared" si="21"/>
        <v>4.7</v>
      </c>
    </row>
    <row r="1401" spans="1:15" x14ac:dyDescent="0.25">
      <c r="A1401" s="13" t="s">
        <v>1413</v>
      </c>
      <c r="B1401" s="13" t="s">
        <v>2190</v>
      </c>
      <c r="C1401" s="13" t="s">
        <v>2196</v>
      </c>
      <c r="D1401" s="13" t="s">
        <v>2205</v>
      </c>
      <c r="E1401" s="13" t="s">
        <v>2213</v>
      </c>
      <c r="F1401" s="13" t="s">
        <v>2217</v>
      </c>
      <c r="G1401" s="13">
        <v>146.44999999999999</v>
      </c>
      <c r="H1401" s="13">
        <v>0</v>
      </c>
      <c r="I1401" s="13">
        <v>146.44999999999999</v>
      </c>
      <c r="J1401" s="24">
        <v>45875</v>
      </c>
      <c r="K1401" s="13">
        <v>45</v>
      </c>
      <c r="L1401" s="13">
        <v>3.4</v>
      </c>
      <c r="M1401" s="13" t="b">
        <v>0</v>
      </c>
      <c r="O1401" s="13">
        <f t="shared" si="21"/>
        <v>3.4</v>
      </c>
    </row>
    <row r="1402" spans="1:15" x14ac:dyDescent="0.25">
      <c r="A1402" s="13" t="s">
        <v>1414</v>
      </c>
      <c r="B1402" s="13" t="s">
        <v>2193</v>
      </c>
      <c r="C1402" s="13" t="s">
        <v>2198</v>
      </c>
      <c r="D1402" s="13" t="s">
        <v>2204</v>
      </c>
      <c r="E1402" s="13" t="s">
        <v>2213</v>
      </c>
      <c r="F1402" s="13" t="s">
        <v>2219</v>
      </c>
      <c r="G1402" s="13">
        <v>96.9</v>
      </c>
      <c r="H1402" s="13">
        <v>0</v>
      </c>
      <c r="I1402" s="13">
        <v>96.9</v>
      </c>
      <c r="J1402" s="24">
        <v>45691</v>
      </c>
      <c r="K1402" s="13">
        <v>24</v>
      </c>
      <c r="L1402" s="13">
        <v>4.3</v>
      </c>
      <c r="M1402" s="13" t="b">
        <v>0</v>
      </c>
      <c r="O1402" s="13">
        <f t="shared" si="21"/>
        <v>4.3</v>
      </c>
    </row>
    <row r="1403" spans="1:15" x14ac:dyDescent="0.25">
      <c r="A1403" s="13" t="s">
        <v>1415</v>
      </c>
      <c r="B1403" s="13" t="s">
        <v>2191</v>
      </c>
      <c r="C1403" s="13" t="s">
        <v>2198</v>
      </c>
      <c r="D1403" s="13" t="s">
        <v>2206</v>
      </c>
      <c r="E1403" s="13" t="s">
        <v>2211</v>
      </c>
      <c r="F1403" s="13" t="s">
        <v>2224</v>
      </c>
      <c r="G1403" s="13">
        <v>71.83</v>
      </c>
      <c r="H1403" s="13">
        <v>0</v>
      </c>
      <c r="I1403" s="13">
        <v>71.83</v>
      </c>
      <c r="J1403" s="24">
        <v>45875</v>
      </c>
      <c r="K1403" s="13">
        <v>46</v>
      </c>
      <c r="L1403" s="13">
        <v>4.5</v>
      </c>
      <c r="M1403" s="13" t="b">
        <v>0</v>
      </c>
      <c r="O1403" s="13">
        <f t="shared" si="21"/>
        <v>4.5</v>
      </c>
    </row>
    <row r="1404" spans="1:15" x14ac:dyDescent="0.25">
      <c r="A1404" s="13" t="s">
        <v>1416</v>
      </c>
      <c r="B1404" s="13" t="s">
        <v>2191</v>
      </c>
      <c r="C1404" s="13" t="s">
        <v>2200</v>
      </c>
      <c r="D1404" s="13" t="s">
        <v>2207</v>
      </c>
      <c r="E1404" s="13" t="s">
        <v>2209</v>
      </c>
      <c r="F1404" s="13" t="s">
        <v>2222</v>
      </c>
      <c r="G1404" s="13">
        <v>29.17</v>
      </c>
      <c r="H1404" s="13">
        <v>0</v>
      </c>
      <c r="I1404" s="13">
        <v>29.17</v>
      </c>
      <c r="J1404" s="24">
        <v>45875</v>
      </c>
      <c r="K1404" s="13">
        <v>17</v>
      </c>
      <c r="L1404" s="13">
        <v>1.6</v>
      </c>
      <c r="M1404" s="13" t="b">
        <v>0</v>
      </c>
      <c r="O1404" s="13">
        <f t="shared" si="21"/>
        <v>1.6</v>
      </c>
    </row>
    <row r="1405" spans="1:15" x14ac:dyDescent="0.25">
      <c r="A1405" s="13" t="s">
        <v>1417</v>
      </c>
      <c r="B1405" s="13" t="s">
        <v>2191</v>
      </c>
      <c r="C1405" s="13" t="s">
        <v>2200</v>
      </c>
      <c r="D1405" s="13" t="s">
        <v>2204</v>
      </c>
      <c r="E1405" s="13" t="s">
        <v>2210</v>
      </c>
      <c r="F1405" s="13" t="s">
        <v>2220</v>
      </c>
      <c r="G1405" s="13">
        <v>31.3</v>
      </c>
      <c r="H1405" s="13">
        <v>43.6</v>
      </c>
      <c r="I1405" s="13">
        <v>17.649999999999999</v>
      </c>
      <c r="J1405" s="24">
        <v>45722</v>
      </c>
      <c r="K1405" s="13">
        <v>21</v>
      </c>
      <c r="L1405" s="13">
        <v>4.4000000000000004</v>
      </c>
      <c r="M1405" s="13" t="b">
        <v>0</v>
      </c>
      <c r="O1405" s="13">
        <f t="shared" si="21"/>
        <v>4.4000000000000004</v>
      </c>
    </row>
    <row r="1406" spans="1:15" x14ac:dyDescent="0.25">
      <c r="A1406" s="13" t="s">
        <v>1418</v>
      </c>
      <c r="B1406" s="13" t="s">
        <v>2192</v>
      </c>
      <c r="C1406" s="13" t="s">
        <v>2196</v>
      </c>
      <c r="D1406" s="13" t="s">
        <v>2206</v>
      </c>
      <c r="F1406" s="13" t="s">
        <v>2220</v>
      </c>
      <c r="G1406" s="13">
        <v>73.569999999999993</v>
      </c>
      <c r="H1406" s="13">
        <v>0</v>
      </c>
      <c r="I1406" s="13">
        <v>73.569999999999993</v>
      </c>
      <c r="J1406" s="24">
        <v>45875</v>
      </c>
      <c r="K1406" s="13">
        <v>22</v>
      </c>
      <c r="L1406" s="13">
        <v>1.1000000000000001</v>
      </c>
      <c r="M1406" s="13" t="b">
        <v>0</v>
      </c>
      <c r="O1406" s="13">
        <f t="shared" si="21"/>
        <v>1.1000000000000001</v>
      </c>
    </row>
    <row r="1407" spans="1:15" x14ac:dyDescent="0.25">
      <c r="A1407" s="13" t="s">
        <v>1419</v>
      </c>
      <c r="B1407" s="13" t="s">
        <v>2193</v>
      </c>
      <c r="C1407" s="13" t="s">
        <v>2199</v>
      </c>
      <c r="D1407" s="13" t="s">
        <v>2207</v>
      </c>
      <c r="F1407" s="13" t="s">
        <v>2215</v>
      </c>
      <c r="G1407" s="13">
        <v>75.95</v>
      </c>
      <c r="H1407" s="13">
        <v>0</v>
      </c>
      <c r="I1407" s="13">
        <v>75.95</v>
      </c>
      <c r="J1407" s="24">
        <v>45875</v>
      </c>
      <c r="K1407" s="13">
        <v>14</v>
      </c>
      <c r="M1407" s="13" t="b">
        <v>0</v>
      </c>
      <c r="O1407" s="13">
        <f t="shared" si="21"/>
        <v>2.9804347826086954</v>
      </c>
    </row>
    <row r="1408" spans="1:15" x14ac:dyDescent="0.25">
      <c r="A1408" s="13" t="s">
        <v>1420</v>
      </c>
      <c r="B1408" s="13" t="s">
        <v>2192</v>
      </c>
      <c r="C1408" s="13" t="s">
        <v>2200</v>
      </c>
      <c r="D1408" s="13" t="s">
        <v>2204</v>
      </c>
      <c r="F1408" s="13" t="s">
        <v>2220</v>
      </c>
      <c r="G1408" s="13">
        <v>79.040000000000006</v>
      </c>
      <c r="H1408" s="13">
        <v>0</v>
      </c>
      <c r="I1408" s="13">
        <v>79.040000000000006</v>
      </c>
      <c r="J1408" s="24">
        <v>45568</v>
      </c>
      <c r="K1408" s="13">
        <v>28</v>
      </c>
      <c r="L1408" s="13">
        <v>4.7</v>
      </c>
      <c r="M1408" s="13" t="b">
        <v>0</v>
      </c>
      <c r="O1408" s="13">
        <f t="shared" si="21"/>
        <v>4.7</v>
      </c>
    </row>
    <row r="1409" spans="1:15" x14ac:dyDescent="0.25">
      <c r="A1409" s="13" t="s">
        <v>1421</v>
      </c>
      <c r="B1409" s="13" t="s">
        <v>2191</v>
      </c>
      <c r="C1409" s="13" t="s">
        <v>2199</v>
      </c>
      <c r="D1409" s="13" t="s">
        <v>2206</v>
      </c>
      <c r="E1409" s="13" t="s">
        <v>2209</v>
      </c>
      <c r="F1409" s="13" t="s">
        <v>2217</v>
      </c>
      <c r="G1409" s="13">
        <v>26.85</v>
      </c>
      <c r="H1409" s="13">
        <v>0</v>
      </c>
      <c r="I1409" s="13">
        <v>26.85</v>
      </c>
      <c r="J1409" s="24">
        <v>45875</v>
      </c>
      <c r="K1409" s="13">
        <v>26</v>
      </c>
      <c r="M1409" s="13" t="b">
        <v>0</v>
      </c>
      <c r="O1409" s="13">
        <f t="shared" si="21"/>
        <v>2.9742857142857138</v>
      </c>
    </row>
    <row r="1410" spans="1:15" x14ac:dyDescent="0.25">
      <c r="A1410" s="13" t="s">
        <v>1422</v>
      </c>
      <c r="B1410" s="13" t="s">
        <v>2195</v>
      </c>
      <c r="C1410" s="13" t="s">
        <v>2201</v>
      </c>
      <c r="D1410" s="13" t="s">
        <v>2204</v>
      </c>
      <c r="E1410" s="13" t="s">
        <v>2209</v>
      </c>
      <c r="F1410" s="13" t="s">
        <v>2218</v>
      </c>
      <c r="G1410" s="13">
        <v>126.21</v>
      </c>
      <c r="H1410" s="13">
        <v>29.2</v>
      </c>
      <c r="I1410" s="13">
        <v>89.36</v>
      </c>
      <c r="J1410" s="24">
        <v>45519</v>
      </c>
      <c r="K1410" s="13">
        <v>25</v>
      </c>
      <c r="L1410" s="13">
        <v>1.1000000000000001</v>
      </c>
      <c r="M1410" s="13" t="b">
        <v>0</v>
      </c>
      <c r="O1410" s="13">
        <f t="shared" si="21"/>
        <v>1.1000000000000001</v>
      </c>
    </row>
    <row r="1411" spans="1:15" x14ac:dyDescent="0.25">
      <c r="A1411" s="13" t="s">
        <v>1423</v>
      </c>
      <c r="B1411" s="13" t="s">
        <v>2193</v>
      </c>
      <c r="C1411" s="13" t="s">
        <v>2199</v>
      </c>
      <c r="D1411" s="13" t="s">
        <v>2206</v>
      </c>
      <c r="E1411" s="13" t="s">
        <v>2210</v>
      </c>
      <c r="F1411" s="13" t="s">
        <v>2222</v>
      </c>
      <c r="G1411" s="13">
        <v>71.459999999999994</v>
      </c>
      <c r="H1411" s="13">
        <v>0</v>
      </c>
      <c r="I1411" s="13">
        <v>71.459999999999994</v>
      </c>
      <c r="J1411" s="24">
        <v>45875</v>
      </c>
      <c r="K1411" s="13">
        <v>2</v>
      </c>
      <c r="L1411" s="13">
        <v>3.1</v>
      </c>
      <c r="M1411" s="13" t="b">
        <v>0</v>
      </c>
      <c r="O1411" s="13">
        <f t="shared" ref="O1411:O1474" si="22">IF(L1411="",AVERAGEIFS($L$2:$L$2177,$B$2:$B$2177,B1411,$C$2:$C$2177,C1411),L1411)</f>
        <v>3.1</v>
      </c>
    </row>
    <row r="1412" spans="1:15" x14ac:dyDescent="0.25">
      <c r="A1412" s="13" t="s">
        <v>1424</v>
      </c>
      <c r="B1412" s="13" t="s">
        <v>2195</v>
      </c>
      <c r="C1412" s="13" t="s">
        <v>2199</v>
      </c>
      <c r="D1412" s="13" t="s">
        <v>2205</v>
      </c>
      <c r="E1412" s="13" t="s">
        <v>2213</v>
      </c>
      <c r="F1412" s="13" t="s">
        <v>2221</v>
      </c>
      <c r="G1412" s="13">
        <v>65.069999999999993</v>
      </c>
      <c r="H1412" s="13">
        <v>14.8</v>
      </c>
      <c r="I1412" s="13">
        <v>55.44</v>
      </c>
      <c r="J1412" s="24">
        <v>45875</v>
      </c>
      <c r="K1412" s="13">
        <v>21</v>
      </c>
      <c r="M1412" s="13" t="b">
        <v>0</v>
      </c>
      <c r="O1412" s="13">
        <f t="shared" si="22"/>
        <v>2.8372093023255811</v>
      </c>
    </row>
    <row r="1413" spans="1:15" x14ac:dyDescent="0.25">
      <c r="A1413" s="13" t="s">
        <v>1425</v>
      </c>
      <c r="B1413" s="13" t="s">
        <v>2194</v>
      </c>
      <c r="C1413" s="13" t="s">
        <v>2199</v>
      </c>
      <c r="D1413" s="13" t="s">
        <v>2206</v>
      </c>
      <c r="E1413" s="13" t="s">
        <v>2208</v>
      </c>
      <c r="F1413" s="13" t="s">
        <v>2215</v>
      </c>
      <c r="G1413" s="13">
        <v>28.11</v>
      </c>
      <c r="H1413" s="13">
        <v>20.9</v>
      </c>
      <c r="I1413" s="13">
        <v>22.24</v>
      </c>
      <c r="J1413" s="24">
        <v>45875</v>
      </c>
      <c r="K1413" s="13">
        <v>6</v>
      </c>
      <c r="L1413" s="13">
        <v>2.2999999999999998</v>
      </c>
      <c r="M1413" s="13" t="b">
        <v>0</v>
      </c>
      <c r="O1413" s="13">
        <f t="shared" si="22"/>
        <v>2.2999999999999998</v>
      </c>
    </row>
    <row r="1414" spans="1:15" x14ac:dyDescent="0.25">
      <c r="A1414" s="13" t="s">
        <v>1426</v>
      </c>
      <c r="B1414" s="13" t="s">
        <v>2191</v>
      </c>
      <c r="C1414" s="13" t="s">
        <v>2200</v>
      </c>
      <c r="D1414" s="13" t="s">
        <v>2204</v>
      </c>
      <c r="E1414" s="13" t="s">
        <v>2209</v>
      </c>
      <c r="F1414" s="13" t="s">
        <v>2220</v>
      </c>
      <c r="G1414" s="13">
        <v>29.12</v>
      </c>
      <c r="H1414" s="13">
        <v>0</v>
      </c>
      <c r="I1414" s="13">
        <v>29.12</v>
      </c>
      <c r="J1414" s="24">
        <v>45741</v>
      </c>
      <c r="K1414" s="13">
        <v>14</v>
      </c>
      <c r="L1414" s="13">
        <v>2.7</v>
      </c>
      <c r="M1414" s="13" t="b">
        <v>0</v>
      </c>
      <c r="O1414" s="13">
        <f t="shared" si="22"/>
        <v>2.7</v>
      </c>
    </row>
    <row r="1415" spans="1:15" x14ac:dyDescent="0.25">
      <c r="A1415" s="13" t="s">
        <v>1427</v>
      </c>
      <c r="B1415" s="13" t="s">
        <v>2192</v>
      </c>
      <c r="C1415" s="13" t="s">
        <v>2203</v>
      </c>
      <c r="D1415" s="13" t="s">
        <v>2205</v>
      </c>
      <c r="F1415" s="13" t="s">
        <v>2216</v>
      </c>
      <c r="G1415" s="13">
        <v>57.1</v>
      </c>
      <c r="H1415" s="13">
        <v>0</v>
      </c>
      <c r="I1415" s="13">
        <v>57.1</v>
      </c>
      <c r="J1415" s="24">
        <v>45875</v>
      </c>
      <c r="K1415" s="13">
        <v>28</v>
      </c>
      <c r="M1415" s="13" t="b">
        <v>1</v>
      </c>
      <c r="N1415" s="13" t="s">
        <v>2230</v>
      </c>
      <c r="O1415" s="13">
        <f t="shared" si="22"/>
        <v>2.8636363636363633</v>
      </c>
    </row>
    <row r="1416" spans="1:15" x14ac:dyDescent="0.25">
      <c r="A1416" s="13" t="s">
        <v>1428</v>
      </c>
      <c r="B1416" s="13" t="s">
        <v>2190</v>
      </c>
      <c r="C1416" s="13" t="s">
        <v>2197</v>
      </c>
      <c r="D1416" s="13" t="s">
        <v>2204</v>
      </c>
      <c r="E1416" s="13" t="s">
        <v>2213</v>
      </c>
      <c r="F1416" s="13" t="s">
        <v>2216</v>
      </c>
      <c r="G1416" s="13">
        <v>248.05</v>
      </c>
      <c r="H1416" s="13">
        <v>0</v>
      </c>
      <c r="I1416" s="13">
        <v>248.05</v>
      </c>
      <c r="J1416" s="24">
        <v>45776</v>
      </c>
      <c r="K1416" s="13">
        <v>17</v>
      </c>
      <c r="L1416" s="13">
        <v>4.5999999999999996</v>
      </c>
      <c r="M1416" s="13" t="b">
        <v>0</v>
      </c>
      <c r="O1416" s="13">
        <f t="shared" si="22"/>
        <v>4.5999999999999996</v>
      </c>
    </row>
    <row r="1417" spans="1:15" x14ac:dyDescent="0.25">
      <c r="A1417" s="13" t="s">
        <v>1429</v>
      </c>
      <c r="B1417" s="13" t="s">
        <v>2194</v>
      </c>
      <c r="C1417" s="13" t="s">
        <v>2196</v>
      </c>
      <c r="D1417" s="13" t="s">
        <v>2206</v>
      </c>
      <c r="E1417" s="13" t="s">
        <v>2210</v>
      </c>
      <c r="F1417" s="13" t="s">
        <v>2218</v>
      </c>
      <c r="G1417" s="13">
        <v>108.59</v>
      </c>
      <c r="H1417" s="13">
        <v>40.6</v>
      </c>
      <c r="I1417" s="13">
        <v>64.5</v>
      </c>
      <c r="J1417" s="24">
        <v>45875</v>
      </c>
      <c r="K1417" s="13">
        <v>9</v>
      </c>
      <c r="L1417" s="13">
        <v>1.3</v>
      </c>
      <c r="M1417" s="13" t="b">
        <v>0</v>
      </c>
      <c r="O1417" s="13">
        <f t="shared" si="22"/>
        <v>1.3</v>
      </c>
    </row>
    <row r="1418" spans="1:15" x14ac:dyDescent="0.25">
      <c r="A1418" s="13" t="s">
        <v>1430</v>
      </c>
      <c r="B1418" s="13" t="s">
        <v>2190</v>
      </c>
      <c r="C1418" s="13" t="s">
        <v>2203</v>
      </c>
      <c r="D1418" s="13" t="s">
        <v>2207</v>
      </c>
      <c r="E1418" s="13" t="s">
        <v>2208</v>
      </c>
      <c r="F1418" s="13" t="s">
        <v>2221</v>
      </c>
      <c r="G1418" s="13">
        <v>124.13</v>
      </c>
      <c r="H1418" s="13">
        <v>0</v>
      </c>
      <c r="I1418" s="13">
        <v>124.13</v>
      </c>
      <c r="J1418" s="24">
        <v>45875</v>
      </c>
      <c r="K1418" s="13">
        <v>33</v>
      </c>
      <c r="L1418" s="13">
        <v>5</v>
      </c>
      <c r="M1418" s="13" t="b">
        <v>0</v>
      </c>
      <c r="O1418" s="13">
        <f t="shared" si="22"/>
        <v>5</v>
      </c>
    </row>
    <row r="1419" spans="1:15" x14ac:dyDescent="0.25">
      <c r="A1419" s="13" t="s">
        <v>1431</v>
      </c>
      <c r="B1419" s="13" t="s">
        <v>2192</v>
      </c>
      <c r="C1419" s="13" t="s">
        <v>2196</v>
      </c>
      <c r="D1419" s="13" t="s">
        <v>2204</v>
      </c>
      <c r="F1419" s="13" t="s">
        <v>2224</v>
      </c>
      <c r="G1419" s="13">
        <v>62.21</v>
      </c>
      <c r="H1419" s="13">
        <v>1.8</v>
      </c>
      <c r="I1419" s="13">
        <v>61.09</v>
      </c>
      <c r="J1419" s="24">
        <v>45599</v>
      </c>
      <c r="K1419" s="13">
        <v>4</v>
      </c>
      <c r="L1419" s="13">
        <v>2.2999999999999998</v>
      </c>
      <c r="M1419" s="13" t="b">
        <v>0</v>
      </c>
      <c r="O1419" s="13">
        <f t="shared" si="22"/>
        <v>2.2999999999999998</v>
      </c>
    </row>
    <row r="1420" spans="1:15" x14ac:dyDescent="0.25">
      <c r="A1420" s="13" t="s">
        <v>1432</v>
      </c>
      <c r="B1420" s="13" t="s">
        <v>2194</v>
      </c>
      <c r="C1420" s="13" t="s">
        <v>2197</v>
      </c>
      <c r="D1420" s="13" t="s">
        <v>2206</v>
      </c>
      <c r="E1420" s="13" t="s">
        <v>2213</v>
      </c>
      <c r="F1420" s="13" t="s">
        <v>2218</v>
      </c>
      <c r="G1420" s="13">
        <v>48.27</v>
      </c>
      <c r="H1420" s="13">
        <v>0</v>
      </c>
      <c r="I1420" s="13">
        <v>48.27</v>
      </c>
      <c r="J1420" s="24">
        <v>45875</v>
      </c>
      <c r="K1420" s="13">
        <v>33</v>
      </c>
      <c r="M1420" s="13" t="b">
        <v>0</v>
      </c>
      <c r="O1420" s="13">
        <f t="shared" si="22"/>
        <v>3.0846153846153843</v>
      </c>
    </row>
    <row r="1421" spans="1:15" x14ac:dyDescent="0.25">
      <c r="A1421" s="13" t="s">
        <v>1433</v>
      </c>
      <c r="B1421" s="13" t="s">
        <v>2191</v>
      </c>
      <c r="C1421" s="13" t="s">
        <v>2196</v>
      </c>
      <c r="D1421" s="13" t="s">
        <v>2204</v>
      </c>
      <c r="E1421" s="13" t="s">
        <v>2208</v>
      </c>
      <c r="F1421" s="13" t="s">
        <v>2219</v>
      </c>
      <c r="G1421" s="13">
        <v>88.77</v>
      </c>
      <c r="H1421" s="13">
        <v>0</v>
      </c>
      <c r="I1421" s="13">
        <v>88.77</v>
      </c>
      <c r="J1421" s="24">
        <v>45793</v>
      </c>
      <c r="K1421" s="13">
        <v>40</v>
      </c>
      <c r="L1421" s="13">
        <v>4.8</v>
      </c>
      <c r="M1421" s="13" t="b">
        <v>0</v>
      </c>
      <c r="O1421" s="13">
        <f t="shared" si="22"/>
        <v>4.8</v>
      </c>
    </row>
    <row r="1422" spans="1:15" x14ac:dyDescent="0.25">
      <c r="A1422" s="13" t="s">
        <v>1434</v>
      </c>
      <c r="B1422" s="13" t="s">
        <v>2195</v>
      </c>
      <c r="C1422" s="13" t="s">
        <v>2202</v>
      </c>
      <c r="D1422" s="13" t="s">
        <v>2206</v>
      </c>
      <c r="E1422" s="13" t="s">
        <v>2213</v>
      </c>
      <c r="F1422" s="13" t="s">
        <v>2222</v>
      </c>
      <c r="G1422" s="13">
        <v>94.17</v>
      </c>
      <c r="H1422" s="13">
        <v>0</v>
      </c>
      <c r="I1422" s="13">
        <v>94.17</v>
      </c>
      <c r="J1422" s="24">
        <v>45875</v>
      </c>
      <c r="K1422" s="13">
        <v>2</v>
      </c>
      <c r="M1422" s="13" t="b">
        <v>0</v>
      </c>
      <c r="O1422" s="13">
        <f t="shared" si="22"/>
        <v>2.980952380952381</v>
      </c>
    </row>
    <row r="1423" spans="1:15" x14ac:dyDescent="0.25">
      <c r="A1423" s="13" t="s">
        <v>1435</v>
      </c>
      <c r="B1423" s="13" t="s">
        <v>2192</v>
      </c>
      <c r="C1423" s="13" t="s">
        <v>2203</v>
      </c>
      <c r="D1423" s="13" t="s">
        <v>2206</v>
      </c>
      <c r="F1423" s="13" t="s">
        <v>2216</v>
      </c>
      <c r="G1423" s="13">
        <v>30.44</v>
      </c>
      <c r="H1423" s="13">
        <v>0</v>
      </c>
      <c r="I1423" s="13">
        <v>30.44</v>
      </c>
      <c r="J1423" s="24">
        <v>45875</v>
      </c>
      <c r="K1423" s="13">
        <v>42</v>
      </c>
      <c r="M1423" s="13" t="b">
        <v>0</v>
      </c>
      <c r="O1423" s="13">
        <f t="shared" si="22"/>
        <v>2.8636363636363633</v>
      </c>
    </row>
    <row r="1424" spans="1:15" x14ac:dyDescent="0.25">
      <c r="A1424" s="13" t="s">
        <v>1436</v>
      </c>
      <c r="B1424" s="13" t="s">
        <v>2194</v>
      </c>
      <c r="C1424" s="13" t="s">
        <v>2197</v>
      </c>
      <c r="D1424" s="13" t="s">
        <v>2206</v>
      </c>
      <c r="E1424" s="13" t="s">
        <v>2212</v>
      </c>
      <c r="F1424" s="13" t="s">
        <v>2223</v>
      </c>
      <c r="G1424" s="13">
        <v>114.29</v>
      </c>
      <c r="H1424" s="13">
        <v>0</v>
      </c>
      <c r="I1424" s="13">
        <v>114.29</v>
      </c>
      <c r="J1424" s="24">
        <v>45875</v>
      </c>
      <c r="K1424" s="13">
        <v>9</v>
      </c>
      <c r="L1424" s="13">
        <v>3.2</v>
      </c>
      <c r="M1424" s="13" t="b">
        <v>0</v>
      </c>
      <c r="O1424" s="13">
        <f t="shared" si="22"/>
        <v>3.2</v>
      </c>
    </row>
    <row r="1425" spans="1:15" x14ac:dyDescent="0.25">
      <c r="A1425" s="13" t="s">
        <v>1437</v>
      </c>
      <c r="B1425" s="13" t="s">
        <v>2193</v>
      </c>
      <c r="C1425" s="13" t="s">
        <v>2197</v>
      </c>
      <c r="D1425" s="13" t="s">
        <v>2206</v>
      </c>
      <c r="E1425" s="13" t="s">
        <v>2208</v>
      </c>
      <c r="F1425" s="13" t="s">
        <v>2218</v>
      </c>
      <c r="G1425" s="13">
        <v>105.01</v>
      </c>
      <c r="H1425" s="13">
        <v>25.8</v>
      </c>
      <c r="I1425" s="13">
        <v>77.92</v>
      </c>
      <c r="J1425" s="24">
        <v>45875</v>
      </c>
      <c r="K1425" s="13">
        <v>17</v>
      </c>
      <c r="L1425" s="13">
        <v>3.2</v>
      </c>
      <c r="M1425" s="13" t="b">
        <v>0</v>
      </c>
      <c r="O1425" s="13">
        <f t="shared" si="22"/>
        <v>3.2</v>
      </c>
    </row>
    <row r="1426" spans="1:15" x14ac:dyDescent="0.25">
      <c r="A1426" s="13" t="s">
        <v>1438</v>
      </c>
      <c r="B1426" s="13" t="s">
        <v>2191</v>
      </c>
      <c r="C1426" s="13" t="s">
        <v>2201</v>
      </c>
      <c r="D1426" s="13" t="s">
        <v>2204</v>
      </c>
      <c r="E1426" s="13" t="s">
        <v>2208</v>
      </c>
      <c r="F1426" s="13" t="s">
        <v>2219</v>
      </c>
      <c r="G1426" s="13">
        <v>38.56</v>
      </c>
      <c r="H1426" s="13">
        <v>0</v>
      </c>
      <c r="I1426" s="13">
        <v>38.56</v>
      </c>
      <c r="J1426" s="24">
        <v>45807</v>
      </c>
      <c r="K1426" s="13">
        <v>39</v>
      </c>
      <c r="L1426" s="13">
        <v>1.5</v>
      </c>
      <c r="M1426" s="13" t="b">
        <v>0</v>
      </c>
      <c r="O1426" s="13">
        <f t="shared" si="22"/>
        <v>1.5</v>
      </c>
    </row>
    <row r="1427" spans="1:15" x14ac:dyDescent="0.25">
      <c r="A1427" s="13" t="s">
        <v>1439</v>
      </c>
      <c r="B1427" s="13" t="s">
        <v>2193</v>
      </c>
      <c r="C1427" s="13" t="s">
        <v>2199</v>
      </c>
      <c r="D1427" s="13" t="s">
        <v>2205</v>
      </c>
      <c r="E1427" s="13" t="s">
        <v>2209</v>
      </c>
      <c r="F1427" s="13" t="s">
        <v>2223</v>
      </c>
      <c r="G1427" s="13">
        <v>64.94</v>
      </c>
      <c r="H1427" s="13">
        <v>0</v>
      </c>
      <c r="I1427" s="13">
        <v>64.94</v>
      </c>
      <c r="J1427" s="24">
        <v>45875</v>
      </c>
      <c r="K1427" s="13">
        <v>32</v>
      </c>
      <c r="L1427" s="13">
        <v>4.5</v>
      </c>
      <c r="M1427" s="13" t="b">
        <v>0</v>
      </c>
      <c r="O1427" s="13">
        <f t="shared" si="22"/>
        <v>4.5</v>
      </c>
    </row>
    <row r="1428" spans="1:15" x14ac:dyDescent="0.25">
      <c r="A1428" s="13" t="s">
        <v>1440</v>
      </c>
      <c r="B1428" s="13" t="s">
        <v>2194</v>
      </c>
      <c r="C1428" s="13" t="s">
        <v>2199</v>
      </c>
      <c r="D1428" s="13" t="s">
        <v>2205</v>
      </c>
      <c r="E1428" s="13" t="s">
        <v>2210</v>
      </c>
      <c r="F1428" s="13" t="s">
        <v>2220</v>
      </c>
      <c r="G1428" s="13">
        <v>63.74</v>
      </c>
      <c r="H1428" s="13">
        <v>56.8</v>
      </c>
      <c r="I1428" s="13">
        <v>27.54</v>
      </c>
      <c r="J1428" s="24">
        <v>45875</v>
      </c>
      <c r="K1428" s="13">
        <v>15</v>
      </c>
      <c r="L1428" s="13">
        <v>4</v>
      </c>
      <c r="M1428" s="13" t="b">
        <v>0</v>
      </c>
      <c r="O1428" s="13">
        <f t="shared" si="22"/>
        <v>4</v>
      </c>
    </row>
    <row r="1429" spans="1:15" x14ac:dyDescent="0.25">
      <c r="A1429" s="13" t="s">
        <v>1441</v>
      </c>
      <c r="B1429" s="13" t="s">
        <v>2191</v>
      </c>
      <c r="C1429" s="13" t="s">
        <v>2196</v>
      </c>
      <c r="D1429" s="13" t="s">
        <v>2207</v>
      </c>
      <c r="E1429" s="13" t="s">
        <v>2208</v>
      </c>
      <c r="F1429" s="13" t="s">
        <v>2215</v>
      </c>
      <c r="G1429" s="13">
        <v>67.23</v>
      </c>
      <c r="H1429" s="13">
        <v>11.1</v>
      </c>
      <c r="I1429" s="13">
        <v>59.77</v>
      </c>
      <c r="J1429" s="24">
        <v>45875</v>
      </c>
      <c r="K1429" s="13">
        <v>39</v>
      </c>
      <c r="L1429" s="13">
        <v>1.1000000000000001</v>
      </c>
      <c r="M1429" s="13" t="b">
        <v>1</v>
      </c>
      <c r="N1429" s="13" t="s">
        <v>2230</v>
      </c>
      <c r="O1429" s="13">
        <f t="shared" si="22"/>
        <v>1.1000000000000001</v>
      </c>
    </row>
    <row r="1430" spans="1:15" x14ac:dyDescent="0.25">
      <c r="A1430" s="13" t="s">
        <v>1442</v>
      </c>
      <c r="B1430" s="13" t="s">
        <v>2192</v>
      </c>
      <c r="C1430" s="13" t="s">
        <v>2200</v>
      </c>
      <c r="D1430" s="13" t="s">
        <v>2204</v>
      </c>
      <c r="F1430" s="13" t="s">
        <v>2219</v>
      </c>
      <c r="G1430" s="13">
        <v>27.2</v>
      </c>
      <c r="H1430" s="13">
        <v>40.4</v>
      </c>
      <c r="I1430" s="13">
        <v>16.21</v>
      </c>
      <c r="J1430" s="24">
        <v>45523</v>
      </c>
      <c r="K1430" s="13">
        <v>20</v>
      </c>
      <c r="L1430" s="13">
        <v>4.3</v>
      </c>
      <c r="M1430" s="13" t="b">
        <v>0</v>
      </c>
      <c r="O1430" s="13">
        <f t="shared" si="22"/>
        <v>4.3</v>
      </c>
    </row>
    <row r="1431" spans="1:15" x14ac:dyDescent="0.25">
      <c r="A1431" s="13" t="s">
        <v>1443</v>
      </c>
      <c r="B1431" s="13" t="s">
        <v>2191</v>
      </c>
      <c r="C1431" s="13" t="s">
        <v>2199</v>
      </c>
      <c r="D1431" s="13" t="s">
        <v>2204</v>
      </c>
      <c r="E1431" s="13" t="s">
        <v>2208</v>
      </c>
      <c r="F1431" s="13" t="s">
        <v>2224</v>
      </c>
      <c r="G1431" s="13">
        <v>75.84</v>
      </c>
      <c r="H1431" s="13">
        <v>0</v>
      </c>
      <c r="I1431" s="13">
        <v>75.84</v>
      </c>
      <c r="J1431" s="24">
        <v>45754</v>
      </c>
      <c r="K1431" s="13">
        <v>8</v>
      </c>
      <c r="L1431" s="13">
        <v>4.0999999999999996</v>
      </c>
      <c r="M1431" s="13" t="b">
        <v>0</v>
      </c>
      <c r="O1431" s="13">
        <f t="shared" si="22"/>
        <v>4.0999999999999996</v>
      </c>
    </row>
    <row r="1432" spans="1:15" x14ac:dyDescent="0.25">
      <c r="A1432" s="13" t="s">
        <v>1444</v>
      </c>
      <c r="B1432" s="13" t="s">
        <v>2195</v>
      </c>
      <c r="C1432" s="13" t="s">
        <v>2199</v>
      </c>
      <c r="D1432" s="13" t="s">
        <v>2205</v>
      </c>
      <c r="E1432" s="13" t="s">
        <v>2213</v>
      </c>
      <c r="F1432" s="13" t="s">
        <v>2222</v>
      </c>
      <c r="G1432" s="13">
        <v>68.510000000000005</v>
      </c>
      <c r="H1432" s="13">
        <v>0</v>
      </c>
      <c r="I1432" s="13">
        <v>68.510000000000005</v>
      </c>
      <c r="J1432" s="24">
        <v>45875</v>
      </c>
      <c r="K1432" s="13">
        <v>1</v>
      </c>
      <c r="L1432" s="13">
        <v>2.6</v>
      </c>
      <c r="M1432" s="13" t="b">
        <v>0</v>
      </c>
      <c r="O1432" s="13">
        <f t="shared" si="22"/>
        <v>2.6</v>
      </c>
    </row>
    <row r="1433" spans="1:15" x14ac:dyDescent="0.25">
      <c r="A1433" s="13" t="s">
        <v>1445</v>
      </c>
      <c r="B1433" s="13" t="s">
        <v>2192</v>
      </c>
      <c r="C1433" s="13" t="s">
        <v>2199</v>
      </c>
      <c r="D1433" s="13" t="s">
        <v>2207</v>
      </c>
      <c r="F1433" s="13" t="s">
        <v>2223</v>
      </c>
      <c r="G1433" s="13">
        <v>25.49</v>
      </c>
      <c r="H1433" s="13">
        <v>0</v>
      </c>
      <c r="I1433" s="13">
        <v>25.49</v>
      </c>
      <c r="J1433" s="24">
        <v>45875</v>
      </c>
      <c r="K1433" s="13">
        <v>35</v>
      </c>
      <c r="L1433" s="13">
        <v>2.2000000000000002</v>
      </c>
      <c r="M1433" s="13" t="b">
        <v>1</v>
      </c>
      <c r="N1433" s="13" t="s">
        <v>2226</v>
      </c>
      <c r="O1433" s="13">
        <f t="shared" si="22"/>
        <v>2.2000000000000002</v>
      </c>
    </row>
    <row r="1434" spans="1:15" x14ac:dyDescent="0.25">
      <c r="A1434" s="13" t="s">
        <v>1446</v>
      </c>
      <c r="B1434" s="13" t="s">
        <v>2191</v>
      </c>
      <c r="C1434" s="13" t="s">
        <v>2201</v>
      </c>
      <c r="D1434" s="13" t="s">
        <v>2206</v>
      </c>
      <c r="E1434" s="13" t="s">
        <v>2212</v>
      </c>
      <c r="F1434" s="13" t="s">
        <v>2214</v>
      </c>
      <c r="G1434" s="13">
        <v>70.88</v>
      </c>
      <c r="H1434" s="13">
        <v>0</v>
      </c>
      <c r="I1434" s="13">
        <v>70.88</v>
      </c>
      <c r="J1434" s="24">
        <v>45875</v>
      </c>
      <c r="K1434" s="13">
        <v>5</v>
      </c>
      <c r="L1434" s="13">
        <v>2.2999999999999998</v>
      </c>
      <c r="M1434" s="13" t="b">
        <v>0</v>
      </c>
      <c r="O1434" s="13">
        <f t="shared" si="22"/>
        <v>2.2999999999999998</v>
      </c>
    </row>
    <row r="1435" spans="1:15" x14ac:dyDescent="0.25">
      <c r="A1435" s="13" t="s">
        <v>1447</v>
      </c>
      <c r="B1435" s="13" t="s">
        <v>2193</v>
      </c>
      <c r="C1435" s="13" t="s">
        <v>2200</v>
      </c>
      <c r="D1435" s="13" t="s">
        <v>2207</v>
      </c>
      <c r="E1435" s="13" t="s">
        <v>2212</v>
      </c>
      <c r="F1435" s="13" t="s">
        <v>2217</v>
      </c>
      <c r="G1435" s="13">
        <v>176.64</v>
      </c>
      <c r="H1435" s="13">
        <v>8.8000000000000007</v>
      </c>
      <c r="I1435" s="13">
        <v>161.1</v>
      </c>
      <c r="J1435" s="24">
        <v>45875</v>
      </c>
      <c r="K1435" s="13">
        <v>1</v>
      </c>
      <c r="L1435" s="13">
        <v>1.7</v>
      </c>
      <c r="M1435" s="13" t="b">
        <v>0</v>
      </c>
      <c r="O1435" s="13">
        <f t="shared" si="22"/>
        <v>1.7</v>
      </c>
    </row>
    <row r="1436" spans="1:15" x14ac:dyDescent="0.25">
      <c r="A1436" s="13" t="s">
        <v>1448</v>
      </c>
      <c r="B1436" s="13" t="s">
        <v>2195</v>
      </c>
      <c r="C1436" s="13" t="s">
        <v>2201</v>
      </c>
      <c r="D1436" s="13" t="s">
        <v>2205</v>
      </c>
      <c r="E1436" s="13" t="s">
        <v>2209</v>
      </c>
      <c r="F1436" s="13" t="s">
        <v>2214</v>
      </c>
      <c r="G1436" s="13">
        <v>50.76</v>
      </c>
      <c r="H1436" s="13">
        <v>0</v>
      </c>
      <c r="I1436" s="13">
        <v>50.76</v>
      </c>
      <c r="J1436" s="24">
        <v>45875</v>
      </c>
      <c r="K1436" s="13">
        <v>45</v>
      </c>
      <c r="L1436" s="13">
        <v>4.3</v>
      </c>
      <c r="M1436" s="13" t="b">
        <v>0</v>
      </c>
      <c r="O1436" s="13">
        <f t="shared" si="22"/>
        <v>4.3</v>
      </c>
    </row>
    <row r="1437" spans="1:15" x14ac:dyDescent="0.25">
      <c r="A1437" s="13" t="s">
        <v>1449</v>
      </c>
      <c r="B1437" s="13" t="s">
        <v>2193</v>
      </c>
      <c r="C1437" s="13" t="s">
        <v>2199</v>
      </c>
      <c r="D1437" s="13" t="s">
        <v>2206</v>
      </c>
      <c r="E1437" s="13" t="s">
        <v>2208</v>
      </c>
      <c r="F1437" s="13" t="s">
        <v>2215</v>
      </c>
      <c r="G1437" s="13">
        <v>155.85</v>
      </c>
      <c r="H1437" s="13">
        <v>0</v>
      </c>
      <c r="I1437" s="13">
        <v>155.85</v>
      </c>
      <c r="J1437" s="24">
        <v>45875</v>
      </c>
      <c r="K1437" s="13">
        <v>1</v>
      </c>
      <c r="L1437" s="13">
        <v>3.5</v>
      </c>
      <c r="M1437" s="13" t="b">
        <v>0</v>
      </c>
      <c r="O1437" s="13">
        <f t="shared" si="22"/>
        <v>3.5</v>
      </c>
    </row>
    <row r="1438" spans="1:15" x14ac:dyDescent="0.25">
      <c r="A1438" s="13" t="s">
        <v>1450</v>
      </c>
      <c r="B1438" s="13" t="s">
        <v>2195</v>
      </c>
      <c r="C1438" s="13" t="s">
        <v>2198</v>
      </c>
      <c r="D1438" s="13" t="s">
        <v>2204</v>
      </c>
      <c r="E1438" s="13" t="s">
        <v>2208</v>
      </c>
      <c r="F1438" s="13" t="s">
        <v>2219</v>
      </c>
      <c r="G1438" s="13">
        <v>48.04</v>
      </c>
      <c r="H1438" s="13">
        <v>0</v>
      </c>
      <c r="I1438" s="13">
        <v>48.04</v>
      </c>
      <c r="J1438" s="24">
        <v>45778</v>
      </c>
      <c r="K1438" s="13">
        <v>20</v>
      </c>
      <c r="L1438" s="13">
        <v>3.2</v>
      </c>
      <c r="M1438" s="13" t="b">
        <v>0</v>
      </c>
      <c r="O1438" s="13">
        <f t="shared" si="22"/>
        <v>3.2</v>
      </c>
    </row>
    <row r="1439" spans="1:15" x14ac:dyDescent="0.25">
      <c r="A1439" s="13" t="s">
        <v>1451</v>
      </c>
      <c r="B1439" s="13" t="s">
        <v>2191</v>
      </c>
      <c r="C1439" s="13" t="s">
        <v>2203</v>
      </c>
      <c r="D1439" s="13" t="s">
        <v>2204</v>
      </c>
      <c r="E1439" s="13" t="s">
        <v>2212</v>
      </c>
      <c r="F1439" s="13" t="s">
        <v>2222</v>
      </c>
      <c r="G1439" s="13">
        <v>44.79</v>
      </c>
      <c r="H1439" s="13">
        <v>0</v>
      </c>
      <c r="I1439" s="13">
        <v>44.79</v>
      </c>
      <c r="J1439" s="24">
        <v>45676</v>
      </c>
      <c r="K1439" s="13">
        <v>7</v>
      </c>
      <c r="L1439" s="13">
        <v>3.6</v>
      </c>
      <c r="M1439" s="13" t="b">
        <v>0</v>
      </c>
      <c r="O1439" s="13">
        <f t="shared" si="22"/>
        <v>3.6</v>
      </c>
    </row>
    <row r="1440" spans="1:15" x14ac:dyDescent="0.25">
      <c r="A1440" s="13" t="s">
        <v>1452</v>
      </c>
      <c r="B1440" s="13" t="s">
        <v>2191</v>
      </c>
      <c r="C1440" s="13" t="s">
        <v>2197</v>
      </c>
      <c r="D1440" s="13" t="s">
        <v>2204</v>
      </c>
      <c r="E1440" s="13" t="s">
        <v>2212</v>
      </c>
      <c r="F1440" s="13" t="s">
        <v>2219</v>
      </c>
      <c r="G1440" s="13">
        <v>76.95</v>
      </c>
      <c r="H1440" s="13">
        <v>0</v>
      </c>
      <c r="I1440" s="13">
        <v>76.95</v>
      </c>
      <c r="J1440" s="24">
        <v>45669</v>
      </c>
      <c r="K1440" s="13">
        <v>9</v>
      </c>
      <c r="L1440" s="13">
        <v>2.5</v>
      </c>
      <c r="M1440" s="13" t="b">
        <v>0</v>
      </c>
      <c r="O1440" s="13">
        <f t="shared" si="22"/>
        <v>2.5</v>
      </c>
    </row>
    <row r="1441" spans="1:15" x14ac:dyDescent="0.25">
      <c r="A1441" s="13" t="s">
        <v>1453</v>
      </c>
      <c r="B1441" s="13" t="s">
        <v>2192</v>
      </c>
      <c r="C1441" s="13" t="s">
        <v>2202</v>
      </c>
      <c r="D1441" s="13" t="s">
        <v>2207</v>
      </c>
      <c r="F1441" s="13" t="s">
        <v>2218</v>
      </c>
      <c r="G1441" s="13">
        <v>35.93</v>
      </c>
      <c r="H1441" s="13">
        <v>49.9</v>
      </c>
      <c r="I1441" s="13">
        <v>18</v>
      </c>
      <c r="J1441" s="24">
        <v>45875</v>
      </c>
      <c r="K1441" s="13">
        <v>26</v>
      </c>
      <c r="L1441" s="13">
        <v>4</v>
      </c>
      <c r="M1441" s="13" t="b">
        <v>0</v>
      </c>
      <c r="O1441" s="13">
        <f t="shared" si="22"/>
        <v>4</v>
      </c>
    </row>
    <row r="1442" spans="1:15" x14ac:dyDescent="0.25">
      <c r="A1442" s="13" t="s">
        <v>1454</v>
      </c>
      <c r="B1442" s="13" t="s">
        <v>2194</v>
      </c>
      <c r="C1442" s="13" t="s">
        <v>2198</v>
      </c>
      <c r="D1442" s="13" t="s">
        <v>2206</v>
      </c>
      <c r="E1442" s="13" t="s">
        <v>2208</v>
      </c>
      <c r="F1442" s="13" t="s">
        <v>2214</v>
      </c>
      <c r="G1442" s="13">
        <v>49.97</v>
      </c>
      <c r="H1442" s="13">
        <v>0</v>
      </c>
      <c r="I1442" s="13">
        <v>49.97</v>
      </c>
      <c r="J1442" s="24">
        <v>45875</v>
      </c>
      <c r="K1442" s="13">
        <v>11</v>
      </c>
      <c r="L1442" s="13">
        <v>3.5</v>
      </c>
      <c r="M1442" s="13" t="b">
        <v>1</v>
      </c>
      <c r="N1442" s="13" t="s">
        <v>2228</v>
      </c>
      <c r="O1442" s="13">
        <f t="shared" si="22"/>
        <v>3.5</v>
      </c>
    </row>
    <row r="1443" spans="1:15" x14ac:dyDescent="0.25">
      <c r="A1443" s="13" t="s">
        <v>1455</v>
      </c>
      <c r="B1443" s="13" t="s">
        <v>2190</v>
      </c>
      <c r="C1443" s="13" t="s">
        <v>2200</v>
      </c>
      <c r="D1443" s="13" t="s">
        <v>2207</v>
      </c>
      <c r="F1443" s="13" t="s">
        <v>2216</v>
      </c>
      <c r="G1443" s="13">
        <v>169.69</v>
      </c>
      <c r="H1443" s="13">
        <v>0</v>
      </c>
      <c r="I1443" s="13">
        <v>169.69</v>
      </c>
      <c r="J1443" s="24">
        <v>45875</v>
      </c>
      <c r="K1443" s="13">
        <v>29</v>
      </c>
      <c r="L1443" s="13">
        <v>1.9</v>
      </c>
      <c r="M1443" s="13" t="b">
        <v>0</v>
      </c>
      <c r="O1443" s="13">
        <f t="shared" si="22"/>
        <v>1.9</v>
      </c>
    </row>
    <row r="1444" spans="1:15" x14ac:dyDescent="0.25">
      <c r="A1444" s="13" t="s">
        <v>1456</v>
      </c>
      <c r="B1444" s="13" t="s">
        <v>2190</v>
      </c>
      <c r="C1444" s="13" t="s">
        <v>2201</v>
      </c>
      <c r="D1444" s="13" t="s">
        <v>2204</v>
      </c>
      <c r="F1444" s="13" t="s">
        <v>2217</v>
      </c>
      <c r="G1444" s="13">
        <v>209.3</v>
      </c>
      <c r="H1444" s="13">
        <v>14.2</v>
      </c>
      <c r="I1444" s="13">
        <v>179.58</v>
      </c>
      <c r="J1444" s="24">
        <v>45721</v>
      </c>
      <c r="K1444" s="13">
        <v>29</v>
      </c>
      <c r="M1444" s="13" t="b">
        <v>0</v>
      </c>
      <c r="O1444" s="13">
        <f t="shared" si="22"/>
        <v>3.0305555555555546</v>
      </c>
    </row>
    <row r="1445" spans="1:15" x14ac:dyDescent="0.25">
      <c r="A1445" s="13" t="s">
        <v>1457</v>
      </c>
      <c r="B1445" s="13" t="s">
        <v>2191</v>
      </c>
      <c r="C1445" s="13" t="s">
        <v>2202</v>
      </c>
      <c r="D1445" s="13" t="s">
        <v>2207</v>
      </c>
      <c r="E1445" s="13" t="s">
        <v>2211</v>
      </c>
      <c r="F1445" s="13" t="s">
        <v>2215</v>
      </c>
      <c r="G1445" s="13">
        <v>110.81</v>
      </c>
      <c r="H1445" s="13">
        <v>0</v>
      </c>
      <c r="I1445" s="13">
        <v>110.81</v>
      </c>
      <c r="J1445" s="24">
        <v>45875</v>
      </c>
      <c r="K1445" s="13">
        <v>24</v>
      </c>
      <c r="L1445" s="13">
        <v>2.4</v>
      </c>
      <c r="M1445" s="13" t="b">
        <v>0</v>
      </c>
      <c r="O1445" s="13">
        <f t="shared" si="22"/>
        <v>2.4</v>
      </c>
    </row>
    <row r="1446" spans="1:15" x14ac:dyDescent="0.25">
      <c r="A1446" s="13" t="s">
        <v>1458</v>
      </c>
      <c r="B1446" s="13" t="s">
        <v>2192</v>
      </c>
      <c r="C1446" s="13" t="s">
        <v>2197</v>
      </c>
      <c r="D1446" s="13" t="s">
        <v>2206</v>
      </c>
      <c r="F1446" s="13" t="s">
        <v>2216</v>
      </c>
      <c r="G1446" s="13">
        <v>61.84</v>
      </c>
      <c r="H1446" s="13">
        <v>0</v>
      </c>
      <c r="I1446" s="13">
        <v>61.84</v>
      </c>
      <c r="J1446" s="24">
        <v>45875</v>
      </c>
      <c r="K1446" s="13">
        <v>0</v>
      </c>
      <c r="L1446" s="13">
        <v>4.7</v>
      </c>
      <c r="M1446" s="13" t="b">
        <v>1</v>
      </c>
      <c r="N1446" s="13" t="s">
        <v>2230</v>
      </c>
      <c r="O1446" s="13">
        <f t="shared" si="22"/>
        <v>4.7</v>
      </c>
    </row>
    <row r="1447" spans="1:15" x14ac:dyDescent="0.25">
      <c r="A1447" s="13" t="s">
        <v>1459</v>
      </c>
      <c r="B1447" s="13" t="s">
        <v>2190</v>
      </c>
      <c r="C1447" s="13" t="s">
        <v>2196</v>
      </c>
      <c r="D1447" s="13" t="s">
        <v>2204</v>
      </c>
      <c r="E1447" s="13" t="s">
        <v>2210</v>
      </c>
      <c r="F1447" s="13" t="s">
        <v>2224</v>
      </c>
      <c r="G1447" s="13">
        <v>190.03</v>
      </c>
      <c r="H1447" s="13">
        <v>14.9</v>
      </c>
      <c r="I1447" s="13">
        <v>161.72</v>
      </c>
      <c r="J1447" s="24">
        <v>45862</v>
      </c>
      <c r="K1447" s="13">
        <v>35</v>
      </c>
      <c r="L1447" s="13">
        <v>4.0999999999999996</v>
      </c>
      <c r="M1447" s="13" t="b">
        <v>0</v>
      </c>
      <c r="O1447" s="13">
        <f t="shared" si="22"/>
        <v>4.0999999999999996</v>
      </c>
    </row>
    <row r="1448" spans="1:15" x14ac:dyDescent="0.25">
      <c r="A1448" s="13" t="s">
        <v>1460</v>
      </c>
      <c r="B1448" s="13" t="s">
        <v>2194</v>
      </c>
      <c r="C1448" s="13" t="s">
        <v>2198</v>
      </c>
      <c r="D1448" s="13" t="s">
        <v>2206</v>
      </c>
      <c r="E1448" s="13" t="s">
        <v>2212</v>
      </c>
      <c r="F1448" s="13" t="s">
        <v>2214</v>
      </c>
      <c r="G1448" s="13">
        <v>74.27</v>
      </c>
      <c r="H1448" s="13">
        <v>0</v>
      </c>
      <c r="I1448" s="13">
        <v>74.27</v>
      </c>
      <c r="J1448" s="24">
        <v>45875</v>
      </c>
      <c r="K1448" s="13">
        <v>6</v>
      </c>
      <c r="L1448" s="13">
        <v>1.3</v>
      </c>
      <c r="M1448" s="13" t="b">
        <v>0</v>
      </c>
      <c r="O1448" s="13">
        <f t="shared" si="22"/>
        <v>1.3</v>
      </c>
    </row>
    <row r="1449" spans="1:15" x14ac:dyDescent="0.25">
      <c r="A1449" s="13" t="s">
        <v>1461</v>
      </c>
      <c r="B1449" s="13" t="s">
        <v>2190</v>
      </c>
      <c r="C1449" s="13" t="s">
        <v>2196</v>
      </c>
      <c r="D1449" s="13" t="s">
        <v>2206</v>
      </c>
      <c r="E1449" s="13" t="s">
        <v>2208</v>
      </c>
      <c r="F1449" s="13" t="s">
        <v>2221</v>
      </c>
      <c r="G1449" s="13">
        <v>163.77000000000001</v>
      </c>
      <c r="H1449" s="13">
        <v>30.5</v>
      </c>
      <c r="I1449" s="13">
        <v>113.82</v>
      </c>
      <c r="J1449" s="24">
        <v>45875</v>
      </c>
      <c r="K1449" s="13">
        <v>10</v>
      </c>
      <c r="M1449" s="13" t="b">
        <v>0</v>
      </c>
      <c r="O1449" s="13">
        <f t="shared" si="22"/>
        <v>2.7030303030303036</v>
      </c>
    </row>
    <row r="1450" spans="1:15" x14ac:dyDescent="0.25">
      <c r="A1450" s="13" t="s">
        <v>1462</v>
      </c>
      <c r="B1450" s="13" t="s">
        <v>2192</v>
      </c>
      <c r="C1450" s="13" t="s">
        <v>2199</v>
      </c>
      <c r="D1450" s="13" t="s">
        <v>2205</v>
      </c>
      <c r="F1450" s="13" t="s">
        <v>2223</v>
      </c>
      <c r="G1450" s="13">
        <v>42.28</v>
      </c>
      <c r="H1450" s="13">
        <v>0</v>
      </c>
      <c r="I1450" s="13">
        <v>42.28</v>
      </c>
      <c r="J1450" s="24">
        <v>45875</v>
      </c>
      <c r="K1450" s="13">
        <v>22</v>
      </c>
      <c r="L1450" s="13">
        <v>1.9</v>
      </c>
      <c r="M1450" s="13" t="b">
        <v>0</v>
      </c>
      <c r="O1450" s="13">
        <f t="shared" si="22"/>
        <v>1.9</v>
      </c>
    </row>
    <row r="1451" spans="1:15" x14ac:dyDescent="0.25">
      <c r="A1451" s="13" t="s">
        <v>1463</v>
      </c>
      <c r="B1451" s="13" t="s">
        <v>2194</v>
      </c>
      <c r="C1451" s="13" t="s">
        <v>2200</v>
      </c>
      <c r="D1451" s="13" t="s">
        <v>2207</v>
      </c>
      <c r="E1451" s="13" t="s">
        <v>2212</v>
      </c>
      <c r="F1451" s="13" t="s">
        <v>2222</v>
      </c>
      <c r="G1451" s="13">
        <v>52.92</v>
      </c>
      <c r="H1451" s="13">
        <v>0</v>
      </c>
      <c r="I1451" s="13">
        <v>52.92</v>
      </c>
      <c r="J1451" s="24">
        <v>45875</v>
      </c>
      <c r="K1451" s="13">
        <v>9</v>
      </c>
      <c r="M1451" s="13" t="b">
        <v>0</v>
      </c>
      <c r="O1451" s="13">
        <f t="shared" si="22"/>
        <v>3.0659090909090896</v>
      </c>
    </row>
    <row r="1452" spans="1:15" x14ac:dyDescent="0.25">
      <c r="A1452" s="13" t="s">
        <v>1464</v>
      </c>
      <c r="B1452" s="13" t="s">
        <v>2192</v>
      </c>
      <c r="C1452" s="13" t="s">
        <v>2201</v>
      </c>
      <c r="D1452" s="13" t="s">
        <v>2204</v>
      </c>
      <c r="F1452" s="13" t="s">
        <v>2216</v>
      </c>
      <c r="G1452" s="13">
        <v>40.549999999999997</v>
      </c>
      <c r="H1452" s="13">
        <v>6.2</v>
      </c>
      <c r="I1452" s="13">
        <v>38.04</v>
      </c>
      <c r="J1452" s="24">
        <v>45544</v>
      </c>
      <c r="K1452" s="13">
        <v>26</v>
      </c>
      <c r="L1452" s="13">
        <v>3.7</v>
      </c>
      <c r="M1452" s="13" t="b">
        <v>1</v>
      </c>
      <c r="N1452" s="13" t="s">
        <v>2230</v>
      </c>
      <c r="O1452" s="13">
        <f t="shared" si="22"/>
        <v>3.7</v>
      </c>
    </row>
    <row r="1453" spans="1:15" x14ac:dyDescent="0.25">
      <c r="A1453" s="13" t="s">
        <v>1465</v>
      </c>
      <c r="B1453" s="13" t="s">
        <v>2193</v>
      </c>
      <c r="C1453" s="13" t="s">
        <v>2199</v>
      </c>
      <c r="D1453" s="13" t="s">
        <v>2207</v>
      </c>
      <c r="E1453" s="13" t="s">
        <v>2211</v>
      </c>
      <c r="F1453" s="13" t="s">
        <v>2216</v>
      </c>
      <c r="G1453" s="13">
        <v>129.76</v>
      </c>
      <c r="H1453" s="13">
        <v>0</v>
      </c>
      <c r="I1453" s="13">
        <v>129.76</v>
      </c>
      <c r="J1453" s="24">
        <v>45875</v>
      </c>
      <c r="K1453" s="13">
        <v>39</v>
      </c>
      <c r="L1453" s="13">
        <v>2.9</v>
      </c>
      <c r="M1453" s="13" t="b">
        <v>0</v>
      </c>
      <c r="O1453" s="13">
        <f t="shared" si="22"/>
        <v>2.9</v>
      </c>
    </row>
    <row r="1454" spans="1:15" x14ac:dyDescent="0.25">
      <c r="A1454" s="13" t="s">
        <v>1466</v>
      </c>
      <c r="B1454" s="13" t="s">
        <v>2191</v>
      </c>
      <c r="C1454" s="13" t="s">
        <v>2201</v>
      </c>
      <c r="D1454" s="13" t="s">
        <v>2206</v>
      </c>
      <c r="E1454" s="13" t="s">
        <v>2208</v>
      </c>
      <c r="F1454" s="13" t="s">
        <v>2223</v>
      </c>
      <c r="G1454" s="13">
        <v>63.39</v>
      </c>
      <c r="H1454" s="13">
        <v>0</v>
      </c>
      <c r="I1454" s="13">
        <v>63.39</v>
      </c>
      <c r="J1454" s="24">
        <v>45875</v>
      </c>
      <c r="K1454" s="13">
        <v>50</v>
      </c>
      <c r="L1454" s="13">
        <v>2.5</v>
      </c>
      <c r="M1454" s="13" t="b">
        <v>0</v>
      </c>
      <c r="O1454" s="13">
        <f t="shared" si="22"/>
        <v>2.5</v>
      </c>
    </row>
    <row r="1455" spans="1:15" x14ac:dyDescent="0.25">
      <c r="A1455" s="13" t="s">
        <v>1467</v>
      </c>
      <c r="B1455" s="13" t="s">
        <v>2193</v>
      </c>
      <c r="C1455" s="13" t="s">
        <v>2200</v>
      </c>
      <c r="D1455" s="13" t="s">
        <v>2206</v>
      </c>
      <c r="E1455" s="13" t="s">
        <v>2210</v>
      </c>
      <c r="F1455" s="13" t="s">
        <v>2222</v>
      </c>
      <c r="G1455" s="13">
        <v>191.94</v>
      </c>
      <c r="H1455" s="13">
        <v>1.3</v>
      </c>
      <c r="I1455" s="13">
        <v>189.44</v>
      </c>
      <c r="J1455" s="24">
        <v>45875</v>
      </c>
      <c r="K1455" s="13">
        <v>39</v>
      </c>
      <c r="L1455" s="13">
        <v>1.2</v>
      </c>
      <c r="M1455" s="13" t="b">
        <v>0</v>
      </c>
      <c r="O1455" s="13">
        <f t="shared" si="22"/>
        <v>1.2</v>
      </c>
    </row>
    <row r="1456" spans="1:15" x14ac:dyDescent="0.25">
      <c r="A1456" s="13" t="s">
        <v>1468</v>
      </c>
      <c r="B1456" s="13" t="s">
        <v>2192</v>
      </c>
      <c r="C1456" s="13" t="s">
        <v>2197</v>
      </c>
      <c r="D1456" s="13" t="s">
        <v>2204</v>
      </c>
      <c r="F1456" s="13" t="s">
        <v>2223</v>
      </c>
      <c r="G1456" s="13">
        <v>63.42</v>
      </c>
      <c r="H1456" s="13">
        <v>0</v>
      </c>
      <c r="I1456" s="13">
        <v>63.42</v>
      </c>
      <c r="J1456" s="24">
        <v>45608</v>
      </c>
      <c r="K1456" s="13">
        <v>19</v>
      </c>
      <c r="L1456" s="13">
        <v>2.9</v>
      </c>
      <c r="M1456" s="13" t="b">
        <v>1</v>
      </c>
      <c r="N1456" s="13" t="s">
        <v>2225</v>
      </c>
      <c r="O1456" s="13">
        <f t="shared" si="22"/>
        <v>2.9</v>
      </c>
    </row>
    <row r="1457" spans="1:15" x14ac:dyDescent="0.25">
      <c r="A1457" s="13" t="s">
        <v>1469</v>
      </c>
      <c r="B1457" s="13" t="s">
        <v>2191</v>
      </c>
      <c r="C1457" s="13" t="s">
        <v>2201</v>
      </c>
      <c r="D1457" s="13" t="s">
        <v>2205</v>
      </c>
      <c r="E1457" s="13" t="s">
        <v>2211</v>
      </c>
      <c r="F1457" s="13" t="s">
        <v>2221</v>
      </c>
      <c r="G1457" s="13">
        <v>35.26</v>
      </c>
      <c r="H1457" s="13">
        <v>0</v>
      </c>
      <c r="I1457" s="13">
        <v>35.26</v>
      </c>
      <c r="J1457" s="24">
        <v>45875</v>
      </c>
      <c r="K1457" s="13">
        <v>47</v>
      </c>
      <c r="L1457" s="13">
        <v>2.2999999999999998</v>
      </c>
      <c r="M1457" s="13" t="b">
        <v>0</v>
      </c>
      <c r="O1457" s="13">
        <f t="shared" si="22"/>
        <v>2.2999999999999998</v>
      </c>
    </row>
    <row r="1458" spans="1:15" x14ac:dyDescent="0.25">
      <c r="A1458" s="13" t="s">
        <v>1470</v>
      </c>
      <c r="B1458" s="13" t="s">
        <v>2192</v>
      </c>
      <c r="C1458" s="13" t="s">
        <v>2202</v>
      </c>
      <c r="D1458" s="13" t="s">
        <v>2204</v>
      </c>
      <c r="F1458" s="13" t="s">
        <v>2220</v>
      </c>
      <c r="G1458" s="13">
        <v>44.5</v>
      </c>
      <c r="H1458" s="13">
        <v>0</v>
      </c>
      <c r="I1458" s="13">
        <v>44.5</v>
      </c>
      <c r="J1458" s="24">
        <v>45821</v>
      </c>
      <c r="K1458" s="13">
        <v>36</v>
      </c>
      <c r="L1458" s="13">
        <v>3.6</v>
      </c>
      <c r="M1458" s="13" t="b">
        <v>0</v>
      </c>
      <c r="O1458" s="13">
        <f t="shared" si="22"/>
        <v>3.6</v>
      </c>
    </row>
    <row r="1459" spans="1:15" x14ac:dyDescent="0.25">
      <c r="A1459" s="13" t="s">
        <v>1471</v>
      </c>
      <c r="B1459" s="13" t="s">
        <v>2193</v>
      </c>
      <c r="C1459" s="13" t="s">
        <v>2196</v>
      </c>
      <c r="D1459" s="13" t="s">
        <v>2204</v>
      </c>
      <c r="E1459" s="13" t="s">
        <v>2212</v>
      </c>
      <c r="F1459" s="13" t="s">
        <v>2217</v>
      </c>
      <c r="G1459" s="13">
        <v>186.78</v>
      </c>
      <c r="H1459" s="13">
        <v>43.4</v>
      </c>
      <c r="I1459" s="13">
        <v>105.72</v>
      </c>
      <c r="J1459" s="24">
        <v>45568</v>
      </c>
      <c r="K1459" s="13">
        <v>42</v>
      </c>
      <c r="L1459" s="13">
        <v>2.5</v>
      </c>
      <c r="M1459" s="13" t="b">
        <v>1</v>
      </c>
      <c r="N1459" s="13" t="s">
        <v>2227</v>
      </c>
      <c r="O1459" s="13">
        <f t="shared" si="22"/>
        <v>2.5</v>
      </c>
    </row>
    <row r="1460" spans="1:15" x14ac:dyDescent="0.25">
      <c r="A1460" s="13" t="s">
        <v>1472</v>
      </c>
      <c r="B1460" s="13" t="s">
        <v>2191</v>
      </c>
      <c r="C1460" s="13" t="s">
        <v>2200</v>
      </c>
      <c r="D1460" s="13" t="s">
        <v>2207</v>
      </c>
      <c r="E1460" s="13" t="s">
        <v>2209</v>
      </c>
      <c r="F1460" s="13" t="s">
        <v>2216</v>
      </c>
      <c r="G1460" s="13">
        <v>116.71</v>
      </c>
      <c r="H1460" s="13">
        <v>55.4</v>
      </c>
      <c r="I1460" s="13">
        <v>52.05</v>
      </c>
      <c r="J1460" s="24">
        <v>45875</v>
      </c>
      <c r="K1460" s="13">
        <v>15</v>
      </c>
      <c r="M1460" s="13" t="b">
        <v>0</v>
      </c>
      <c r="O1460" s="13">
        <f t="shared" si="22"/>
        <v>2.9657142857142857</v>
      </c>
    </row>
    <row r="1461" spans="1:15" x14ac:dyDescent="0.25">
      <c r="A1461" s="13" t="s">
        <v>1473</v>
      </c>
      <c r="B1461" s="13" t="s">
        <v>2192</v>
      </c>
      <c r="C1461" s="13" t="s">
        <v>2200</v>
      </c>
      <c r="D1461" s="13" t="s">
        <v>2205</v>
      </c>
      <c r="F1461" s="13" t="s">
        <v>2216</v>
      </c>
      <c r="G1461" s="13">
        <v>24.5</v>
      </c>
      <c r="H1461" s="13">
        <v>0</v>
      </c>
      <c r="I1461" s="13">
        <v>24.5</v>
      </c>
      <c r="J1461" s="24">
        <v>45875</v>
      </c>
      <c r="K1461" s="13">
        <v>7</v>
      </c>
      <c r="M1461" s="13" t="b">
        <v>0</v>
      </c>
      <c r="O1461" s="13">
        <f t="shared" si="22"/>
        <v>2.7333333333333334</v>
      </c>
    </row>
    <row r="1462" spans="1:15" x14ac:dyDescent="0.25">
      <c r="A1462" s="13" t="s">
        <v>1474</v>
      </c>
      <c r="B1462" s="13" t="s">
        <v>2192</v>
      </c>
      <c r="C1462" s="13" t="s">
        <v>2202</v>
      </c>
      <c r="D1462" s="13" t="s">
        <v>2205</v>
      </c>
      <c r="F1462" s="13" t="s">
        <v>2222</v>
      </c>
      <c r="G1462" s="13">
        <v>23.2</v>
      </c>
      <c r="H1462" s="13">
        <v>0</v>
      </c>
      <c r="I1462" s="13">
        <v>23.2</v>
      </c>
      <c r="J1462" s="24">
        <v>45875</v>
      </c>
      <c r="K1462" s="13">
        <v>17</v>
      </c>
      <c r="L1462" s="13">
        <v>2.1</v>
      </c>
      <c r="M1462" s="13" t="b">
        <v>0</v>
      </c>
      <c r="O1462" s="13">
        <f t="shared" si="22"/>
        <v>2.1</v>
      </c>
    </row>
    <row r="1463" spans="1:15" x14ac:dyDescent="0.25">
      <c r="A1463" s="13" t="s">
        <v>1475</v>
      </c>
      <c r="B1463" s="13" t="s">
        <v>2194</v>
      </c>
      <c r="C1463" s="13" t="s">
        <v>2203</v>
      </c>
      <c r="D1463" s="13" t="s">
        <v>2205</v>
      </c>
      <c r="E1463" s="13" t="s">
        <v>2208</v>
      </c>
      <c r="F1463" s="13" t="s">
        <v>2220</v>
      </c>
      <c r="G1463" s="13">
        <v>73.8</v>
      </c>
      <c r="H1463" s="13">
        <v>0</v>
      </c>
      <c r="I1463" s="13">
        <v>73.8</v>
      </c>
      <c r="J1463" s="24">
        <v>45875</v>
      </c>
      <c r="K1463" s="13">
        <v>42</v>
      </c>
      <c r="M1463" s="13" t="b">
        <v>0</v>
      </c>
      <c r="O1463" s="13">
        <f t="shared" si="22"/>
        <v>3.1021739130434773</v>
      </c>
    </row>
    <row r="1464" spans="1:15" x14ac:dyDescent="0.25">
      <c r="A1464" s="13" t="s">
        <v>1476</v>
      </c>
      <c r="B1464" s="13" t="s">
        <v>2192</v>
      </c>
      <c r="C1464" s="13" t="s">
        <v>2196</v>
      </c>
      <c r="D1464" s="13" t="s">
        <v>2207</v>
      </c>
      <c r="F1464" s="13" t="s">
        <v>2216</v>
      </c>
      <c r="G1464" s="13">
        <v>51.33</v>
      </c>
      <c r="H1464" s="13">
        <v>0</v>
      </c>
      <c r="I1464" s="13">
        <v>51.33</v>
      </c>
      <c r="J1464" s="24">
        <v>45875</v>
      </c>
      <c r="K1464" s="13">
        <v>25</v>
      </c>
      <c r="L1464" s="13">
        <v>1.2</v>
      </c>
      <c r="M1464" s="13" t="b">
        <v>0</v>
      </c>
      <c r="O1464" s="13">
        <f t="shared" si="22"/>
        <v>1.2</v>
      </c>
    </row>
    <row r="1465" spans="1:15" x14ac:dyDescent="0.25">
      <c r="A1465" s="13" t="s">
        <v>1477</v>
      </c>
      <c r="B1465" s="13" t="s">
        <v>2194</v>
      </c>
      <c r="C1465" s="13" t="s">
        <v>2200</v>
      </c>
      <c r="D1465" s="13" t="s">
        <v>2205</v>
      </c>
      <c r="E1465" s="13" t="s">
        <v>2211</v>
      </c>
      <c r="F1465" s="13" t="s">
        <v>2220</v>
      </c>
      <c r="G1465" s="13">
        <v>80.209999999999994</v>
      </c>
      <c r="H1465" s="13">
        <v>0</v>
      </c>
      <c r="I1465" s="13">
        <v>80.209999999999994</v>
      </c>
      <c r="J1465" s="24">
        <v>45875</v>
      </c>
      <c r="K1465" s="13">
        <v>17</v>
      </c>
      <c r="M1465" s="13" t="b">
        <v>0</v>
      </c>
      <c r="O1465" s="13">
        <f t="shared" si="22"/>
        <v>3.0659090909090896</v>
      </c>
    </row>
    <row r="1466" spans="1:15" x14ac:dyDescent="0.25">
      <c r="A1466" s="13" t="s">
        <v>1478</v>
      </c>
      <c r="B1466" s="13" t="s">
        <v>2190</v>
      </c>
      <c r="C1466" s="13" t="s">
        <v>2197</v>
      </c>
      <c r="D1466" s="13" t="s">
        <v>2206</v>
      </c>
      <c r="E1466" s="13" t="s">
        <v>2209</v>
      </c>
      <c r="F1466" s="13" t="s">
        <v>2224</v>
      </c>
      <c r="G1466" s="13">
        <v>237.65</v>
      </c>
      <c r="H1466" s="13">
        <v>0</v>
      </c>
      <c r="I1466" s="13">
        <v>237.65</v>
      </c>
      <c r="J1466" s="24">
        <v>45875</v>
      </c>
      <c r="K1466" s="13">
        <v>3</v>
      </c>
      <c r="L1466" s="13">
        <v>3.4</v>
      </c>
      <c r="M1466" s="13" t="b">
        <v>0</v>
      </c>
      <c r="O1466" s="13">
        <f t="shared" si="22"/>
        <v>3.4</v>
      </c>
    </row>
    <row r="1467" spans="1:15" x14ac:dyDescent="0.25">
      <c r="A1467" s="13" t="s">
        <v>1479</v>
      </c>
      <c r="B1467" s="13" t="s">
        <v>2194</v>
      </c>
      <c r="C1467" s="13" t="s">
        <v>2198</v>
      </c>
      <c r="D1467" s="13" t="s">
        <v>2204</v>
      </c>
      <c r="E1467" s="13" t="s">
        <v>2210</v>
      </c>
      <c r="F1467" s="13" t="s">
        <v>2224</v>
      </c>
      <c r="G1467" s="13">
        <v>96.35</v>
      </c>
      <c r="H1467" s="13">
        <v>0</v>
      </c>
      <c r="I1467" s="13">
        <v>96.35</v>
      </c>
      <c r="J1467" s="24">
        <v>45638</v>
      </c>
      <c r="K1467" s="13">
        <v>34</v>
      </c>
      <c r="L1467" s="13">
        <v>3.7</v>
      </c>
      <c r="M1467" s="13" t="b">
        <v>0</v>
      </c>
      <c r="O1467" s="13">
        <f t="shared" si="22"/>
        <v>3.7</v>
      </c>
    </row>
    <row r="1468" spans="1:15" x14ac:dyDescent="0.25">
      <c r="A1468" s="13" t="s">
        <v>1480</v>
      </c>
      <c r="B1468" s="13" t="s">
        <v>2194</v>
      </c>
      <c r="C1468" s="13" t="s">
        <v>2198</v>
      </c>
      <c r="D1468" s="13" t="s">
        <v>2205</v>
      </c>
      <c r="E1468" s="13" t="s">
        <v>2208</v>
      </c>
      <c r="F1468" s="13" t="s">
        <v>2217</v>
      </c>
      <c r="G1468" s="13">
        <v>91.92</v>
      </c>
      <c r="H1468" s="13">
        <v>0</v>
      </c>
      <c r="I1468" s="13">
        <v>91.92</v>
      </c>
      <c r="J1468" s="24">
        <v>45875</v>
      </c>
      <c r="K1468" s="13">
        <v>29</v>
      </c>
      <c r="M1468" s="13" t="b">
        <v>0</v>
      </c>
      <c r="O1468" s="13">
        <f t="shared" si="22"/>
        <v>3.0384615384615379</v>
      </c>
    </row>
    <row r="1469" spans="1:15" x14ac:dyDescent="0.25">
      <c r="A1469" s="13" t="s">
        <v>1481</v>
      </c>
      <c r="B1469" s="13" t="s">
        <v>2193</v>
      </c>
      <c r="C1469" s="13" t="s">
        <v>2198</v>
      </c>
      <c r="D1469" s="13" t="s">
        <v>2206</v>
      </c>
      <c r="E1469" s="13" t="s">
        <v>2211</v>
      </c>
      <c r="F1469" s="13" t="s">
        <v>2222</v>
      </c>
      <c r="G1469" s="13">
        <v>194.05</v>
      </c>
      <c r="H1469" s="13">
        <v>0</v>
      </c>
      <c r="I1469" s="13">
        <v>194.05</v>
      </c>
      <c r="J1469" s="24">
        <v>45875</v>
      </c>
      <c r="K1469" s="13">
        <v>7</v>
      </c>
      <c r="L1469" s="13">
        <v>1.3</v>
      </c>
      <c r="M1469" s="13" t="b">
        <v>0</v>
      </c>
      <c r="O1469" s="13">
        <f t="shared" si="22"/>
        <v>1.3</v>
      </c>
    </row>
    <row r="1470" spans="1:15" x14ac:dyDescent="0.25">
      <c r="A1470" s="13" t="s">
        <v>1482</v>
      </c>
      <c r="B1470" s="13" t="s">
        <v>2190</v>
      </c>
      <c r="C1470" s="13" t="s">
        <v>2202</v>
      </c>
      <c r="D1470" s="13" t="s">
        <v>2207</v>
      </c>
      <c r="E1470" s="13" t="s">
        <v>2210</v>
      </c>
      <c r="F1470" s="13" t="s">
        <v>2214</v>
      </c>
      <c r="G1470" s="13">
        <v>166.88</v>
      </c>
      <c r="H1470" s="13">
        <v>0</v>
      </c>
      <c r="I1470" s="13">
        <v>166.88</v>
      </c>
      <c r="J1470" s="24">
        <v>45875</v>
      </c>
      <c r="K1470" s="13">
        <v>10</v>
      </c>
      <c r="L1470" s="13">
        <v>1.6</v>
      </c>
      <c r="M1470" s="13" t="b">
        <v>0</v>
      </c>
      <c r="O1470" s="13">
        <f t="shared" si="22"/>
        <v>1.6</v>
      </c>
    </row>
    <row r="1471" spans="1:15" x14ac:dyDescent="0.25">
      <c r="A1471" s="13" t="s">
        <v>1483</v>
      </c>
      <c r="B1471" s="13" t="s">
        <v>2194</v>
      </c>
      <c r="C1471" s="13" t="s">
        <v>2200</v>
      </c>
      <c r="D1471" s="13" t="s">
        <v>2205</v>
      </c>
      <c r="E1471" s="13" t="s">
        <v>2210</v>
      </c>
      <c r="F1471" s="13" t="s">
        <v>2214</v>
      </c>
      <c r="G1471" s="13">
        <v>47.01</v>
      </c>
      <c r="H1471" s="13">
        <v>0</v>
      </c>
      <c r="I1471" s="13">
        <v>47.01</v>
      </c>
      <c r="J1471" s="24">
        <v>45875</v>
      </c>
      <c r="K1471" s="13">
        <v>17</v>
      </c>
      <c r="L1471" s="13">
        <v>1.6</v>
      </c>
      <c r="M1471" s="13" t="b">
        <v>0</v>
      </c>
      <c r="O1471" s="13">
        <f t="shared" si="22"/>
        <v>1.6</v>
      </c>
    </row>
    <row r="1472" spans="1:15" x14ac:dyDescent="0.25">
      <c r="A1472" s="13" t="s">
        <v>1484</v>
      </c>
      <c r="B1472" s="13" t="s">
        <v>2193</v>
      </c>
      <c r="C1472" s="13" t="s">
        <v>2198</v>
      </c>
      <c r="D1472" s="13" t="s">
        <v>2205</v>
      </c>
      <c r="E1472" s="13" t="s">
        <v>2211</v>
      </c>
      <c r="F1472" s="13" t="s">
        <v>2215</v>
      </c>
      <c r="G1472" s="13">
        <v>119.91</v>
      </c>
      <c r="H1472" s="13">
        <v>20.3</v>
      </c>
      <c r="I1472" s="13">
        <v>95.57</v>
      </c>
      <c r="J1472" s="24">
        <v>45875</v>
      </c>
      <c r="K1472" s="13">
        <v>15</v>
      </c>
      <c r="L1472" s="13">
        <v>3.8</v>
      </c>
      <c r="M1472" s="13" t="b">
        <v>0</v>
      </c>
      <c r="O1472" s="13">
        <f t="shared" si="22"/>
        <v>3.8</v>
      </c>
    </row>
    <row r="1473" spans="1:15" x14ac:dyDescent="0.25">
      <c r="A1473" s="13" t="s">
        <v>1485</v>
      </c>
      <c r="B1473" s="13" t="s">
        <v>2192</v>
      </c>
      <c r="C1473" s="13" t="s">
        <v>2200</v>
      </c>
      <c r="D1473" s="13" t="s">
        <v>2206</v>
      </c>
      <c r="F1473" s="13" t="s">
        <v>2214</v>
      </c>
      <c r="G1473" s="13">
        <v>73.73</v>
      </c>
      <c r="H1473" s="13">
        <v>54.2</v>
      </c>
      <c r="I1473" s="13">
        <v>33.770000000000003</v>
      </c>
      <c r="J1473" s="24">
        <v>45875</v>
      </c>
      <c r="K1473" s="13">
        <v>37</v>
      </c>
      <c r="L1473" s="13">
        <v>4.0999999999999996</v>
      </c>
      <c r="M1473" s="13" t="b">
        <v>0</v>
      </c>
      <c r="O1473" s="13">
        <f t="shared" si="22"/>
        <v>4.0999999999999996</v>
      </c>
    </row>
    <row r="1474" spans="1:15" x14ac:dyDescent="0.25">
      <c r="A1474" s="13" t="s">
        <v>1486</v>
      </c>
      <c r="B1474" s="13" t="s">
        <v>2194</v>
      </c>
      <c r="C1474" s="13" t="s">
        <v>2196</v>
      </c>
      <c r="D1474" s="13" t="s">
        <v>2206</v>
      </c>
      <c r="E1474" s="13" t="s">
        <v>2209</v>
      </c>
      <c r="F1474" s="13" t="s">
        <v>2216</v>
      </c>
      <c r="G1474" s="13">
        <v>108.65</v>
      </c>
      <c r="H1474" s="13">
        <v>0</v>
      </c>
      <c r="I1474" s="13">
        <v>108.65</v>
      </c>
      <c r="J1474" s="24">
        <v>45875</v>
      </c>
      <c r="K1474" s="13">
        <v>26</v>
      </c>
      <c r="L1474" s="13">
        <v>2.4</v>
      </c>
      <c r="M1474" s="13" t="b">
        <v>0</v>
      </c>
      <c r="O1474" s="13">
        <f t="shared" si="22"/>
        <v>2.4</v>
      </c>
    </row>
    <row r="1475" spans="1:15" x14ac:dyDescent="0.25">
      <c r="A1475" s="13" t="s">
        <v>1487</v>
      </c>
      <c r="B1475" s="13" t="s">
        <v>2193</v>
      </c>
      <c r="C1475" s="13" t="s">
        <v>2199</v>
      </c>
      <c r="D1475" s="13" t="s">
        <v>2207</v>
      </c>
      <c r="E1475" s="13" t="s">
        <v>2209</v>
      </c>
      <c r="F1475" s="13" t="s">
        <v>2214</v>
      </c>
      <c r="G1475" s="13">
        <v>186.53</v>
      </c>
      <c r="H1475" s="13">
        <v>0</v>
      </c>
      <c r="I1475" s="13">
        <v>186.53</v>
      </c>
      <c r="J1475" s="24">
        <v>45875</v>
      </c>
      <c r="K1475" s="13">
        <v>31</v>
      </c>
      <c r="L1475" s="13">
        <v>2.6</v>
      </c>
      <c r="M1475" s="13" t="b">
        <v>0</v>
      </c>
      <c r="O1475" s="13">
        <f t="shared" ref="O1475:O1538" si="23">IF(L1475="",AVERAGEIFS($L$2:$L$2177,$B$2:$B$2177,B1475,$C$2:$C$2177,C1475),L1475)</f>
        <v>2.6</v>
      </c>
    </row>
    <row r="1476" spans="1:15" x14ac:dyDescent="0.25">
      <c r="A1476" s="13" t="s">
        <v>1488</v>
      </c>
      <c r="B1476" s="13" t="s">
        <v>2192</v>
      </c>
      <c r="C1476" s="13" t="s">
        <v>2196</v>
      </c>
      <c r="D1476" s="13" t="s">
        <v>2207</v>
      </c>
      <c r="F1476" s="13" t="s">
        <v>2214</v>
      </c>
      <c r="G1476" s="13">
        <v>60.34</v>
      </c>
      <c r="H1476" s="13">
        <v>0</v>
      </c>
      <c r="I1476" s="13">
        <v>60.34</v>
      </c>
      <c r="J1476" s="24">
        <v>45875</v>
      </c>
      <c r="K1476" s="13">
        <v>13</v>
      </c>
      <c r="M1476" s="13" t="b">
        <v>0</v>
      </c>
      <c r="O1476" s="13">
        <f t="shared" si="23"/>
        <v>2.9116666666666675</v>
      </c>
    </row>
    <row r="1477" spans="1:15" x14ac:dyDescent="0.25">
      <c r="A1477" s="13" t="s">
        <v>1489</v>
      </c>
      <c r="B1477" s="13" t="s">
        <v>2192</v>
      </c>
      <c r="C1477" s="13" t="s">
        <v>2199</v>
      </c>
      <c r="D1477" s="13" t="s">
        <v>2205</v>
      </c>
      <c r="F1477" s="13" t="s">
        <v>2222</v>
      </c>
      <c r="G1477" s="13">
        <v>61.16</v>
      </c>
      <c r="H1477" s="13">
        <v>0</v>
      </c>
      <c r="I1477" s="13">
        <v>61.16</v>
      </c>
      <c r="J1477" s="24">
        <v>45875</v>
      </c>
      <c r="K1477" s="13">
        <v>28</v>
      </c>
      <c r="L1477" s="13">
        <v>2.2999999999999998</v>
      </c>
      <c r="M1477" s="13" t="b">
        <v>0</v>
      </c>
      <c r="O1477" s="13">
        <f t="shared" si="23"/>
        <v>2.2999999999999998</v>
      </c>
    </row>
    <row r="1478" spans="1:15" x14ac:dyDescent="0.25">
      <c r="A1478" s="13" t="s">
        <v>1490</v>
      </c>
      <c r="B1478" s="13" t="s">
        <v>2193</v>
      </c>
      <c r="C1478" s="13" t="s">
        <v>2203</v>
      </c>
      <c r="D1478" s="13" t="s">
        <v>2205</v>
      </c>
      <c r="E1478" s="13" t="s">
        <v>2208</v>
      </c>
      <c r="F1478" s="13" t="s">
        <v>2220</v>
      </c>
      <c r="G1478" s="13">
        <v>168.85</v>
      </c>
      <c r="H1478" s="13">
        <v>35.299999999999997</v>
      </c>
      <c r="I1478" s="13">
        <v>109.25</v>
      </c>
      <c r="J1478" s="24">
        <v>45875</v>
      </c>
      <c r="K1478" s="13">
        <v>10</v>
      </c>
      <c r="L1478" s="13">
        <v>3.3</v>
      </c>
      <c r="M1478" s="13" t="b">
        <v>0</v>
      </c>
      <c r="O1478" s="13">
        <f t="shared" si="23"/>
        <v>3.3</v>
      </c>
    </row>
    <row r="1479" spans="1:15" x14ac:dyDescent="0.25">
      <c r="A1479" s="13" t="s">
        <v>1491</v>
      </c>
      <c r="B1479" s="13" t="s">
        <v>2191</v>
      </c>
      <c r="C1479" s="13" t="s">
        <v>2201</v>
      </c>
      <c r="D1479" s="13" t="s">
        <v>2205</v>
      </c>
      <c r="E1479" s="13" t="s">
        <v>2209</v>
      </c>
      <c r="F1479" s="13" t="s">
        <v>2222</v>
      </c>
      <c r="G1479" s="13">
        <v>60.08</v>
      </c>
      <c r="H1479" s="13">
        <v>0</v>
      </c>
      <c r="I1479" s="13">
        <v>60.08</v>
      </c>
      <c r="J1479" s="24">
        <v>45875</v>
      </c>
      <c r="K1479" s="13">
        <v>26</v>
      </c>
      <c r="M1479" s="13" t="b">
        <v>0</v>
      </c>
      <c r="O1479" s="13">
        <f t="shared" si="23"/>
        <v>2.9846153846153847</v>
      </c>
    </row>
    <row r="1480" spans="1:15" x14ac:dyDescent="0.25">
      <c r="A1480" s="13" t="s">
        <v>1492</v>
      </c>
      <c r="B1480" s="13" t="s">
        <v>2192</v>
      </c>
      <c r="C1480" s="13" t="s">
        <v>2202</v>
      </c>
      <c r="D1480" s="13" t="s">
        <v>2207</v>
      </c>
      <c r="F1480" s="13" t="s">
        <v>2224</v>
      </c>
      <c r="G1480" s="13">
        <v>39.39</v>
      </c>
      <c r="H1480" s="13">
        <v>29.8</v>
      </c>
      <c r="I1480" s="13">
        <v>27.65</v>
      </c>
      <c r="J1480" s="24">
        <v>45875</v>
      </c>
      <c r="K1480" s="13">
        <v>13</v>
      </c>
      <c r="L1480" s="13">
        <v>4.7</v>
      </c>
      <c r="M1480" s="13" t="b">
        <v>0</v>
      </c>
      <c r="O1480" s="13">
        <f t="shared" si="23"/>
        <v>4.7</v>
      </c>
    </row>
    <row r="1481" spans="1:15" x14ac:dyDescent="0.25">
      <c r="A1481" s="13" t="s">
        <v>1493</v>
      </c>
      <c r="B1481" s="13" t="s">
        <v>2191</v>
      </c>
      <c r="C1481" s="13" t="s">
        <v>2202</v>
      </c>
      <c r="D1481" s="13" t="s">
        <v>2206</v>
      </c>
      <c r="E1481" s="13" t="s">
        <v>2213</v>
      </c>
      <c r="F1481" s="13" t="s">
        <v>2215</v>
      </c>
      <c r="G1481" s="13">
        <v>111.09</v>
      </c>
      <c r="H1481" s="13">
        <v>0</v>
      </c>
      <c r="I1481" s="13">
        <v>111.09</v>
      </c>
      <c r="J1481" s="24">
        <v>45875</v>
      </c>
      <c r="K1481" s="13">
        <v>24</v>
      </c>
      <c r="L1481" s="13">
        <v>2.2000000000000002</v>
      </c>
      <c r="M1481" s="13" t="b">
        <v>0</v>
      </c>
      <c r="O1481" s="13">
        <f t="shared" si="23"/>
        <v>2.2000000000000002</v>
      </c>
    </row>
    <row r="1482" spans="1:15" x14ac:dyDescent="0.25">
      <c r="A1482" s="13" t="s">
        <v>1494</v>
      </c>
      <c r="B1482" s="13" t="s">
        <v>2195</v>
      </c>
      <c r="C1482" s="13" t="s">
        <v>2198</v>
      </c>
      <c r="D1482" s="13" t="s">
        <v>2207</v>
      </c>
      <c r="E1482" s="13" t="s">
        <v>2213</v>
      </c>
      <c r="F1482" s="13" t="s">
        <v>2220</v>
      </c>
      <c r="G1482" s="13">
        <v>133.51</v>
      </c>
      <c r="H1482" s="13">
        <v>0</v>
      </c>
      <c r="I1482" s="13">
        <v>133.51</v>
      </c>
      <c r="J1482" s="24">
        <v>45875</v>
      </c>
      <c r="K1482" s="13">
        <v>5</v>
      </c>
      <c r="L1482" s="13">
        <v>1.7</v>
      </c>
      <c r="M1482" s="13" t="b">
        <v>1</v>
      </c>
      <c r="N1482" s="13" t="s">
        <v>2228</v>
      </c>
      <c r="O1482" s="13">
        <f t="shared" si="23"/>
        <v>1.7</v>
      </c>
    </row>
    <row r="1483" spans="1:15" x14ac:dyDescent="0.25">
      <c r="A1483" s="13" t="s">
        <v>1495</v>
      </c>
      <c r="B1483" s="13" t="s">
        <v>2195</v>
      </c>
      <c r="C1483" s="13" t="s">
        <v>2203</v>
      </c>
      <c r="D1483" s="13" t="s">
        <v>2207</v>
      </c>
      <c r="E1483" s="13" t="s">
        <v>2212</v>
      </c>
      <c r="F1483" s="13" t="s">
        <v>2215</v>
      </c>
      <c r="G1483" s="13">
        <v>158.9</v>
      </c>
      <c r="H1483" s="13">
        <v>43.5</v>
      </c>
      <c r="I1483" s="13">
        <v>89.78</v>
      </c>
      <c r="J1483" s="24">
        <v>45875</v>
      </c>
      <c r="K1483" s="13">
        <v>46</v>
      </c>
      <c r="M1483" s="13" t="b">
        <v>0</v>
      </c>
      <c r="O1483" s="13">
        <f t="shared" si="23"/>
        <v>2.9636363636363638</v>
      </c>
    </row>
    <row r="1484" spans="1:15" x14ac:dyDescent="0.25">
      <c r="A1484" s="13" t="s">
        <v>1496</v>
      </c>
      <c r="B1484" s="13" t="s">
        <v>2191</v>
      </c>
      <c r="C1484" s="13" t="s">
        <v>2202</v>
      </c>
      <c r="D1484" s="13" t="s">
        <v>2204</v>
      </c>
      <c r="E1484" s="13" t="s">
        <v>2212</v>
      </c>
      <c r="F1484" s="13" t="s">
        <v>2224</v>
      </c>
      <c r="G1484" s="13">
        <v>65.27</v>
      </c>
      <c r="H1484" s="13">
        <v>19</v>
      </c>
      <c r="I1484" s="13">
        <v>52.87</v>
      </c>
      <c r="J1484" s="24">
        <v>45533</v>
      </c>
      <c r="K1484" s="13">
        <v>48</v>
      </c>
      <c r="L1484" s="13">
        <v>3</v>
      </c>
      <c r="M1484" s="13" t="b">
        <v>0</v>
      </c>
      <c r="O1484" s="13">
        <f t="shared" si="23"/>
        <v>3</v>
      </c>
    </row>
    <row r="1485" spans="1:15" x14ac:dyDescent="0.25">
      <c r="A1485" s="13" t="s">
        <v>1497</v>
      </c>
      <c r="B1485" s="13" t="s">
        <v>2192</v>
      </c>
      <c r="C1485" s="13" t="s">
        <v>2196</v>
      </c>
      <c r="D1485" s="13" t="s">
        <v>2206</v>
      </c>
      <c r="F1485" s="13" t="s">
        <v>2220</v>
      </c>
      <c r="G1485" s="13">
        <v>72.37</v>
      </c>
      <c r="H1485" s="13">
        <v>0</v>
      </c>
      <c r="I1485" s="13">
        <v>72.37</v>
      </c>
      <c r="J1485" s="24">
        <v>45875</v>
      </c>
      <c r="K1485" s="13">
        <v>24</v>
      </c>
      <c r="L1485" s="13">
        <v>2.9</v>
      </c>
      <c r="M1485" s="13" t="b">
        <v>0</v>
      </c>
      <c r="O1485" s="13">
        <f t="shared" si="23"/>
        <v>2.9</v>
      </c>
    </row>
    <row r="1486" spans="1:15" x14ac:dyDescent="0.25">
      <c r="A1486" s="13" t="s">
        <v>1498</v>
      </c>
      <c r="B1486" s="13" t="s">
        <v>2195</v>
      </c>
      <c r="C1486" s="13" t="s">
        <v>2198</v>
      </c>
      <c r="D1486" s="13" t="s">
        <v>2206</v>
      </c>
      <c r="E1486" s="13" t="s">
        <v>2208</v>
      </c>
      <c r="F1486" s="13" t="s">
        <v>2217</v>
      </c>
      <c r="G1486" s="13">
        <v>133.88</v>
      </c>
      <c r="H1486" s="13">
        <v>21.5</v>
      </c>
      <c r="I1486" s="13">
        <v>105.1</v>
      </c>
      <c r="J1486" s="24">
        <v>45875</v>
      </c>
      <c r="K1486" s="13">
        <v>42</v>
      </c>
      <c r="L1486" s="13">
        <v>3.1</v>
      </c>
      <c r="M1486" s="13" t="b">
        <v>0</v>
      </c>
      <c r="O1486" s="13">
        <f t="shared" si="23"/>
        <v>3.1</v>
      </c>
    </row>
    <row r="1487" spans="1:15" x14ac:dyDescent="0.25">
      <c r="A1487" s="13" t="s">
        <v>1499</v>
      </c>
      <c r="B1487" s="13" t="s">
        <v>2191</v>
      </c>
      <c r="C1487" s="13" t="s">
        <v>2196</v>
      </c>
      <c r="D1487" s="13" t="s">
        <v>2204</v>
      </c>
      <c r="E1487" s="13" t="s">
        <v>2211</v>
      </c>
      <c r="F1487" s="13" t="s">
        <v>2223</v>
      </c>
      <c r="G1487" s="13">
        <v>74.3</v>
      </c>
      <c r="H1487" s="13">
        <v>0</v>
      </c>
      <c r="I1487" s="13">
        <v>74.3</v>
      </c>
      <c r="J1487" s="24">
        <v>45633</v>
      </c>
      <c r="K1487" s="13">
        <v>24</v>
      </c>
      <c r="L1487" s="13">
        <v>4.4000000000000004</v>
      </c>
      <c r="M1487" s="13" t="b">
        <v>0</v>
      </c>
      <c r="O1487" s="13">
        <f t="shared" si="23"/>
        <v>4.4000000000000004</v>
      </c>
    </row>
    <row r="1488" spans="1:15" x14ac:dyDescent="0.25">
      <c r="A1488" s="13" t="s">
        <v>1500</v>
      </c>
      <c r="B1488" s="13" t="s">
        <v>2193</v>
      </c>
      <c r="C1488" s="13" t="s">
        <v>2198</v>
      </c>
      <c r="D1488" s="13" t="s">
        <v>2207</v>
      </c>
      <c r="E1488" s="13" t="s">
        <v>2208</v>
      </c>
      <c r="F1488" s="13" t="s">
        <v>2221</v>
      </c>
      <c r="G1488" s="13">
        <v>192.74</v>
      </c>
      <c r="H1488" s="13">
        <v>47.5</v>
      </c>
      <c r="I1488" s="13">
        <v>101.19</v>
      </c>
      <c r="J1488" s="24">
        <v>45875</v>
      </c>
      <c r="K1488" s="13">
        <v>40</v>
      </c>
      <c r="L1488" s="13">
        <v>2.8</v>
      </c>
      <c r="M1488" s="13" t="b">
        <v>0</v>
      </c>
      <c r="O1488" s="13">
        <f t="shared" si="23"/>
        <v>2.8</v>
      </c>
    </row>
    <row r="1489" spans="1:15" x14ac:dyDescent="0.25">
      <c r="A1489" s="13" t="s">
        <v>1501</v>
      </c>
      <c r="B1489" s="13" t="s">
        <v>2192</v>
      </c>
      <c r="C1489" s="13" t="s">
        <v>2197</v>
      </c>
      <c r="D1489" s="13" t="s">
        <v>2207</v>
      </c>
      <c r="F1489" s="13" t="s">
        <v>2214</v>
      </c>
      <c r="G1489" s="13">
        <v>79.02</v>
      </c>
      <c r="H1489" s="13">
        <v>2.5</v>
      </c>
      <c r="I1489" s="13">
        <v>77.040000000000006</v>
      </c>
      <c r="J1489" s="24">
        <v>45875</v>
      </c>
      <c r="K1489" s="13">
        <v>16</v>
      </c>
      <c r="L1489" s="13">
        <v>2.8</v>
      </c>
      <c r="M1489" s="13" t="b">
        <v>0</v>
      </c>
      <c r="O1489" s="13">
        <f t="shared" si="23"/>
        <v>2.8</v>
      </c>
    </row>
    <row r="1490" spans="1:15" x14ac:dyDescent="0.25">
      <c r="A1490" s="13" t="s">
        <v>1502</v>
      </c>
      <c r="B1490" s="13" t="s">
        <v>2193</v>
      </c>
      <c r="C1490" s="13" t="s">
        <v>2196</v>
      </c>
      <c r="D1490" s="13" t="s">
        <v>2205</v>
      </c>
      <c r="E1490" s="13" t="s">
        <v>2210</v>
      </c>
      <c r="F1490" s="13" t="s">
        <v>2217</v>
      </c>
      <c r="G1490" s="13">
        <v>158.29</v>
      </c>
      <c r="H1490" s="13">
        <v>0</v>
      </c>
      <c r="I1490" s="13">
        <v>158.29</v>
      </c>
      <c r="J1490" s="24">
        <v>45875</v>
      </c>
      <c r="K1490" s="13">
        <v>5</v>
      </c>
      <c r="L1490" s="13">
        <v>1.6</v>
      </c>
      <c r="M1490" s="13" t="b">
        <v>0</v>
      </c>
      <c r="O1490" s="13">
        <f t="shared" si="23"/>
        <v>1.6</v>
      </c>
    </row>
    <row r="1491" spans="1:15" x14ac:dyDescent="0.25">
      <c r="A1491" s="13" t="s">
        <v>1503</v>
      </c>
      <c r="B1491" s="13" t="s">
        <v>2191</v>
      </c>
      <c r="C1491" s="13" t="s">
        <v>2201</v>
      </c>
      <c r="D1491" s="13" t="s">
        <v>2205</v>
      </c>
      <c r="E1491" s="13" t="s">
        <v>2209</v>
      </c>
      <c r="F1491" s="13" t="s">
        <v>2217</v>
      </c>
      <c r="G1491" s="13">
        <v>69.33</v>
      </c>
      <c r="H1491" s="13">
        <v>0</v>
      </c>
      <c r="I1491" s="13">
        <v>69.33</v>
      </c>
      <c r="J1491" s="24">
        <v>45875</v>
      </c>
      <c r="K1491" s="13">
        <v>26</v>
      </c>
      <c r="L1491" s="13">
        <v>4.9000000000000004</v>
      </c>
      <c r="M1491" s="13" t="b">
        <v>0</v>
      </c>
      <c r="O1491" s="13">
        <f t="shared" si="23"/>
        <v>4.9000000000000004</v>
      </c>
    </row>
    <row r="1492" spans="1:15" x14ac:dyDescent="0.25">
      <c r="A1492" s="13" t="s">
        <v>1504</v>
      </c>
      <c r="B1492" s="13" t="s">
        <v>2193</v>
      </c>
      <c r="C1492" s="13" t="s">
        <v>2202</v>
      </c>
      <c r="D1492" s="13" t="s">
        <v>2205</v>
      </c>
      <c r="E1492" s="13" t="s">
        <v>2212</v>
      </c>
      <c r="F1492" s="13" t="s">
        <v>2224</v>
      </c>
      <c r="G1492" s="13">
        <v>86.89</v>
      </c>
      <c r="H1492" s="13">
        <v>19.5</v>
      </c>
      <c r="I1492" s="13">
        <v>69.95</v>
      </c>
      <c r="J1492" s="24">
        <v>45875</v>
      </c>
      <c r="K1492" s="13">
        <v>49</v>
      </c>
      <c r="L1492" s="13">
        <v>1.3</v>
      </c>
      <c r="M1492" s="13" t="b">
        <v>0</v>
      </c>
      <c r="O1492" s="13">
        <f t="shared" si="23"/>
        <v>1.3</v>
      </c>
    </row>
    <row r="1493" spans="1:15" x14ac:dyDescent="0.25">
      <c r="A1493" s="13" t="s">
        <v>1505</v>
      </c>
      <c r="B1493" s="13" t="s">
        <v>2190</v>
      </c>
      <c r="C1493" s="13" t="s">
        <v>2197</v>
      </c>
      <c r="D1493" s="13" t="s">
        <v>2206</v>
      </c>
      <c r="E1493" s="13" t="s">
        <v>2209</v>
      </c>
      <c r="F1493" s="13" t="s">
        <v>2220</v>
      </c>
      <c r="G1493" s="13">
        <v>162.75</v>
      </c>
      <c r="H1493" s="13">
        <v>0</v>
      </c>
      <c r="I1493" s="13">
        <v>162.75</v>
      </c>
      <c r="J1493" s="24">
        <v>45875</v>
      </c>
      <c r="K1493" s="13">
        <v>13</v>
      </c>
      <c r="L1493" s="13">
        <v>4.8</v>
      </c>
      <c r="M1493" s="13" t="b">
        <v>0</v>
      </c>
      <c r="O1493" s="13">
        <f t="shared" si="23"/>
        <v>4.8</v>
      </c>
    </row>
    <row r="1494" spans="1:15" x14ac:dyDescent="0.25">
      <c r="A1494" s="13" t="s">
        <v>1506</v>
      </c>
      <c r="B1494" s="13" t="s">
        <v>2193</v>
      </c>
      <c r="C1494" s="13" t="s">
        <v>2200</v>
      </c>
      <c r="D1494" s="13" t="s">
        <v>2207</v>
      </c>
      <c r="E1494" s="13" t="s">
        <v>2213</v>
      </c>
      <c r="F1494" s="13" t="s">
        <v>2219</v>
      </c>
      <c r="G1494" s="13">
        <v>70.28</v>
      </c>
      <c r="H1494" s="13">
        <v>0</v>
      </c>
      <c r="I1494" s="13">
        <v>70.28</v>
      </c>
      <c r="J1494" s="24">
        <v>45875</v>
      </c>
      <c r="K1494" s="13">
        <v>27</v>
      </c>
      <c r="L1494" s="13">
        <v>4.7</v>
      </c>
      <c r="M1494" s="13" t="b">
        <v>0</v>
      </c>
      <c r="O1494" s="13">
        <f t="shared" si="23"/>
        <v>4.7</v>
      </c>
    </row>
    <row r="1495" spans="1:15" x14ac:dyDescent="0.25">
      <c r="A1495" s="13" t="s">
        <v>1507</v>
      </c>
      <c r="B1495" s="13" t="s">
        <v>2194</v>
      </c>
      <c r="C1495" s="13" t="s">
        <v>2199</v>
      </c>
      <c r="D1495" s="13" t="s">
        <v>2204</v>
      </c>
      <c r="E1495" s="13" t="s">
        <v>2210</v>
      </c>
      <c r="F1495" s="13" t="s">
        <v>2217</v>
      </c>
      <c r="G1495" s="13">
        <v>111.91</v>
      </c>
      <c r="H1495" s="13">
        <v>0</v>
      </c>
      <c r="I1495" s="13">
        <v>111.91</v>
      </c>
      <c r="J1495" s="24">
        <v>45860</v>
      </c>
      <c r="K1495" s="13">
        <v>28</v>
      </c>
      <c r="L1495" s="13">
        <v>1.8</v>
      </c>
      <c r="M1495" s="13" t="b">
        <v>0</v>
      </c>
      <c r="O1495" s="13">
        <f t="shared" si="23"/>
        <v>1.8</v>
      </c>
    </row>
    <row r="1496" spans="1:15" x14ac:dyDescent="0.25">
      <c r="A1496" s="13" t="s">
        <v>1508</v>
      </c>
      <c r="B1496" s="13" t="s">
        <v>2190</v>
      </c>
      <c r="C1496" s="13" t="s">
        <v>2201</v>
      </c>
      <c r="D1496" s="13" t="s">
        <v>2206</v>
      </c>
      <c r="E1496" s="13" t="s">
        <v>2210</v>
      </c>
      <c r="F1496" s="13" t="s">
        <v>2223</v>
      </c>
      <c r="G1496" s="13">
        <v>143.76</v>
      </c>
      <c r="H1496" s="13">
        <v>0</v>
      </c>
      <c r="I1496" s="13">
        <v>143.76</v>
      </c>
      <c r="J1496" s="24">
        <v>45875</v>
      </c>
      <c r="K1496" s="13">
        <v>7</v>
      </c>
      <c r="L1496" s="13">
        <v>2</v>
      </c>
      <c r="M1496" s="13" t="b">
        <v>0</v>
      </c>
      <c r="O1496" s="13">
        <f t="shared" si="23"/>
        <v>2</v>
      </c>
    </row>
    <row r="1497" spans="1:15" x14ac:dyDescent="0.25">
      <c r="A1497" s="13" t="s">
        <v>1509</v>
      </c>
      <c r="B1497" s="13" t="s">
        <v>2195</v>
      </c>
      <c r="C1497" s="13" t="s">
        <v>2200</v>
      </c>
      <c r="D1497" s="13" t="s">
        <v>2207</v>
      </c>
      <c r="E1497" s="13" t="s">
        <v>2210</v>
      </c>
      <c r="F1497" s="13" t="s">
        <v>2223</v>
      </c>
      <c r="G1497" s="13">
        <v>169.89</v>
      </c>
      <c r="H1497" s="13">
        <v>0</v>
      </c>
      <c r="I1497" s="13">
        <v>169.89</v>
      </c>
      <c r="J1497" s="24">
        <v>45875</v>
      </c>
      <c r="K1497" s="13">
        <v>17</v>
      </c>
      <c r="L1497" s="13">
        <v>1.3</v>
      </c>
      <c r="M1497" s="13" t="b">
        <v>0</v>
      </c>
      <c r="O1497" s="13">
        <f t="shared" si="23"/>
        <v>1.3</v>
      </c>
    </row>
    <row r="1498" spans="1:15" x14ac:dyDescent="0.25">
      <c r="A1498" s="13" t="s">
        <v>1510</v>
      </c>
      <c r="B1498" s="13" t="s">
        <v>2193</v>
      </c>
      <c r="C1498" s="13" t="s">
        <v>2196</v>
      </c>
      <c r="D1498" s="13" t="s">
        <v>2205</v>
      </c>
      <c r="E1498" s="13" t="s">
        <v>2208</v>
      </c>
      <c r="F1498" s="13" t="s">
        <v>2217</v>
      </c>
      <c r="G1498" s="13">
        <v>72.290000000000006</v>
      </c>
      <c r="H1498" s="13">
        <v>0</v>
      </c>
      <c r="I1498" s="13">
        <v>72.290000000000006</v>
      </c>
      <c r="J1498" s="24">
        <v>45875</v>
      </c>
      <c r="K1498" s="13">
        <v>0</v>
      </c>
      <c r="M1498" s="13" t="b">
        <v>0</v>
      </c>
      <c r="O1498" s="13">
        <f t="shared" si="23"/>
        <v>2.9153846153846157</v>
      </c>
    </row>
    <row r="1499" spans="1:15" x14ac:dyDescent="0.25">
      <c r="A1499" s="13" t="s">
        <v>1511</v>
      </c>
      <c r="B1499" s="13" t="s">
        <v>2190</v>
      </c>
      <c r="C1499" s="13" t="s">
        <v>2203</v>
      </c>
      <c r="D1499" s="13" t="s">
        <v>2205</v>
      </c>
      <c r="E1499" s="13" t="s">
        <v>2212</v>
      </c>
      <c r="F1499" s="13" t="s">
        <v>2223</v>
      </c>
      <c r="G1499" s="13">
        <v>136.19999999999999</v>
      </c>
      <c r="H1499" s="13">
        <v>10.199999999999999</v>
      </c>
      <c r="I1499" s="13">
        <v>122.31</v>
      </c>
      <c r="J1499" s="24">
        <v>45875</v>
      </c>
      <c r="K1499" s="13">
        <v>10</v>
      </c>
      <c r="L1499" s="13">
        <v>3.6</v>
      </c>
      <c r="M1499" s="13" t="b">
        <v>0</v>
      </c>
      <c r="O1499" s="13">
        <f t="shared" si="23"/>
        <v>3.6</v>
      </c>
    </row>
    <row r="1500" spans="1:15" x14ac:dyDescent="0.25">
      <c r="A1500" s="13" t="s">
        <v>1512</v>
      </c>
      <c r="B1500" s="13" t="s">
        <v>2191</v>
      </c>
      <c r="C1500" s="13" t="s">
        <v>2203</v>
      </c>
      <c r="D1500" s="13" t="s">
        <v>2207</v>
      </c>
      <c r="E1500" s="13" t="s">
        <v>2210</v>
      </c>
      <c r="F1500" s="13" t="s">
        <v>2214</v>
      </c>
      <c r="G1500" s="13">
        <v>92.5</v>
      </c>
      <c r="H1500" s="13">
        <v>0</v>
      </c>
      <c r="I1500" s="13">
        <v>92.5</v>
      </c>
      <c r="J1500" s="24">
        <v>45875</v>
      </c>
      <c r="K1500" s="13">
        <v>15</v>
      </c>
      <c r="L1500" s="13">
        <v>2.7</v>
      </c>
      <c r="M1500" s="13" t="b">
        <v>0</v>
      </c>
      <c r="O1500" s="13">
        <f t="shared" si="23"/>
        <v>2.7</v>
      </c>
    </row>
    <row r="1501" spans="1:15" x14ac:dyDescent="0.25">
      <c r="A1501" s="13" t="s">
        <v>1513</v>
      </c>
      <c r="B1501" s="13" t="s">
        <v>2193</v>
      </c>
      <c r="C1501" s="13" t="s">
        <v>2198</v>
      </c>
      <c r="D1501" s="13" t="s">
        <v>2205</v>
      </c>
      <c r="E1501" s="13" t="s">
        <v>2209</v>
      </c>
      <c r="F1501" s="13" t="s">
        <v>2223</v>
      </c>
      <c r="G1501" s="13">
        <v>89.5</v>
      </c>
      <c r="H1501" s="13">
        <v>0</v>
      </c>
      <c r="I1501" s="13">
        <v>89.5</v>
      </c>
      <c r="J1501" s="24">
        <v>45875</v>
      </c>
      <c r="K1501" s="13">
        <v>5</v>
      </c>
      <c r="L1501" s="13">
        <v>4.5</v>
      </c>
      <c r="M1501" s="13" t="b">
        <v>0</v>
      </c>
      <c r="O1501" s="13">
        <f t="shared" si="23"/>
        <v>4.5</v>
      </c>
    </row>
    <row r="1502" spans="1:15" x14ac:dyDescent="0.25">
      <c r="A1502" s="13" t="s">
        <v>1514</v>
      </c>
      <c r="B1502" s="13" t="s">
        <v>2190</v>
      </c>
      <c r="C1502" s="13" t="s">
        <v>2200</v>
      </c>
      <c r="D1502" s="13" t="s">
        <v>2204</v>
      </c>
      <c r="E1502" s="13" t="s">
        <v>2209</v>
      </c>
      <c r="F1502" s="13" t="s">
        <v>2221</v>
      </c>
      <c r="G1502" s="13">
        <v>161.51</v>
      </c>
      <c r="H1502" s="13">
        <v>0</v>
      </c>
      <c r="I1502" s="13">
        <v>161.51</v>
      </c>
      <c r="J1502" s="24">
        <v>45598</v>
      </c>
      <c r="K1502" s="13">
        <v>22</v>
      </c>
      <c r="L1502" s="13">
        <v>4.7</v>
      </c>
      <c r="M1502" s="13" t="b">
        <v>0</v>
      </c>
      <c r="O1502" s="13">
        <f t="shared" si="23"/>
        <v>4.7</v>
      </c>
    </row>
    <row r="1503" spans="1:15" x14ac:dyDescent="0.25">
      <c r="A1503" s="13" t="s">
        <v>1515</v>
      </c>
      <c r="B1503" s="13" t="s">
        <v>2192</v>
      </c>
      <c r="C1503" s="13" t="s">
        <v>2196</v>
      </c>
      <c r="D1503" s="13" t="s">
        <v>2205</v>
      </c>
      <c r="F1503" s="13" t="s">
        <v>2224</v>
      </c>
      <c r="G1503" s="13">
        <v>38.119999999999997</v>
      </c>
      <c r="H1503" s="13">
        <v>0</v>
      </c>
      <c r="I1503" s="13">
        <v>38.119999999999997</v>
      </c>
      <c r="J1503" s="24">
        <v>45875</v>
      </c>
      <c r="K1503" s="13">
        <v>18</v>
      </c>
      <c r="L1503" s="13">
        <v>4.4000000000000004</v>
      </c>
      <c r="M1503" s="13" t="b">
        <v>1</v>
      </c>
      <c r="N1503" s="13" t="s">
        <v>2227</v>
      </c>
      <c r="O1503" s="13">
        <f t="shared" si="23"/>
        <v>4.4000000000000004</v>
      </c>
    </row>
    <row r="1504" spans="1:15" x14ac:dyDescent="0.25">
      <c r="A1504" s="13" t="s">
        <v>1516</v>
      </c>
      <c r="B1504" s="13" t="s">
        <v>2195</v>
      </c>
      <c r="C1504" s="13" t="s">
        <v>2200</v>
      </c>
      <c r="D1504" s="13" t="s">
        <v>2207</v>
      </c>
      <c r="E1504" s="13" t="s">
        <v>2212</v>
      </c>
      <c r="F1504" s="13" t="s">
        <v>2223</v>
      </c>
      <c r="G1504" s="13">
        <v>100.08</v>
      </c>
      <c r="H1504" s="13">
        <v>0</v>
      </c>
      <c r="I1504" s="13">
        <v>100.08</v>
      </c>
      <c r="J1504" s="24">
        <v>45875</v>
      </c>
      <c r="K1504" s="13">
        <v>23</v>
      </c>
      <c r="L1504" s="13">
        <v>4.8</v>
      </c>
      <c r="M1504" s="13" t="b">
        <v>0</v>
      </c>
      <c r="O1504" s="13">
        <f t="shared" si="23"/>
        <v>4.8</v>
      </c>
    </row>
    <row r="1505" spans="1:15" x14ac:dyDescent="0.25">
      <c r="A1505" s="13" t="s">
        <v>1517</v>
      </c>
      <c r="B1505" s="13" t="s">
        <v>2195</v>
      </c>
      <c r="C1505" s="13" t="s">
        <v>2197</v>
      </c>
      <c r="D1505" s="13" t="s">
        <v>2206</v>
      </c>
      <c r="E1505" s="13" t="s">
        <v>2209</v>
      </c>
      <c r="F1505" s="13" t="s">
        <v>2217</v>
      </c>
      <c r="G1505" s="13">
        <v>161.79</v>
      </c>
      <c r="H1505" s="13">
        <v>0</v>
      </c>
      <c r="I1505" s="13">
        <v>161.79</v>
      </c>
      <c r="J1505" s="24">
        <v>45875</v>
      </c>
      <c r="K1505" s="13">
        <v>44</v>
      </c>
      <c r="L1505" s="13">
        <v>3.9</v>
      </c>
      <c r="M1505" s="13" t="b">
        <v>0</v>
      </c>
      <c r="O1505" s="13">
        <f t="shared" si="23"/>
        <v>3.9</v>
      </c>
    </row>
    <row r="1506" spans="1:15" x14ac:dyDescent="0.25">
      <c r="A1506" s="13" t="s">
        <v>1518</v>
      </c>
      <c r="B1506" s="13" t="s">
        <v>2194</v>
      </c>
      <c r="C1506" s="13" t="s">
        <v>2201</v>
      </c>
      <c r="D1506" s="13" t="s">
        <v>2206</v>
      </c>
      <c r="E1506" s="13" t="s">
        <v>2208</v>
      </c>
      <c r="F1506" s="13" t="s">
        <v>2216</v>
      </c>
      <c r="G1506" s="13">
        <v>46.42</v>
      </c>
      <c r="H1506" s="13">
        <v>0</v>
      </c>
      <c r="I1506" s="13">
        <v>46.42</v>
      </c>
      <c r="J1506" s="24">
        <v>45875</v>
      </c>
      <c r="K1506" s="13">
        <v>2</v>
      </c>
      <c r="L1506" s="13">
        <v>3.7</v>
      </c>
      <c r="M1506" s="13" t="b">
        <v>1</v>
      </c>
      <c r="N1506" s="13" t="s">
        <v>2229</v>
      </c>
      <c r="O1506" s="13">
        <f t="shared" si="23"/>
        <v>3.7</v>
      </c>
    </row>
    <row r="1507" spans="1:15" x14ac:dyDescent="0.25">
      <c r="A1507" s="13" t="s">
        <v>1519</v>
      </c>
      <c r="B1507" s="13" t="s">
        <v>2193</v>
      </c>
      <c r="C1507" s="13" t="s">
        <v>2197</v>
      </c>
      <c r="D1507" s="13" t="s">
        <v>2204</v>
      </c>
      <c r="E1507" s="13" t="s">
        <v>2209</v>
      </c>
      <c r="F1507" s="13" t="s">
        <v>2224</v>
      </c>
      <c r="G1507" s="13">
        <v>199.33</v>
      </c>
      <c r="H1507" s="13">
        <v>44.3</v>
      </c>
      <c r="I1507" s="13">
        <v>111.03</v>
      </c>
      <c r="J1507" s="24">
        <v>45616</v>
      </c>
      <c r="K1507" s="13">
        <v>19</v>
      </c>
      <c r="L1507" s="13">
        <v>1.8</v>
      </c>
      <c r="M1507" s="13" t="b">
        <v>0</v>
      </c>
      <c r="O1507" s="13">
        <f t="shared" si="23"/>
        <v>1.8</v>
      </c>
    </row>
    <row r="1508" spans="1:15" x14ac:dyDescent="0.25">
      <c r="A1508" s="13" t="s">
        <v>1520</v>
      </c>
      <c r="B1508" s="13" t="s">
        <v>2194</v>
      </c>
      <c r="C1508" s="13" t="s">
        <v>2203</v>
      </c>
      <c r="D1508" s="13" t="s">
        <v>2207</v>
      </c>
      <c r="E1508" s="13" t="s">
        <v>2211</v>
      </c>
      <c r="F1508" s="13" t="s">
        <v>2216</v>
      </c>
      <c r="G1508" s="13">
        <v>25.77</v>
      </c>
      <c r="H1508" s="13">
        <v>0</v>
      </c>
      <c r="I1508" s="13">
        <v>25.77</v>
      </c>
      <c r="J1508" s="24">
        <v>45875</v>
      </c>
      <c r="K1508" s="13">
        <v>5</v>
      </c>
      <c r="L1508" s="13">
        <v>3.1</v>
      </c>
      <c r="M1508" s="13" t="b">
        <v>0</v>
      </c>
      <c r="O1508" s="13">
        <f t="shared" si="23"/>
        <v>3.1</v>
      </c>
    </row>
    <row r="1509" spans="1:15" x14ac:dyDescent="0.25">
      <c r="A1509" s="13" t="s">
        <v>1521</v>
      </c>
      <c r="B1509" s="13" t="s">
        <v>2193</v>
      </c>
      <c r="C1509" s="13" t="s">
        <v>2203</v>
      </c>
      <c r="D1509" s="13" t="s">
        <v>2205</v>
      </c>
      <c r="E1509" s="13" t="s">
        <v>2213</v>
      </c>
      <c r="F1509" s="13" t="s">
        <v>2222</v>
      </c>
      <c r="G1509" s="13">
        <v>180.67</v>
      </c>
      <c r="H1509" s="13">
        <v>0</v>
      </c>
      <c r="I1509" s="13">
        <v>180.67</v>
      </c>
      <c r="J1509" s="24">
        <v>45875</v>
      </c>
      <c r="K1509" s="13">
        <v>31</v>
      </c>
      <c r="L1509" s="13">
        <v>4.4000000000000004</v>
      </c>
      <c r="M1509" s="13" t="b">
        <v>0</v>
      </c>
      <c r="O1509" s="13">
        <f t="shared" si="23"/>
        <v>4.4000000000000004</v>
      </c>
    </row>
    <row r="1510" spans="1:15" x14ac:dyDescent="0.25">
      <c r="A1510" s="13" t="s">
        <v>1522</v>
      </c>
      <c r="B1510" s="13" t="s">
        <v>2193</v>
      </c>
      <c r="C1510" s="13" t="s">
        <v>2203</v>
      </c>
      <c r="D1510" s="13" t="s">
        <v>2204</v>
      </c>
      <c r="E1510" s="13" t="s">
        <v>2209</v>
      </c>
      <c r="F1510" s="13" t="s">
        <v>2220</v>
      </c>
      <c r="G1510" s="13">
        <v>198.13</v>
      </c>
      <c r="H1510" s="13">
        <v>46.1</v>
      </c>
      <c r="I1510" s="13">
        <v>106.79</v>
      </c>
      <c r="J1510" s="24">
        <v>45796</v>
      </c>
      <c r="K1510" s="13">
        <v>8</v>
      </c>
      <c r="L1510" s="13">
        <v>3.2</v>
      </c>
      <c r="M1510" s="13" t="b">
        <v>0</v>
      </c>
      <c r="O1510" s="13">
        <f t="shared" si="23"/>
        <v>3.2</v>
      </c>
    </row>
    <row r="1511" spans="1:15" x14ac:dyDescent="0.25">
      <c r="A1511" s="13" t="s">
        <v>1523</v>
      </c>
      <c r="B1511" s="13" t="s">
        <v>2195</v>
      </c>
      <c r="C1511" s="13" t="s">
        <v>2197</v>
      </c>
      <c r="D1511" s="13" t="s">
        <v>2207</v>
      </c>
      <c r="F1511" s="13" t="s">
        <v>2222</v>
      </c>
      <c r="G1511" s="13">
        <v>161.53</v>
      </c>
      <c r="H1511" s="13">
        <v>5.3</v>
      </c>
      <c r="I1511" s="13">
        <v>152.97</v>
      </c>
      <c r="J1511" s="24">
        <v>45875</v>
      </c>
      <c r="K1511" s="13">
        <v>33</v>
      </c>
      <c r="L1511" s="13">
        <v>3.7</v>
      </c>
      <c r="M1511" s="13" t="b">
        <v>0</v>
      </c>
      <c r="O1511" s="13">
        <f t="shared" si="23"/>
        <v>3.7</v>
      </c>
    </row>
    <row r="1512" spans="1:15" x14ac:dyDescent="0.25">
      <c r="A1512" s="13" t="s">
        <v>1524</v>
      </c>
      <c r="B1512" s="13" t="s">
        <v>2194</v>
      </c>
      <c r="C1512" s="13" t="s">
        <v>2196</v>
      </c>
      <c r="D1512" s="13" t="s">
        <v>2204</v>
      </c>
      <c r="E1512" s="13" t="s">
        <v>2213</v>
      </c>
      <c r="F1512" s="13" t="s">
        <v>2218</v>
      </c>
      <c r="G1512" s="13">
        <v>25.97</v>
      </c>
      <c r="H1512" s="13">
        <v>0</v>
      </c>
      <c r="I1512" s="13">
        <v>25.97</v>
      </c>
      <c r="J1512" s="24">
        <v>45624</v>
      </c>
      <c r="K1512" s="13">
        <v>31</v>
      </c>
      <c r="L1512" s="13">
        <v>1.2</v>
      </c>
      <c r="M1512" s="13" t="b">
        <v>0</v>
      </c>
      <c r="O1512" s="13">
        <f t="shared" si="23"/>
        <v>1.2</v>
      </c>
    </row>
    <row r="1513" spans="1:15" x14ac:dyDescent="0.25">
      <c r="A1513" s="13" t="s">
        <v>1525</v>
      </c>
      <c r="B1513" s="13" t="s">
        <v>2191</v>
      </c>
      <c r="C1513" s="13" t="s">
        <v>2203</v>
      </c>
      <c r="D1513" s="13" t="s">
        <v>2207</v>
      </c>
      <c r="E1513" s="13" t="s">
        <v>2209</v>
      </c>
      <c r="F1513" s="13" t="s">
        <v>2221</v>
      </c>
      <c r="G1513" s="13">
        <v>85</v>
      </c>
      <c r="H1513" s="13">
        <v>39.9</v>
      </c>
      <c r="I1513" s="13">
        <v>51.09</v>
      </c>
      <c r="J1513" s="24">
        <v>45875</v>
      </c>
      <c r="K1513" s="13">
        <v>44</v>
      </c>
      <c r="L1513" s="13">
        <v>3</v>
      </c>
      <c r="M1513" s="13" t="b">
        <v>0</v>
      </c>
      <c r="O1513" s="13">
        <f t="shared" si="23"/>
        <v>3</v>
      </c>
    </row>
    <row r="1514" spans="1:15" x14ac:dyDescent="0.25">
      <c r="A1514" s="13" t="s">
        <v>1526</v>
      </c>
      <c r="B1514" s="13" t="s">
        <v>2192</v>
      </c>
      <c r="C1514" s="13" t="s">
        <v>2197</v>
      </c>
      <c r="D1514" s="13" t="s">
        <v>2207</v>
      </c>
      <c r="F1514" s="13" t="s">
        <v>2215</v>
      </c>
      <c r="G1514" s="13">
        <v>75.03</v>
      </c>
      <c r="H1514" s="13">
        <v>10.9</v>
      </c>
      <c r="I1514" s="13">
        <v>66.849999999999994</v>
      </c>
      <c r="J1514" s="24">
        <v>45875</v>
      </c>
      <c r="K1514" s="13">
        <v>12</v>
      </c>
      <c r="L1514" s="13">
        <v>1.2</v>
      </c>
      <c r="M1514" s="13" t="b">
        <v>0</v>
      </c>
      <c r="O1514" s="13">
        <f t="shared" si="23"/>
        <v>1.2</v>
      </c>
    </row>
    <row r="1515" spans="1:15" x14ac:dyDescent="0.25">
      <c r="A1515" s="13" t="s">
        <v>1527</v>
      </c>
      <c r="B1515" s="13" t="s">
        <v>2192</v>
      </c>
      <c r="C1515" s="13" t="s">
        <v>2201</v>
      </c>
      <c r="D1515" s="13" t="s">
        <v>2205</v>
      </c>
      <c r="F1515" s="13" t="s">
        <v>2221</v>
      </c>
      <c r="G1515" s="13">
        <v>33.880000000000003</v>
      </c>
      <c r="H1515" s="13">
        <v>0</v>
      </c>
      <c r="I1515" s="13">
        <v>33.880000000000003</v>
      </c>
      <c r="J1515" s="24">
        <v>45875</v>
      </c>
      <c r="K1515" s="13">
        <v>9</v>
      </c>
      <c r="M1515" s="13" t="b">
        <v>0</v>
      </c>
      <c r="O1515" s="13">
        <f t="shared" si="23"/>
        <v>3.2731707317073173</v>
      </c>
    </row>
    <row r="1516" spans="1:15" x14ac:dyDescent="0.25">
      <c r="A1516" s="13" t="s">
        <v>1528</v>
      </c>
      <c r="B1516" s="13" t="s">
        <v>2193</v>
      </c>
      <c r="C1516" s="13" t="s">
        <v>2198</v>
      </c>
      <c r="D1516" s="13" t="s">
        <v>2207</v>
      </c>
      <c r="E1516" s="13" t="s">
        <v>2212</v>
      </c>
      <c r="F1516" s="13" t="s">
        <v>2223</v>
      </c>
      <c r="G1516" s="13">
        <v>142</v>
      </c>
      <c r="H1516" s="13">
        <v>12.3</v>
      </c>
      <c r="I1516" s="13">
        <v>124.53</v>
      </c>
      <c r="J1516" s="24">
        <v>45875</v>
      </c>
      <c r="K1516" s="13">
        <v>39</v>
      </c>
      <c r="L1516" s="13">
        <v>3.3</v>
      </c>
      <c r="M1516" s="13" t="b">
        <v>0</v>
      </c>
      <c r="O1516" s="13">
        <f t="shared" si="23"/>
        <v>3.3</v>
      </c>
    </row>
    <row r="1517" spans="1:15" x14ac:dyDescent="0.25">
      <c r="A1517" s="13" t="s">
        <v>1529</v>
      </c>
      <c r="B1517" s="13" t="s">
        <v>2195</v>
      </c>
      <c r="C1517" s="13" t="s">
        <v>2200</v>
      </c>
      <c r="D1517" s="13" t="s">
        <v>2206</v>
      </c>
      <c r="E1517" s="13" t="s">
        <v>2208</v>
      </c>
      <c r="F1517" s="13" t="s">
        <v>2220</v>
      </c>
      <c r="G1517" s="13">
        <v>125.46</v>
      </c>
      <c r="H1517" s="13">
        <v>0</v>
      </c>
      <c r="I1517" s="13">
        <v>125.46</v>
      </c>
      <c r="J1517" s="24">
        <v>45875</v>
      </c>
      <c r="K1517" s="13">
        <v>26</v>
      </c>
      <c r="L1517" s="13">
        <v>1.1000000000000001</v>
      </c>
      <c r="M1517" s="13" t="b">
        <v>0</v>
      </c>
      <c r="O1517" s="13">
        <f t="shared" si="23"/>
        <v>1.1000000000000001</v>
      </c>
    </row>
    <row r="1518" spans="1:15" x14ac:dyDescent="0.25">
      <c r="A1518" s="13" t="s">
        <v>1530</v>
      </c>
      <c r="B1518" s="13" t="s">
        <v>2193</v>
      </c>
      <c r="C1518" s="13" t="s">
        <v>2200</v>
      </c>
      <c r="D1518" s="13" t="s">
        <v>2205</v>
      </c>
      <c r="E1518" s="13" t="s">
        <v>2209</v>
      </c>
      <c r="F1518" s="13" t="s">
        <v>2219</v>
      </c>
      <c r="G1518" s="13">
        <v>138.79</v>
      </c>
      <c r="H1518" s="13">
        <v>0</v>
      </c>
      <c r="I1518" s="13">
        <v>138.79</v>
      </c>
      <c r="J1518" s="24">
        <v>45875</v>
      </c>
      <c r="K1518" s="13">
        <v>16</v>
      </c>
      <c r="M1518" s="13" t="b">
        <v>1</v>
      </c>
      <c r="N1518" s="13" t="s">
        <v>2226</v>
      </c>
      <c r="O1518" s="13">
        <f t="shared" si="23"/>
        <v>3.3021276595744684</v>
      </c>
    </row>
    <row r="1519" spans="1:15" x14ac:dyDescent="0.25">
      <c r="A1519" s="13" t="s">
        <v>1531</v>
      </c>
      <c r="B1519" s="13" t="s">
        <v>2194</v>
      </c>
      <c r="C1519" s="13" t="s">
        <v>2201</v>
      </c>
      <c r="D1519" s="13" t="s">
        <v>2204</v>
      </c>
      <c r="E1519" s="13" t="s">
        <v>2208</v>
      </c>
      <c r="F1519" s="13" t="s">
        <v>2215</v>
      </c>
      <c r="G1519" s="13">
        <v>81.81</v>
      </c>
      <c r="H1519" s="13">
        <v>37.9</v>
      </c>
      <c r="I1519" s="13">
        <v>50.8</v>
      </c>
      <c r="J1519" s="24">
        <v>45704</v>
      </c>
      <c r="K1519" s="13">
        <v>44</v>
      </c>
      <c r="M1519" s="13" t="b">
        <v>0</v>
      </c>
      <c r="O1519" s="13">
        <f t="shared" si="23"/>
        <v>3.0575757575757576</v>
      </c>
    </row>
    <row r="1520" spans="1:15" x14ac:dyDescent="0.25">
      <c r="A1520" s="13" t="s">
        <v>1532</v>
      </c>
      <c r="B1520" s="13" t="s">
        <v>2192</v>
      </c>
      <c r="C1520" s="13" t="s">
        <v>2197</v>
      </c>
      <c r="D1520" s="13" t="s">
        <v>2206</v>
      </c>
      <c r="F1520" s="13" t="s">
        <v>2224</v>
      </c>
      <c r="G1520" s="13">
        <v>78.260000000000005</v>
      </c>
      <c r="H1520" s="13">
        <v>47.3</v>
      </c>
      <c r="I1520" s="13">
        <v>41.24</v>
      </c>
      <c r="J1520" s="24">
        <v>45875</v>
      </c>
      <c r="K1520" s="13">
        <v>20</v>
      </c>
      <c r="L1520" s="13">
        <v>4</v>
      </c>
      <c r="M1520" s="13" t="b">
        <v>0</v>
      </c>
      <c r="O1520" s="13">
        <f t="shared" si="23"/>
        <v>4</v>
      </c>
    </row>
    <row r="1521" spans="1:15" x14ac:dyDescent="0.25">
      <c r="A1521" s="13" t="s">
        <v>1533</v>
      </c>
      <c r="B1521" s="13" t="s">
        <v>2194</v>
      </c>
      <c r="C1521" s="13" t="s">
        <v>2198</v>
      </c>
      <c r="D1521" s="13" t="s">
        <v>2204</v>
      </c>
      <c r="E1521" s="13" t="s">
        <v>2208</v>
      </c>
      <c r="F1521" s="13" t="s">
        <v>2222</v>
      </c>
      <c r="G1521" s="13">
        <v>119.33</v>
      </c>
      <c r="H1521" s="13">
        <v>16</v>
      </c>
      <c r="I1521" s="13">
        <v>100.24</v>
      </c>
      <c r="J1521" s="24">
        <v>45520</v>
      </c>
      <c r="K1521" s="13">
        <v>35</v>
      </c>
      <c r="M1521" s="13" t="b">
        <v>0</v>
      </c>
      <c r="O1521" s="13">
        <f t="shared" si="23"/>
        <v>3.0384615384615379</v>
      </c>
    </row>
    <row r="1522" spans="1:15" x14ac:dyDescent="0.25">
      <c r="A1522" s="13" t="s">
        <v>1534</v>
      </c>
      <c r="B1522" s="13" t="s">
        <v>2192</v>
      </c>
      <c r="C1522" s="13" t="s">
        <v>2201</v>
      </c>
      <c r="D1522" s="13" t="s">
        <v>2204</v>
      </c>
      <c r="F1522" s="13" t="s">
        <v>2216</v>
      </c>
      <c r="G1522" s="13">
        <v>52.97</v>
      </c>
      <c r="H1522" s="13">
        <v>0</v>
      </c>
      <c r="I1522" s="13">
        <v>52.97</v>
      </c>
      <c r="J1522" s="24">
        <v>45864</v>
      </c>
      <c r="K1522" s="13">
        <v>36</v>
      </c>
      <c r="L1522" s="13">
        <v>4.5999999999999996</v>
      </c>
      <c r="M1522" s="13" t="b">
        <v>0</v>
      </c>
      <c r="O1522" s="13">
        <f t="shared" si="23"/>
        <v>4.5999999999999996</v>
      </c>
    </row>
    <row r="1523" spans="1:15" x14ac:dyDescent="0.25">
      <c r="A1523" s="13" t="s">
        <v>1535</v>
      </c>
      <c r="B1523" s="13" t="s">
        <v>2192</v>
      </c>
      <c r="C1523" s="13" t="s">
        <v>2199</v>
      </c>
      <c r="D1523" s="13" t="s">
        <v>2205</v>
      </c>
      <c r="F1523" s="13" t="s">
        <v>2219</v>
      </c>
      <c r="G1523" s="13">
        <v>69.48</v>
      </c>
      <c r="H1523" s="13">
        <v>0</v>
      </c>
      <c r="I1523" s="13">
        <v>69.48</v>
      </c>
      <c r="J1523" s="24">
        <v>45875</v>
      </c>
      <c r="K1523" s="13">
        <v>17</v>
      </c>
      <c r="L1523" s="13">
        <v>3.4</v>
      </c>
      <c r="M1523" s="13" t="b">
        <v>0</v>
      </c>
      <c r="O1523" s="13">
        <f t="shared" si="23"/>
        <v>3.4</v>
      </c>
    </row>
    <row r="1524" spans="1:15" x14ac:dyDescent="0.25">
      <c r="A1524" s="13" t="s">
        <v>1536</v>
      </c>
      <c r="B1524" s="13" t="s">
        <v>2190</v>
      </c>
      <c r="C1524" s="13" t="s">
        <v>2198</v>
      </c>
      <c r="D1524" s="13" t="s">
        <v>2207</v>
      </c>
      <c r="E1524" s="13" t="s">
        <v>2209</v>
      </c>
      <c r="F1524" s="13" t="s">
        <v>2218</v>
      </c>
      <c r="G1524" s="13">
        <v>177.82</v>
      </c>
      <c r="H1524" s="13">
        <v>0</v>
      </c>
      <c r="I1524" s="13">
        <v>177.82</v>
      </c>
      <c r="J1524" s="24">
        <v>45875</v>
      </c>
      <c r="K1524" s="13">
        <v>9</v>
      </c>
      <c r="L1524" s="13">
        <v>1.1000000000000001</v>
      </c>
      <c r="M1524" s="13" t="b">
        <v>0</v>
      </c>
      <c r="O1524" s="13">
        <f t="shared" si="23"/>
        <v>1.1000000000000001</v>
      </c>
    </row>
    <row r="1525" spans="1:15" x14ac:dyDescent="0.25">
      <c r="A1525" s="13" t="s">
        <v>1537</v>
      </c>
      <c r="B1525" s="13" t="s">
        <v>2193</v>
      </c>
      <c r="C1525" s="13" t="s">
        <v>2198</v>
      </c>
      <c r="D1525" s="13" t="s">
        <v>2205</v>
      </c>
      <c r="E1525" s="13" t="s">
        <v>2209</v>
      </c>
      <c r="F1525" s="13" t="s">
        <v>2215</v>
      </c>
      <c r="G1525" s="13">
        <v>142.71</v>
      </c>
      <c r="H1525" s="13">
        <v>0</v>
      </c>
      <c r="I1525" s="13">
        <v>142.71</v>
      </c>
      <c r="J1525" s="24">
        <v>45875</v>
      </c>
      <c r="K1525" s="13">
        <v>28</v>
      </c>
      <c r="L1525" s="13">
        <v>1</v>
      </c>
      <c r="M1525" s="13" t="b">
        <v>0</v>
      </c>
      <c r="O1525" s="13">
        <f t="shared" si="23"/>
        <v>1</v>
      </c>
    </row>
    <row r="1526" spans="1:15" x14ac:dyDescent="0.25">
      <c r="A1526" s="13" t="s">
        <v>1538</v>
      </c>
      <c r="B1526" s="13" t="s">
        <v>2194</v>
      </c>
      <c r="C1526" s="13" t="s">
        <v>2196</v>
      </c>
      <c r="D1526" s="13" t="s">
        <v>2204</v>
      </c>
      <c r="E1526" s="13" t="s">
        <v>2212</v>
      </c>
      <c r="F1526" s="13" t="s">
        <v>2219</v>
      </c>
      <c r="G1526" s="13">
        <v>105.21</v>
      </c>
      <c r="H1526" s="13">
        <v>0</v>
      </c>
      <c r="I1526" s="13">
        <v>105.21</v>
      </c>
      <c r="J1526" s="24">
        <v>45598</v>
      </c>
      <c r="K1526" s="13">
        <v>41</v>
      </c>
      <c r="L1526" s="13">
        <v>4.9000000000000004</v>
      </c>
      <c r="M1526" s="13" t="b">
        <v>0</v>
      </c>
      <c r="O1526" s="13">
        <f t="shared" si="23"/>
        <v>4.9000000000000004</v>
      </c>
    </row>
    <row r="1527" spans="1:15" x14ac:dyDescent="0.25">
      <c r="A1527" s="13" t="s">
        <v>1539</v>
      </c>
      <c r="B1527" s="13" t="s">
        <v>2192</v>
      </c>
      <c r="C1527" s="13" t="s">
        <v>2203</v>
      </c>
      <c r="D1527" s="13" t="s">
        <v>2206</v>
      </c>
      <c r="F1527" s="13" t="s">
        <v>2218</v>
      </c>
      <c r="G1527" s="13">
        <v>65.09</v>
      </c>
      <c r="H1527" s="13">
        <v>49.8</v>
      </c>
      <c r="I1527" s="13">
        <v>32.68</v>
      </c>
      <c r="J1527" s="24">
        <v>45875</v>
      </c>
      <c r="K1527" s="13">
        <v>32</v>
      </c>
      <c r="L1527" s="13">
        <v>4.9000000000000004</v>
      </c>
      <c r="M1527" s="13" t="b">
        <v>0</v>
      </c>
      <c r="O1527" s="13">
        <f t="shared" si="23"/>
        <v>4.9000000000000004</v>
      </c>
    </row>
    <row r="1528" spans="1:15" x14ac:dyDescent="0.25">
      <c r="A1528" s="13" t="s">
        <v>1540</v>
      </c>
      <c r="B1528" s="13" t="s">
        <v>2190</v>
      </c>
      <c r="C1528" s="13" t="s">
        <v>2197</v>
      </c>
      <c r="D1528" s="13" t="s">
        <v>2205</v>
      </c>
      <c r="E1528" s="13" t="s">
        <v>2213</v>
      </c>
      <c r="F1528" s="13" t="s">
        <v>2222</v>
      </c>
      <c r="G1528" s="13">
        <v>167.39</v>
      </c>
      <c r="H1528" s="13">
        <v>0</v>
      </c>
      <c r="I1528" s="13">
        <v>167.39</v>
      </c>
      <c r="J1528" s="24">
        <v>45875</v>
      </c>
      <c r="K1528" s="13">
        <v>43</v>
      </c>
      <c r="L1528" s="13">
        <v>1.8</v>
      </c>
      <c r="M1528" s="13" t="b">
        <v>0</v>
      </c>
      <c r="O1528" s="13">
        <f t="shared" si="23"/>
        <v>1.8</v>
      </c>
    </row>
    <row r="1529" spans="1:15" x14ac:dyDescent="0.25">
      <c r="A1529" s="13" t="s">
        <v>1541</v>
      </c>
      <c r="B1529" s="13" t="s">
        <v>2192</v>
      </c>
      <c r="C1529" s="13" t="s">
        <v>2197</v>
      </c>
      <c r="D1529" s="13" t="s">
        <v>2205</v>
      </c>
      <c r="F1529" s="13" t="s">
        <v>2214</v>
      </c>
      <c r="G1529" s="13">
        <v>49.89</v>
      </c>
      <c r="H1529" s="13">
        <v>0</v>
      </c>
      <c r="I1529" s="13">
        <v>49.89</v>
      </c>
      <c r="J1529" s="24">
        <v>45875</v>
      </c>
      <c r="K1529" s="13">
        <v>32</v>
      </c>
      <c r="L1529" s="13">
        <v>2.4</v>
      </c>
      <c r="M1529" s="13" t="b">
        <v>0</v>
      </c>
      <c r="O1529" s="13">
        <f t="shared" si="23"/>
        <v>2.4</v>
      </c>
    </row>
    <row r="1530" spans="1:15" x14ac:dyDescent="0.25">
      <c r="A1530" s="13" t="s">
        <v>1542</v>
      </c>
      <c r="B1530" s="13" t="s">
        <v>2190</v>
      </c>
      <c r="C1530" s="13" t="s">
        <v>2198</v>
      </c>
      <c r="D1530" s="13" t="s">
        <v>2206</v>
      </c>
      <c r="E1530" s="13" t="s">
        <v>2210</v>
      </c>
      <c r="F1530" s="13" t="s">
        <v>2217</v>
      </c>
      <c r="G1530" s="13">
        <v>218.06</v>
      </c>
      <c r="H1530" s="13">
        <v>0</v>
      </c>
      <c r="I1530" s="13">
        <v>218.06</v>
      </c>
      <c r="J1530" s="24">
        <v>45875</v>
      </c>
      <c r="K1530" s="13">
        <v>32</v>
      </c>
      <c r="L1530" s="13">
        <v>4</v>
      </c>
      <c r="M1530" s="13" t="b">
        <v>0</v>
      </c>
      <c r="O1530" s="13">
        <f t="shared" si="23"/>
        <v>4</v>
      </c>
    </row>
    <row r="1531" spans="1:15" x14ac:dyDescent="0.25">
      <c r="A1531" s="13" t="s">
        <v>1543</v>
      </c>
      <c r="B1531" s="13" t="s">
        <v>2194</v>
      </c>
      <c r="C1531" s="13" t="s">
        <v>2202</v>
      </c>
      <c r="D1531" s="13" t="s">
        <v>2207</v>
      </c>
      <c r="E1531" s="13" t="s">
        <v>2212</v>
      </c>
      <c r="F1531" s="13" t="s">
        <v>2217</v>
      </c>
      <c r="G1531" s="13">
        <v>66.64</v>
      </c>
      <c r="H1531" s="13">
        <v>21.8</v>
      </c>
      <c r="I1531" s="13">
        <v>52.11</v>
      </c>
      <c r="J1531" s="24">
        <v>45875</v>
      </c>
      <c r="K1531" s="13">
        <v>25</v>
      </c>
      <c r="L1531" s="13">
        <v>3.5</v>
      </c>
      <c r="M1531" s="13" t="b">
        <v>1</v>
      </c>
      <c r="N1531" s="13" t="s">
        <v>2229</v>
      </c>
      <c r="O1531" s="13">
        <f t="shared" si="23"/>
        <v>3.5</v>
      </c>
    </row>
    <row r="1532" spans="1:15" x14ac:dyDescent="0.25">
      <c r="A1532" s="13" t="s">
        <v>1544</v>
      </c>
      <c r="B1532" s="13" t="s">
        <v>2190</v>
      </c>
      <c r="C1532" s="13" t="s">
        <v>2201</v>
      </c>
      <c r="D1532" s="13" t="s">
        <v>2206</v>
      </c>
      <c r="E1532" s="13" t="s">
        <v>2210</v>
      </c>
      <c r="F1532" s="13" t="s">
        <v>2218</v>
      </c>
      <c r="G1532" s="13">
        <v>124.69</v>
      </c>
      <c r="H1532" s="13">
        <v>40.9</v>
      </c>
      <c r="I1532" s="13">
        <v>73.69</v>
      </c>
      <c r="J1532" s="24">
        <v>45875</v>
      </c>
      <c r="K1532" s="13">
        <v>9</v>
      </c>
      <c r="L1532" s="13">
        <v>4.0999999999999996</v>
      </c>
      <c r="M1532" s="13" t="b">
        <v>0</v>
      </c>
      <c r="O1532" s="13">
        <f t="shared" si="23"/>
        <v>4.0999999999999996</v>
      </c>
    </row>
    <row r="1533" spans="1:15" x14ac:dyDescent="0.25">
      <c r="A1533" s="13" t="s">
        <v>1545</v>
      </c>
      <c r="B1533" s="13" t="s">
        <v>2191</v>
      </c>
      <c r="C1533" s="13" t="s">
        <v>2199</v>
      </c>
      <c r="D1533" s="13" t="s">
        <v>2207</v>
      </c>
      <c r="E1533" s="13" t="s">
        <v>2210</v>
      </c>
      <c r="F1533" s="13" t="s">
        <v>2215</v>
      </c>
      <c r="G1533" s="13">
        <v>28.24</v>
      </c>
      <c r="H1533" s="13">
        <v>48.2</v>
      </c>
      <c r="I1533" s="13">
        <v>14.63</v>
      </c>
      <c r="J1533" s="24">
        <v>45875</v>
      </c>
      <c r="K1533" s="13">
        <v>20</v>
      </c>
      <c r="L1533" s="13">
        <v>4.5</v>
      </c>
      <c r="M1533" s="13" t="b">
        <v>0</v>
      </c>
      <c r="O1533" s="13">
        <f t="shared" si="23"/>
        <v>4.5</v>
      </c>
    </row>
    <row r="1534" spans="1:15" x14ac:dyDescent="0.25">
      <c r="A1534" s="13" t="s">
        <v>1546</v>
      </c>
      <c r="B1534" s="13" t="s">
        <v>2192</v>
      </c>
      <c r="C1534" s="13" t="s">
        <v>2196</v>
      </c>
      <c r="D1534" s="13" t="s">
        <v>2207</v>
      </c>
      <c r="F1534" s="13" t="s">
        <v>2223</v>
      </c>
      <c r="G1534" s="13">
        <v>76.39</v>
      </c>
      <c r="H1534" s="13">
        <v>53.9</v>
      </c>
      <c r="I1534" s="13">
        <v>35.22</v>
      </c>
      <c r="J1534" s="24">
        <v>45875</v>
      </c>
      <c r="K1534" s="13">
        <v>15</v>
      </c>
      <c r="L1534" s="13">
        <v>1.5</v>
      </c>
      <c r="M1534" s="13" t="b">
        <v>0</v>
      </c>
      <c r="O1534" s="13">
        <f t="shared" si="23"/>
        <v>1.5</v>
      </c>
    </row>
    <row r="1535" spans="1:15" x14ac:dyDescent="0.25">
      <c r="A1535" s="13" t="s">
        <v>1547</v>
      </c>
      <c r="B1535" s="13" t="s">
        <v>2194</v>
      </c>
      <c r="C1535" s="13" t="s">
        <v>2196</v>
      </c>
      <c r="D1535" s="13" t="s">
        <v>2205</v>
      </c>
      <c r="E1535" s="13" t="s">
        <v>2213</v>
      </c>
      <c r="F1535" s="13" t="s">
        <v>2219</v>
      </c>
      <c r="G1535" s="13">
        <v>96.82</v>
      </c>
      <c r="H1535" s="13">
        <v>0</v>
      </c>
      <c r="I1535" s="13">
        <v>96.82</v>
      </c>
      <c r="J1535" s="24">
        <v>45875</v>
      </c>
      <c r="K1535" s="13">
        <v>0</v>
      </c>
      <c r="L1535" s="13">
        <v>1.1000000000000001</v>
      </c>
      <c r="M1535" s="13" t="b">
        <v>0</v>
      </c>
      <c r="O1535" s="13">
        <f t="shared" si="23"/>
        <v>1.1000000000000001</v>
      </c>
    </row>
    <row r="1536" spans="1:15" x14ac:dyDescent="0.25">
      <c r="A1536" s="13" t="s">
        <v>1548</v>
      </c>
      <c r="B1536" s="13" t="s">
        <v>2193</v>
      </c>
      <c r="C1536" s="13" t="s">
        <v>2198</v>
      </c>
      <c r="D1536" s="13" t="s">
        <v>2206</v>
      </c>
      <c r="E1536" s="13" t="s">
        <v>2212</v>
      </c>
      <c r="F1536" s="13" t="s">
        <v>2222</v>
      </c>
      <c r="G1536" s="13">
        <v>159.25</v>
      </c>
      <c r="H1536" s="13">
        <v>28.2</v>
      </c>
      <c r="I1536" s="13">
        <v>114.34</v>
      </c>
      <c r="J1536" s="24">
        <v>45875</v>
      </c>
      <c r="K1536" s="13">
        <v>1</v>
      </c>
      <c r="M1536" s="13" t="b">
        <v>1</v>
      </c>
      <c r="N1536" s="13" t="s">
        <v>2230</v>
      </c>
      <c r="O1536" s="13">
        <f t="shared" si="23"/>
        <v>3.1936170212765949</v>
      </c>
    </row>
    <row r="1537" spans="1:15" x14ac:dyDescent="0.25">
      <c r="A1537" s="13" t="s">
        <v>1549</v>
      </c>
      <c r="B1537" s="13" t="s">
        <v>2195</v>
      </c>
      <c r="C1537" s="13" t="s">
        <v>2196</v>
      </c>
      <c r="D1537" s="13" t="s">
        <v>2207</v>
      </c>
      <c r="E1537" s="13" t="s">
        <v>2211</v>
      </c>
      <c r="F1537" s="13" t="s">
        <v>2222</v>
      </c>
      <c r="G1537" s="13">
        <v>171.93</v>
      </c>
      <c r="H1537" s="13">
        <v>52.3</v>
      </c>
      <c r="I1537" s="13">
        <v>82.01</v>
      </c>
      <c r="J1537" s="24">
        <v>45875</v>
      </c>
      <c r="K1537" s="13">
        <v>28</v>
      </c>
      <c r="L1537" s="13">
        <v>2.2000000000000002</v>
      </c>
      <c r="M1537" s="13" t="b">
        <v>0</v>
      </c>
      <c r="O1537" s="13">
        <f t="shared" si="23"/>
        <v>2.2000000000000002</v>
      </c>
    </row>
    <row r="1538" spans="1:15" x14ac:dyDescent="0.25">
      <c r="A1538" s="13" t="s">
        <v>1550</v>
      </c>
      <c r="B1538" s="13" t="s">
        <v>2191</v>
      </c>
      <c r="C1538" s="13" t="s">
        <v>2196</v>
      </c>
      <c r="D1538" s="13" t="s">
        <v>2207</v>
      </c>
      <c r="E1538" s="13" t="s">
        <v>2212</v>
      </c>
      <c r="F1538" s="13" t="s">
        <v>2224</v>
      </c>
      <c r="G1538" s="13">
        <v>85.25</v>
      </c>
      <c r="H1538" s="13">
        <v>0</v>
      </c>
      <c r="I1538" s="13">
        <v>85.25</v>
      </c>
      <c r="J1538" s="24">
        <v>45875</v>
      </c>
      <c r="K1538" s="13">
        <v>11</v>
      </c>
      <c r="M1538" s="13" t="b">
        <v>0</v>
      </c>
      <c r="O1538" s="13">
        <f t="shared" si="23"/>
        <v>2.9181818181818175</v>
      </c>
    </row>
    <row r="1539" spans="1:15" x14ac:dyDescent="0.25">
      <c r="A1539" s="13" t="s">
        <v>1551</v>
      </c>
      <c r="B1539" s="13" t="s">
        <v>2191</v>
      </c>
      <c r="C1539" s="13" t="s">
        <v>2198</v>
      </c>
      <c r="D1539" s="13" t="s">
        <v>2204</v>
      </c>
      <c r="E1539" s="13" t="s">
        <v>2211</v>
      </c>
      <c r="F1539" s="13" t="s">
        <v>2215</v>
      </c>
      <c r="G1539" s="13">
        <v>70.48</v>
      </c>
      <c r="H1539" s="13">
        <v>0</v>
      </c>
      <c r="I1539" s="13">
        <v>70.48</v>
      </c>
      <c r="J1539" s="24">
        <v>45623</v>
      </c>
      <c r="K1539" s="13">
        <v>22</v>
      </c>
      <c r="L1539" s="13">
        <v>1.2</v>
      </c>
      <c r="M1539" s="13" t="b">
        <v>0</v>
      </c>
      <c r="O1539" s="13">
        <f t="shared" ref="O1539:O1602" si="24">IF(L1539="",AVERAGEIFS($L$2:$L$2177,$B$2:$B$2177,B1539,$C$2:$C$2177,C1539),L1539)</f>
        <v>1.2</v>
      </c>
    </row>
    <row r="1540" spans="1:15" x14ac:dyDescent="0.25">
      <c r="A1540" s="13" t="s">
        <v>1552</v>
      </c>
      <c r="B1540" s="13" t="s">
        <v>2190</v>
      </c>
      <c r="C1540" s="13" t="s">
        <v>2198</v>
      </c>
      <c r="D1540" s="13" t="s">
        <v>2204</v>
      </c>
      <c r="E1540" s="13" t="s">
        <v>2210</v>
      </c>
      <c r="F1540" s="13" t="s">
        <v>2224</v>
      </c>
      <c r="G1540" s="13">
        <v>203.02</v>
      </c>
      <c r="H1540" s="13">
        <v>0</v>
      </c>
      <c r="I1540" s="13">
        <v>203.02</v>
      </c>
      <c r="J1540" s="24">
        <v>45794</v>
      </c>
      <c r="K1540" s="13">
        <v>23</v>
      </c>
      <c r="L1540" s="13">
        <v>3.5</v>
      </c>
      <c r="M1540" s="13" t="b">
        <v>1</v>
      </c>
      <c r="N1540" s="13" t="s">
        <v>2228</v>
      </c>
      <c r="O1540" s="13">
        <f t="shared" si="24"/>
        <v>3.5</v>
      </c>
    </row>
    <row r="1541" spans="1:15" x14ac:dyDescent="0.25">
      <c r="A1541" s="13" t="s">
        <v>1553</v>
      </c>
      <c r="B1541" s="13" t="s">
        <v>2195</v>
      </c>
      <c r="C1541" s="13" t="s">
        <v>2201</v>
      </c>
      <c r="D1541" s="13" t="s">
        <v>2206</v>
      </c>
      <c r="E1541" s="13" t="s">
        <v>2211</v>
      </c>
      <c r="F1541" s="13" t="s">
        <v>2215</v>
      </c>
      <c r="G1541" s="13">
        <v>115.39</v>
      </c>
      <c r="H1541" s="13">
        <v>11.2</v>
      </c>
      <c r="I1541" s="13">
        <v>102.47</v>
      </c>
      <c r="J1541" s="24">
        <v>45875</v>
      </c>
      <c r="K1541" s="13">
        <v>4</v>
      </c>
      <c r="L1541" s="13">
        <v>3.8</v>
      </c>
      <c r="M1541" s="13" t="b">
        <v>0</v>
      </c>
      <c r="O1541" s="13">
        <f t="shared" si="24"/>
        <v>3.8</v>
      </c>
    </row>
    <row r="1542" spans="1:15" x14ac:dyDescent="0.25">
      <c r="A1542" s="13" t="s">
        <v>1554</v>
      </c>
      <c r="B1542" s="13" t="s">
        <v>2192</v>
      </c>
      <c r="C1542" s="13" t="s">
        <v>2199</v>
      </c>
      <c r="D1542" s="13" t="s">
        <v>2204</v>
      </c>
      <c r="F1542" s="13" t="s">
        <v>2215</v>
      </c>
      <c r="G1542" s="13">
        <v>27.91</v>
      </c>
      <c r="H1542" s="13">
        <v>49.8</v>
      </c>
      <c r="I1542" s="13">
        <v>14.01</v>
      </c>
      <c r="J1542" s="24">
        <v>45701</v>
      </c>
      <c r="K1542" s="13">
        <v>12</v>
      </c>
      <c r="L1542" s="13">
        <v>2.6</v>
      </c>
      <c r="M1542" s="13" t="b">
        <v>0</v>
      </c>
      <c r="O1542" s="13">
        <f t="shared" si="24"/>
        <v>2.6</v>
      </c>
    </row>
    <row r="1543" spans="1:15" x14ac:dyDescent="0.25">
      <c r="A1543" s="13" t="s">
        <v>1555</v>
      </c>
      <c r="B1543" s="13" t="s">
        <v>2192</v>
      </c>
      <c r="C1543" s="13" t="s">
        <v>2200</v>
      </c>
      <c r="D1543" s="13" t="s">
        <v>2205</v>
      </c>
      <c r="F1543" s="13" t="s">
        <v>2222</v>
      </c>
      <c r="G1543" s="13">
        <v>79.69</v>
      </c>
      <c r="H1543" s="13">
        <v>0</v>
      </c>
      <c r="I1543" s="13">
        <v>79.69</v>
      </c>
      <c r="J1543" s="24">
        <v>45875</v>
      </c>
      <c r="K1543" s="13">
        <v>44</v>
      </c>
      <c r="L1543" s="13">
        <v>1.6</v>
      </c>
      <c r="M1543" s="13" t="b">
        <v>0</v>
      </c>
      <c r="O1543" s="13">
        <f t="shared" si="24"/>
        <v>1.6</v>
      </c>
    </row>
    <row r="1544" spans="1:15" x14ac:dyDescent="0.25">
      <c r="A1544" s="13" t="s">
        <v>1556</v>
      </c>
      <c r="B1544" s="13" t="s">
        <v>2194</v>
      </c>
      <c r="C1544" s="13" t="s">
        <v>2203</v>
      </c>
      <c r="D1544" s="13" t="s">
        <v>2206</v>
      </c>
      <c r="E1544" s="13" t="s">
        <v>2210</v>
      </c>
      <c r="F1544" s="13" t="s">
        <v>2224</v>
      </c>
      <c r="G1544" s="13">
        <v>47.22</v>
      </c>
      <c r="H1544" s="13">
        <v>0</v>
      </c>
      <c r="I1544" s="13">
        <v>47.22</v>
      </c>
      <c r="J1544" s="24">
        <v>45875</v>
      </c>
      <c r="K1544" s="13">
        <v>19</v>
      </c>
      <c r="L1544" s="13">
        <v>1.9</v>
      </c>
      <c r="M1544" s="13" t="b">
        <v>0</v>
      </c>
      <c r="O1544" s="13">
        <f t="shared" si="24"/>
        <v>1.9</v>
      </c>
    </row>
    <row r="1545" spans="1:15" x14ac:dyDescent="0.25">
      <c r="A1545" s="13" t="s">
        <v>1557</v>
      </c>
      <c r="B1545" s="13" t="s">
        <v>2193</v>
      </c>
      <c r="C1545" s="13" t="s">
        <v>2200</v>
      </c>
      <c r="D1545" s="13" t="s">
        <v>2206</v>
      </c>
      <c r="F1545" s="13" t="s">
        <v>2224</v>
      </c>
      <c r="G1545" s="13">
        <v>172.27</v>
      </c>
      <c r="H1545" s="13">
        <v>14.9</v>
      </c>
      <c r="I1545" s="13">
        <v>146.6</v>
      </c>
      <c r="J1545" s="24">
        <v>45875</v>
      </c>
      <c r="K1545" s="13">
        <v>8</v>
      </c>
      <c r="L1545" s="13">
        <v>3.7</v>
      </c>
      <c r="M1545" s="13" t="b">
        <v>0</v>
      </c>
      <c r="O1545" s="13">
        <f t="shared" si="24"/>
        <v>3.7</v>
      </c>
    </row>
    <row r="1546" spans="1:15" x14ac:dyDescent="0.25">
      <c r="A1546" s="13" t="s">
        <v>1558</v>
      </c>
      <c r="B1546" s="13" t="s">
        <v>2192</v>
      </c>
      <c r="C1546" s="13" t="s">
        <v>2196</v>
      </c>
      <c r="D1546" s="13" t="s">
        <v>2205</v>
      </c>
      <c r="F1546" s="13" t="s">
        <v>2216</v>
      </c>
      <c r="G1546" s="13">
        <v>27.9</v>
      </c>
      <c r="H1546" s="13">
        <v>0</v>
      </c>
      <c r="I1546" s="13">
        <v>27.9</v>
      </c>
      <c r="J1546" s="24">
        <v>45875</v>
      </c>
      <c r="K1546" s="13">
        <v>27</v>
      </c>
      <c r="L1546" s="13">
        <v>3</v>
      </c>
      <c r="M1546" s="13" t="b">
        <v>1</v>
      </c>
      <c r="N1546" s="13" t="s">
        <v>2229</v>
      </c>
      <c r="O1546" s="13">
        <f t="shared" si="24"/>
        <v>3</v>
      </c>
    </row>
    <row r="1547" spans="1:15" x14ac:dyDescent="0.25">
      <c r="A1547" s="13" t="s">
        <v>1559</v>
      </c>
      <c r="B1547" s="13" t="s">
        <v>2195</v>
      </c>
      <c r="C1547" s="13" t="s">
        <v>2196</v>
      </c>
      <c r="D1547" s="13" t="s">
        <v>2204</v>
      </c>
      <c r="E1547" s="13" t="s">
        <v>2210</v>
      </c>
      <c r="F1547" s="13" t="s">
        <v>2221</v>
      </c>
      <c r="G1547" s="13">
        <v>139.26</v>
      </c>
      <c r="H1547" s="13">
        <v>0</v>
      </c>
      <c r="I1547" s="13">
        <v>139.26</v>
      </c>
      <c r="J1547" s="24">
        <v>45659</v>
      </c>
      <c r="K1547" s="13">
        <v>32</v>
      </c>
      <c r="L1547" s="13">
        <v>3.4</v>
      </c>
      <c r="M1547" s="13" t="b">
        <v>0</v>
      </c>
      <c r="O1547" s="13">
        <f t="shared" si="24"/>
        <v>3.4</v>
      </c>
    </row>
    <row r="1548" spans="1:15" x14ac:dyDescent="0.25">
      <c r="A1548" s="13" t="s">
        <v>1560</v>
      </c>
      <c r="B1548" s="13" t="s">
        <v>2192</v>
      </c>
      <c r="C1548" s="13" t="s">
        <v>2201</v>
      </c>
      <c r="D1548" s="13" t="s">
        <v>2207</v>
      </c>
      <c r="F1548" s="13" t="s">
        <v>2218</v>
      </c>
      <c r="G1548" s="13">
        <v>30.47</v>
      </c>
      <c r="H1548" s="13">
        <v>0</v>
      </c>
      <c r="I1548" s="13">
        <v>30.47</v>
      </c>
      <c r="J1548" s="24">
        <v>45875</v>
      </c>
      <c r="K1548" s="13">
        <v>34</v>
      </c>
      <c r="L1548" s="13">
        <v>4.2</v>
      </c>
      <c r="M1548" s="13" t="b">
        <v>0</v>
      </c>
      <c r="O1548" s="13">
        <f t="shared" si="24"/>
        <v>4.2</v>
      </c>
    </row>
    <row r="1549" spans="1:15" x14ac:dyDescent="0.25">
      <c r="A1549" s="13" t="s">
        <v>1561</v>
      </c>
      <c r="B1549" s="13" t="s">
        <v>2190</v>
      </c>
      <c r="C1549" s="13" t="s">
        <v>2202</v>
      </c>
      <c r="D1549" s="13" t="s">
        <v>2206</v>
      </c>
      <c r="E1549" s="13" t="s">
        <v>2213</v>
      </c>
      <c r="F1549" s="13" t="s">
        <v>2223</v>
      </c>
      <c r="G1549" s="13">
        <v>141.53</v>
      </c>
      <c r="H1549" s="13">
        <v>39.799999999999997</v>
      </c>
      <c r="I1549" s="13">
        <v>85.2</v>
      </c>
      <c r="J1549" s="24">
        <v>45875</v>
      </c>
      <c r="K1549" s="13">
        <v>47</v>
      </c>
      <c r="L1549" s="13">
        <v>3.5</v>
      </c>
      <c r="M1549" s="13" t="b">
        <v>0</v>
      </c>
      <c r="O1549" s="13">
        <f t="shared" si="24"/>
        <v>3.5</v>
      </c>
    </row>
    <row r="1550" spans="1:15" x14ac:dyDescent="0.25">
      <c r="A1550" s="13" t="s">
        <v>1562</v>
      </c>
      <c r="B1550" s="13" t="s">
        <v>2195</v>
      </c>
      <c r="C1550" s="13" t="s">
        <v>2202</v>
      </c>
      <c r="D1550" s="13" t="s">
        <v>2204</v>
      </c>
      <c r="E1550" s="13" t="s">
        <v>2208</v>
      </c>
      <c r="F1550" s="13" t="s">
        <v>2218</v>
      </c>
      <c r="G1550" s="13">
        <v>47.45</v>
      </c>
      <c r="H1550" s="13">
        <v>24.4</v>
      </c>
      <c r="I1550" s="13">
        <v>35.869999999999997</v>
      </c>
      <c r="J1550" s="24">
        <v>45823</v>
      </c>
      <c r="K1550" s="13">
        <v>42</v>
      </c>
      <c r="L1550" s="13">
        <v>2.8</v>
      </c>
      <c r="M1550" s="13" t="b">
        <v>0</v>
      </c>
      <c r="O1550" s="13">
        <f t="shared" si="24"/>
        <v>2.8</v>
      </c>
    </row>
    <row r="1551" spans="1:15" x14ac:dyDescent="0.25">
      <c r="A1551" s="13" t="s">
        <v>1563</v>
      </c>
      <c r="B1551" s="13" t="s">
        <v>2194</v>
      </c>
      <c r="C1551" s="13" t="s">
        <v>2202</v>
      </c>
      <c r="D1551" s="13" t="s">
        <v>2205</v>
      </c>
      <c r="E1551" s="13" t="s">
        <v>2212</v>
      </c>
      <c r="F1551" s="13" t="s">
        <v>2222</v>
      </c>
      <c r="G1551" s="13">
        <v>51.39</v>
      </c>
      <c r="H1551" s="13">
        <v>6.3</v>
      </c>
      <c r="I1551" s="13">
        <v>48.15</v>
      </c>
      <c r="J1551" s="24">
        <v>45875</v>
      </c>
      <c r="K1551" s="13">
        <v>46</v>
      </c>
      <c r="M1551" s="13" t="b">
        <v>0</v>
      </c>
      <c r="O1551" s="13">
        <f t="shared" si="24"/>
        <v>3.1799999999999997</v>
      </c>
    </row>
    <row r="1552" spans="1:15" x14ac:dyDescent="0.25">
      <c r="A1552" s="13" t="s">
        <v>1564</v>
      </c>
      <c r="B1552" s="13" t="s">
        <v>2191</v>
      </c>
      <c r="C1552" s="13" t="s">
        <v>2202</v>
      </c>
      <c r="D1552" s="13" t="s">
        <v>2204</v>
      </c>
      <c r="F1552" s="13" t="s">
        <v>2217</v>
      </c>
      <c r="G1552" s="13">
        <v>74.13</v>
      </c>
      <c r="H1552" s="13">
        <v>0</v>
      </c>
      <c r="I1552" s="13">
        <v>74.13</v>
      </c>
      <c r="J1552" s="24">
        <v>45609</v>
      </c>
      <c r="K1552" s="13">
        <v>23</v>
      </c>
      <c r="M1552" s="13" t="b">
        <v>0</v>
      </c>
      <c r="O1552" s="13">
        <f t="shared" si="24"/>
        <v>2.9074999999999998</v>
      </c>
    </row>
    <row r="1553" spans="1:15" x14ac:dyDescent="0.25">
      <c r="A1553" s="13" t="s">
        <v>1565</v>
      </c>
      <c r="B1553" s="13" t="s">
        <v>2195</v>
      </c>
      <c r="C1553" s="13" t="s">
        <v>2196</v>
      </c>
      <c r="D1553" s="13" t="s">
        <v>2206</v>
      </c>
      <c r="E1553" s="13" t="s">
        <v>2208</v>
      </c>
      <c r="F1553" s="13" t="s">
        <v>2223</v>
      </c>
      <c r="G1553" s="13">
        <v>156.13999999999999</v>
      </c>
      <c r="H1553" s="13">
        <v>5</v>
      </c>
      <c r="I1553" s="13">
        <v>148.33000000000001</v>
      </c>
      <c r="J1553" s="24">
        <v>45875</v>
      </c>
      <c r="K1553" s="13">
        <v>39</v>
      </c>
      <c r="M1553" s="13" t="b">
        <v>0</v>
      </c>
      <c r="O1553" s="13">
        <f t="shared" si="24"/>
        <v>3.0424242424242425</v>
      </c>
    </row>
    <row r="1554" spans="1:15" x14ac:dyDescent="0.25">
      <c r="A1554" s="13" t="s">
        <v>1566</v>
      </c>
      <c r="B1554" s="13" t="s">
        <v>2190</v>
      </c>
      <c r="C1554" s="13" t="s">
        <v>2198</v>
      </c>
      <c r="D1554" s="13" t="s">
        <v>2207</v>
      </c>
      <c r="E1554" s="13" t="s">
        <v>2212</v>
      </c>
      <c r="F1554" s="13" t="s">
        <v>2220</v>
      </c>
      <c r="G1554" s="13">
        <v>105.3</v>
      </c>
      <c r="H1554" s="13">
        <v>0</v>
      </c>
      <c r="I1554" s="13">
        <v>105.3</v>
      </c>
      <c r="J1554" s="24">
        <v>45875</v>
      </c>
      <c r="K1554" s="13">
        <v>1</v>
      </c>
      <c r="L1554" s="13">
        <v>3</v>
      </c>
      <c r="M1554" s="13" t="b">
        <v>0</v>
      </c>
      <c r="O1554" s="13">
        <f t="shared" si="24"/>
        <v>3</v>
      </c>
    </row>
    <row r="1555" spans="1:15" x14ac:dyDescent="0.25">
      <c r="A1555" s="13" t="s">
        <v>1567</v>
      </c>
      <c r="B1555" s="13" t="s">
        <v>2195</v>
      </c>
      <c r="C1555" s="13" t="s">
        <v>2200</v>
      </c>
      <c r="D1555" s="13" t="s">
        <v>2205</v>
      </c>
      <c r="E1555" s="13" t="s">
        <v>2210</v>
      </c>
      <c r="F1555" s="13" t="s">
        <v>2222</v>
      </c>
      <c r="G1555" s="13">
        <v>126.76</v>
      </c>
      <c r="H1555" s="13">
        <v>0</v>
      </c>
      <c r="I1555" s="13">
        <v>126.76</v>
      </c>
      <c r="J1555" s="24">
        <v>45875</v>
      </c>
      <c r="K1555" s="13">
        <v>24</v>
      </c>
      <c r="L1555" s="13">
        <v>2.2000000000000002</v>
      </c>
      <c r="M1555" s="13" t="b">
        <v>0</v>
      </c>
      <c r="O1555" s="13">
        <f t="shared" si="24"/>
        <v>2.2000000000000002</v>
      </c>
    </row>
    <row r="1556" spans="1:15" x14ac:dyDescent="0.25">
      <c r="A1556" s="13" t="s">
        <v>1568</v>
      </c>
      <c r="B1556" s="13" t="s">
        <v>2191</v>
      </c>
      <c r="C1556" s="13" t="s">
        <v>2202</v>
      </c>
      <c r="D1556" s="13" t="s">
        <v>2205</v>
      </c>
      <c r="E1556" s="13" t="s">
        <v>2209</v>
      </c>
      <c r="F1556" s="13" t="s">
        <v>2222</v>
      </c>
      <c r="G1556" s="13">
        <v>35.409999999999997</v>
      </c>
      <c r="H1556" s="13">
        <v>0</v>
      </c>
      <c r="I1556" s="13">
        <v>35.409999999999997</v>
      </c>
      <c r="J1556" s="24">
        <v>45875</v>
      </c>
      <c r="K1556" s="13">
        <v>48</v>
      </c>
      <c r="L1556" s="13">
        <v>4.3</v>
      </c>
      <c r="M1556" s="13" t="b">
        <v>1</v>
      </c>
      <c r="N1556" s="13" t="s">
        <v>2227</v>
      </c>
      <c r="O1556" s="13">
        <f t="shared" si="24"/>
        <v>4.3</v>
      </c>
    </row>
    <row r="1557" spans="1:15" x14ac:dyDescent="0.25">
      <c r="A1557" s="13" t="s">
        <v>1569</v>
      </c>
      <c r="B1557" s="13" t="s">
        <v>2190</v>
      </c>
      <c r="C1557" s="13" t="s">
        <v>2201</v>
      </c>
      <c r="D1557" s="13" t="s">
        <v>2205</v>
      </c>
      <c r="E1557" s="13" t="s">
        <v>2213</v>
      </c>
      <c r="F1557" s="13" t="s">
        <v>2217</v>
      </c>
      <c r="G1557" s="13">
        <v>80.040000000000006</v>
      </c>
      <c r="H1557" s="13">
        <v>0</v>
      </c>
      <c r="I1557" s="13">
        <v>80.040000000000006</v>
      </c>
      <c r="J1557" s="24">
        <v>45875</v>
      </c>
      <c r="K1557" s="13">
        <v>13</v>
      </c>
      <c r="L1557" s="13">
        <v>2.2999999999999998</v>
      </c>
      <c r="M1557" s="13" t="b">
        <v>0</v>
      </c>
      <c r="O1557" s="13">
        <f t="shared" si="24"/>
        <v>2.2999999999999998</v>
      </c>
    </row>
    <row r="1558" spans="1:15" x14ac:dyDescent="0.25">
      <c r="A1558" s="13" t="s">
        <v>1570</v>
      </c>
      <c r="B1558" s="13" t="s">
        <v>2194</v>
      </c>
      <c r="C1558" s="13" t="s">
        <v>2202</v>
      </c>
      <c r="D1558" s="13" t="s">
        <v>2206</v>
      </c>
      <c r="F1558" s="13" t="s">
        <v>2222</v>
      </c>
      <c r="G1558" s="13">
        <v>68.16</v>
      </c>
      <c r="H1558" s="13">
        <v>0</v>
      </c>
      <c r="I1558" s="13">
        <v>68.16</v>
      </c>
      <c r="J1558" s="24">
        <v>45875</v>
      </c>
      <c r="K1558" s="13">
        <v>34</v>
      </c>
      <c r="L1558" s="13">
        <v>2.7</v>
      </c>
      <c r="M1558" s="13" t="b">
        <v>0</v>
      </c>
      <c r="O1558" s="13">
        <f t="shared" si="24"/>
        <v>2.7</v>
      </c>
    </row>
    <row r="1559" spans="1:15" x14ac:dyDescent="0.25">
      <c r="A1559" s="13" t="s">
        <v>1571</v>
      </c>
      <c r="B1559" s="13" t="s">
        <v>2195</v>
      </c>
      <c r="C1559" s="13" t="s">
        <v>2201</v>
      </c>
      <c r="D1559" s="13" t="s">
        <v>2206</v>
      </c>
      <c r="E1559" s="13" t="s">
        <v>2208</v>
      </c>
      <c r="F1559" s="13" t="s">
        <v>2217</v>
      </c>
      <c r="G1559" s="13">
        <v>60.87</v>
      </c>
      <c r="H1559" s="13">
        <v>0</v>
      </c>
      <c r="I1559" s="13">
        <v>60.87</v>
      </c>
      <c r="J1559" s="24">
        <v>45875</v>
      </c>
      <c r="K1559" s="13">
        <v>35</v>
      </c>
      <c r="M1559" s="13" t="b">
        <v>0</v>
      </c>
      <c r="O1559" s="13">
        <f t="shared" si="24"/>
        <v>3.1874999999999991</v>
      </c>
    </row>
    <row r="1560" spans="1:15" x14ac:dyDescent="0.25">
      <c r="A1560" s="13" t="s">
        <v>1572</v>
      </c>
      <c r="B1560" s="13" t="s">
        <v>2191</v>
      </c>
      <c r="C1560" s="13" t="s">
        <v>2200</v>
      </c>
      <c r="D1560" s="13" t="s">
        <v>2204</v>
      </c>
      <c r="E1560" s="13" t="s">
        <v>2209</v>
      </c>
      <c r="F1560" s="13" t="s">
        <v>2224</v>
      </c>
      <c r="G1560" s="13">
        <v>59.8</v>
      </c>
      <c r="H1560" s="13">
        <v>0</v>
      </c>
      <c r="I1560" s="13">
        <v>59.8</v>
      </c>
      <c r="J1560" s="24">
        <v>45753</v>
      </c>
      <c r="K1560" s="13">
        <v>50</v>
      </c>
      <c r="L1560" s="13">
        <v>2.2000000000000002</v>
      </c>
      <c r="M1560" s="13" t="b">
        <v>1</v>
      </c>
      <c r="N1560" s="13" t="s">
        <v>2226</v>
      </c>
      <c r="O1560" s="13">
        <f t="shared" si="24"/>
        <v>2.2000000000000002</v>
      </c>
    </row>
    <row r="1561" spans="1:15" x14ac:dyDescent="0.25">
      <c r="A1561" s="13" t="s">
        <v>1573</v>
      </c>
      <c r="B1561" s="13" t="s">
        <v>2192</v>
      </c>
      <c r="C1561" s="13" t="s">
        <v>2202</v>
      </c>
      <c r="D1561" s="13" t="s">
        <v>2206</v>
      </c>
      <c r="F1561" s="13" t="s">
        <v>2216</v>
      </c>
      <c r="G1561" s="13">
        <v>75.83</v>
      </c>
      <c r="H1561" s="13">
        <v>0</v>
      </c>
      <c r="I1561" s="13">
        <v>75.83</v>
      </c>
      <c r="J1561" s="24">
        <v>45875</v>
      </c>
      <c r="K1561" s="13">
        <v>8</v>
      </c>
      <c r="L1561" s="13">
        <v>2</v>
      </c>
      <c r="M1561" s="13" t="b">
        <v>0</v>
      </c>
      <c r="O1561" s="13">
        <f t="shared" si="24"/>
        <v>2</v>
      </c>
    </row>
    <row r="1562" spans="1:15" x14ac:dyDescent="0.25">
      <c r="A1562" s="13" t="s">
        <v>1574</v>
      </c>
      <c r="B1562" s="13" t="s">
        <v>2191</v>
      </c>
      <c r="C1562" s="13" t="s">
        <v>2200</v>
      </c>
      <c r="D1562" s="13" t="s">
        <v>2207</v>
      </c>
      <c r="E1562" s="13" t="s">
        <v>2209</v>
      </c>
      <c r="F1562" s="13" t="s">
        <v>2221</v>
      </c>
      <c r="G1562" s="13">
        <v>55.97</v>
      </c>
      <c r="H1562" s="13">
        <v>0</v>
      </c>
      <c r="I1562" s="13">
        <v>55.97</v>
      </c>
      <c r="J1562" s="24">
        <v>45875</v>
      </c>
      <c r="K1562" s="13">
        <v>30</v>
      </c>
      <c r="M1562" s="13" t="b">
        <v>0</v>
      </c>
      <c r="O1562" s="13">
        <f t="shared" si="24"/>
        <v>2.9657142857142857</v>
      </c>
    </row>
    <row r="1563" spans="1:15" x14ac:dyDescent="0.25">
      <c r="A1563" s="13" t="s">
        <v>1575</v>
      </c>
      <c r="B1563" s="13" t="s">
        <v>2193</v>
      </c>
      <c r="C1563" s="13" t="s">
        <v>2202</v>
      </c>
      <c r="D1563" s="13" t="s">
        <v>2205</v>
      </c>
      <c r="E1563" s="13" t="s">
        <v>2208</v>
      </c>
      <c r="F1563" s="13" t="s">
        <v>2221</v>
      </c>
      <c r="G1563" s="13">
        <v>190.52</v>
      </c>
      <c r="H1563" s="13">
        <v>45.2</v>
      </c>
      <c r="I1563" s="13">
        <v>104.4</v>
      </c>
      <c r="J1563" s="24">
        <v>45875</v>
      </c>
      <c r="K1563" s="13">
        <v>2</v>
      </c>
      <c r="L1563" s="13">
        <v>1.1000000000000001</v>
      </c>
      <c r="M1563" s="13" t="b">
        <v>0</v>
      </c>
      <c r="O1563" s="13">
        <f t="shared" si="24"/>
        <v>1.1000000000000001</v>
      </c>
    </row>
    <row r="1564" spans="1:15" x14ac:dyDescent="0.25">
      <c r="A1564" s="13" t="s">
        <v>1576</v>
      </c>
      <c r="B1564" s="13" t="s">
        <v>2194</v>
      </c>
      <c r="C1564" s="13" t="s">
        <v>2196</v>
      </c>
      <c r="D1564" s="13" t="s">
        <v>2207</v>
      </c>
      <c r="E1564" s="13" t="s">
        <v>2213</v>
      </c>
      <c r="F1564" s="13" t="s">
        <v>2215</v>
      </c>
      <c r="G1564" s="13">
        <v>89.19</v>
      </c>
      <c r="H1564" s="13">
        <v>10.3</v>
      </c>
      <c r="I1564" s="13">
        <v>80</v>
      </c>
      <c r="J1564" s="24">
        <v>45875</v>
      </c>
      <c r="K1564" s="13">
        <v>4</v>
      </c>
      <c r="M1564" s="13" t="b">
        <v>0</v>
      </c>
      <c r="O1564" s="13">
        <f t="shared" si="24"/>
        <v>2.9210526315789478</v>
      </c>
    </row>
    <row r="1565" spans="1:15" x14ac:dyDescent="0.25">
      <c r="A1565" s="13" t="s">
        <v>1577</v>
      </c>
      <c r="B1565" s="13" t="s">
        <v>2193</v>
      </c>
      <c r="C1565" s="13" t="s">
        <v>2198</v>
      </c>
      <c r="D1565" s="13" t="s">
        <v>2207</v>
      </c>
      <c r="F1565" s="13" t="s">
        <v>2217</v>
      </c>
      <c r="G1565" s="13">
        <v>79.59</v>
      </c>
      <c r="H1565" s="13">
        <v>8.9</v>
      </c>
      <c r="I1565" s="13">
        <v>72.510000000000005</v>
      </c>
      <c r="J1565" s="24">
        <v>45875</v>
      </c>
      <c r="K1565" s="13">
        <v>16</v>
      </c>
      <c r="L1565" s="13">
        <v>4.5999999999999996</v>
      </c>
      <c r="M1565" s="13" t="b">
        <v>1</v>
      </c>
      <c r="N1565" s="13" t="s">
        <v>2230</v>
      </c>
      <c r="O1565" s="13">
        <f t="shared" si="24"/>
        <v>4.5999999999999996</v>
      </c>
    </row>
    <row r="1566" spans="1:15" x14ac:dyDescent="0.25">
      <c r="A1566" s="13" t="s">
        <v>1578</v>
      </c>
      <c r="B1566" s="13" t="s">
        <v>2194</v>
      </c>
      <c r="C1566" s="13" t="s">
        <v>2199</v>
      </c>
      <c r="D1566" s="13" t="s">
        <v>2204</v>
      </c>
      <c r="E1566" s="13" t="s">
        <v>2211</v>
      </c>
      <c r="F1566" s="13" t="s">
        <v>2218</v>
      </c>
      <c r="G1566" s="13">
        <v>84.8</v>
      </c>
      <c r="H1566" s="13">
        <v>0</v>
      </c>
      <c r="I1566" s="13">
        <v>84.8</v>
      </c>
      <c r="J1566" s="24">
        <v>45846</v>
      </c>
      <c r="K1566" s="13">
        <v>46</v>
      </c>
      <c r="L1566" s="13">
        <v>4.5999999999999996</v>
      </c>
      <c r="M1566" s="13" t="b">
        <v>0</v>
      </c>
      <c r="O1566" s="13">
        <f t="shared" si="24"/>
        <v>4.5999999999999996</v>
      </c>
    </row>
    <row r="1567" spans="1:15" x14ac:dyDescent="0.25">
      <c r="A1567" s="13" t="s">
        <v>1579</v>
      </c>
      <c r="B1567" s="13" t="s">
        <v>2194</v>
      </c>
      <c r="C1567" s="13" t="s">
        <v>2203</v>
      </c>
      <c r="D1567" s="13" t="s">
        <v>2206</v>
      </c>
      <c r="E1567" s="13" t="s">
        <v>2213</v>
      </c>
      <c r="F1567" s="13" t="s">
        <v>2216</v>
      </c>
      <c r="G1567" s="13">
        <v>69.209999999999994</v>
      </c>
      <c r="H1567" s="13">
        <v>0</v>
      </c>
      <c r="I1567" s="13">
        <v>69.209999999999994</v>
      </c>
      <c r="J1567" s="24">
        <v>45875</v>
      </c>
      <c r="K1567" s="13">
        <v>41</v>
      </c>
      <c r="M1567" s="13" t="b">
        <v>0</v>
      </c>
      <c r="O1567" s="13">
        <f t="shared" si="24"/>
        <v>3.1021739130434773</v>
      </c>
    </row>
    <row r="1568" spans="1:15" x14ac:dyDescent="0.25">
      <c r="A1568" s="13" t="s">
        <v>1580</v>
      </c>
      <c r="B1568" s="13" t="s">
        <v>2190</v>
      </c>
      <c r="C1568" s="13" t="s">
        <v>2198</v>
      </c>
      <c r="D1568" s="13" t="s">
        <v>2204</v>
      </c>
      <c r="E1568" s="13" t="s">
        <v>2212</v>
      </c>
      <c r="F1568" s="13" t="s">
        <v>2222</v>
      </c>
      <c r="G1568" s="13">
        <v>229.17</v>
      </c>
      <c r="H1568" s="13">
        <v>0</v>
      </c>
      <c r="I1568" s="13">
        <v>229.17</v>
      </c>
      <c r="J1568" s="24">
        <v>45855</v>
      </c>
      <c r="K1568" s="13">
        <v>37</v>
      </c>
      <c r="L1568" s="13">
        <v>2</v>
      </c>
      <c r="M1568" s="13" t="b">
        <v>0</v>
      </c>
      <c r="O1568" s="13">
        <f t="shared" si="24"/>
        <v>2</v>
      </c>
    </row>
    <row r="1569" spans="1:15" x14ac:dyDescent="0.25">
      <c r="A1569" s="13" t="s">
        <v>1581</v>
      </c>
      <c r="B1569" s="13" t="s">
        <v>2195</v>
      </c>
      <c r="C1569" s="13" t="s">
        <v>2198</v>
      </c>
      <c r="D1569" s="13" t="s">
        <v>2205</v>
      </c>
      <c r="E1569" s="13" t="s">
        <v>2209</v>
      </c>
      <c r="F1569" s="13" t="s">
        <v>2217</v>
      </c>
      <c r="G1569" s="13">
        <v>103.9</v>
      </c>
      <c r="H1569" s="13">
        <v>0</v>
      </c>
      <c r="I1569" s="13">
        <v>103.9</v>
      </c>
      <c r="J1569" s="24">
        <v>45875</v>
      </c>
      <c r="K1569" s="13">
        <v>40</v>
      </c>
      <c r="L1569" s="13">
        <v>4.4000000000000004</v>
      </c>
      <c r="M1569" s="13" t="b">
        <v>0</v>
      </c>
      <c r="O1569" s="13">
        <f t="shared" si="24"/>
        <v>4.4000000000000004</v>
      </c>
    </row>
    <row r="1570" spans="1:15" x14ac:dyDescent="0.25">
      <c r="A1570" s="13" t="s">
        <v>1582</v>
      </c>
      <c r="B1570" s="13" t="s">
        <v>2190</v>
      </c>
      <c r="C1570" s="13" t="s">
        <v>2196</v>
      </c>
      <c r="D1570" s="13" t="s">
        <v>2204</v>
      </c>
      <c r="E1570" s="13" t="s">
        <v>2212</v>
      </c>
      <c r="F1570" s="13" t="s">
        <v>2221</v>
      </c>
      <c r="G1570" s="13">
        <v>228.46</v>
      </c>
      <c r="H1570" s="13">
        <v>0</v>
      </c>
      <c r="I1570" s="13">
        <v>228.46</v>
      </c>
      <c r="J1570" s="24">
        <v>45695</v>
      </c>
      <c r="K1570" s="13">
        <v>7</v>
      </c>
      <c r="L1570" s="13">
        <v>2.5</v>
      </c>
      <c r="M1570" s="13" t="b">
        <v>1</v>
      </c>
      <c r="N1570" s="13" t="s">
        <v>2228</v>
      </c>
      <c r="O1570" s="13">
        <f t="shared" si="24"/>
        <v>2.5</v>
      </c>
    </row>
    <row r="1571" spans="1:15" x14ac:dyDescent="0.25">
      <c r="A1571" s="13" t="s">
        <v>1583</v>
      </c>
      <c r="B1571" s="13" t="s">
        <v>2192</v>
      </c>
      <c r="C1571" s="13" t="s">
        <v>2196</v>
      </c>
      <c r="D1571" s="13" t="s">
        <v>2207</v>
      </c>
      <c r="F1571" s="13" t="s">
        <v>2217</v>
      </c>
      <c r="G1571" s="13">
        <v>44.35</v>
      </c>
      <c r="H1571" s="13">
        <v>29.2</v>
      </c>
      <c r="I1571" s="13">
        <v>31.4</v>
      </c>
      <c r="J1571" s="24">
        <v>45875</v>
      </c>
      <c r="K1571" s="13">
        <v>20</v>
      </c>
      <c r="L1571" s="13">
        <v>4.9000000000000004</v>
      </c>
      <c r="M1571" s="13" t="b">
        <v>0</v>
      </c>
      <c r="O1571" s="13">
        <f t="shared" si="24"/>
        <v>4.9000000000000004</v>
      </c>
    </row>
    <row r="1572" spans="1:15" x14ac:dyDescent="0.25">
      <c r="A1572" s="13" t="s">
        <v>1584</v>
      </c>
      <c r="B1572" s="13" t="s">
        <v>2194</v>
      </c>
      <c r="C1572" s="13" t="s">
        <v>2197</v>
      </c>
      <c r="D1572" s="13" t="s">
        <v>2204</v>
      </c>
      <c r="F1572" s="13" t="s">
        <v>2218</v>
      </c>
      <c r="G1572" s="13">
        <v>28.76</v>
      </c>
      <c r="H1572" s="13">
        <v>54.7</v>
      </c>
      <c r="I1572" s="13">
        <v>13.03</v>
      </c>
      <c r="J1572" s="24">
        <v>45791</v>
      </c>
      <c r="K1572" s="13">
        <v>2</v>
      </c>
      <c r="L1572" s="13">
        <v>4.4000000000000004</v>
      </c>
      <c r="M1572" s="13" t="b">
        <v>1</v>
      </c>
      <c r="N1572" s="13" t="s">
        <v>2225</v>
      </c>
      <c r="O1572" s="13">
        <f t="shared" si="24"/>
        <v>4.4000000000000004</v>
      </c>
    </row>
    <row r="1573" spans="1:15" x14ac:dyDescent="0.25">
      <c r="A1573" s="13" t="s">
        <v>1585</v>
      </c>
      <c r="B1573" s="13" t="s">
        <v>2190</v>
      </c>
      <c r="C1573" s="13" t="s">
        <v>2199</v>
      </c>
      <c r="D1573" s="13" t="s">
        <v>2204</v>
      </c>
      <c r="E1573" s="13" t="s">
        <v>2211</v>
      </c>
      <c r="F1573" s="13" t="s">
        <v>2214</v>
      </c>
      <c r="G1573" s="13">
        <v>158.34</v>
      </c>
      <c r="H1573" s="13">
        <v>36.6</v>
      </c>
      <c r="I1573" s="13">
        <v>100.39</v>
      </c>
      <c r="J1573" s="24">
        <v>45684</v>
      </c>
      <c r="K1573" s="13">
        <v>11</v>
      </c>
      <c r="L1573" s="13">
        <v>4.5</v>
      </c>
      <c r="M1573" s="13" t="b">
        <v>0</v>
      </c>
      <c r="O1573" s="13">
        <f t="shared" si="24"/>
        <v>4.5</v>
      </c>
    </row>
    <row r="1574" spans="1:15" x14ac:dyDescent="0.25">
      <c r="A1574" s="13" t="s">
        <v>1586</v>
      </c>
      <c r="B1574" s="13" t="s">
        <v>2192</v>
      </c>
      <c r="C1574" s="13" t="s">
        <v>2196</v>
      </c>
      <c r="D1574" s="13" t="s">
        <v>2204</v>
      </c>
      <c r="F1574" s="13" t="s">
        <v>2224</v>
      </c>
      <c r="G1574" s="13">
        <v>39.049999999999997</v>
      </c>
      <c r="H1574" s="13">
        <v>12</v>
      </c>
      <c r="I1574" s="13">
        <v>34.36</v>
      </c>
      <c r="J1574" s="24">
        <v>45565</v>
      </c>
      <c r="K1574" s="13">
        <v>0</v>
      </c>
      <c r="L1574" s="13">
        <v>3.1</v>
      </c>
      <c r="M1574" s="13" t="b">
        <v>0</v>
      </c>
      <c r="O1574" s="13">
        <f t="shared" si="24"/>
        <v>3.1</v>
      </c>
    </row>
    <row r="1575" spans="1:15" x14ac:dyDescent="0.25">
      <c r="A1575" s="13" t="s">
        <v>1587</v>
      </c>
      <c r="B1575" s="13" t="s">
        <v>2191</v>
      </c>
      <c r="C1575" s="13" t="s">
        <v>2201</v>
      </c>
      <c r="D1575" s="13" t="s">
        <v>2204</v>
      </c>
      <c r="E1575" s="13" t="s">
        <v>2210</v>
      </c>
      <c r="F1575" s="13" t="s">
        <v>2219</v>
      </c>
      <c r="G1575" s="13">
        <v>52.46</v>
      </c>
      <c r="H1575" s="13">
        <v>12.2</v>
      </c>
      <c r="I1575" s="13">
        <v>46.06</v>
      </c>
      <c r="J1575" s="24">
        <v>45645</v>
      </c>
      <c r="K1575" s="13">
        <v>39</v>
      </c>
      <c r="L1575" s="13">
        <v>2.2999999999999998</v>
      </c>
      <c r="M1575" s="13" t="b">
        <v>0</v>
      </c>
      <c r="O1575" s="13">
        <f t="shared" si="24"/>
        <v>2.2999999999999998</v>
      </c>
    </row>
    <row r="1576" spans="1:15" x14ac:dyDescent="0.25">
      <c r="A1576" s="13" t="s">
        <v>1588</v>
      </c>
      <c r="B1576" s="13" t="s">
        <v>2194</v>
      </c>
      <c r="C1576" s="13" t="s">
        <v>2202</v>
      </c>
      <c r="D1576" s="13" t="s">
        <v>2204</v>
      </c>
      <c r="E1576" s="13" t="s">
        <v>2210</v>
      </c>
      <c r="F1576" s="13" t="s">
        <v>2214</v>
      </c>
      <c r="G1576" s="13">
        <v>70.31</v>
      </c>
      <c r="H1576" s="13">
        <v>34.4</v>
      </c>
      <c r="I1576" s="13">
        <v>46.12</v>
      </c>
      <c r="J1576" s="24">
        <v>45681</v>
      </c>
      <c r="K1576" s="13">
        <v>28</v>
      </c>
      <c r="L1576" s="13">
        <v>3.1</v>
      </c>
      <c r="M1576" s="13" t="b">
        <v>0</v>
      </c>
      <c r="O1576" s="13">
        <f t="shared" si="24"/>
        <v>3.1</v>
      </c>
    </row>
    <row r="1577" spans="1:15" x14ac:dyDescent="0.25">
      <c r="A1577" s="13" t="s">
        <v>1589</v>
      </c>
      <c r="B1577" s="13" t="s">
        <v>2190</v>
      </c>
      <c r="C1577" s="13" t="s">
        <v>2203</v>
      </c>
      <c r="D1577" s="13" t="s">
        <v>2207</v>
      </c>
      <c r="E1577" s="13" t="s">
        <v>2210</v>
      </c>
      <c r="F1577" s="13" t="s">
        <v>2221</v>
      </c>
      <c r="G1577" s="13">
        <v>123.27</v>
      </c>
      <c r="H1577" s="13">
        <v>0</v>
      </c>
      <c r="I1577" s="13">
        <v>123.27</v>
      </c>
      <c r="J1577" s="24">
        <v>45875</v>
      </c>
      <c r="K1577" s="13">
        <v>13</v>
      </c>
      <c r="L1577" s="13">
        <v>2.8</v>
      </c>
      <c r="M1577" s="13" t="b">
        <v>0</v>
      </c>
      <c r="O1577" s="13">
        <f t="shared" si="24"/>
        <v>2.8</v>
      </c>
    </row>
    <row r="1578" spans="1:15" x14ac:dyDescent="0.25">
      <c r="A1578" s="13" t="s">
        <v>1590</v>
      </c>
      <c r="B1578" s="13" t="s">
        <v>2190</v>
      </c>
      <c r="C1578" s="13" t="s">
        <v>2199</v>
      </c>
      <c r="D1578" s="13" t="s">
        <v>2207</v>
      </c>
      <c r="E1578" s="13" t="s">
        <v>2209</v>
      </c>
      <c r="F1578" s="13" t="s">
        <v>2222</v>
      </c>
      <c r="G1578" s="13">
        <v>215.82</v>
      </c>
      <c r="H1578" s="13">
        <v>16.5</v>
      </c>
      <c r="I1578" s="13">
        <v>180.21</v>
      </c>
      <c r="J1578" s="24">
        <v>45875</v>
      </c>
      <c r="K1578" s="13">
        <v>9</v>
      </c>
      <c r="L1578" s="13">
        <v>2.4</v>
      </c>
      <c r="M1578" s="13" t="b">
        <v>0</v>
      </c>
      <c r="O1578" s="13">
        <f t="shared" si="24"/>
        <v>2.4</v>
      </c>
    </row>
    <row r="1579" spans="1:15" x14ac:dyDescent="0.25">
      <c r="A1579" s="13" t="s">
        <v>1591</v>
      </c>
      <c r="B1579" s="13" t="s">
        <v>2190</v>
      </c>
      <c r="C1579" s="13" t="s">
        <v>2202</v>
      </c>
      <c r="D1579" s="13" t="s">
        <v>2207</v>
      </c>
      <c r="E1579" s="13" t="s">
        <v>2212</v>
      </c>
      <c r="F1579" s="13" t="s">
        <v>2219</v>
      </c>
      <c r="G1579" s="13">
        <v>82.91</v>
      </c>
      <c r="H1579" s="13">
        <v>0.7</v>
      </c>
      <c r="I1579" s="13">
        <v>82.33</v>
      </c>
      <c r="J1579" s="24">
        <v>45875</v>
      </c>
      <c r="K1579" s="13">
        <v>24</v>
      </c>
      <c r="M1579" s="13" t="b">
        <v>1</v>
      </c>
      <c r="N1579" s="13" t="s">
        <v>2227</v>
      </c>
      <c r="O1579" s="13">
        <f t="shared" si="24"/>
        <v>2.9034482758620692</v>
      </c>
    </row>
    <row r="1580" spans="1:15" x14ac:dyDescent="0.25">
      <c r="A1580" s="13" t="s">
        <v>1592</v>
      </c>
      <c r="B1580" s="13" t="s">
        <v>2191</v>
      </c>
      <c r="C1580" s="13" t="s">
        <v>2202</v>
      </c>
      <c r="D1580" s="13" t="s">
        <v>2205</v>
      </c>
      <c r="E1580" s="13" t="s">
        <v>2208</v>
      </c>
      <c r="F1580" s="13" t="s">
        <v>2223</v>
      </c>
      <c r="G1580" s="13">
        <v>33.46</v>
      </c>
      <c r="H1580" s="13">
        <v>0</v>
      </c>
      <c r="I1580" s="13">
        <v>33.46</v>
      </c>
      <c r="J1580" s="24">
        <v>45875</v>
      </c>
      <c r="K1580" s="13">
        <v>36</v>
      </c>
      <c r="L1580" s="13">
        <v>3.6</v>
      </c>
      <c r="M1580" s="13" t="b">
        <v>0</v>
      </c>
      <c r="O1580" s="13">
        <f t="shared" si="24"/>
        <v>3.6</v>
      </c>
    </row>
    <row r="1581" spans="1:15" x14ac:dyDescent="0.25">
      <c r="A1581" s="13" t="s">
        <v>1593</v>
      </c>
      <c r="B1581" s="13" t="s">
        <v>2194</v>
      </c>
      <c r="C1581" s="13" t="s">
        <v>2198</v>
      </c>
      <c r="D1581" s="13" t="s">
        <v>2204</v>
      </c>
      <c r="E1581" s="13" t="s">
        <v>2209</v>
      </c>
      <c r="F1581" s="13" t="s">
        <v>2218</v>
      </c>
      <c r="G1581" s="13">
        <v>37.21</v>
      </c>
      <c r="H1581" s="13">
        <v>53.9</v>
      </c>
      <c r="I1581" s="13">
        <v>17.149999999999999</v>
      </c>
      <c r="J1581" s="24">
        <v>45835</v>
      </c>
      <c r="K1581" s="13">
        <v>48</v>
      </c>
      <c r="L1581" s="13">
        <v>3.8</v>
      </c>
      <c r="M1581" s="13" t="b">
        <v>0</v>
      </c>
      <c r="O1581" s="13">
        <f t="shared" si="24"/>
        <v>3.8</v>
      </c>
    </row>
    <row r="1582" spans="1:15" x14ac:dyDescent="0.25">
      <c r="A1582" s="13" t="s">
        <v>1594</v>
      </c>
      <c r="B1582" s="13" t="s">
        <v>2194</v>
      </c>
      <c r="C1582" s="13" t="s">
        <v>2199</v>
      </c>
      <c r="D1582" s="13" t="s">
        <v>2205</v>
      </c>
      <c r="F1582" s="13" t="s">
        <v>2214</v>
      </c>
      <c r="G1582" s="13">
        <v>76.86</v>
      </c>
      <c r="H1582" s="13">
        <v>48.9</v>
      </c>
      <c r="I1582" s="13">
        <v>39.28</v>
      </c>
      <c r="J1582" s="24">
        <v>45875</v>
      </c>
      <c r="K1582" s="13">
        <v>5</v>
      </c>
      <c r="L1582" s="13">
        <v>1.2</v>
      </c>
      <c r="M1582" s="13" t="b">
        <v>0</v>
      </c>
      <c r="O1582" s="13">
        <f t="shared" si="24"/>
        <v>1.2</v>
      </c>
    </row>
    <row r="1583" spans="1:15" x14ac:dyDescent="0.25">
      <c r="A1583" s="13" t="s">
        <v>1595</v>
      </c>
      <c r="B1583" s="13" t="s">
        <v>2190</v>
      </c>
      <c r="C1583" s="13" t="s">
        <v>2200</v>
      </c>
      <c r="D1583" s="13" t="s">
        <v>2205</v>
      </c>
      <c r="E1583" s="13" t="s">
        <v>2210</v>
      </c>
      <c r="F1583" s="13" t="s">
        <v>2221</v>
      </c>
      <c r="G1583" s="13">
        <v>208.57</v>
      </c>
      <c r="H1583" s="13">
        <v>0</v>
      </c>
      <c r="I1583" s="13">
        <v>208.57</v>
      </c>
      <c r="J1583" s="24">
        <v>45875</v>
      </c>
      <c r="K1583" s="13">
        <v>24</v>
      </c>
      <c r="L1583" s="13">
        <v>3.6</v>
      </c>
      <c r="M1583" s="13" t="b">
        <v>0</v>
      </c>
      <c r="O1583" s="13">
        <f t="shared" si="24"/>
        <v>3.6</v>
      </c>
    </row>
    <row r="1584" spans="1:15" x14ac:dyDescent="0.25">
      <c r="A1584" s="13" t="s">
        <v>1596</v>
      </c>
      <c r="B1584" s="13" t="s">
        <v>2195</v>
      </c>
      <c r="C1584" s="13" t="s">
        <v>2202</v>
      </c>
      <c r="D1584" s="13" t="s">
        <v>2204</v>
      </c>
      <c r="E1584" s="13" t="s">
        <v>2208</v>
      </c>
      <c r="F1584" s="13" t="s">
        <v>2214</v>
      </c>
      <c r="G1584" s="13">
        <v>131.69999999999999</v>
      </c>
      <c r="H1584" s="13">
        <v>15.8</v>
      </c>
      <c r="I1584" s="13">
        <v>110.89</v>
      </c>
      <c r="J1584" s="24">
        <v>45516</v>
      </c>
      <c r="K1584" s="13">
        <v>49</v>
      </c>
      <c r="L1584" s="13">
        <v>1.4</v>
      </c>
      <c r="M1584" s="13" t="b">
        <v>1</v>
      </c>
      <c r="N1584" s="13" t="s">
        <v>2227</v>
      </c>
      <c r="O1584" s="13">
        <f t="shared" si="24"/>
        <v>1.4</v>
      </c>
    </row>
    <row r="1585" spans="1:15" x14ac:dyDescent="0.25">
      <c r="A1585" s="13" t="s">
        <v>1597</v>
      </c>
      <c r="B1585" s="13" t="s">
        <v>2194</v>
      </c>
      <c r="C1585" s="13" t="s">
        <v>2199</v>
      </c>
      <c r="D1585" s="13" t="s">
        <v>2207</v>
      </c>
      <c r="E1585" s="13" t="s">
        <v>2211</v>
      </c>
      <c r="F1585" s="13" t="s">
        <v>2219</v>
      </c>
      <c r="G1585" s="13">
        <v>117.21</v>
      </c>
      <c r="H1585" s="13">
        <v>0</v>
      </c>
      <c r="I1585" s="13">
        <v>117.21</v>
      </c>
      <c r="J1585" s="24">
        <v>45875</v>
      </c>
      <c r="K1585" s="13">
        <v>14</v>
      </c>
      <c r="L1585" s="13">
        <v>3.2</v>
      </c>
      <c r="M1585" s="13" t="b">
        <v>0</v>
      </c>
      <c r="O1585" s="13">
        <f t="shared" si="24"/>
        <v>3.2</v>
      </c>
    </row>
    <row r="1586" spans="1:15" x14ac:dyDescent="0.25">
      <c r="A1586" s="13" t="s">
        <v>1598</v>
      </c>
      <c r="B1586" s="13" t="s">
        <v>2192</v>
      </c>
      <c r="C1586" s="13" t="s">
        <v>2199</v>
      </c>
      <c r="D1586" s="13" t="s">
        <v>2207</v>
      </c>
      <c r="F1586" s="13" t="s">
        <v>2220</v>
      </c>
      <c r="G1586" s="13">
        <v>23.01</v>
      </c>
      <c r="H1586" s="13">
        <v>48.8</v>
      </c>
      <c r="I1586" s="13">
        <v>11.78</v>
      </c>
      <c r="J1586" s="24">
        <v>45875</v>
      </c>
      <c r="K1586" s="13">
        <v>13</v>
      </c>
      <c r="L1586" s="13">
        <v>3.6</v>
      </c>
      <c r="M1586" s="13" t="b">
        <v>0</v>
      </c>
      <c r="O1586" s="13">
        <f t="shared" si="24"/>
        <v>3.6</v>
      </c>
    </row>
    <row r="1587" spans="1:15" x14ac:dyDescent="0.25">
      <c r="A1587" s="13" t="s">
        <v>1599</v>
      </c>
      <c r="B1587" s="13" t="s">
        <v>2192</v>
      </c>
      <c r="C1587" s="13" t="s">
        <v>2203</v>
      </c>
      <c r="D1587" s="13" t="s">
        <v>2207</v>
      </c>
      <c r="F1587" s="13" t="s">
        <v>2214</v>
      </c>
      <c r="G1587" s="13">
        <v>47.6</v>
      </c>
      <c r="H1587" s="13">
        <v>0</v>
      </c>
      <c r="I1587" s="13">
        <v>47.6</v>
      </c>
      <c r="J1587" s="24">
        <v>45875</v>
      </c>
      <c r="K1587" s="13">
        <v>24</v>
      </c>
      <c r="L1587" s="13">
        <v>4.4000000000000004</v>
      </c>
      <c r="M1587" s="13" t="b">
        <v>1</v>
      </c>
      <c r="N1587" s="13" t="s">
        <v>2230</v>
      </c>
      <c r="O1587" s="13">
        <f t="shared" si="24"/>
        <v>4.4000000000000004</v>
      </c>
    </row>
    <row r="1588" spans="1:15" x14ac:dyDescent="0.25">
      <c r="A1588" s="13" t="s">
        <v>1600</v>
      </c>
      <c r="B1588" s="13" t="s">
        <v>2194</v>
      </c>
      <c r="C1588" s="13" t="s">
        <v>2196</v>
      </c>
      <c r="D1588" s="13" t="s">
        <v>2206</v>
      </c>
      <c r="E1588" s="13" t="s">
        <v>2209</v>
      </c>
      <c r="F1588" s="13" t="s">
        <v>2215</v>
      </c>
      <c r="G1588" s="13">
        <v>33.22</v>
      </c>
      <c r="H1588" s="13">
        <v>38.4</v>
      </c>
      <c r="I1588" s="13">
        <v>20.46</v>
      </c>
      <c r="J1588" s="24">
        <v>45875</v>
      </c>
      <c r="K1588" s="13">
        <v>11</v>
      </c>
      <c r="L1588" s="13">
        <v>2.9</v>
      </c>
      <c r="M1588" s="13" t="b">
        <v>0</v>
      </c>
      <c r="O1588" s="13">
        <f t="shared" si="24"/>
        <v>2.9</v>
      </c>
    </row>
    <row r="1589" spans="1:15" x14ac:dyDescent="0.25">
      <c r="A1589" s="13" t="s">
        <v>1601</v>
      </c>
      <c r="B1589" s="13" t="s">
        <v>2192</v>
      </c>
      <c r="C1589" s="13" t="s">
        <v>2197</v>
      </c>
      <c r="D1589" s="13" t="s">
        <v>2205</v>
      </c>
      <c r="F1589" s="13" t="s">
        <v>2222</v>
      </c>
      <c r="G1589" s="13">
        <v>65.97</v>
      </c>
      <c r="H1589" s="13">
        <v>6.8</v>
      </c>
      <c r="I1589" s="13">
        <v>61.48</v>
      </c>
      <c r="J1589" s="24">
        <v>45875</v>
      </c>
      <c r="K1589" s="13">
        <v>41</v>
      </c>
      <c r="L1589" s="13">
        <v>4.3</v>
      </c>
      <c r="M1589" s="13" t="b">
        <v>0</v>
      </c>
      <c r="O1589" s="13">
        <f t="shared" si="24"/>
        <v>4.3</v>
      </c>
    </row>
    <row r="1590" spans="1:15" x14ac:dyDescent="0.25">
      <c r="A1590" s="13" t="s">
        <v>1602</v>
      </c>
      <c r="B1590" s="13" t="s">
        <v>2191</v>
      </c>
      <c r="C1590" s="13" t="s">
        <v>2200</v>
      </c>
      <c r="D1590" s="13" t="s">
        <v>2204</v>
      </c>
      <c r="E1590" s="13" t="s">
        <v>2209</v>
      </c>
      <c r="F1590" s="13" t="s">
        <v>2220</v>
      </c>
      <c r="G1590" s="13">
        <v>47.25</v>
      </c>
      <c r="H1590" s="13">
        <v>29</v>
      </c>
      <c r="I1590" s="13">
        <v>33.549999999999997</v>
      </c>
      <c r="J1590" s="24">
        <v>45828</v>
      </c>
      <c r="K1590" s="13">
        <v>38</v>
      </c>
      <c r="L1590" s="13">
        <v>5</v>
      </c>
      <c r="M1590" s="13" t="b">
        <v>0</v>
      </c>
      <c r="O1590" s="13">
        <f t="shared" si="24"/>
        <v>5</v>
      </c>
    </row>
    <row r="1591" spans="1:15" x14ac:dyDescent="0.25">
      <c r="A1591" s="13" t="s">
        <v>1603</v>
      </c>
      <c r="B1591" s="13" t="s">
        <v>2191</v>
      </c>
      <c r="C1591" s="13" t="s">
        <v>2203</v>
      </c>
      <c r="D1591" s="13" t="s">
        <v>2204</v>
      </c>
      <c r="E1591" s="13" t="s">
        <v>2212</v>
      </c>
      <c r="F1591" s="13" t="s">
        <v>2220</v>
      </c>
      <c r="G1591" s="13">
        <v>93.74</v>
      </c>
      <c r="H1591" s="13">
        <v>0</v>
      </c>
      <c r="I1591" s="13">
        <v>93.74</v>
      </c>
      <c r="J1591" s="24">
        <v>45653</v>
      </c>
      <c r="K1591" s="13">
        <v>39</v>
      </c>
      <c r="L1591" s="13">
        <v>4</v>
      </c>
      <c r="M1591" s="13" t="b">
        <v>0</v>
      </c>
      <c r="O1591" s="13">
        <f t="shared" si="24"/>
        <v>4</v>
      </c>
    </row>
    <row r="1592" spans="1:15" x14ac:dyDescent="0.25">
      <c r="A1592" s="13" t="s">
        <v>1604</v>
      </c>
      <c r="B1592" s="13" t="s">
        <v>2194</v>
      </c>
      <c r="C1592" s="13" t="s">
        <v>2203</v>
      </c>
      <c r="D1592" s="13" t="s">
        <v>2207</v>
      </c>
      <c r="E1592" s="13" t="s">
        <v>2211</v>
      </c>
      <c r="F1592" s="13" t="s">
        <v>2217</v>
      </c>
      <c r="G1592" s="13">
        <v>31.57</v>
      </c>
      <c r="H1592" s="13">
        <v>0</v>
      </c>
      <c r="I1592" s="13">
        <v>31.57</v>
      </c>
      <c r="J1592" s="24">
        <v>45875</v>
      </c>
      <c r="K1592" s="13">
        <v>2</v>
      </c>
      <c r="M1592" s="13" t="b">
        <v>0</v>
      </c>
      <c r="O1592" s="13">
        <f t="shared" si="24"/>
        <v>3.1021739130434773</v>
      </c>
    </row>
    <row r="1593" spans="1:15" x14ac:dyDescent="0.25">
      <c r="A1593" s="13" t="s">
        <v>1605</v>
      </c>
      <c r="B1593" s="13" t="s">
        <v>2194</v>
      </c>
      <c r="C1593" s="13" t="s">
        <v>2198</v>
      </c>
      <c r="D1593" s="13" t="s">
        <v>2205</v>
      </c>
      <c r="E1593" s="13" t="s">
        <v>2211</v>
      </c>
      <c r="F1593" s="13" t="s">
        <v>2224</v>
      </c>
      <c r="G1593" s="13">
        <v>64.209999999999994</v>
      </c>
      <c r="H1593" s="13">
        <v>0</v>
      </c>
      <c r="I1593" s="13">
        <v>64.209999999999994</v>
      </c>
      <c r="J1593" s="24">
        <v>45875</v>
      </c>
      <c r="K1593" s="13">
        <v>3</v>
      </c>
      <c r="L1593" s="13">
        <v>2.8</v>
      </c>
      <c r="M1593" s="13" t="b">
        <v>0</v>
      </c>
      <c r="O1593" s="13">
        <f t="shared" si="24"/>
        <v>2.8</v>
      </c>
    </row>
    <row r="1594" spans="1:15" x14ac:dyDescent="0.25">
      <c r="A1594" s="13" t="s">
        <v>1606</v>
      </c>
      <c r="B1594" s="13" t="s">
        <v>2192</v>
      </c>
      <c r="C1594" s="13" t="s">
        <v>2198</v>
      </c>
      <c r="D1594" s="13" t="s">
        <v>2205</v>
      </c>
      <c r="F1594" s="13" t="s">
        <v>2220</v>
      </c>
      <c r="G1594" s="13">
        <v>56.13</v>
      </c>
      <c r="H1594" s="13">
        <v>8.1</v>
      </c>
      <c r="I1594" s="13">
        <v>51.58</v>
      </c>
      <c r="J1594" s="24">
        <v>45875</v>
      </c>
      <c r="K1594" s="13">
        <v>12</v>
      </c>
      <c r="L1594" s="13">
        <v>3.8</v>
      </c>
      <c r="M1594" s="13" t="b">
        <v>0</v>
      </c>
      <c r="O1594" s="13">
        <f t="shared" si="24"/>
        <v>3.8</v>
      </c>
    </row>
    <row r="1595" spans="1:15" x14ac:dyDescent="0.25">
      <c r="A1595" s="13" t="s">
        <v>1607</v>
      </c>
      <c r="B1595" s="13" t="s">
        <v>2191</v>
      </c>
      <c r="C1595" s="13" t="s">
        <v>2197</v>
      </c>
      <c r="D1595" s="13" t="s">
        <v>2207</v>
      </c>
      <c r="E1595" s="13" t="s">
        <v>2211</v>
      </c>
      <c r="F1595" s="13" t="s">
        <v>2221</v>
      </c>
      <c r="G1595" s="13">
        <v>70.89</v>
      </c>
      <c r="H1595" s="13">
        <v>0</v>
      </c>
      <c r="I1595" s="13">
        <v>70.89</v>
      </c>
      <c r="J1595" s="24">
        <v>45875</v>
      </c>
      <c r="K1595" s="13">
        <v>14</v>
      </c>
      <c r="L1595" s="13">
        <v>4.7</v>
      </c>
      <c r="M1595" s="13" t="b">
        <v>1</v>
      </c>
      <c r="N1595" s="13" t="s">
        <v>2226</v>
      </c>
      <c r="O1595" s="13">
        <f t="shared" si="24"/>
        <v>4.7</v>
      </c>
    </row>
    <row r="1596" spans="1:15" x14ac:dyDescent="0.25">
      <c r="A1596" s="13" t="s">
        <v>1608</v>
      </c>
      <c r="B1596" s="13" t="s">
        <v>2193</v>
      </c>
      <c r="C1596" s="13" t="s">
        <v>2198</v>
      </c>
      <c r="D1596" s="13" t="s">
        <v>2205</v>
      </c>
      <c r="E1596" s="13" t="s">
        <v>2213</v>
      </c>
      <c r="F1596" s="13" t="s">
        <v>2223</v>
      </c>
      <c r="G1596" s="13">
        <v>149.65</v>
      </c>
      <c r="H1596" s="13">
        <v>0</v>
      </c>
      <c r="I1596" s="13">
        <v>149.65</v>
      </c>
      <c r="J1596" s="24">
        <v>45875</v>
      </c>
      <c r="K1596" s="13">
        <v>26</v>
      </c>
      <c r="L1596" s="13">
        <v>3.8</v>
      </c>
      <c r="M1596" s="13" t="b">
        <v>0</v>
      </c>
      <c r="O1596" s="13">
        <f t="shared" si="24"/>
        <v>3.8</v>
      </c>
    </row>
    <row r="1597" spans="1:15" x14ac:dyDescent="0.25">
      <c r="A1597" s="13" t="s">
        <v>1609</v>
      </c>
      <c r="B1597" s="13" t="s">
        <v>2193</v>
      </c>
      <c r="C1597" s="13" t="s">
        <v>2196</v>
      </c>
      <c r="D1597" s="13" t="s">
        <v>2204</v>
      </c>
      <c r="E1597" s="13" t="s">
        <v>2210</v>
      </c>
      <c r="F1597" s="13" t="s">
        <v>2217</v>
      </c>
      <c r="G1597" s="13">
        <v>83.17</v>
      </c>
      <c r="H1597" s="13">
        <v>0</v>
      </c>
      <c r="I1597" s="13">
        <v>83.17</v>
      </c>
      <c r="J1597" s="24">
        <v>45538</v>
      </c>
      <c r="K1597" s="13">
        <v>48</v>
      </c>
      <c r="L1597" s="13">
        <v>3.2</v>
      </c>
      <c r="M1597" s="13" t="b">
        <v>0</v>
      </c>
      <c r="O1597" s="13">
        <f t="shared" si="24"/>
        <v>3.2</v>
      </c>
    </row>
    <row r="1598" spans="1:15" x14ac:dyDescent="0.25">
      <c r="A1598" s="13" t="s">
        <v>1610</v>
      </c>
      <c r="B1598" s="13" t="s">
        <v>2190</v>
      </c>
      <c r="C1598" s="13" t="s">
        <v>2200</v>
      </c>
      <c r="D1598" s="13" t="s">
        <v>2206</v>
      </c>
      <c r="E1598" s="13" t="s">
        <v>2208</v>
      </c>
      <c r="F1598" s="13" t="s">
        <v>2219</v>
      </c>
      <c r="G1598" s="13">
        <v>121.56</v>
      </c>
      <c r="H1598" s="13">
        <v>0</v>
      </c>
      <c r="I1598" s="13">
        <v>121.56</v>
      </c>
      <c r="J1598" s="24">
        <v>45875</v>
      </c>
      <c r="K1598" s="13">
        <v>18</v>
      </c>
      <c r="L1598" s="13">
        <v>3.3</v>
      </c>
      <c r="M1598" s="13" t="b">
        <v>0</v>
      </c>
      <c r="O1598" s="13">
        <f t="shared" si="24"/>
        <v>3.3</v>
      </c>
    </row>
    <row r="1599" spans="1:15" x14ac:dyDescent="0.25">
      <c r="A1599" s="13" t="s">
        <v>1611</v>
      </c>
      <c r="B1599" s="13" t="s">
        <v>2194</v>
      </c>
      <c r="C1599" s="13" t="s">
        <v>2196</v>
      </c>
      <c r="D1599" s="13" t="s">
        <v>2205</v>
      </c>
      <c r="E1599" s="13" t="s">
        <v>2213</v>
      </c>
      <c r="F1599" s="13" t="s">
        <v>2223</v>
      </c>
      <c r="G1599" s="13">
        <v>48.62</v>
      </c>
      <c r="H1599" s="13">
        <v>0</v>
      </c>
      <c r="I1599" s="13">
        <v>48.62</v>
      </c>
      <c r="J1599" s="24">
        <v>45875</v>
      </c>
      <c r="K1599" s="13">
        <v>3</v>
      </c>
      <c r="M1599" s="13" t="b">
        <v>1</v>
      </c>
      <c r="N1599" s="13" t="s">
        <v>2227</v>
      </c>
      <c r="O1599" s="13">
        <f t="shared" si="24"/>
        <v>2.9210526315789478</v>
      </c>
    </row>
    <row r="1600" spans="1:15" x14ac:dyDescent="0.25">
      <c r="A1600" s="13" t="s">
        <v>1612</v>
      </c>
      <c r="B1600" s="13" t="s">
        <v>2195</v>
      </c>
      <c r="C1600" s="13" t="s">
        <v>2201</v>
      </c>
      <c r="D1600" s="13" t="s">
        <v>2205</v>
      </c>
      <c r="E1600" s="13" t="s">
        <v>2213</v>
      </c>
      <c r="F1600" s="13" t="s">
        <v>2219</v>
      </c>
      <c r="G1600" s="13">
        <v>79.040000000000006</v>
      </c>
      <c r="H1600" s="13">
        <v>0</v>
      </c>
      <c r="I1600" s="13">
        <v>79.040000000000006</v>
      </c>
      <c r="J1600" s="24">
        <v>45875</v>
      </c>
      <c r="K1600" s="13">
        <v>4</v>
      </c>
      <c r="L1600" s="13">
        <v>4.0999999999999996</v>
      </c>
      <c r="M1600" s="13" t="b">
        <v>0</v>
      </c>
      <c r="O1600" s="13">
        <f t="shared" si="24"/>
        <v>4.0999999999999996</v>
      </c>
    </row>
    <row r="1601" spans="1:15" x14ac:dyDescent="0.25">
      <c r="A1601" s="13" t="s">
        <v>1613</v>
      </c>
      <c r="B1601" s="13" t="s">
        <v>2190</v>
      </c>
      <c r="C1601" s="13" t="s">
        <v>2199</v>
      </c>
      <c r="D1601" s="13" t="s">
        <v>2204</v>
      </c>
      <c r="E1601" s="13" t="s">
        <v>2212</v>
      </c>
      <c r="F1601" s="13" t="s">
        <v>2218</v>
      </c>
      <c r="G1601" s="13">
        <v>198.58</v>
      </c>
      <c r="H1601" s="13">
        <v>0</v>
      </c>
      <c r="I1601" s="13">
        <v>198.58</v>
      </c>
      <c r="J1601" s="24">
        <v>45681</v>
      </c>
      <c r="K1601" s="13">
        <v>46</v>
      </c>
      <c r="M1601" s="13" t="b">
        <v>0</v>
      </c>
      <c r="O1601" s="13">
        <f t="shared" si="24"/>
        <v>2.4137931034482762</v>
      </c>
    </row>
    <row r="1602" spans="1:15" x14ac:dyDescent="0.25">
      <c r="A1602" s="13" t="s">
        <v>1614</v>
      </c>
      <c r="B1602" s="13" t="s">
        <v>2190</v>
      </c>
      <c r="C1602" s="13" t="s">
        <v>2198</v>
      </c>
      <c r="D1602" s="13" t="s">
        <v>2207</v>
      </c>
      <c r="E1602" s="13" t="s">
        <v>2213</v>
      </c>
      <c r="F1602" s="13" t="s">
        <v>2220</v>
      </c>
      <c r="G1602" s="13">
        <v>109.82</v>
      </c>
      <c r="H1602" s="13">
        <v>0</v>
      </c>
      <c r="I1602" s="13">
        <v>109.82</v>
      </c>
      <c r="J1602" s="24">
        <v>45875</v>
      </c>
      <c r="K1602" s="13">
        <v>32</v>
      </c>
      <c r="L1602" s="13">
        <v>2.2999999999999998</v>
      </c>
      <c r="M1602" s="13" t="b">
        <v>0</v>
      </c>
      <c r="O1602" s="13">
        <f t="shared" si="24"/>
        <v>2.2999999999999998</v>
      </c>
    </row>
    <row r="1603" spans="1:15" x14ac:dyDescent="0.25">
      <c r="A1603" s="13" t="s">
        <v>1615</v>
      </c>
      <c r="B1603" s="13" t="s">
        <v>2192</v>
      </c>
      <c r="C1603" s="13" t="s">
        <v>2198</v>
      </c>
      <c r="D1603" s="13" t="s">
        <v>2207</v>
      </c>
      <c r="F1603" s="13" t="s">
        <v>2214</v>
      </c>
      <c r="G1603" s="13">
        <v>34.42</v>
      </c>
      <c r="H1603" s="13">
        <v>49.5</v>
      </c>
      <c r="I1603" s="13">
        <v>17.38</v>
      </c>
      <c r="J1603" s="24">
        <v>45875</v>
      </c>
      <c r="K1603" s="13">
        <v>26</v>
      </c>
      <c r="L1603" s="13">
        <v>2.2000000000000002</v>
      </c>
      <c r="M1603" s="13" t="b">
        <v>0</v>
      </c>
      <c r="O1603" s="13">
        <f t="shared" ref="O1603:O1666" si="25">IF(L1603="",AVERAGEIFS($L$2:$L$2177,$B$2:$B$2177,B1603,$C$2:$C$2177,C1603),L1603)</f>
        <v>2.2000000000000002</v>
      </c>
    </row>
    <row r="1604" spans="1:15" x14ac:dyDescent="0.25">
      <c r="A1604" s="13" t="s">
        <v>1616</v>
      </c>
      <c r="B1604" s="13" t="s">
        <v>2193</v>
      </c>
      <c r="C1604" s="13" t="s">
        <v>2196</v>
      </c>
      <c r="D1604" s="13" t="s">
        <v>2205</v>
      </c>
      <c r="F1604" s="13" t="s">
        <v>2218</v>
      </c>
      <c r="G1604" s="13">
        <v>112.1</v>
      </c>
      <c r="H1604" s="13">
        <v>0</v>
      </c>
      <c r="I1604" s="13">
        <v>112.1</v>
      </c>
      <c r="J1604" s="24">
        <v>45875</v>
      </c>
      <c r="K1604" s="13">
        <v>5</v>
      </c>
      <c r="L1604" s="13">
        <v>2</v>
      </c>
      <c r="M1604" s="13" t="b">
        <v>1</v>
      </c>
      <c r="N1604" s="13" t="s">
        <v>2225</v>
      </c>
      <c r="O1604" s="13">
        <f t="shared" si="25"/>
        <v>2</v>
      </c>
    </row>
    <row r="1605" spans="1:15" x14ac:dyDescent="0.25">
      <c r="A1605" s="13" t="s">
        <v>1617</v>
      </c>
      <c r="B1605" s="13" t="s">
        <v>2194</v>
      </c>
      <c r="C1605" s="13" t="s">
        <v>2202</v>
      </c>
      <c r="D1605" s="13" t="s">
        <v>2206</v>
      </c>
      <c r="E1605" s="13" t="s">
        <v>2212</v>
      </c>
      <c r="F1605" s="13" t="s">
        <v>2217</v>
      </c>
      <c r="G1605" s="13">
        <v>25.07</v>
      </c>
      <c r="H1605" s="13">
        <v>0</v>
      </c>
      <c r="I1605" s="13">
        <v>25.07</v>
      </c>
      <c r="J1605" s="24">
        <v>45875</v>
      </c>
      <c r="K1605" s="13">
        <v>9</v>
      </c>
      <c r="L1605" s="13">
        <v>2.5</v>
      </c>
      <c r="M1605" s="13" t="b">
        <v>0</v>
      </c>
      <c r="O1605" s="13">
        <f t="shared" si="25"/>
        <v>2.5</v>
      </c>
    </row>
    <row r="1606" spans="1:15" x14ac:dyDescent="0.25">
      <c r="A1606" s="13" t="s">
        <v>1618</v>
      </c>
      <c r="B1606" s="13" t="s">
        <v>2195</v>
      </c>
      <c r="C1606" s="13" t="s">
        <v>2197</v>
      </c>
      <c r="D1606" s="13" t="s">
        <v>2204</v>
      </c>
      <c r="E1606" s="13" t="s">
        <v>2208</v>
      </c>
      <c r="F1606" s="13" t="s">
        <v>2220</v>
      </c>
      <c r="G1606" s="13">
        <v>170.38</v>
      </c>
      <c r="H1606" s="13">
        <v>0</v>
      </c>
      <c r="I1606" s="13">
        <v>170.38</v>
      </c>
      <c r="J1606" s="24">
        <v>45540</v>
      </c>
      <c r="K1606" s="13">
        <v>23</v>
      </c>
      <c r="L1606" s="13">
        <v>4.3</v>
      </c>
      <c r="M1606" s="13" t="b">
        <v>0</v>
      </c>
      <c r="O1606" s="13">
        <f t="shared" si="25"/>
        <v>4.3</v>
      </c>
    </row>
    <row r="1607" spans="1:15" x14ac:dyDescent="0.25">
      <c r="A1607" s="13" t="s">
        <v>1619</v>
      </c>
      <c r="B1607" s="13" t="s">
        <v>2195</v>
      </c>
      <c r="C1607" s="13" t="s">
        <v>2199</v>
      </c>
      <c r="D1607" s="13" t="s">
        <v>2205</v>
      </c>
      <c r="E1607" s="13" t="s">
        <v>2211</v>
      </c>
      <c r="F1607" s="13" t="s">
        <v>2220</v>
      </c>
      <c r="G1607" s="13">
        <v>77.319999999999993</v>
      </c>
      <c r="H1607" s="13">
        <v>0</v>
      </c>
      <c r="I1607" s="13">
        <v>77.319999999999993</v>
      </c>
      <c r="J1607" s="24">
        <v>45875</v>
      </c>
      <c r="K1607" s="13">
        <v>30</v>
      </c>
      <c r="L1607" s="13">
        <v>2.2000000000000002</v>
      </c>
      <c r="M1607" s="13" t="b">
        <v>1</v>
      </c>
      <c r="N1607" s="13" t="s">
        <v>2225</v>
      </c>
      <c r="O1607" s="13">
        <f t="shared" si="25"/>
        <v>2.2000000000000002</v>
      </c>
    </row>
    <row r="1608" spans="1:15" x14ac:dyDescent="0.25">
      <c r="A1608" s="13" t="s">
        <v>1620</v>
      </c>
      <c r="B1608" s="13" t="s">
        <v>2193</v>
      </c>
      <c r="C1608" s="13" t="s">
        <v>2199</v>
      </c>
      <c r="D1608" s="13" t="s">
        <v>2205</v>
      </c>
      <c r="E1608" s="13" t="s">
        <v>2212</v>
      </c>
      <c r="F1608" s="13" t="s">
        <v>2216</v>
      </c>
      <c r="G1608" s="13">
        <v>111.88</v>
      </c>
      <c r="H1608" s="13">
        <v>0</v>
      </c>
      <c r="I1608" s="13">
        <v>111.88</v>
      </c>
      <c r="J1608" s="24">
        <v>45875</v>
      </c>
      <c r="K1608" s="13">
        <v>17</v>
      </c>
      <c r="L1608" s="13">
        <v>4.5999999999999996</v>
      </c>
      <c r="M1608" s="13" t="b">
        <v>0</v>
      </c>
      <c r="O1608" s="13">
        <f t="shared" si="25"/>
        <v>4.5999999999999996</v>
      </c>
    </row>
    <row r="1609" spans="1:15" x14ac:dyDescent="0.25">
      <c r="A1609" s="13" t="s">
        <v>1621</v>
      </c>
      <c r="B1609" s="13" t="s">
        <v>2192</v>
      </c>
      <c r="C1609" s="13" t="s">
        <v>2203</v>
      </c>
      <c r="D1609" s="13" t="s">
        <v>2206</v>
      </c>
      <c r="F1609" s="13" t="s">
        <v>2216</v>
      </c>
      <c r="G1609" s="13">
        <v>24.71</v>
      </c>
      <c r="H1609" s="13">
        <v>0</v>
      </c>
      <c r="I1609" s="13">
        <v>24.71</v>
      </c>
      <c r="J1609" s="24">
        <v>45875</v>
      </c>
      <c r="K1609" s="13">
        <v>37</v>
      </c>
      <c r="M1609" s="13" t="b">
        <v>0</v>
      </c>
      <c r="O1609" s="13">
        <f t="shared" si="25"/>
        <v>2.8636363636363633</v>
      </c>
    </row>
    <row r="1610" spans="1:15" x14ac:dyDescent="0.25">
      <c r="A1610" s="13" t="s">
        <v>1622</v>
      </c>
      <c r="B1610" s="13" t="s">
        <v>2191</v>
      </c>
      <c r="C1610" s="13" t="s">
        <v>2197</v>
      </c>
      <c r="D1610" s="13" t="s">
        <v>2204</v>
      </c>
      <c r="E1610" s="13" t="s">
        <v>2208</v>
      </c>
      <c r="F1610" s="13" t="s">
        <v>2214</v>
      </c>
      <c r="G1610" s="13">
        <v>61.42</v>
      </c>
      <c r="H1610" s="13">
        <v>0</v>
      </c>
      <c r="I1610" s="13">
        <v>61.42</v>
      </c>
      <c r="J1610" s="24">
        <v>45526</v>
      </c>
      <c r="K1610" s="13">
        <v>41</v>
      </c>
      <c r="L1610" s="13">
        <v>3.5</v>
      </c>
      <c r="M1610" s="13" t="b">
        <v>0</v>
      </c>
      <c r="O1610" s="13">
        <f t="shared" si="25"/>
        <v>3.5</v>
      </c>
    </row>
    <row r="1611" spans="1:15" x14ac:dyDescent="0.25">
      <c r="A1611" s="13" t="s">
        <v>1623</v>
      </c>
      <c r="B1611" s="13" t="s">
        <v>2192</v>
      </c>
      <c r="C1611" s="13" t="s">
        <v>2202</v>
      </c>
      <c r="D1611" s="13" t="s">
        <v>2206</v>
      </c>
      <c r="F1611" s="13" t="s">
        <v>2219</v>
      </c>
      <c r="G1611" s="13">
        <v>60.48</v>
      </c>
      <c r="H1611" s="13">
        <v>7.3</v>
      </c>
      <c r="I1611" s="13">
        <v>56.06</v>
      </c>
      <c r="J1611" s="24">
        <v>45875</v>
      </c>
      <c r="K1611" s="13">
        <v>46</v>
      </c>
      <c r="L1611" s="13">
        <v>3.6</v>
      </c>
      <c r="M1611" s="13" t="b">
        <v>0</v>
      </c>
      <c r="O1611" s="13">
        <f t="shared" si="25"/>
        <v>3.6</v>
      </c>
    </row>
    <row r="1612" spans="1:15" x14ac:dyDescent="0.25">
      <c r="A1612" s="13" t="s">
        <v>1624</v>
      </c>
      <c r="B1612" s="13" t="s">
        <v>2192</v>
      </c>
      <c r="C1612" s="13" t="s">
        <v>2199</v>
      </c>
      <c r="D1612" s="13" t="s">
        <v>2206</v>
      </c>
      <c r="F1612" s="13" t="s">
        <v>2223</v>
      </c>
      <c r="G1612" s="13">
        <v>34.94</v>
      </c>
      <c r="H1612" s="13">
        <v>5.2</v>
      </c>
      <c r="I1612" s="13">
        <v>33.119999999999997</v>
      </c>
      <c r="J1612" s="24">
        <v>45875</v>
      </c>
      <c r="K1612" s="13">
        <v>18</v>
      </c>
      <c r="M1612" s="13" t="b">
        <v>0</v>
      </c>
      <c r="O1612" s="13">
        <f t="shared" si="25"/>
        <v>2.5131578947368416</v>
      </c>
    </row>
    <row r="1613" spans="1:15" x14ac:dyDescent="0.25">
      <c r="A1613" s="13" t="s">
        <v>1625</v>
      </c>
      <c r="B1613" s="13" t="s">
        <v>2194</v>
      </c>
      <c r="C1613" s="13" t="s">
        <v>2198</v>
      </c>
      <c r="D1613" s="13" t="s">
        <v>2204</v>
      </c>
      <c r="E1613" s="13" t="s">
        <v>2208</v>
      </c>
      <c r="F1613" s="13" t="s">
        <v>2214</v>
      </c>
      <c r="G1613" s="13">
        <v>30.51</v>
      </c>
      <c r="H1613" s="13">
        <v>0</v>
      </c>
      <c r="I1613" s="13">
        <v>30.51</v>
      </c>
      <c r="J1613" s="24">
        <v>45671</v>
      </c>
      <c r="K1613" s="13">
        <v>17</v>
      </c>
      <c r="L1613" s="13">
        <v>1.2</v>
      </c>
      <c r="M1613" s="13" t="b">
        <v>0</v>
      </c>
      <c r="O1613" s="13">
        <f t="shared" si="25"/>
        <v>1.2</v>
      </c>
    </row>
    <row r="1614" spans="1:15" x14ac:dyDescent="0.25">
      <c r="A1614" s="13" t="s">
        <v>1626</v>
      </c>
      <c r="B1614" s="13" t="s">
        <v>2195</v>
      </c>
      <c r="C1614" s="13" t="s">
        <v>2198</v>
      </c>
      <c r="D1614" s="13" t="s">
        <v>2205</v>
      </c>
      <c r="E1614" s="13" t="s">
        <v>2211</v>
      </c>
      <c r="F1614" s="13" t="s">
        <v>2222</v>
      </c>
      <c r="G1614" s="13">
        <v>65.540000000000006</v>
      </c>
      <c r="H1614" s="13">
        <v>40.299999999999997</v>
      </c>
      <c r="I1614" s="13">
        <v>39.130000000000003</v>
      </c>
      <c r="J1614" s="24">
        <v>45875</v>
      </c>
      <c r="K1614" s="13">
        <v>27</v>
      </c>
      <c r="L1614" s="13">
        <v>1.2</v>
      </c>
      <c r="M1614" s="13" t="b">
        <v>0</v>
      </c>
      <c r="O1614" s="13">
        <f t="shared" si="25"/>
        <v>1.2</v>
      </c>
    </row>
    <row r="1615" spans="1:15" x14ac:dyDescent="0.25">
      <c r="A1615" s="13" t="s">
        <v>1627</v>
      </c>
      <c r="B1615" s="13" t="s">
        <v>2193</v>
      </c>
      <c r="C1615" s="13" t="s">
        <v>2203</v>
      </c>
      <c r="D1615" s="13" t="s">
        <v>2207</v>
      </c>
      <c r="E1615" s="13" t="s">
        <v>2210</v>
      </c>
      <c r="F1615" s="13" t="s">
        <v>2221</v>
      </c>
      <c r="G1615" s="13">
        <v>114.37</v>
      </c>
      <c r="H1615" s="13">
        <v>43.2</v>
      </c>
      <c r="I1615" s="13">
        <v>64.959999999999994</v>
      </c>
      <c r="J1615" s="24">
        <v>45875</v>
      </c>
      <c r="K1615" s="13">
        <v>16</v>
      </c>
      <c r="L1615" s="13">
        <v>1.4</v>
      </c>
      <c r="M1615" s="13" t="b">
        <v>0</v>
      </c>
      <c r="O1615" s="13">
        <f t="shared" si="25"/>
        <v>1.4</v>
      </c>
    </row>
    <row r="1616" spans="1:15" x14ac:dyDescent="0.25">
      <c r="A1616" s="13" t="s">
        <v>1628</v>
      </c>
      <c r="B1616" s="13" t="s">
        <v>2195</v>
      </c>
      <c r="C1616" s="13" t="s">
        <v>2199</v>
      </c>
      <c r="D1616" s="13" t="s">
        <v>2204</v>
      </c>
      <c r="E1616" s="13" t="s">
        <v>2210</v>
      </c>
      <c r="F1616" s="13" t="s">
        <v>2217</v>
      </c>
      <c r="G1616" s="13">
        <v>145.80000000000001</v>
      </c>
      <c r="H1616" s="13">
        <v>0</v>
      </c>
      <c r="I1616" s="13">
        <v>145.80000000000001</v>
      </c>
      <c r="J1616" s="24">
        <v>45562</v>
      </c>
      <c r="K1616" s="13">
        <v>13</v>
      </c>
      <c r="L1616" s="13">
        <v>4</v>
      </c>
      <c r="M1616" s="13" t="b">
        <v>0</v>
      </c>
      <c r="O1616" s="13">
        <f t="shared" si="25"/>
        <v>4</v>
      </c>
    </row>
    <row r="1617" spans="1:15" x14ac:dyDescent="0.25">
      <c r="A1617" s="13" t="s">
        <v>1629</v>
      </c>
      <c r="B1617" s="13" t="s">
        <v>2193</v>
      </c>
      <c r="C1617" s="13" t="s">
        <v>2196</v>
      </c>
      <c r="D1617" s="13" t="s">
        <v>2207</v>
      </c>
      <c r="E1617" s="13" t="s">
        <v>2210</v>
      </c>
      <c r="F1617" s="13" t="s">
        <v>2214</v>
      </c>
      <c r="G1617" s="13">
        <v>121.43</v>
      </c>
      <c r="H1617" s="13">
        <v>44.1</v>
      </c>
      <c r="I1617" s="13">
        <v>67.88</v>
      </c>
      <c r="J1617" s="24">
        <v>45875</v>
      </c>
      <c r="K1617" s="13">
        <v>2</v>
      </c>
      <c r="L1617" s="13">
        <v>4.4000000000000004</v>
      </c>
      <c r="M1617" s="13" t="b">
        <v>0</v>
      </c>
      <c r="O1617" s="13">
        <f t="shared" si="25"/>
        <v>4.4000000000000004</v>
      </c>
    </row>
    <row r="1618" spans="1:15" x14ac:dyDescent="0.25">
      <c r="A1618" s="13" t="s">
        <v>1630</v>
      </c>
      <c r="B1618" s="13" t="s">
        <v>2193</v>
      </c>
      <c r="C1618" s="13" t="s">
        <v>2203</v>
      </c>
      <c r="D1618" s="13" t="s">
        <v>2207</v>
      </c>
      <c r="E1618" s="13" t="s">
        <v>2211</v>
      </c>
      <c r="F1618" s="13" t="s">
        <v>2220</v>
      </c>
      <c r="G1618" s="13">
        <v>94.49</v>
      </c>
      <c r="H1618" s="13">
        <v>0</v>
      </c>
      <c r="I1618" s="13">
        <v>94.49</v>
      </c>
      <c r="J1618" s="24">
        <v>45875</v>
      </c>
      <c r="K1618" s="13">
        <v>30</v>
      </c>
      <c r="L1618" s="13">
        <v>1.5</v>
      </c>
      <c r="M1618" s="13" t="b">
        <v>0</v>
      </c>
      <c r="O1618" s="13">
        <f t="shared" si="25"/>
        <v>1.5</v>
      </c>
    </row>
    <row r="1619" spans="1:15" x14ac:dyDescent="0.25">
      <c r="A1619" s="13" t="s">
        <v>1631</v>
      </c>
      <c r="B1619" s="13" t="s">
        <v>2190</v>
      </c>
      <c r="C1619" s="13" t="s">
        <v>2203</v>
      </c>
      <c r="D1619" s="13" t="s">
        <v>2206</v>
      </c>
      <c r="E1619" s="13" t="s">
        <v>2213</v>
      </c>
      <c r="F1619" s="13" t="s">
        <v>2223</v>
      </c>
      <c r="G1619" s="13">
        <v>218.64</v>
      </c>
      <c r="H1619" s="13">
        <v>0</v>
      </c>
      <c r="I1619" s="13">
        <v>218.64</v>
      </c>
      <c r="J1619" s="24">
        <v>45875</v>
      </c>
      <c r="K1619" s="13">
        <v>5</v>
      </c>
      <c r="M1619" s="13" t="b">
        <v>0</v>
      </c>
      <c r="O1619" s="13">
        <f t="shared" si="25"/>
        <v>2.9718749999999998</v>
      </c>
    </row>
    <row r="1620" spans="1:15" x14ac:dyDescent="0.25">
      <c r="A1620" s="13" t="s">
        <v>1632</v>
      </c>
      <c r="B1620" s="13" t="s">
        <v>2190</v>
      </c>
      <c r="C1620" s="13" t="s">
        <v>2197</v>
      </c>
      <c r="D1620" s="13" t="s">
        <v>2206</v>
      </c>
      <c r="E1620" s="13" t="s">
        <v>2210</v>
      </c>
      <c r="F1620" s="13" t="s">
        <v>2216</v>
      </c>
      <c r="G1620" s="13">
        <v>80.41</v>
      </c>
      <c r="H1620" s="13">
        <v>11.9</v>
      </c>
      <c r="I1620" s="13">
        <v>70.84</v>
      </c>
      <c r="J1620" s="24">
        <v>45875</v>
      </c>
      <c r="K1620" s="13">
        <v>35</v>
      </c>
      <c r="L1620" s="13">
        <v>1.5</v>
      </c>
      <c r="M1620" s="13" t="b">
        <v>0</v>
      </c>
      <c r="O1620" s="13">
        <f t="shared" si="25"/>
        <v>1.5</v>
      </c>
    </row>
    <row r="1621" spans="1:15" x14ac:dyDescent="0.25">
      <c r="A1621" s="13" t="s">
        <v>1633</v>
      </c>
      <c r="B1621" s="13" t="s">
        <v>2193</v>
      </c>
      <c r="C1621" s="13" t="s">
        <v>2202</v>
      </c>
      <c r="D1621" s="13" t="s">
        <v>2205</v>
      </c>
      <c r="E1621" s="13" t="s">
        <v>2208</v>
      </c>
      <c r="F1621" s="13" t="s">
        <v>2221</v>
      </c>
      <c r="G1621" s="13">
        <v>183.3</v>
      </c>
      <c r="H1621" s="13">
        <v>0</v>
      </c>
      <c r="I1621" s="13">
        <v>183.3</v>
      </c>
      <c r="J1621" s="24">
        <v>45875</v>
      </c>
      <c r="K1621" s="13">
        <v>7</v>
      </c>
      <c r="L1621" s="13">
        <v>2</v>
      </c>
      <c r="M1621" s="13" t="b">
        <v>0</v>
      </c>
      <c r="O1621" s="13">
        <f t="shared" si="25"/>
        <v>2</v>
      </c>
    </row>
    <row r="1622" spans="1:15" x14ac:dyDescent="0.25">
      <c r="A1622" s="13" t="s">
        <v>1634</v>
      </c>
      <c r="B1622" s="13" t="s">
        <v>2190</v>
      </c>
      <c r="C1622" s="13" t="s">
        <v>2197</v>
      </c>
      <c r="D1622" s="13" t="s">
        <v>2206</v>
      </c>
      <c r="E1622" s="13" t="s">
        <v>2212</v>
      </c>
      <c r="F1622" s="13" t="s">
        <v>2217</v>
      </c>
      <c r="G1622" s="13">
        <v>241.81</v>
      </c>
      <c r="H1622" s="13">
        <v>0</v>
      </c>
      <c r="I1622" s="13">
        <v>241.81</v>
      </c>
      <c r="J1622" s="24">
        <v>45875</v>
      </c>
      <c r="K1622" s="13">
        <v>38</v>
      </c>
      <c r="L1622" s="13">
        <v>3.5</v>
      </c>
      <c r="M1622" s="13" t="b">
        <v>0</v>
      </c>
      <c r="O1622" s="13">
        <f t="shared" si="25"/>
        <v>3.5</v>
      </c>
    </row>
    <row r="1623" spans="1:15" x14ac:dyDescent="0.25">
      <c r="A1623" s="13" t="s">
        <v>1635</v>
      </c>
      <c r="B1623" s="13" t="s">
        <v>2190</v>
      </c>
      <c r="C1623" s="13" t="s">
        <v>2199</v>
      </c>
      <c r="D1623" s="13" t="s">
        <v>2204</v>
      </c>
      <c r="E1623" s="13" t="s">
        <v>2212</v>
      </c>
      <c r="F1623" s="13" t="s">
        <v>2217</v>
      </c>
      <c r="G1623" s="13">
        <v>216.46</v>
      </c>
      <c r="H1623" s="13">
        <v>28.8</v>
      </c>
      <c r="I1623" s="13">
        <v>154.12</v>
      </c>
      <c r="J1623" s="24">
        <v>45516</v>
      </c>
      <c r="K1623" s="13">
        <v>43</v>
      </c>
      <c r="L1623" s="13">
        <v>1.3</v>
      </c>
      <c r="M1623" s="13" t="b">
        <v>0</v>
      </c>
      <c r="O1623" s="13">
        <f t="shared" si="25"/>
        <v>1.3</v>
      </c>
    </row>
    <row r="1624" spans="1:15" x14ac:dyDescent="0.25">
      <c r="A1624" s="13" t="s">
        <v>1636</v>
      </c>
      <c r="B1624" s="13" t="s">
        <v>2195</v>
      </c>
      <c r="C1624" s="13" t="s">
        <v>2197</v>
      </c>
      <c r="D1624" s="13" t="s">
        <v>2204</v>
      </c>
      <c r="E1624" s="13" t="s">
        <v>2210</v>
      </c>
      <c r="F1624" s="13" t="s">
        <v>2215</v>
      </c>
      <c r="G1624" s="13">
        <v>63.07</v>
      </c>
      <c r="H1624" s="13">
        <v>53.6</v>
      </c>
      <c r="I1624" s="13">
        <v>29.26</v>
      </c>
      <c r="J1624" s="24">
        <v>45797</v>
      </c>
      <c r="K1624" s="13">
        <v>4</v>
      </c>
      <c r="L1624" s="13">
        <v>1.5</v>
      </c>
      <c r="M1624" s="13" t="b">
        <v>1</v>
      </c>
      <c r="N1624" s="13" t="s">
        <v>2225</v>
      </c>
      <c r="O1624" s="13">
        <f t="shared" si="25"/>
        <v>1.5</v>
      </c>
    </row>
    <row r="1625" spans="1:15" x14ac:dyDescent="0.25">
      <c r="A1625" s="13" t="s">
        <v>1637</v>
      </c>
      <c r="B1625" s="13" t="s">
        <v>2192</v>
      </c>
      <c r="C1625" s="13" t="s">
        <v>2198</v>
      </c>
      <c r="D1625" s="13" t="s">
        <v>2204</v>
      </c>
      <c r="F1625" s="13" t="s">
        <v>2220</v>
      </c>
      <c r="G1625" s="13">
        <v>44.7</v>
      </c>
      <c r="H1625" s="13">
        <v>0</v>
      </c>
      <c r="I1625" s="13">
        <v>44.7</v>
      </c>
      <c r="J1625" s="24">
        <v>45733</v>
      </c>
      <c r="K1625" s="13">
        <v>29</v>
      </c>
      <c r="L1625" s="13">
        <v>3.2</v>
      </c>
      <c r="M1625" s="13" t="b">
        <v>0</v>
      </c>
      <c r="O1625" s="13">
        <f t="shared" si="25"/>
        <v>3.2</v>
      </c>
    </row>
    <row r="1626" spans="1:15" x14ac:dyDescent="0.25">
      <c r="A1626" s="13" t="s">
        <v>1638</v>
      </c>
      <c r="B1626" s="13" t="s">
        <v>2191</v>
      </c>
      <c r="C1626" s="13" t="s">
        <v>2196</v>
      </c>
      <c r="D1626" s="13" t="s">
        <v>2206</v>
      </c>
      <c r="E1626" s="13" t="s">
        <v>2211</v>
      </c>
      <c r="F1626" s="13" t="s">
        <v>2217</v>
      </c>
      <c r="G1626" s="13">
        <v>28.23</v>
      </c>
      <c r="H1626" s="13">
        <v>40.299999999999997</v>
      </c>
      <c r="I1626" s="13">
        <v>16.850000000000001</v>
      </c>
      <c r="J1626" s="24">
        <v>45875</v>
      </c>
      <c r="K1626" s="13">
        <v>21</v>
      </c>
      <c r="L1626" s="13">
        <v>2.7</v>
      </c>
      <c r="M1626" s="13" t="b">
        <v>0</v>
      </c>
      <c r="O1626" s="13">
        <f t="shared" si="25"/>
        <v>2.7</v>
      </c>
    </row>
    <row r="1627" spans="1:15" x14ac:dyDescent="0.25">
      <c r="A1627" s="13" t="s">
        <v>1639</v>
      </c>
      <c r="B1627" s="13" t="s">
        <v>2193</v>
      </c>
      <c r="C1627" s="13" t="s">
        <v>2201</v>
      </c>
      <c r="D1627" s="13" t="s">
        <v>2206</v>
      </c>
      <c r="E1627" s="13" t="s">
        <v>2211</v>
      </c>
      <c r="F1627" s="13" t="s">
        <v>2220</v>
      </c>
      <c r="G1627" s="13">
        <v>131.94</v>
      </c>
      <c r="H1627" s="13">
        <v>27.3</v>
      </c>
      <c r="I1627" s="13">
        <v>95.92</v>
      </c>
      <c r="J1627" s="24">
        <v>45875</v>
      </c>
      <c r="K1627" s="13">
        <v>6</v>
      </c>
      <c r="L1627" s="13">
        <v>2.8</v>
      </c>
      <c r="M1627" s="13" t="b">
        <v>1</v>
      </c>
      <c r="N1627" s="13" t="s">
        <v>2227</v>
      </c>
      <c r="O1627" s="13">
        <f t="shared" si="25"/>
        <v>2.8</v>
      </c>
    </row>
    <row r="1628" spans="1:15" x14ac:dyDescent="0.25">
      <c r="A1628" s="13" t="s">
        <v>1640</v>
      </c>
      <c r="B1628" s="13" t="s">
        <v>2190</v>
      </c>
      <c r="C1628" s="13" t="s">
        <v>2203</v>
      </c>
      <c r="D1628" s="13" t="s">
        <v>2206</v>
      </c>
      <c r="E1628" s="13" t="s">
        <v>2213</v>
      </c>
      <c r="F1628" s="13" t="s">
        <v>2219</v>
      </c>
      <c r="G1628" s="13">
        <v>166.85</v>
      </c>
      <c r="H1628" s="13">
        <v>30.9</v>
      </c>
      <c r="I1628" s="13">
        <v>115.29</v>
      </c>
      <c r="J1628" s="24">
        <v>45875</v>
      </c>
      <c r="K1628" s="13">
        <v>14</v>
      </c>
      <c r="L1628" s="13">
        <v>4.2</v>
      </c>
      <c r="M1628" s="13" t="b">
        <v>1</v>
      </c>
      <c r="N1628" s="13" t="s">
        <v>2229</v>
      </c>
      <c r="O1628" s="13">
        <f t="shared" si="25"/>
        <v>4.2</v>
      </c>
    </row>
    <row r="1629" spans="1:15" x14ac:dyDescent="0.25">
      <c r="A1629" s="13" t="s">
        <v>1641</v>
      </c>
      <c r="B1629" s="13" t="s">
        <v>2191</v>
      </c>
      <c r="C1629" s="13" t="s">
        <v>2198</v>
      </c>
      <c r="D1629" s="13" t="s">
        <v>2205</v>
      </c>
      <c r="E1629" s="13" t="s">
        <v>2210</v>
      </c>
      <c r="F1629" s="13" t="s">
        <v>2222</v>
      </c>
      <c r="G1629" s="13">
        <v>39.58</v>
      </c>
      <c r="H1629" s="13">
        <v>30.9</v>
      </c>
      <c r="I1629" s="13">
        <v>27.35</v>
      </c>
      <c r="J1629" s="24">
        <v>45875</v>
      </c>
      <c r="K1629" s="13">
        <v>17</v>
      </c>
      <c r="L1629" s="13">
        <v>2.5</v>
      </c>
      <c r="M1629" s="13" t="b">
        <v>0</v>
      </c>
      <c r="O1629" s="13">
        <f t="shared" si="25"/>
        <v>2.5</v>
      </c>
    </row>
    <row r="1630" spans="1:15" x14ac:dyDescent="0.25">
      <c r="A1630" s="13" t="s">
        <v>1642</v>
      </c>
      <c r="B1630" s="13" t="s">
        <v>2190</v>
      </c>
      <c r="C1630" s="13" t="s">
        <v>2197</v>
      </c>
      <c r="D1630" s="13" t="s">
        <v>2207</v>
      </c>
      <c r="E1630" s="13" t="s">
        <v>2213</v>
      </c>
      <c r="F1630" s="13" t="s">
        <v>2219</v>
      </c>
      <c r="G1630" s="13">
        <v>89.55</v>
      </c>
      <c r="H1630" s="13">
        <v>58</v>
      </c>
      <c r="I1630" s="13">
        <v>37.61</v>
      </c>
      <c r="J1630" s="24">
        <v>45875</v>
      </c>
      <c r="K1630" s="13">
        <v>21</v>
      </c>
      <c r="L1630" s="13">
        <v>2.6</v>
      </c>
      <c r="M1630" s="13" t="b">
        <v>0</v>
      </c>
      <c r="O1630" s="13">
        <f t="shared" si="25"/>
        <v>2.6</v>
      </c>
    </row>
    <row r="1631" spans="1:15" x14ac:dyDescent="0.25">
      <c r="A1631" s="13" t="s">
        <v>1643</v>
      </c>
      <c r="B1631" s="13" t="s">
        <v>2190</v>
      </c>
      <c r="C1631" s="13" t="s">
        <v>2199</v>
      </c>
      <c r="D1631" s="13" t="s">
        <v>2206</v>
      </c>
      <c r="E1631" s="13" t="s">
        <v>2213</v>
      </c>
      <c r="F1631" s="13" t="s">
        <v>2223</v>
      </c>
      <c r="G1631" s="13">
        <v>138.55000000000001</v>
      </c>
      <c r="H1631" s="13">
        <v>0</v>
      </c>
      <c r="I1631" s="13">
        <v>138.55000000000001</v>
      </c>
      <c r="J1631" s="24">
        <v>45875</v>
      </c>
      <c r="K1631" s="13">
        <v>25</v>
      </c>
      <c r="L1631" s="13">
        <v>2</v>
      </c>
      <c r="M1631" s="13" t="b">
        <v>0</v>
      </c>
      <c r="O1631" s="13">
        <f t="shared" si="25"/>
        <v>2</v>
      </c>
    </row>
    <row r="1632" spans="1:15" x14ac:dyDescent="0.25">
      <c r="A1632" s="13" t="s">
        <v>1644</v>
      </c>
      <c r="B1632" s="13" t="s">
        <v>2192</v>
      </c>
      <c r="C1632" s="13" t="s">
        <v>2197</v>
      </c>
      <c r="D1632" s="13" t="s">
        <v>2206</v>
      </c>
      <c r="F1632" s="13" t="s">
        <v>2221</v>
      </c>
      <c r="G1632" s="13">
        <v>43.84</v>
      </c>
      <c r="H1632" s="13">
        <v>0</v>
      </c>
      <c r="I1632" s="13">
        <v>43.84</v>
      </c>
      <c r="J1632" s="24">
        <v>45875</v>
      </c>
      <c r="K1632" s="13">
        <v>28</v>
      </c>
      <c r="L1632" s="13">
        <v>2.8</v>
      </c>
      <c r="M1632" s="13" t="b">
        <v>0</v>
      </c>
      <c r="O1632" s="13">
        <f t="shared" si="25"/>
        <v>2.8</v>
      </c>
    </row>
    <row r="1633" spans="1:15" x14ac:dyDescent="0.25">
      <c r="A1633" s="13" t="s">
        <v>1645</v>
      </c>
      <c r="B1633" s="13" t="s">
        <v>2191</v>
      </c>
      <c r="C1633" s="13" t="s">
        <v>2203</v>
      </c>
      <c r="D1633" s="13" t="s">
        <v>2206</v>
      </c>
      <c r="E1633" s="13" t="s">
        <v>2208</v>
      </c>
      <c r="F1633" s="13" t="s">
        <v>2224</v>
      </c>
      <c r="G1633" s="13">
        <v>63.72</v>
      </c>
      <c r="H1633" s="13">
        <v>17.8</v>
      </c>
      <c r="I1633" s="13">
        <v>52.38</v>
      </c>
      <c r="J1633" s="24">
        <v>45875</v>
      </c>
      <c r="K1633" s="13">
        <v>45</v>
      </c>
      <c r="L1633" s="13">
        <v>2.4</v>
      </c>
      <c r="M1633" s="13" t="b">
        <v>0</v>
      </c>
      <c r="O1633" s="13">
        <f t="shared" si="25"/>
        <v>2.4</v>
      </c>
    </row>
    <row r="1634" spans="1:15" x14ac:dyDescent="0.25">
      <c r="A1634" s="13" t="s">
        <v>1646</v>
      </c>
      <c r="B1634" s="13" t="s">
        <v>2192</v>
      </c>
      <c r="C1634" s="13" t="s">
        <v>2196</v>
      </c>
      <c r="D1634" s="13" t="s">
        <v>2204</v>
      </c>
      <c r="F1634" s="13" t="s">
        <v>2214</v>
      </c>
      <c r="G1634" s="13">
        <v>74.61</v>
      </c>
      <c r="H1634" s="13">
        <v>0</v>
      </c>
      <c r="I1634" s="13">
        <v>74.61</v>
      </c>
      <c r="J1634" s="24">
        <v>45775</v>
      </c>
      <c r="K1634" s="13">
        <v>38</v>
      </c>
      <c r="L1634" s="13">
        <v>2.8</v>
      </c>
      <c r="M1634" s="13" t="b">
        <v>0</v>
      </c>
      <c r="O1634" s="13">
        <f t="shared" si="25"/>
        <v>2.8</v>
      </c>
    </row>
    <row r="1635" spans="1:15" x14ac:dyDescent="0.25">
      <c r="A1635" s="13" t="s">
        <v>1647</v>
      </c>
      <c r="B1635" s="13" t="s">
        <v>2193</v>
      </c>
      <c r="C1635" s="13" t="s">
        <v>2197</v>
      </c>
      <c r="D1635" s="13" t="s">
        <v>2204</v>
      </c>
      <c r="E1635" s="13" t="s">
        <v>2210</v>
      </c>
      <c r="F1635" s="13" t="s">
        <v>2218</v>
      </c>
      <c r="G1635" s="13">
        <v>148.24</v>
      </c>
      <c r="H1635" s="13">
        <v>10.9</v>
      </c>
      <c r="I1635" s="13">
        <v>132.08000000000001</v>
      </c>
      <c r="J1635" s="24">
        <v>45531</v>
      </c>
      <c r="K1635" s="13">
        <v>44</v>
      </c>
      <c r="L1635" s="13">
        <v>1.3</v>
      </c>
      <c r="M1635" s="13" t="b">
        <v>0</v>
      </c>
      <c r="O1635" s="13">
        <f t="shared" si="25"/>
        <v>1.3</v>
      </c>
    </row>
    <row r="1636" spans="1:15" x14ac:dyDescent="0.25">
      <c r="A1636" s="13" t="s">
        <v>1648</v>
      </c>
      <c r="B1636" s="13" t="s">
        <v>2191</v>
      </c>
      <c r="C1636" s="13" t="s">
        <v>2202</v>
      </c>
      <c r="D1636" s="13" t="s">
        <v>2204</v>
      </c>
      <c r="E1636" s="13" t="s">
        <v>2208</v>
      </c>
      <c r="F1636" s="13" t="s">
        <v>2218</v>
      </c>
      <c r="G1636" s="13">
        <v>93.46</v>
      </c>
      <c r="H1636" s="13">
        <v>0</v>
      </c>
      <c r="I1636" s="13">
        <v>93.46</v>
      </c>
      <c r="J1636" s="24">
        <v>45700</v>
      </c>
      <c r="K1636" s="13">
        <v>20</v>
      </c>
      <c r="L1636" s="13">
        <v>2.2000000000000002</v>
      </c>
      <c r="M1636" s="13" t="b">
        <v>0</v>
      </c>
      <c r="O1636" s="13">
        <f t="shared" si="25"/>
        <v>2.2000000000000002</v>
      </c>
    </row>
    <row r="1637" spans="1:15" x14ac:dyDescent="0.25">
      <c r="A1637" s="13" t="s">
        <v>1649</v>
      </c>
      <c r="B1637" s="13" t="s">
        <v>2190</v>
      </c>
      <c r="C1637" s="13" t="s">
        <v>2197</v>
      </c>
      <c r="D1637" s="13" t="s">
        <v>2207</v>
      </c>
      <c r="E1637" s="13" t="s">
        <v>2211</v>
      </c>
      <c r="F1637" s="13" t="s">
        <v>2214</v>
      </c>
      <c r="G1637" s="13">
        <v>245.31</v>
      </c>
      <c r="H1637" s="13">
        <v>44.1</v>
      </c>
      <c r="I1637" s="13">
        <v>137.13</v>
      </c>
      <c r="J1637" s="24">
        <v>45875</v>
      </c>
      <c r="K1637" s="13">
        <v>44</v>
      </c>
      <c r="M1637" s="13" t="b">
        <v>0</v>
      </c>
      <c r="O1637" s="13">
        <f t="shared" si="25"/>
        <v>3.15</v>
      </c>
    </row>
    <row r="1638" spans="1:15" x14ac:dyDescent="0.25">
      <c r="A1638" s="13" t="s">
        <v>1650</v>
      </c>
      <c r="B1638" s="13" t="s">
        <v>2191</v>
      </c>
      <c r="C1638" s="13" t="s">
        <v>2198</v>
      </c>
      <c r="D1638" s="13" t="s">
        <v>2204</v>
      </c>
      <c r="E1638" s="13" t="s">
        <v>2211</v>
      </c>
      <c r="F1638" s="13" t="s">
        <v>2214</v>
      </c>
      <c r="G1638" s="13">
        <v>43.38</v>
      </c>
      <c r="H1638" s="13">
        <v>45.9</v>
      </c>
      <c r="I1638" s="13">
        <v>23.47</v>
      </c>
      <c r="J1638" s="24">
        <v>45629</v>
      </c>
      <c r="K1638" s="13">
        <v>47</v>
      </c>
      <c r="L1638" s="13">
        <v>3.7</v>
      </c>
      <c r="M1638" s="13" t="b">
        <v>1</v>
      </c>
      <c r="N1638" s="13" t="s">
        <v>2229</v>
      </c>
      <c r="O1638" s="13">
        <f t="shared" si="25"/>
        <v>3.7</v>
      </c>
    </row>
    <row r="1639" spans="1:15" x14ac:dyDescent="0.25">
      <c r="A1639" s="13" t="s">
        <v>1651</v>
      </c>
      <c r="B1639" s="13" t="s">
        <v>2192</v>
      </c>
      <c r="C1639" s="13" t="s">
        <v>2201</v>
      </c>
      <c r="D1639" s="13" t="s">
        <v>2206</v>
      </c>
      <c r="F1639" s="13" t="s">
        <v>2216</v>
      </c>
      <c r="G1639" s="13">
        <v>40.04</v>
      </c>
      <c r="H1639" s="13">
        <v>45.5</v>
      </c>
      <c r="I1639" s="13">
        <v>21.82</v>
      </c>
      <c r="J1639" s="24">
        <v>45875</v>
      </c>
      <c r="K1639" s="13">
        <v>50</v>
      </c>
      <c r="L1639" s="13">
        <v>2.2000000000000002</v>
      </c>
      <c r="M1639" s="13" t="b">
        <v>0</v>
      </c>
      <c r="O1639" s="13">
        <f t="shared" si="25"/>
        <v>2.2000000000000002</v>
      </c>
    </row>
    <row r="1640" spans="1:15" x14ac:dyDescent="0.25">
      <c r="A1640" s="13" t="s">
        <v>1652</v>
      </c>
      <c r="B1640" s="13" t="s">
        <v>2190</v>
      </c>
      <c r="C1640" s="13" t="s">
        <v>2200</v>
      </c>
      <c r="D1640" s="13" t="s">
        <v>2206</v>
      </c>
      <c r="E1640" s="13" t="s">
        <v>2213</v>
      </c>
      <c r="F1640" s="13" t="s">
        <v>2221</v>
      </c>
      <c r="G1640" s="13">
        <v>209.68</v>
      </c>
      <c r="H1640" s="13">
        <v>3.6</v>
      </c>
      <c r="I1640" s="13">
        <v>202.13</v>
      </c>
      <c r="J1640" s="24">
        <v>45875</v>
      </c>
      <c r="K1640" s="13">
        <v>18</v>
      </c>
      <c r="L1640" s="13">
        <v>4.0999999999999996</v>
      </c>
      <c r="M1640" s="13" t="b">
        <v>0</v>
      </c>
      <c r="O1640" s="13">
        <f t="shared" si="25"/>
        <v>4.0999999999999996</v>
      </c>
    </row>
    <row r="1641" spans="1:15" x14ac:dyDescent="0.25">
      <c r="A1641" s="13" t="s">
        <v>1653</v>
      </c>
      <c r="B1641" s="13" t="s">
        <v>2192</v>
      </c>
      <c r="C1641" s="13" t="s">
        <v>2199</v>
      </c>
      <c r="D1641" s="13" t="s">
        <v>2205</v>
      </c>
      <c r="F1641" s="13" t="s">
        <v>2224</v>
      </c>
      <c r="G1641" s="13">
        <v>38.08</v>
      </c>
      <c r="H1641" s="13">
        <v>0</v>
      </c>
      <c r="I1641" s="13">
        <v>38.08</v>
      </c>
      <c r="J1641" s="24">
        <v>45875</v>
      </c>
      <c r="K1641" s="13">
        <v>0</v>
      </c>
      <c r="L1641" s="13">
        <v>1.6</v>
      </c>
      <c r="M1641" s="13" t="b">
        <v>0</v>
      </c>
      <c r="O1641" s="13">
        <f t="shared" si="25"/>
        <v>1.6</v>
      </c>
    </row>
    <row r="1642" spans="1:15" x14ac:dyDescent="0.25">
      <c r="A1642" s="13" t="s">
        <v>1654</v>
      </c>
      <c r="B1642" s="13" t="s">
        <v>2190</v>
      </c>
      <c r="C1642" s="13" t="s">
        <v>2201</v>
      </c>
      <c r="D1642" s="13" t="s">
        <v>2204</v>
      </c>
      <c r="E1642" s="13" t="s">
        <v>2211</v>
      </c>
      <c r="F1642" s="13" t="s">
        <v>2221</v>
      </c>
      <c r="G1642" s="13">
        <v>123.04</v>
      </c>
      <c r="H1642" s="13">
        <v>0</v>
      </c>
      <c r="I1642" s="13">
        <v>123.04</v>
      </c>
      <c r="J1642" s="24">
        <v>45752</v>
      </c>
      <c r="K1642" s="13">
        <v>13</v>
      </c>
      <c r="L1642" s="13">
        <v>1.2</v>
      </c>
      <c r="M1642" s="13" t="b">
        <v>0</v>
      </c>
      <c r="O1642" s="13">
        <f t="shared" si="25"/>
        <v>1.2</v>
      </c>
    </row>
    <row r="1643" spans="1:15" x14ac:dyDescent="0.25">
      <c r="A1643" s="13" t="s">
        <v>1655</v>
      </c>
      <c r="B1643" s="13" t="s">
        <v>2192</v>
      </c>
      <c r="C1643" s="13" t="s">
        <v>2197</v>
      </c>
      <c r="D1643" s="13" t="s">
        <v>2207</v>
      </c>
      <c r="F1643" s="13" t="s">
        <v>2215</v>
      </c>
      <c r="G1643" s="13">
        <v>39.94</v>
      </c>
      <c r="H1643" s="13">
        <v>0</v>
      </c>
      <c r="I1643" s="13">
        <v>39.94</v>
      </c>
      <c r="J1643" s="24">
        <v>45875</v>
      </c>
      <c r="K1643" s="13">
        <v>32</v>
      </c>
      <c r="L1643" s="13">
        <v>3.1</v>
      </c>
      <c r="M1643" s="13" t="b">
        <v>0</v>
      </c>
      <c r="O1643" s="13">
        <f t="shared" si="25"/>
        <v>3.1</v>
      </c>
    </row>
    <row r="1644" spans="1:15" x14ac:dyDescent="0.25">
      <c r="A1644" s="13" t="s">
        <v>1656</v>
      </c>
      <c r="B1644" s="13" t="s">
        <v>2195</v>
      </c>
      <c r="C1644" s="13" t="s">
        <v>2200</v>
      </c>
      <c r="D1644" s="13" t="s">
        <v>2207</v>
      </c>
      <c r="E1644" s="13" t="s">
        <v>2213</v>
      </c>
      <c r="F1644" s="13" t="s">
        <v>2218</v>
      </c>
      <c r="G1644" s="13">
        <v>80.19</v>
      </c>
      <c r="H1644" s="13">
        <v>0</v>
      </c>
      <c r="I1644" s="13">
        <v>80.19</v>
      </c>
      <c r="J1644" s="24">
        <v>45875</v>
      </c>
      <c r="K1644" s="13">
        <v>43</v>
      </c>
      <c r="L1644" s="13">
        <v>3.8</v>
      </c>
      <c r="M1644" s="13" t="b">
        <v>0</v>
      </c>
      <c r="O1644" s="13">
        <f t="shared" si="25"/>
        <v>3.8</v>
      </c>
    </row>
    <row r="1645" spans="1:15" x14ac:dyDescent="0.25">
      <c r="A1645" s="13" t="s">
        <v>1657</v>
      </c>
      <c r="B1645" s="13" t="s">
        <v>2191</v>
      </c>
      <c r="C1645" s="13" t="s">
        <v>2197</v>
      </c>
      <c r="D1645" s="13" t="s">
        <v>2204</v>
      </c>
      <c r="E1645" s="13" t="s">
        <v>2211</v>
      </c>
      <c r="F1645" s="13" t="s">
        <v>2223</v>
      </c>
      <c r="G1645" s="13">
        <v>35.03</v>
      </c>
      <c r="H1645" s="13">
        <v>10.1</v>
      </c>
      <c r="I1645" s="13">
        <v>31.49</v>
      </c>
      <c r="J1645" s="24">
        <v>45807</v>
      </c>
      <c r="K1645" s="13">
        <v>5</v>
      </c>
      <c r="L1645" s="13">
        <v>3.8</v>
      </c>
      <c r="M1645" s="13" t="b">
        <v>0</v>
      </c>
      <c r="O1645" s="13">
        <f t="shared" si="25"/>
        <v>3.8</v>
      </c>
    </row>
    <row r="1646" spans="1:15" x14ac:dyDescent="0.25">
      <c r="A1646" s="13" t="s">
        <v>1658</v>
      </c>
      <c r="B1646" s="13" t="s">
        <v>2191</v>
      </c>
      <c r="C1646" s="13" t="s">
        <v>2200</v>
      </c>
      <c r="D1646" s="13" t="s">
        <v>2207</v>
      </c>
      <c r="E1646" s="13" t="s">
        <v>2213</v>
      </c>
      <c r="F1646" s="13" t="s">
        <v>2216</v>
      </c>
      <c r="G1646" s="13">
        <v>27.64</v>
      </c>
      <c r="H1646" s="13">
        <v>29</v>
      </c>
      <c r="I1646" s="13">
        <v>19.62</v>
      </c>
      <c r="J1646" s="24">
        <v>45875</v>
      </c>
      <c r="K1646" s="13">
        <v>19</v>
      </c>
      <c r="L1646" s="13">
        <v>1</v>
      </c>
      <c r="M1646" s="13" t="b">
        <v>0</v>
      </c>
      <c r="O1646" s="13">
        <f t="shared" si="25"/>
        <v>1</v>
      </c>
    </row>
    <row r="1647" spans="1:15" x14ac:dyDescent="0.25">
      <c r="A1647" s="13" t="s">
        <v>1659</v>
      </c>
      <c r="B1647" s="13" t="s">
        <v>2190</v>
      </c>
      <c r="C1647" s="13" t="s">
        <v>2199</v>
      </c>
      <c r="D1647" s="13" t="s">
        <v>2204</v>
      </c>
      <c r="E1647" s="13" t="s">
        <v>2213</v>
      </c>
      <c r="F1647" s="13" t="s">
        <v>2222</v>
      </c>
      <c r="G1647" s="13">
        <v>187.63</v>
      </c>
      <c r="H1647" s="13">
        <v>0</v>
      </c>
      <c r="I1647" s="13">
        <v>187.63</v>
      </c>
      <c r="J1647" s="24">
        <v>45772</v>
      </c>
      <c r="K1647" s="13">
        <v>25</v>
      </c>
      <c r="L1647" s="13">
        <v>1.8</v>
      </c>
      <c r="M1647" s="13" t="b">
        <v>0</v>
      </c>
      <c r="O1647" s="13">
        <f t="shared" si="25"/>
        <v>1.8</v>
      </c>
    </row>
    <row r="1648" spans="1:15" x14ac:dyDescent="0.25">
      <c r="A1648" s="13" t="s">
        <v>1660</v>
      </c>
      <c r="B1648" s="13" t="s">
        <v>2190</v>
      </c>
      <c r="C1648" s="13" t="s">
        <v>2200</v>
      </c>
      <c r="D1648" s="13" t="s">
        <v>2205</v>
      </c>
      <c r="E1648" s="13" t="s">
        <v>2211</v>
      </c>
      <c r="F1648" s="13" t="s">
        <v>2216</v>
      </c>
      <c r="G1648" s="13">
        <v>193.17</v>
      </c>
      <c r="H1648" s="13">
        <v>34.6</v>
      </c>
      <c r="I1648" s="13">
        <v>126.33</v>
      </c>
      <c r="J1648" s="24">
        <v>45875</v>
      </c>
      <c r="K1648" s="13">
        <v>26</v>
      </c>
      <c r="M1648" s="13" t="b">
        <v>0</v>
      </c>
      <c r="O1648" s="13">
        <f t="shared" si="25"/>
        <v>2.9228571428571426</v>
      </c>
    </row>
    <row r="1649" spans="1:15" x14ac:dyDescent="0.25">
      <c r="A1649" s="13" t="s">
        <v>1661</v>
      </c>
      <c r="B1649" s="13" t="s">
        <v>2193</v>
      </c>
      <c r="C1649" s="13" t="s">
        <v>2198</v>
      </c>
      <c r="D1649" s="13" t="s">
        <v>2204</v>
      </c>
      <c r="E1649" s="13" t="s">
        <v>2213</v>
      </c>
      <c r="F1649" s="13" t="s">
        <v>2216</v>
      </c>
      <c r="G1649" s="13">
        <v>157.78</v>
      </c>
      <c r="H1649" s="13">
        <v>40.200000000000003</v>
      </c>
      <c r="I1649" s="13">
        <v>94.35</v>
      </c>
      <c r="J1649" s="24">
        <v>45871</v>
      </c>
      <c r="K1649" s="13">
        <v>23</v>
      </c>
      <c r="L1649" s="13">
        <v>3.1</v>
      </c>
      <c r="M1649" s="13" t="b">
        <v>0</v>
      </c>
      <c r="O1649" s="13">
        <f t="shared" si="25"/>
        <v>3.1</v>
      </c>
    </row>
    <row r="1650" spans="1:15" x14ac:dyDescent="0.25">
      <c r="A1650" s="13" t="s">
        <v>1662</v>
      </c>
      <c r="B1650" s="13" t="s">
        <v>2193</v>
      </c>
      <c r="C1650" s="13" t="s">
        <v>2196</v>
      </c>
      <c r="D1650" s="13" t="s">
        <v>2205</v>
      </c>
      <c r="E1650" s="13" t="s">
        <v>2209</v>
      </c>
      <c r="F1650" s="13" t="s">
        <v>2216</v>
      </c>
      <c r="G1650" s="13">
        <v>119.14</v>
      </c>
      <c r="H1650" s="13">
        <v>7.8</v>
      </c>
      <c r="I1650" s="13">
        <v>109.85</v>
      </c>
      <c r="J1650" s="24">
        <v>45875</v>
      </c>
      <c r="K1650" s="13">
        <v>20</v>
      </c>
      <c r="L1650" s="13">
        <v>3.1</v>
      </c>
      <c r="M1650" s="13" t="b">
        <v>0</v>
      </c>
      <c r="O1650" s="13">
        <f t="shared" si="25"/>
        <v>3.1</v>
      </c>
    </row>
    <row r="1651" spans="1:15" x14ac:dyDescent="0.25">
      <c r="A1651" s="13" t="s">
        <v>1663</v>
      </c>
      <c r="B1651" s="13" t="s">
        <v>2195</v>
      </c>
      <c r="C1651" s="13" t="s">
        <v>2203</v>
      </c>
      <c r="D1651" s="13" t="s">
        <v>2205</v>
      </c>
      <c r="E1651" s="13" t="s">
        <v>2213</v>
      </c>
      <c r="F1651" s="13" t="s">
        <v>2217</v>
      </c>
      <c r="G1651" s="13">
        <v>150.08000000000001</v>
      </c>
      <c r="H1651" s="13">
        <v>4.8</v>
      </c>
      <c r="I1651" s="13">
        <v>142.88</v>
      </c>
      <c r="J1651" s="24">
        <v>45875</v>
      </c>
      <c r="K1651" s="13">
        <v>24</v>
      </c>
      <c r="L1651" s="13">
        <v>1.7</v>
      </c>
      <c r="M1651" s="13" t="b">
        <v>0</v>
      </c>
      <c r="O1651" s="13">
        <f t="shared" si="25"/>
        <v>1.7</v>
      </c>
    </row>
    <row r="1652" spans="1:15" x14ac:dyDescent="0.25">
      <c r="A1652" s="13" t="s">
        <v>1664</v>
      </c>
      <c r="B1652" s="13" t="s">
        <v>2195</v>
      </c>
      <c r="C1652" s="13" t="s">
        <v>2197</v>
      </c>
      <c r="D1652" s="13" t="s">
        <v>2207</v>
      </c>
      <c r="E1652" s="13" t="s">
        <v>2209</v>
      </c>
      <c r="F1652" s="13" t="s">
        <v>2219</v>
      </c>
      <c r="G1652" s="13">
        <v>153.18</v>
      </c>
      <c r="H1652" s="13">
        <v>0</v>
      </c>
      <c r="I1652" s="13">
        <v>153.18</v>
      </c>
      <c r="J1652" s="24">
        <v>45875</v>
      </c>
      <c r="K1652" s="13">
        <v>26</v>
      </c>
      <c r="L1652" s="13">
        <v>1.1000000000000001</v>
      </c>
      <c r="M1652" s="13" t="b">
        <v>0</v>
      </c>
      <c r="O1652" s="13">
        <f t="shared" si="25"/>
        <v>1.1000000000000001</v>
      </c>
    </row>
    <row r="1653" spans="1:15" x14ac:dyDescent="0.25">
      <c r="A1653" s="13" t="s">
        <v>1665</v>
      </c>
      <c r="B1653" s="13" t="s">
        <v>2191</v>
      </c>
      <c r="C1653" s="13" t="s">
        <v>2198</v>
      </c>
      <c r="D1653" s="13" t="s">
        <v>2205</v>
      </c>
      <c r="E1653" s="13" t="s">
        <v>2210</v>
      </c>
      <c r="F1653" s="13" t="s">
        <v>2215</v>
      </c>
      <c r="G1653" s="13">
        <v>118.69</v>
      </c>
      <c r="H1653" s="13">
        <v>47.7</v>
      </c>
      <c r="I1653" s="13">
        <v>62.07</v>
      </c>
      <c r="J1653" s="24">
        <v>45875</v>
      </c>
      <c r="K1653" s="13">
        <v>11</v>
      </c>
      <c r="L1653" s="13">
        <v>2.8</v>
      </c>
      <c r="M1653" s="13" t="b">
        <v>0</v>
      </c>
      <c r="O1653" s="13">
        <f t="shared" si="25"/>
        <v>2.8</v>
      </c>
    </row>
    <row r="1654" spans="1:15" x14ac:dyDescent="0.25">
      <c r="A1654" s="13" t="s">
        <v>1666</v>
      </c>
      <c r="B1654" s="13" t="s">
        <v>2192</v>
      </c>
      <c r="C1654" s="13" t="s">
        <v>2200</v>
      </c>
      <c r="D1654" s="13" t="s">
        <v>2204</v>
      </c>
      <c r="F1654" s="13" t="s">
        <v>2222</v>
      </c>
      <c r="G1654" s="13">
        <v>50.12</v>
      </c>
      <c r="H1654" s="13">
        <v>0</v>
      </c>
      <c r="I1654" s="13">
        <v>50.12</v>
      </c>
      <c r="J1654" s="24">
        <v>45725</v>
      </c>
      <c r="K1654" s="13">
        <v>27</v>
      </c>
      <c r="L1654" s="13">
        <v>2.4</v>
      </c>
      <c r="M1654" s="13" t="b">
        <v>0</v>
      </c>
      <c r="O1654" s="13">
        <f t="shared" si="25"/>
        <v>2.4</v>
      </c>
    </row>
    <row r="1655" spans="1:15" x14ac:dyDescent="0.25">
      <c r="A1655" s="13" t="s">
        <v>1667</v>
      </c>
      <c r="B1655" s="13" t="s">
        <v>2195</v>
      </c>
      <c r="C1655" s="13" t="s">
        <v>2202</v>
      </c>
      <c r="D1655" s="13" t="s">
        <v>2204</v>
      </c>
      <c r="E1655" s="13" t="s">
        <v>2212</v>
      </c>
      <c r="F1655" s="13" t="s">
        <v>2219</v>
      </c>
      <c r="G1655" s="13">
        <v>93.68</v>
      </c>
      <c r="H1655" s="13">
        <v>59.5</v>
      </c>
      <c r="I1655" s="13">
        <v>37.94</v>
      </c>
      <c r="J1655" s="24">
        <v>45771</v>
      </c>
      <c r="K1655" s="13">
        <v>21</v>
      </c>
      <c r="M1655" s="13" t="b">
        <v>0</v>
      </c>
      <c r="O1655" s="13">
        <f t="shared" si="25"/>
        <v>2.980952380952381</v>
      </c>
    </row>
    <row r="1656" spans="1:15" x14ac:dyDescent="0.25">
      <c r="A1656" s="13" t="s">
        <v>1668</v>
      </c>
      <c r="B1656" s="13" t="s">
        <v>2191</v>
      </c>
      <c r="C1656" s="13" t="s">
        <v>2197</v>
      </c>
      <c r="D1656" s="13" t="s">
        <v>2207</v>
      </c>
      <c r="E1656" s="13" t="s">
        <v>2210</v>
      </c>
      <c r="F1656" s="13" t="s">
        <v>2214</v>
      </c>
      <c r="G1656" s="13">
        <v>50.49</v>
      </c>
      <c r="H1656" s="13">
        <v>0</v>
      </c>
      <c r="I1656" s="13">
        <v>50.49</v>
      </c>
      <c r="J1656" s="24">
        <v>45875</v>
      </c>
      <c r="K1656" s="13">
        <v>30</v>
      </c>
      <c r="L1656" s="13">
        <v>4.0999999999999996</v>
      </c>
      <c r="M1656" s="13" t="b">
        <v>0</v>
      </c>
      <c r="O1656" s="13">
        <f t="shared" si="25"/>
        <v>4.0999999999999996</v>
      </c>
    </row>
    <row r="1657" spans="1:15" x14ac:dyDescent="0.25">
      <c r="A1657" s="13" t="s">
        <v>1669</v>
      </c>
      <c r="B1657" s="13" t="s">
        <v>2193</v>
      </c>
      <c r="C1657" s="13" t="s">
        <v>2199</v>
      </c>
      <c r="D1657" s="13" t="s">
        <v>2207</v>
      </c>
      <c r="E1657" s="13" t="s">
        <v>2212</v>
      </c>
      <c r="F1657" s="13" t="s">
        <v>2217</v>
      </c>
      <c r="G1657" s="13">
        <v>97.9</v>
      </c>
      <c r="H1657" s="13">
        <v>0</v>
      </c>
      <c r="I1657" s="13">
        <v>97.9</v>
      </c>
      <c r="J1657" s="24">
        <v>45875</v>
      </c>
      <c r="K1657" s="13">
        <v>29</v>
      </c>
      <c r="L1657" s="13">
        <v>1.3</v>
      </c>
      <c r="M1657" s="13" t="b">
        <v>0</v>
      </c>
      <c r="O1657" s="13">
        <f t="shared" si="25"/>
        <v>1.3</v>
      </c>
    </row>
    <row r="1658" spans="1:15" x14ac:dyDescent="0.25">
      <c r="A1658" s="13" t="s">
        <v>1670</v>
      </c>
      <c r="B1658" s="13" t="s">
        <v>2191</v>
      </c>
      <c r="C1658" s="13" t="s">
        <v>2197</v>
      </c>
      <c r="D1658" s="13" t="s">
        <v>2207</v>
      </c>
      <c r="E1658" s="13" t="s">
        <v>2210</v>
      </c>
      <c r="F1658" s="13" t="s">
        <v>2218</v>
      </c>
      <c r="G1658" s="13">
        <v>69</v>
      </c>
      <c r="H1658" s="13">
        <v>0</v>
      </c>
      <c r="I1658" s="13">
        <v>69</v>
      </c>
      <c r="J1658" s="24">
        <v>45875</v>
      </c>
      <c r="K1658" s="13">
        <v>32</v>
      </c>
      <c r="L1658" s="13">
        <v>4.5</v>
      </c>
      <c r="M1658" s="13" t="b">
        <v>0</v>
      </c>
      <c r="O1658" s="13">
        <f t="shared" si="25"/>
        <v>4.5</v>
      </c>
    </row>
    <row r="1659" spans="1:15" x14ac:dyDescent="0.25">
      <c r="A1659" s="13" t="s">
        <v>1671</v>
      </c>
      <c r="B1659" s="13" t="s">
        <v>2192</v>
      </c>
      <c r="C1659" s="13" t="s">
        <v>2199</v>
      </c>
      <c r="D1659" s="13" t="s">
        <v>2206</v>
      </c>
      <c r="F1659" s="13" t="s">
        <v>2223</v>
      </c>
      <c r="G1659" s="13">
        <v>30.2</v>
      </c>
      <c r="H1659" s="13">
        <v>27.1</v>
      </c>
      <c r="I1659" s="13">
        <v>22.02</v>
      </c>
      <c r="J1659" s="24">
        <v>45875</v>
      </c>
      <c r="K1659" s="13">
        <v>15</v>
      </c>
      <c r="M1659" s="13" t="b">
        <v>0</v>
      </c>
      <c r="O1659" s="13">
        <f t="shared" si="25"/>
        <v>2.5131578947368416</v>
      </c>
    </row>
    <row r="1660" spans="1:15" x14ac:dyDescent="0.25">
      <c r="A1660" s="13" t="s">
        <v>1672</v>
      </c>
      <c r="B1660" s="13" t="s">
        <v>2191</v>
      </c>
      <c r="C1660" s="13" t="s">
        <v>2198</v>
      </c>
      <c r="D1660" s="13" t="s">
        <v>2205</v>
      </c>
      <c r="E1660" s="13" t="s">
        <v>2209</v>
      </c>
      <c r="F1660" s="13" t="s">
        <v>2221</v>
      </c>
      <c r="G1660" s="13">
        <v>84.92</v>
      </c>
      <c r="H1660" s="13">
        <v>59.1</v>
      </c>
      <c r="I1660" s="13">
        <v>34.729999999999997</v>
      </c>
      <c r="J1660" s="24">
        <v>45875</v>
      </c>
      <c r="K1660" s="13">
        <v>42</v>
      </c>
      <c r="M1660" s="13" t="b">
        <v>0</v>
      </c>
      <c r="O1660" s="13">
        <f t="shared" si="25"/>
        <v>2.953125</v>
      </c>
    </row>
    <row r="1661" spans="1:15" x14ac:dyDescent="0.25">
      <c r="A1661" s="13" t="s">
        <v>1673</v>
      </c>
      <c r="B1661" s="13" t="s">
        <v>2191</v>
      </c>
      <c r="C1661" s="13" t="s">
        <v>2203</v>
      </c>
      <c r="D1661" s="13" t="s">
        <v>2206</v>
      </c>
      <c r="E1661" s="13" t="s">
        <v>2212</v>
      </c>
      <c r="F1661" s="13" t="s">
        <v>2217</v>
      </c>
      <c r="G1661" s="13">
        <v>116.48</v>
      </c>
      <c r="H1661" s="13">
        <v>0</v>
      </c>
      <c r="I1661" s="13">
        <v>116.48</v>
      </c>
      <c r="J1661" s="24">
        <v>45875</v>
      </c>
      <c r="K1661" s="13">
        <v>3</v>
      </c>
      <c r="L1661" s="13">
        <v>1.5</v>
      </c>
      <c r="M1661" s="13" t="b">
        <v>0</v>
      </c>
      <c r="O1661" s="13">
        <f t="shared" si="25"/>
        <v>1.5</v>
      </c>
    </row>
    <row r="1662" spans="1:15" x14ac:dyDescent="0.25">
      <c r="A1662" s="13" t="s">
        <v>1674</v>
      </c>
      <c r="B1662" s="13" t="s">
        <v>2191</v>
      </c>
      <c r="C1662" s="13" t="s">
        <v>2200</v>
      </c>
      <c r="D1662" s="13" t="s">
        <v>2207</v>
      </c>
      <c r="E1662" s="13" t="s">
        <v>2208</v>
      </c>
      <c r="F1662" s="13" t="s">
        <v>2222</v>
      </c>
      <c r="G1662" s="13">
        <v>40.68</v>
      </c>
      <c r="H1662" s="13">
        <v>0</v>
      </c>
      <c r="I1662" s="13">
        <v>40.68</v>
      </c>
      <c r="J1662" s="24">
        <v>45875</v>
      </c>
      <c r="K1662" s="13">
        <v>41</v>
      </c>
      <c r="L1662" s="13">
        <v>1.1000000000000001</v>
      </c>
      <c r="M1662" s="13" t="b">
        <v>1</v>
      </c>
      <c r="N1662" s="13" t="s">
        <v>2229</v>
      </c>
      <c r="O1662" s="13">
        <f t="shared" si="25"/>
        <v>1.1000000000000001</v>
      </c>
    </row>
    <row r="1663" spans="1:15" x14ac:dyDescent="0.25">
      <c r="A1663" s="13" t="s">
        <v>1675</v>
      </c>
      <c r="B1663" s="13" t="s">
        <v>2190</v>
      </c>
      <c r="C1663" s="13" t="s">
        <v>2201</v>
      </c>
      <c r="D1663" s="13" t="s">
        <v>2207</v>
      </c>
      <c r="E1663" s="13" t="s">
        <v>2208</v>
      </c>
      <c r="F1663" s="13" t="s">
        <v>2216</v>
      </c>
      <c r="G1663" s="13">
        <v>118.92</v>
      </c>
      <c r="H1663" s="13">
        <v>0</v>
      </c>
      <c r="I1663" s="13">
        <v>118.92</v>
      </c>
      <c r="J1663" s="24">
        <v>45875</v>
      </c>
      <c r="K1663" s="13">
        <v>36</v>
      </c>
      <c r="L1663" s="13">
        <v>1.8</v>
      </c>
      <c r="M1663" s="13" t="b">
        <v>1</v>
      </c>
      <c r="N1663" s="13" t="s">
        <v>2230</v>
      </c>
      <c r="O1663" s="13">
        <f t="shared" si="25"/>
        <v>1.8</v>
      </c>
    </row>
    <row r="1664" spans="1:15" x14ac:dyDescent="0.25">
      <c r="A1664" s="13" t="s">
        <v>1676</v>
      </c>
      <c r="B1664" s="13" t="s">
        <v>2194</v>
      </c>
      <c r="C1664" s="13" t="s">
        <v>2201</v>
      </c>
      <c r="D1664" s="13" t="s">
        <v>2207</v>
      </c>
      <c r="E1664" s="13" t="s">
        <v>2211</v>
      </c>
      <c r="F1664" s="13" t="s">
        <v>2216</v>
      </c>
      <c r="G1664" s="13">
        <v>26.86</v>
      </c>
      <c r="H1664" s="13">
        <v>0</v>
      </c>
      <c r="I1664" s="13">
        <v>26.86</v>
      </c>
      <c r="J1664" s="24">
        <v>45875</v>
      </c>
      <c r="K1664" s="13">
        <v>18</v>
      </c>
      <c r="L1664" s="13">
        <v>3.2</v>
      </c>
      <c r="M1664" s="13" t="b">
        <v>0</v>
      </c>
      <c r="O1664" s="13">
        <f t="shared" si="25"/>
        <v>3.2</v>
      </c>
    </row>
    <row r="1665" spans="1:15" x14ac:dyDescent="0.25">
      <c r="A1665" s="13" t="s">
        <v>1677</v>
      </c>
      <c r="B1665" s="13" t="s">
        <v>2195</v>
      </c>
      <c r="C1665" s="13" t="s">
        <v>2198</v>
      </c>
      <c r="D1665" s="13" t="s">
        <v>2206</v>
      </c>
      <c r="E1665" s="13" t="s">
        <v>2210</v>
      </c>
      <c r="F1665" s="13" t="s">
        <v>2220</v>
      </c>
      <c r="G1665" s="13">
        <v>113.34</v>
      </c>
      <c r="H1665" s="13">
        <v>0</v>
      </c>
      <c r="I1665" s="13">
        <v>113.34</v>
      </c>
      <c r="J1665" s="24">
        <v>45875</v>
      </c>
      <c r="K1665" s="13">
        <v>13</v>
      </c>
      <c r="M1665" s="13" t="b">
        <v>0</v>
      </c>
      <c r="O1665" s="13">
        <f t="shared" si="25"/>
        <v>2.9000000000000008</v>
      </c>
    </row>
    <row r="1666" spans="1:15" x14ac:dyDescent="0.25">
      <c r="A1666" s="13" t="s">
        <v>1678</v>
      </c>
      <c r="B1666" s="13" t="s">
        <v>2191</v>
      </c>
      <c r="C1666" s="13" t="s">
        <v>2202</v>
      </c>
      <c r="D1666" s="13" t="s">
        <v>2207</v>
      </c>
      <c r="E1666" s="13" t="s">
        <v>2209</v>
      </c>
      <c r="F1666" s="13" t="s">
        <v>2216</v>
      </c>
      <c r="G1666" s="13">
        <v>40.520000000000003</v>
      </c>
      <c r="H1666" s="13">
        <v>8.9</v>
      </c>
      <c r="I1666" s="13">
        <v>36.909999999999997</v>
      </c>
      <c r="J1666" s="24">
        <v>45875</v>
      </c>
      <c r="K1666" s="13">
        <v>13</v>
      </c>
      <c r="L1666" s="13">
        <v>2.5</v>
      </c>
      <c r="M1666" s="13" t="b">
        <v>0</v>
      </c>
      <c r="O1666" s="13">
        <f t="shared" si="25"/>
        <v>2.5</v>
      </c>
    </row>
    <row r="1667" spans="1:15" x14ac:dyDescent="0.25">
      <c r="A1667" s="13" t="s">
        <v>1679</v>
      </c>
      <c r="B1667" s="13" t="s">
        <v>2194</v>
      </c>
      <c r="C1667" s="13" t="s">
        <v>2203</v>
      </c>
      <c r="D1667" s="13" t="s">
        <v>2207</v>
      </c>
      <c r="E1667" s="13" t="s">
        <v>2209</v>
      </c>
      <c r="F1667" s="13" t="s">
        <v>2215</v>
      </c>
      <c r="G1667" s="13">
        <v>98.41</v>
      </c>
      <c r="H1667" s="13">
        <v>0</v>
      </c>
      <c r="I1667" s="13">
        <v>98.41</v>
      </c>
      <c r="J1667" s="24">
        <v>45875</v>
      </c>
      <c r="K1667" s="13">
        <v>7</v>
      </c>
      <c r="L1667" s="13">
        <v>4.5999999999999996</v>
      </c>
      <c r="M1667" s="13" t="b">
        <v>0</v>
      </c>
      <c r="O1667" s="13">
        <f t="shared" ref="O1667:O1730" si="26">IF(L1667="",AVERAGEIFS($L$2:$L$2177,$B$2:$B$2177,B1667,$C$2:$C$2177,C1667),L1667)</f>
        <v>4.5999999999999996</v>
      </c>
    </row>
    <row r="1668" spans="1:15" x14ac:dyDescent="0.25">
      <c r="A1668" s="13" t="s">
        <v>1680</v>
      </c>
      <c r="B1668" s="13" t="s">
        <v>2194</v>
      </c>
      <c r="C1668" s="13" t="s">
        <v>2203</v>
      </c>
      <c r="D1668" s="13" t="s">
        <v>2205</v>
      </c>
      <c r="E1668" s="13" t="s">
        <v>2212</v>
      </c>
      <c r="F1668" s="13" t="s">
        <v>2214</v>
      </c>
      <c r="G1668" s="13">
        <v>83.18</v>
      </c>
      <c r="H1668" s="13">
        <v>0</v>
      </c>
      <c r="I1668" s="13">
        <v>83.18</v>
      </c>
      <c r="J1668" s="24">
        <v>45875</v>
      </c>
      <c r="K1668" s="13">
        <v>17</v>
      </c>
      <c r="L1668" s="13">
        <v>1.7</v>
      </c>
      <c r="M1668" s="13" t="b">
        <v>1</v>
      </c>
      <c r="N1668" s="13" t="s">
        <v>2226</v>
      </c>
      <c r="O1668" s="13">
        <f t="shared" si="26"/>
        <v>1.7</v>
      </c>
    </row>
    <row r="1669" spans="1:15" x14ac:dyDescent="0.25">
      <c r="A1669" s="13" t="s">
        <v>1681</v>
      </c>
      <c r="B1669" s="13" t="s">
        <v>2193</v>
      </c>
      <c r="C1669" s="13" t="s">
        <v>2200</v>
      </c>
      <c r="D1669" s="13" t="s">
        <v>2204</v>
      </c>
      <c r="E1669" s="13" t="s">
        <v>2211</v>
      </c>
      <c r="F1669" s="13" t="s">
        <v>2223</v>
      </c>
      <c r="G1669" s="13">
        <v>179.31</v>
      </c>
      <c r="H1669" s="13">
        <v>24.1</v>
      </c>
      <c r="I1669" s="13">
        <v>136.1</v>
      </c>
      <c r="J1669" s="24">
        <v>45851</v>
      </c>
      <c r="K1669" s="13">
        <v>0</v>
      </c>
      <c r="L1669" s="13">
        <v>3.1</v>
      </c>
      <c r="M1669" s="13" t="b">
        <v>0</v>
      </c>
      <c r="O1669" s="13">
        <f t="shared" si="26"/>
        <v>3.1</v>
      </c>
    </row>
    <row r="1670" spans="1:15" x14ac:dyDescent="0.25">
      <c r="A1670" s="13" t="s">
        <v>1682</v>
      </c>
      <c r="B1670" s="13" t="s">
        <v>2191</v>
      </c>
      <c r="C1670" s="13" t="s">
        <v>2196</v>
      </c>
      <c r="D1670" s="13" t="s">
        <v>2204</v>
      </c>
      <c r="E1670" s="13" t="s">
        <v>2211</v>
      </c>
      <c r="F1670" s="13" t="s">
        <v>2220</v>
      </c>
      <c r="G1670" s="13">
        <v>47.88</v>
      </c>
      <c r="H1670" s="13">
        <v>0</v>
      </c>
      <c r="I1670" s="13">
        <v>47.88</v>
      </c>
      <c r="J1670" s="24">
        <v>45647</v>
      </c>
      <c r="K1670" s="13">
        <v>44</v>
      </c>
      <c r="L1670" s="13">
        <v>1.9</v>
      </c>
      <c r="M1670" s="13" t="b">
        <v>0</v>
      </c>
      <c r="O1670" s="13">
        <f t="shared" si="26"/>
        <v>1.9</v>
      </c>
    </row>
    <row r="1671" spans="1:15" x14ac:dyDescent="0.25">
      <c r="A1671" s="13" t="s">
        <v>1683</v>
      </c>
      <c r="B1671" s="13" t="s">
        <v>2190</v>
      </c>
      <c r="C1671" s="13" t="s">
        <v>2199</v>
      </c>
      <c r="D1671" s="13" t="s">
        <v>2205</v>
      </c>
      <c r="E1671" s="13" t="s">
        <v>2208</v>
      </c>
      <c r="F1671" s="13" t="s">
        <v>2222</v>
      </c>
      <c r="G1671" s="13">
        <v>89.26</v>
      </c>
      <c r="H1671" s="13">
        <v>0</v>
      </c>
      <c r="I1671" s="13">
        <v>89.26</v>
      </c>
      <c r="J1671" s="24">
        <v>45875</v>
      </c>
      <c r="K1671" s="13">
        <v>43</v>
      </c>
      <c r="L1671" s="13">
        <v>3.8</v>
      </c>
      <c r="M1671" s="13" t="b">
        <v>0</v>
      </c>
      <c r="O1671" s="13">
        <f t="shared" si="26"/>
        <v>3.8</v>
      </c>
    </row>
    <row r="1672" spans="1:15" x14ac:dyDescent="0.25">
      <c r="A1672" s="13" t="s">
        <v>1684</v>
      </c>
      <c r="B1672" s="13" t="s">
        <v>2195</v>
      </c>
      <c r="C1672" s="13" t="s">
        <v>2202</v>
      </c>
      <c r="D1672" s="13" t="s">
        <v>2207</v>
      </c>
      <c r="E1672" s="13" t="s">
        <v>2211</v>
      </c>
      <c r="F1672" s="13" t="s">
        <v>2216</v>
      </c>
      <c r="G1672" s="13">
        <v>114.2</v>
      </c>
      <c r="H1672" s="13">
        <v>0</v>
      </c>
      <c r="I1672" s="13">
        <v>114.2</v>
      </c>
      <c r="J1672" s="24">
        <v>45875</v>
      </c>
      <c r="K1672" s="13">
        <v>15</v>
      </c>
      <c r="M1672" s="13" t="b">
        <v>0</v>
      </c>
      <c r="O1672" s="13">
        <f t="shared" si="26"/>
        <v>2.980952380952381</v>
      </c>
    </row>
    <row r="1673" spans="1:15" x14ac:dyDescent="0.25">
      <c r="A1673" s="13" t="s">
        <v>1685</v>
      </c>
      <c r="B1673" s="13" t="s">
        <v>2193</v>
      </c>
      <c r="C1673" s="13" t="s">
        <v>2202</v>
      </c>
      <c r="D1673" s="13" t="s">
        <v>2207</v>
      </c>
      <c r="E1673" s="13" t="s">
        <v>2209</v>
      </c>
      <c r="F1673" s="13" t="s">
        <v>2220</v>
      </c>
      <c r="G1673" s="13">
        <v>169.5</v>
      </c>
      <c r="H1673" s="13">
        <v>59.7</v>
      </c>
      <c r="I1673" s="13">
        <v>68.31</v>
      </c>
      <c r="J1673" s="24">
        <v>45875</v>
      </c>
      <c r="K1673" s="13">
        <v>16</v>
      </c>
      <c r="L1673" s="13">
        <v>1.8</v>
      </c>
      <c r="M1673" s="13" t="b">
        <v>0</v>
      </c>
      <c r="O1673" s="13">
        <f t="shared" si="26"/>
        <v>1.8</v>
      </c>
    </row>
    <row r="1674" spans="1:15" x14ac:dyDescent="0.25">
      <c r="A1674" s="13" t="s">
        <v>1686</v>
      </c>
      <c r="B1674" s="13" t="s">
        <v>2191</v>
      </c>
      <c r="C1674" s="13" t="s">
        <v>2200</v>
      </c>
      <c r="D1674" s="13" t="s">
        <v>2206</v>
      </c>
      <c r="E1674" s="13" t="s">
        <v>2212</v>
      </c>
      <c r="F1674" s="13" t="s">
        <v>2217</v>
      </c>
      <c r="G1674" s="13">
        <v>77.989999999999995</v>
      </c>
      <c r="H1674" s="13">
        <v>0</v>
      </c>
      <c r="I1674" s="13">
        <v>77.989999999999995</v>
      </c>
      <c r="J1674" s="24">
        <v>45875</v>
      </c>
      <c r="K1674" s="13">
        <v>42</v>
      </c>
      <c r="M1674" s="13" t="b">
        <v>0</v>
      </c>
      <c r="O1674" s="13">
        <f t="shared" si="26"/>
        <v>2.9657142857142857</v>
      </c>
    </row>
    <row r="1675" spans="1:15" x14ac:dyDescent="0.25">
      <c r="A1675" s="13" t="s">
        <v>1687</v>
      </c>
      <c r="B1675" s="13" t="s">
        <v>2194</v>
      </c>
      <c r="C1675" s="13" t="s">
        <v>2201</v>
      </c>
      <c r="D1675" s="13" t="s">
        <v>2206</v>
      </c>
      <c r="F1675" s="13" t="s">
        <v>2215</v>
      </c>
      <c r="G1675" s="13">
        <v>103.77</v>
      </c>
      <c r="H1675" s="13">
        <v>0</v>
      </c>
      <c r="I1675" s="13">
        <v>103.77</v>
      </c>
      <c r="J1675" s="24">
        <v>45875</v>
      </c>
      <c r="K1675" s="13">
        <v>12</v>
      </c>
      <c r="L1675" s="13">
        <v>4.4000000000000004</v>
      </c>
      <c r="M1675" s="13" t="b">
        <v>0</v>
      </c>
      <c r="O1675" s="13">
        <f t="shared" si="26"/>
        <v>4.4000000000000004</v>
      </c>
    </row>
    <row r="1676" spans="1:15" x14ac:dyDescent="0.25">
      <c r="A1676" s="13" t="s">
        <v>1688</v>
      </c>
      <c r="B1676" s="13" t="s">
        <v>2192</v>
      </c>
      <c r="C1676" s="13" t="s">
        <v>2203</v>
      </c>
      <c r="D1676" s="13" t="s">
        <v>2206</v>
      </c>
      <c r="F1676" s="13" t="s">
        <v>2216</v>
      </c>
      <c r="G1676" s="13">
        <v>42.96</v>
      </c>
      <c r="H1676" s="13">
        <v>0</v>
      </c>
      <c r="I1676" s="13">
        <v>42.96</v>
      </c>
      <c r="J1676" s="24">
        <v>45875</v>
      </c>
      <c r="K1676" s="13">
        <v>36</v>
      </c>
      <c r="L1676" s="13">
        <v>1.1000000000000001</v>
      </c>
      <c r="M1676" s="13" t="b">
        <v>0</v>
      </c>
      <c r="O1676" s="13">
        <f t="shared" si="26"/>
        <v>1.1000000000000001</v>
      </c>
    </row>
    <row r="1677" spans="1:15" x14ac:dyDescent="0.25">
      <c r="A1677" s="13" t="s">
        <v>1689</v>
      </c>
      <c r="B1677" s="13" t="s">
        <v>2195</v>
      </c>
      <c r="C1677" s="13" t="s">
        <v>2198</v>
      </c>
      <c r="D1677" s="13" t="s">
        <v>2206</v>
      </c>
      <c r="F1677" s="13" t="s">
        <v>2224</v>
      </c>
      <c r="G1677" s="13">
        <v>126.11</v>
      </c>
      <c r="H1677" s="13">
        <v>0</v>
      </c>
      <c r="I1677" s="13">
        <v>126.11</v>
      </c>
      <c r="J1677" s="24">
        <v>45875</v>
      </c>
      <c r="K1677" s="13">
        <v>16</v>
      </c>
      <c r="L1677" s="13">
        <v>3.5</v>
      </c>
      <c r="M1677" s="13" t="b">
        <v>0</v>
      </c>
      <c r="O1677" s="13">
        <f t="shared" si="26"/>
        <v>3.5</v>
      </c>
    </row>
    <row r="1678" spans="1:15" x14ac:dyDescent="0.25">
      <c r="A1678" s="13" t="s">
        <v>1690</v>
      </c>
      <c r="B1678" s="13" t="s">
        <v>2192</v>
      </c>
      <c r="C1678" s="13" t="s">
        <v>2198</v>
      </c>
      <c r="D1678" s="13" t="s">
        <v>2207</v>
      </c>
      <c r="F1678" s="13" t="s">
        <v>2221</v>
      </c>
      <c r="G1678" s="13">
        <v>43.83</v>
      </c>
      <c r="H1678" s="13">
        <v>0</v>
      </c>
      <c r="I1678" s="13">
        <v>43.83</v>
      </c>
      <c r="J1678" s="24">
        <v>45875</v>
      </c>
      <c r="K1678" s="13">
        <v>31</v>
      </c>
      <c r="L1678" s="13">
        <v>2.5</v>
      </c>
      <c r="M1678" s="13" t="b">
        <v>0</v>
      </c>
      <c r="O1678" s="13">
        <f t="shared" si="26"/>
        <v>2.5</v>
      </c>
    </row>
    <row r="1679" spans="1:15" x14ac:dyDescent="0.25">
      <c r="A1679" s="13" t="s">
        <v>1691</v>
      </c>
      <c r="B1679" s="13" t="s">
        <v>2193</v>
      </c>
      <c r="C1679" s="13" t="s">
        <v>2198</v>
      </c>
      <c r="D1679" s="13" t="s">
        <v>2206</v>
      </c>
      <c r="E1679" s="13" t="s">
        <v>2210</v>
      </c>
      <c r="F1679" s="13" t="s">
        <v>2221</v>
      </c>
      <c r="G1679" s="13">
        <v>94.1</v>
      </c>
      <c r="H1679" s="13">
        <v>0</v>
      </c>
      <c r="I1679" s="13">
        <v>94.1</v>
      </c>
      <c r="J1679" s="24">
        <v>45875</v>
      </c>
      <c r="K1679" s="13">
        <v>24</v>
      </c>
      <c r="L1679" s="13">
        <v>1.4</v>
      </c>
      <c r="M1679" s="13" t="b">
        <v>0</v>
      </c>
      <c r="O1679" s="13">
        <f t="shared" si="26"/>
        <v>1.4</v>
      </c>
    </row>
    <row r="1680" spans="1:15" x14ac:dyDescent="0.25">
      <c r="A1680" s="13" t="s">
        <v>1692</v>
      </c>
      <c r="B1680" s="13" t="s">
        <v>2193</v>
      </c>
      <c r="C1680" s="13" t="s">
        <v>2196</v>
      </c>
      <c r="D1680" s="13" t="s">
        <v>2206</v>
      </c>
      <c r="E1680" s="13" t="s">
        <v>2213</v>
      </c>
      <c r="F1680" s="13" t="s">
        <v>2214</v>
      </c>
      <c r="G1680" s="13">
        <v>151.27000000000001</v>
      </c>
      <c r="H1680" s="13">
        <v>0</v>
      </c>
      <c r="I1680" s="13">
        <v>151.27000000000001</v>
      </c>
      <c r="J1680" s="24">
        <v>45875</v>
      </c>
      <c r="K1680" s="13">
        <v>39</v>
      </c>
      <c r="L1680" s="13">
        <v>4</v>
      </c>
      <c r="M1680" s="13" t="b">
        <v>1</v>
      </c>
      <c r="N1680" s="13" t="s">
        <v>2227</v>
      </c>
      <c r="O1680" s="13">
        <f t="shared" si="26"/>
        <v>4</v>
      </c>
    </row>
    <row r="1681" spans="1:15" x14ac:dyDescent="0.25">
      <c r="A1681" s="13" t="s">
        <v>1693</v>
      </c>
      <c r="B1681" s="13" t="s">
        <v>2192</v>
      </c>
      <c r="C1681" s="13" t="s">
        <v>2202</v>
      </c>
      <c r="D1681" s="13" t="s">
        <v>2204</v>
      </c>
      <c r="F1681" s="13" t="s">
        <v>2222</v>
      </c>
      <c r="G1681" s="13">
        <v>61.47</v>
      </c>
      <c r="H1681" s="13">
        <v>0</v>
      </c>
      <c r="I1681" s="13">
        <v>61.47</v>
      </c>
      <c r="J1681" s="24">
        <v>45529</v>
      </c>
      <c r="K1681" s="13">
        <v>44</v>
      </c>
      <c r="M1681" s="13" t="b">
        <v>0</v>
      </c>
      <c r="O1681" s="13">
        <f t="shared" si="26"/>
        <v>3.2720930232558145</v>
      </c>
    </row>
    <row r="1682" spans="1:15" x14ac:dyDescent="0.25">
      <c r="A1682" s="13" t="s">
        <v>1694</v>
      </c>
      <c r="B1682" s="13" t="s">
        <v>2193</v>
      </c>
      <c r="C1682" s="13" t="s">
        <v>2199</v>
      </c>
      <c r="D1682" s="13" t="s">
        <v>2207</v>
      </c>
      <c r="E1682" s="13" t="s">
        <v>2213</v>
      </c>
      <c r="F1682" s="13" t="s">
        <v>2222</v>
      </c>
      <c r="G1682" s="13">
        <v>185.96</v>
      </c>
      <c r="H1682" s="13">
        <v>0</v>
      </c>
      <c r="I1682" s="13">
        <v>185.96</v>
      </c>
      <c r="J1682" s="24">
        <v>45875</v>
      </c>
      <c r="K1682" s="13">
        <v>35</v>
      </c>
      <c r="L1682" s="13">
        <v>1.3</v>
      </c>
      <c r="M1682" s="13" t="b">
        <v>0</v>
      </c>
      <c r="O1682" s="13">
        <f t="shared" si="26"/>
        <v>1.3</v>
      </c>
    </row>
    <row r="1683" spans="1:15" x14ac:dyDescent="0.25">
      <c r="A1683" s="13" t="s">
        <v>1695</v>
      </c>
      <c r="B1683" s="13" t="s">
        <v>2195</v>
      </c>
      <c r="C1683" s="13" t="s">
        <v>2202</v>
      </c>
      <c r="D1683" s="13" t="s">
        <v>2206</v>
      </c>
      <c r="E1683" s="13" t="s">
        <v>2213</v>
      </c>
      <c r="F1683" s="13" t="s">
        <v>2214</v>
      </c>
      <c r="G1683" s="13">
        <v>113.05</v>
      </c>
      <c r="H1683" s="13">
        <v>0</v>
      </c>
      <c r="I1683" s="13">
        <v>113.05</v>
      </c>
      <c r="J1683" s="24">
        <v>45875</v>
      </c>
      <c r="K1683" s="13">
        <v>47</v>
      </c>
      <c r="L1683" s="13">
        <v>2</v>
      </c>
      <c r="M1683" s="13" t="b">
        <v>0</v>
      </c>
      <c r="O1683" s="13">
        <f t="shared" si="26"/>
        <v>2</v>
      </c>
    </row>
    <row r="1684" spans="1:15" x14ac:dyDescent="0.25">
      <c r="A1684" s="13" t="s">
        <v>1696</v>
      </c>
      <c r="B1684" s="13" t="s">
        <v>2191</v>
      </c>
      <c r="C1684" s="13" t="s">
        <v>2198</v>
      </c>
      <c r="D1684" s="13" t="s">
        <v>2207</v>
      </c>
      <c r="E1684" s="13" t="s">
        <v>2209</v>
      </c>
      <c r="F1684" s="13" t="s">
        <v>2224</v>
      </c>
      <c r="G1684" s="13">
        <v>110.9</v>
      </c>
      <c r="H1684" s="13">
        <v>34.700000000000003</v>
      </c>
      <c r="I1684" s="13">
        <v>72.42</v>
      </c>
      <c r="J1684" s="24">
        <v>45875</v>
      </c>
      <c r="K1684" s="13">
        <v>2</v>
      </c>
      <c r="L1684" s="13">
        <v>2.5</v>
      </c>
      <c r="M1684" s="13" t="b">
        <v>0</v>
      </c>
      <c r="O1684" s="13">
        <f t="shared" si="26"/>
        <v>2.5</v>
      </c>
    </row>
    <row r="1685" spans="1:15" x14ac:dyDescent="0.25">
      <c r="A1685" s="13" t="s">
        <v>1697</v>
      </c>
      <c r="B1685" s="13" t="s">
        <v>2191</v>
      </c>
      <c r="C1685" s="13" t="s">
        <v>2197</v>
      </c>
      <c r="D1685" s="13" t="s">
        <v>2207</v>
      </c>
      <c r="E1685" s="13" t="s">
        <v>2211</v>
      </c>
      <c r="F1685" s="13" t="s">
        <v>2217</v>
      </c>
      <c r="G1685" s="13">
        <v>29.04</v>
      </c>
      <c r="H1685" s="13">
        <v>0</v>
      </c>
      <c r="I1685" s="13">
        <v>29.04</v>
      </c>
      <c r="J1685" s="24">
        <v>45875</v>
      </c>
      <c r="K1685" s="13">
        <v>4</v>
      </c>
      <c r="L1685" s="13">
        <v>5</v>
      </c>
      <c r="M1685" s="13" t="b">
        <v>0</v>
      </c>
      <c r="O1685" s="13">
        <f t="shared" si="26"/>
        <v>5</v>
      </c>
    </row>
    <row r="1686" spans="1:15" x14ac:dyDescent="0.25">
      <c r="A1686" s="13" t="s">
        <v>1698</v>
      </c>
      <c r="B1686" s="13" t="s">
        <v>2193</v>
      </c>
      <c r="C1686" s="13" t="s">
        <v>2203</v>
      </c>
      <c r="D1686" s="13" t="s">
        <v>2204</v>
      </c>
      <c r="E1686" s="13" t="s">
        <v>2208</v>
      </c>
      <c r="F1686" s="13" t="s">
        <v>2218</v>
      </c>
      <c r="G1686" s="13">
        <v>164.48</v>
      </c>
      <c r="H1686" s="13">
        <v>51.5</v>
      </c>
      <c r="I1686" s="13">
        <v>79.77</v>
      </c>
      <c r="J1686" s="24">
        <v>45542</v>
      </c>
      <c r="K1686" s="13">
        <v>27</v>
      </c>
      <c r="L1686" s="13">
        <v>3.4</v>
      </c>
      <c r="M1686" s="13" t="b">
        <v>0</v>
      </c>
      <c r="O1686" s="13">
        <f t="shared" si="26"/>
        <v>3.4</v>
      </c>
    </row>
    <row r="1687" spans="1:15" x14ac:dyDescent="0.25">
      <c r="A1687" s="13" t="s">
        <v>1699</v>
      </c>
      <c r="B1687" s="13" t="s">
        <v>2194</v>
      </c>
      <c r="C1687" s="13" t="s">
        <v>2198</v>
      </c>
      <c r="D1687" s="13" t="s">
        <v>2205</v>
      </c>
      <c r="E1687" s="13" t="s">
        <v>2209</v>
      </c>
      <c r="F1687" s="13" t="s">
        <v>2217</v>
      </c>
      <c r="G1687" s="13">
        <v>52.51</v>
      </c>
      <c r="H1687" s="13">
        <v>49.4</v>
      </c>
      <c r="I1687" s="13">
        <v>26.57</v>
      </c>
      <c r="J1687" s="24">
        <v>45875</v>
      </c>
      <c r="K1687" s="13">
        <v>37</v>
      </c>
      <c r="L1687" s="13">
        <v>3.5</v>
      </c>
      <c r="M1687" s="13" t="b">
        <v>1</v>
      </c>
      <c r="N1687" s="13" t="s">
        <v>2229</v>
      </c>
      <c r="O1687" s="13">
        <f t="shared" si="26"/>
        <v>3.5</v>
      </c>
    </row>
    <row r="1688" spans="1:15" x14ac:dyDescent="0.25">
      <c r="A1688" s="13" t="s">
        <v>1700</v>
      </c>
      <c r="B1688" s="13" t="s">
        <v>2195</v>
      </c>
      <c r="C1688" s="13" t="s">
        <v>2201</v>
      </c>
      <c r="D1688" s="13" t="s">
        <v>2205</v>
      </c>
      <c r="E1688" s="13" t="s">
        <v>2211</v>
      </c>
      <c r="F1688" s="13" t="s">
        <v>2218</v>
      </c>
      <c r="G1688" s="13">
        <v>175.74</v>
      </c>
      <c r="H1688" s="13">
        <v>42.9</v>
      </c>
      <c r="I1688" s="13">
        <v>100.35</v>
      </c>
      <c r="J1688" s="24">
        <v>45875</v>
      </c>
      <c r="K1688" s="13">
        <v>48</v>
      </c>
      <c r="M1688" s="13" t="b">
        <v>1</v>
      </c>
      <c r="N1688" s="13" t="s">
        <v>2229</v>
      </c>
      <c r="O1688" s="13">
        <f t="shared" si="26"/>
        <v>3.1874999999999991</v>
      </c>
    </row>
    <row r="1689" spans="1:15" x14ac:dyDescent="0.25">
      <c r="A1689" s="13" t="s">
        <v>1701</v>
      </c>
      <c r="B1689" s="13" t="s">
        <v>2191</v>
      </c>
      <c r="C1689" s="13" t="s">
        <v>2201</v>
      </c>
      <c r="D1689" s="13" t="s">
        <v>2204</v>
      </c>
      <c r="E1689" s="13" t="s">
        <v>2212</v>
      </c>
      <c r="F1689" s="13" t="s">
        <v>2221</v>
      </c>
      <c r="G1689" s="13">
        <v>57.06</v>
      </c>
      <c r="H1689" s="13">
        <v>27.5</v>
      </c>
      <c r="I1689" s="13">
        <v>41.37</v>
      </c>
      <c r="J1689" s="24">
        <v>45651</v>
      </c>
      <c r="K1689" s="13">
        <v>43</v>
      </c>
      <c r="L1689" s="13">
        <v>1.8</v>
      </c>
      <c r="M1689" s="13" t="b">
        <v>0</v>
      </c>
      <c r="O1689" s="13">
        <f t="shared" si="26"/>
        <v>1.8</v>
      </c>
    </row>
    <row r="1690" spans="1:15" x14ac:dyDescent="0.25">
      <c r="A1690" s="13" t="s">
        <v>1702</v>
      </c>
      <c r="B1690" s="13" t="s">
        <v>2195</v>
      </c>
      <c r="C1690" s="13" t="s">
        <v>2201</v>
      </c>
      <c r="D1690" s="13" t="s">
        <v>2205</v>
      </c>
      <c r="E1690" s="13" t="s">
        <v>2209</v>
      </c>
      <c r="F1690" s="13" t="s">
        <v>2216</v>
      </c>
      <c r="G1690" s="13">
        <v>158.24</v>
      </c>
      <c r="H1690" s="13">
        <v>0</v>
      </c>
      <c r="I1690" s="13">
        <v>158.24</v>
      </c>
      <c r="J1690" s="24">
        <v>45875</v>
      </c>
      <c r="K1690" s="13">
        <v>41</v>
      </c>
      <c r="L1690" s="13">
        <v>3.1</v>
      </c>
      <c r="M1690" s="13" t="b">
        <v>0</v>
      </c>
      <c r="O1690" s="13">
        <f t="shared" si="26"/>
        <v>3.1</v>
      </c>
    </row>
    <row r="1691" spans="1:15" x14ac:dyDescent="0.25">
      <c r="A1691" s="13" t="s">
        <v>1703</v>
      </c>
      <c r="B1691" s="13" t="s">
        <v>2190</v>
      </c>
      <c r="C1691" s="13" t="s">
        <v>2199</v>
      </c>
      <c r="D1691" s="13" t="s">
        <v>2206</v>
      </c>
      <c r="F1691" s="13" t="s">
        <v>2215</v>
      </c>
      <c r="G1691" s="13">
        <v>153.46</v>
      </c>
      <c r="H1691" s="13">
        <v>0</v>
      </c>
      <c r="I1691" s="13">
        <v>153.46</v>
      </c>
      <c r="J1691" s="24">
        <v>45875</v>
      </c>
      <c r="K1691" s="13">
        <v>27</v>
      </c>
      <c r="L1691" s="13">
        <v>1.7</v>
      </c>
      <c r="M1691" s="13" t="b">
        <v>0</v>
      </c>
      <c r="O1691" s="13">
        <f t="shared" si="26"/>
        <v>1.7</v>
      </c>
    </row>
    <row r="1692" spans="1:15" x14ac:dyDescent="0.25">
      <c r="A1692" s="13" t="s">
        <v>1704</v>
      </c>
      <c r="B1692" s="13" t="s">
        <v>2192</v>
      </c>
      <c r="C1692" s="13" t="s">
        <v>2196</v>
      </c>
      <c r="D1692" s="13" t="s">
        <v>2204</v>
      </c>
      <c r="F1692" s="13" t="s">
        <v>2224</v>
      </c>
      <c r="G1692" s="13">
        <v>54.92</v>
      </c>
      <c r="H1692" s="13">
        <v>0</v>
      </c>
      <c r="I1692" s="13">
        <v>54.92</v>
      </c>
      <c r="J1692" s="24">
        <v>45759</v>
      </c>
      <c r="K1692" s="13">
        <v>44</v>
      </c>
      <c r="L1692" s="13">
        <v>3.1</v>
      </c>
      <c r="M1692" s="13" t="b">
        <v>0</v>
      </c>
      <c r="O1692" s="13">
        <f t="shared" si="26"/>
        <v>3.1</v>
      </c>
    </row>
    <row r="1693" spans="1:15" x14ac:dyDescent="0.25">
      <c r="A1693" s="13" t="s">
        <v>1705</v>
      </c>
      <c r="B1693" s="13" t="s">
        <v>2192</v>
      </c>
      <c r="C1693" s="13" t="s">
        <v>2197</v>
      </c>
      <c r="D1693" s="13" t="s">
        <v>2204</v>
      </c>
      <c r="F1693" s="13" t="s">
        <v>2223</v>
      </c>
      <c r="G1693" s="13">
        <v>32.200000000000003</v>
      </c>
      <c r="H1693" s="13">
        <v>19.2</v>
      </c>
      <c r="I1693" s="13">
        <v>26.02</v>
      </c>
      <c r="J1693" s="24">
        <v>45865</v>
      </c>
      <c r="K1693" s="13">
        <v>8</v>
      </c>
      <c r="L1693" s="13">
        <v>4.3</v>
      </c>
      <c r="M1693" s="13" t="b">
        <v>0</v>
      </c>
      <c r="O1693" s="13">
        <f t="shared" si="26"/>
        <v>4.3</v>
      </c>
    </row>
    <row r="1694" spans="1:15" x14ac:dyDescent="0.25">
      <c r="A1694" s="13" t="s">
        <v>1706</v>
      </c>
      <c r="B1694" s="13" t="s">
        <v>2192</v>
      </c>
      <c r="C1694" s="13" t="s">
        <v>2199</v>
      </c>
      <c r="D1694" s="13" t="s">
        <v>2206</v>
      </c>
      <c r="F1694" s="13" t="s">
        <v>2224</v>
      </c>
      <c r="G1694" s="13">
        <v>66.489999999999995</v>
      </c>
      <c r="H1694" s="13">
        <v>29.1</v>
      </c>
      <c r="I1694" s="13">
        <v>47.14</v>
      </c>
      <c r="J1694" s="24">
        <v>45875</v>
      </c>
      <c r="K1694" s="13">
        <v>37</v>
      </c>
      <c r="L1694" s="13">
        <v>1.3</v>
      </c>
      <c r="M1694" s="13" t="b">
        <v>0</v>
      </c>
      <c r="O1694" s="13">
        <f t="shared" si="26"/>
        <v>1.3</v>
      </c>
    </row>
    <row r="1695" spans="1:15" x14ac:dyDescent="0.25">
      <c r="A1695" s="13" t="s">
        <v>1707</v>
      </c>
      <c r="B1695" s="13" t="s">
        <v>2192</v>
      </c>
      <c r="C1695" s="13" t="s">
        <v>2199</v>
      </c>
      <c r="D1695" s="13" t="s">
        <v>2205</v>
      </c>
      <c r="F1695" s="13" t="s">
        <v>2219</v>
      </c>
      <c r="G1695" s="13">
        <v>32.950000000000003</v>
      </c>
      <c r="H1695" s="13">
        <v>50.2</v>
      </c>
      <c r="I1695" s="13">
        <v>16.41</v>
      </c>
      <c r="J1695" s="24">
        <v>45875</v>
      </c>
      <c r="K1695" s="13">
        <v>46</v>
      </c>
      <c r="M1695" s="13" t="b">
        <v>0</v>
      </c>
      <c r="O1695" s="13">
        <f t="shared" si="26"/>
        <v>2.5131578947368416</v>
      </c>
    </row>
    <row r="1696" spans="1:15" x14ac:dyDescent="0.25">
      <c r="A1696" s="13" t="s">
        <v>1708</v>
      </c>
      <c r="B1696" s="13" t="s">
        <v>2192</v>
      </c>
      <c r="C1696" s="13" t="s">
        <v>2200</v>
      </c>
      <c r="D1696" s="13" t="s">
        <v>2206</v>
      </c>
      <c r="F1696" s="13" t="s">
        <v>2218</v>
      </c>
      <c r="G1696" s="13">
        <v>54.31</v>
      </c>
      <c r="H1696" s="13">
        <v>19.2</v>
      </c>
      <c r="I1696" s="13">
        <v>43.88</v>
      </c>
      <c r="J1696" s="24">
        <v>45875</v>
      </c>
      <c r="K1696" s="13">
        <v>19</v>
      </c>
      <c r="L1696" s="13">
        <v>1.8</v>
      </c>
      <c r="M1696" s="13" t="b">
        <v>0</v>
      </c>
      <c r="O1696" s="13">
        <f t="shared" si="26"/>
        <v>1.8</v>
      </c>
    </row>
    <row r="1697" spans="1:15" x14ac:dyDescent="0.25">
      <c r="A1697" s="13" t="s">
        <v>1709</v>
      </c>
      <c r="B1697" s="13" t="s">
        <v>2192</v>
      </c>
      <c r="C1697" s="13" t="s">
        <v>2198</v>
      </c>
      <c r="D1697" s="13" t="s">
        <v>2207</v>
      </c>
      <c r="F1697" s="13" t="s">
        <v>2222</v>
      </c>
      <c r="G1697" s="13">
        <v>19.68</v>
      </c>
      <c r="H1697" s="13">
        <v>0</v>
      </c>
      <c r="I1697" s="13">
        <v>19.68</v>
      </c>
      <c r="J1697" s="24">
        <v>45875</v>
      </c>
      <c r="K1697" s="13">
        <v>29</v>
      </c>
      <c r="L1697" s="13">
        <v>1.5</v>
      </c>
      <c r="M1697" s="13" t="b">
        <v>1</v>
      </c>
      <c r="N1697" s="13" t="s">
        <v>2226</v>
      </c>
      <c r="O1697" s="13">
        <f t="shared" si="26"/>
        <v>1.5</v>
      </c>
    </row>
    <row r="1698" spans="1:15" x14ac:dyDescent="0.25">
      <c r="A1698" s="13" t="s">
        <v>1710</v>
      </c>
      <c r="B1698" s="13" t="s">
        <v>2191</v>
      </c>
      <c r="C1698" s="13" t="s">
        <v>2196</v>
      </c>
      <c r="D1698" s="13" t="s">
        <v>2204</v>
      </c>
      <c r="E1698" s="13" t="s">
        <v>2212</v>
      </c>
      <c r="F1698" s="13" t="s">
        <v>2218</v>
      </c>
      <c r="G1698" s="13">
        <v>105.19</v>
      </c>
      <c r="H1698" s="13">
        <v>24.3</v>
      </c>
      <c r="I1698" s="13">
        <v>79.63</v>
      </c>
      <c r="J1698" s="24">
        <v>45822</v>
      </c>
      <c r="K1698" s="13">
        <v>47</v>
      </c>
      <c r="L1698" s="13">
        <v>5</v>
      </c>
      <c r="M1698" s="13" t="b">
        <v>0</v>
      </c>
      <c r="O1698" s="13">
        <f t="shared" si="26"/>
        <v>5</v>
      </c>
    </row>
    <row r="1699" spans="1:15" x14ac:dyDescent="0.25">
      <c r="A1699" s="13" t="s">
        <v>1711</v>
      </c>
      <c r="B1699" s="13" t="s">
        <v>2192</v>
      </c>
      <c r="C1699" s="13" t="s">
        <v>2198</v>
      </c>
      <c r="D1699" s="13" t="s">
        <v>2207</v>
      </c>
      <c r="F1699" s="13" t="s">
        <v>2220</v>
      </c>
      <c r="G1699" s="13">
        <v>20.3</v>
      </c>
      <c r="H1699" s="13">
        <v>19.600000000000001</v>
      </c>
      <c r="I1699" s="13">
        <v>16.32</v>
      </c>
      <c r="J1699" s="24">
        <v>45875</v>
      </c>
      <c r="K1699" s="13">
        <v>47</v>
      </c>
      <c r="L1699" s="13">
        <v>2.9</v>
      </c>
      <c r="M1699" s="13" t="b">
        <v>1</v>
      </c>
      <c r="N1699" s="13" t="s">
        <v>2229</v>
      </c>
      <c r="O1699" s="13">
        <f t="shared" si="26"/>
        <v>2.9</v>
      </c>
    </row>
    <row r="1700" spans="1:15" x14ac:dyDescent="0.25">
      <c r="A1700" s="13" t="s">
        <v>1712</v>
      </c>
      <c r="B1700" s="13" t="s">
        <v>2194</v>
      </c>
      <c r="C1700" s="13" t="s">
        <v>2199</v>
      </c>
      <c r="D1700" s="13" t="s">
        <v>2207</v>
      </c>
      <c r="E1700" s="13" t="s">
        <v>2210</v>
      </c>
      <c r="F1700" s="13" t="s">
        <v>2224</v>
      </c>
      <c r="G1700" s="13">
        <v>105.37</v>
      </c>
      <c r="H1700" s="13">
        <v>19.600000000000001</v>
      </c>
      <c r="I1700" s="13">
        <v>84.72</v>
      </c>
      <c r="J1700" s="24">
        <v>45875</v>
      </c>
      <c r="K1700" s="13">
        <v>39</v>
      </c>
      <c r="L1700" s="13">
        <v>4.3</v>
      </c>
      <c r="M1700" s="13" t="b">
        <v>0</v>
      </c>
      <c r="O1700" s="13">
        <f t="shared" si="26"/>
        <v>4.3</v>
      </c>
    </row>
    <row r="1701" spans="1:15" x14ac:dyDescent="0.25">
      <c r="A1701" s="13" t="s">
        <v>1713</v>
      </c>
      <c r="B1701" s="13" t="s">
        <v>2195</v>
      </c>
      <c r="C1701" s="13" t="s">
        <v>2201</v>
      </c>
      <c r="D1701" s="13" t="s">
        <v>2205</v>
      </c>
      <c r="E1701" s="13" t="s">
        <v>2212</v>
      </c>
      <c r="F1701" s="13" t="s">
        <v>2220</v>
      </c>
      <c r="G1701" s="13">
        <v>156.24</v>
      </c>
      <c r="H1701" s="13">
        <v>0</v>
      </c>
      <c r="I1701" s="13">
        <v>156.24</v>
      </c>
      <c r="J1701" s="24">
        <v>45875</v>
      </c>
      <c r="K1701" s="13">
        <v>15</v>
      </c>
      <c r="L1701" s="13">
        <v>5</v>
      </c>
      <c r="M1701" s="13" t="b">
        <v>0</v>
      </c>
      <c r="O1701" s="13">
        <f t="shared" si="26"/>
        <v>5</v>
      </c>
    </row>
    <row r="1702" spans="1:15" x14ac:dyDescent="0.25">
      <c r="A1702" s="13" t="s">
        <v>1714</v>
      </c>
      <c r="B1702" s="13" t="s">
        <v>2193</v>
      </c>
      <c r="C1702" s="13" t="s">
        <v>2199</v>
      </c>
      <c r="D1702" s="13" t="s">
        <v>2205</v>
      </c>
      <c r="E1702" s="13" t="s">
        <v>2212</v>
      </c>
      <c r="F1702" s="13" t="s">
        <v>2224</v>
      </c>
      <c r="G1702" s="13">
        <v>162.19</v>
      </c>
      <c r="H1702" s="13">
        <v>5.7</v>
      </c>
      <c r="I1702" s="13">
        <v>152.94999999999999</v>
      </c>
      <c r="J1702" s="24">
        <v>45875</v>
      </c>
      <c r="K1702" s="13">
        <v>39</v>
      </c>
      <c r="L1702" s="13">
        <v>1.4</v>
      </c>
      <c r="M1702" s="13" t="b">
        <v>0</v>
      </c>
      <c r="O1702" s="13">
        <f t="shared" si="26"/>
        <v>1.4</v>
      </c>
    </row>
    <row r="1703" spans="1:15" x14ac:dyDescent="0.25">
      <c r="A1703" s="13" t="s">
        <v>1715</v>
      </c>
      <c r="B1703" s="13" t="s">
        <v>2191</v>
      </c>
      <c r="C1703" s="13" t="s">
        <v>2200</v>
      </c>
      <c r="D1703" s="13" t="s">
        <v>2204</v>
      </c>
      <c r="E1703" s="13" t="s">
        <v>2213</v>
      </c>
      <c r="F1703" s="13" t="s">
        <v>2221</v>
      </c>
      <c r="G1703" s="13">
        <v>75.790000000000006</v>
      </c>
      <c r="H1703" s="13">
        <v>7.1</v>
      </c>
      <c r="I1703" s="13">
        <v>70.41</v>
      </c>
      <c r="J1703" s="24">
        <v>45745</v>
      </c>
      <c r="K1703" s="13">
        <v>13</v>
      </c>
      <c r="L1703" s="13">
        <v>3.3</v>
      </c>
      <c r="M1703" s="13" t="b">
        <v>0</v>
      </c>
      <c r="O1703" s="13">
        <f t="shared" si="26"/>
        <v>3.3</v>
      </c>
    </row>
    <row r="1704" spans="1:15" x14ac:dyDescent="0.25">
      <c r="A1704" s="13" t="s">
        <v>1716</v>
      </c>
      <c r="B1704" s="13" t="s">
        <v>2192</v>
      </c>
      <c r="C1704" s="13" t="s">
        <v>2203</v>
      </c>
      <c r="D1704" s="13" t="s">
        <v>2207</v>
      </c>
      <c r="F1704" s="13" t="s">
        <v>2215</v>
      </c>
      <c r="G1704" s="13">
        <v>32.04</v>
      </c>
      <c r="H1704" s="13">
        <v>0</v>
      </c>
      <c r="I1704" s="13">
        <v>32.04</v>
      </c>
      <c r="J1704" s="24">
        <v>45875</v>
      </c>
      <c r="K1704" s="13">
        <v>41</v>
      </c>
      <c r="L1704" s="13">
        <v>1.8</v>
      </c>
      <c r="M1704" s="13" t="b">
        <v>0</v>
      </c>
      <c r="O1704" s="13">
        <f t="shared" si="26"/>
        <v>1.8</v>
      </c>
    </row>
    <row r="1705" spans="1:15" x14ac:dyDescent="0.25">
      <c r="A1705" s="13" t="s">
        <v>1717</v>
      </c>
      <c r="B1705" s="13" t="s">
        <v>2191</v>
      </c>
      <c r="C1705" s="13" t="s">
        <v>2202</v>
      </c>
      <c r="D1705" s="13" t="s">
        <v>2206</v>
      </c>
      <c r="E1705" s="13" t="s">
        <v>2213</v>
      </c>
      <c r="F1705" s="13" t="s">
        <v>2216</v>
      </c>
      <c r="G1705" s="13">
        <v>27.65</v>
      </c>
      <c r="H1705" s="13">
        <v>31.8</v>
      </c>
      <c r="I1705" s="13">
        <v>18.86</v>
      </c>
      <c r="J1705" s="24">
        <v>45875</v>
      </c>
      <c r="K1705" s="13">
        <v>2</v>
      </c>
      <c r="L1705" s="13">
        <v>3.7</v>
      </c>
      <c r="M1705" s="13" t="b">
        <v>1</v>
      </c>
      <c r="N1705" s="13" t="s">
        <v>2226</v>
      </c>
      <c r="O1705" s="13">
        <f t="shared" si="26"/>
        <v>3.7</v>
      </c>
    </row>
    <row r="1706" spans="1:15" x14ac:dyDescent="0.25">
      <c r="A1706" s="13" t="s">
        <v>1718</v>
      </c>
      <c r="B1706" s="13" t="s">
        <v>2194</v>
      </c>
      <c r="C1706" s="13" t="s">
        <v>2198</v>
      </c>
      <c r="D1706" s="13" t="s">
        <v>2204</v>
      </c>
      <c r="E1706" s="13" t="s">
        <v>2213</v>
      </c>
      <c r="F1706" s="13" t="s">
        <v>2223</v>
      </c>
      <c r="G1706" s="13">
        <v>31.54</v>
      </c>
      <c r="H1706" s="13">
        <v>0</v>
      </c>
      <c r="I1706" s="13">
        <v>31.54</v>
      </c>
      <c r="J1706" s="24">
        <v>45872</v>
      </c>
      <c r="K1706" s="13">
        <v>45</v>
      </c>
      <c r="L1706" s="13">
        <v>1.3</v>
      </c>
      <c r="M1706" s="13" t="b">
        <v>0</v>
      </c>
      <c r="O1706" s="13">
        <f t="shared" si="26"/>
        <v>1.3</v>
      </c>
    </row>
    <row r="1707" spans="1:15" x14ac:dyDescent="0.25">
      <c r="A1707" s="13" t="s">
        <v>1719</v>
      </c>
      <c r="B1707" s="13" t="s">
        <v>2194</v>
      </c>
      <c r="C1707" s="13" t="s">
        <v>2196</v>
      </c>
      <c r="D1707" s="13" t="s">
        <v>2207</v>
      </c>
      <c r="E1707" s="13" t="s">
        <v>2211</v>
      </c>
      <c r="F1707" s="13" t="s">
        <v>2221</v>
      </c>
      <c r="G1707" s="13">
        <v>77.64</v>
      </c>
      <c r="H1707" s="13">
        <v>39.1</v>
      </c>
      <c r="I1707" s="13">
        <v>47.28</v>
      </c>
      <c r="J1707" s="24">
        <v>45875</v>
      </c>
      <c r="K1707" s="13">
        <v>19</v>
      </c>
      <c r="L1707" s="13">
        <v>2.6</v>
      </c>
      <c r="M1707" s="13" t="b">
        <v>0</v>
      </c>
      <c r="O1707" s="13">
        <f t="shared" si="26"/>
        <v>2.6</v>
      </c>
    </row>
    <row r="1708" spans="1:15" x14ac:dyDescent="0.25">
      <c r="A1708" s="13" t="s">
        <v>1720</v>
      </c>
      <c r="B1708" s="13" t="s">
        <v>2195</v>
      </c>
      <c r="C1708" s="13" t="s">
        <v>2200</v>
      </c>
      <c r="D1708" s="13" t="s">
        <v>2205</v>
      </c>
      <c r="E1708" s="13" t="s">
        <v>2208</v>
      </c>
      <c r="F1708" s="13" t="s">
        <v>2215</v>
      </c>
      <c r="G1708" s="13">
        <v>51.48</v>
      </c>
      <c r="H1708" s="13">
        <v>0</v>
      </c>
      <c r="I1708" s="13">
        <v>51.48</v>
      </c>
      <c r="J1708" s="24">
        <v>45875</v>
      </c>
      <c r="K1708" s="13">
        <v>10</v>
      </c>
      <c r="L1708" s="13">
        <v>1</v>
      </c>
      <c r="M1708" s="13" t="b">
        <v>0</v>
      </c>
      <c r="O1708" s="13">
        <f t="shared" si="26"/>
        <v>1</v>
      </c>
    </row>
    <row r="1709" spans="1:15" x14ac:dyDescent="0.25">
      <c r="A1709" s="13" t="s">
        <v>1721</v>
      </c>
      <c r="B1709" s="13" t="s">
        <v>2190</v>
      </c>
      <c r="C1709" s="13" t="s">
        <v>2196</v>
      </c>
      <c r="D1709" s="13" t="s">
        <v>2206</v>
      </c>
      <c r="E1709" s="13" t="s">
        <v>2213</v>
      </c>
      <c r="F1709" s="13" t="s">
        <v>2215</v>
      </c>
      <c r="G1709" s="13">
        <v>108.58</v>
      </c>
      <c r="H1709" s="13">
        <v>0</v>
      </c>
      <c r="I1709" s="13">
        <v>108.58</v>
      </c>
      <c r="J1709" s="24">
        <v>45875</v>
      </c>
      <c r="K1709" s="13">
        <v>44</v>
      </c>
      <c r="L1709" s="13">
        <v>2.4</v>
      </c>
      <c r="M1709" s="13" t="b">
        <v>0</v>
      </c>
      <c r="O1709" s="13">
        <f t="shared" si="26"/>
        <v>2.4</v>
      </c>
    </row>
    <row r="1710" spans="1:15" x14ac:dyDescent="0.25">
      <c r="A1710" s="13" t="s">
        <v>1722</v>
      </c>
      <c r="B1710" s="13" t="s">
        <v>2191</v>
      </c>
      <c r="C1710" s="13" t="s">
        <v>2203</v>
      </c>
      <c r="D1710" s="13" t="s">
        <v>2205</v>
      </c>
      <c r="E1710" s="13" t="s">
        <v>2211</v>
      </c>
      <c r="F1710" s="13" t="s">
        <v>2216</v>
      </c>
      <c r="G1710" s="13">
        <v>84.17</v>
      </c>
      <c r="H1710" s="13">
        <v>0</v>
      </c>
      <c r="I1710" s="13">
        <v>84.17</v>
      </c>
      <c r="J1710" s="24">
        <v>45875</v>
      </c>
      <c r="K1710" s="13">
        <v>20</v>
      </c>
      <c r="L1710" s="13">
        <v>3.7</v>
      </c>
      <c r="M1710" s="13" t="b">
        <v>0</v>
      </c>
      <c r="O1710" s="13">
        <f t="shared" si="26"/>
        <v>3.7</v>
      </c>
    </row>
    <row r="1711" spans="1:15" x14ac:dyDescent="0.25">
      <c r="A1711" s="13" t="s">
        <v>1723</v>
      </c>
      <c r="B1711" s="13" t="s">
        <v>2194</v>
      </c>
      <c r="C1711" s="13" t="s">
        <v>2199</v>
      </c>
      <c r="D1711" s="13" t="s">
        <v>2204</v>
      </c>
      <c r="E1711" s="13" t="s">
        <v>2209</v>
      </c>
      <c r="F1711" s="13" t="s">
        <v>2215</v>
      </c>
      <c r="G1711" s="13">
        <v>76.45</v>
      </c>
      <c r="H1711" s="13">
        <v>0</v>
      </c>
      <c r="I1711" s="13">
        <v>76.45</v>
      </c>
      <c r="J1711" s="24">
        <v>45818</v>
      </c>
      <c r="K1711" s="13">
        <v>16</v>
      </c>
      <c r="L1711" s="13">
        <v>1</v>
      </c>
      <c r="M1711" s="13" t="b">
        <v>1</v>
      </c>
      <c r="N1711" s="13" t="s">
        <v>2225</v>
      </c>
      <c r="O1711" s="13">
        <f t="shared" si="26"/>
        <v>1</v>
      </c>
    </row>
    <row r="1712" spans="1:15" x14ac:dyDescent="0.25">
      <c r="A1712" s="13" t="s">
        <v>1724</v>
      </c>
      <c r="B1712" s="13" t="s">
        <v>2192</v>
      </c>
      <c r="C1712" s="13" t="s">
        <v>2197</v>
      </c>
      <c r="D1712" s="13" t="s">
        <v>2204</v>
      </c>
      <c r="F1712" s="13" t="s">
        <v>2218</v>
      </c>
      <c r="G1712" s="13">
        <v>50.31</v>
      </c>
      <c r="H1712" s="13">
        <v>0</v>
      </c>
      <c r="I1712" s="13">
        <v>50.31</v>
      </c>
      <c r="J1712" s="24">
        <v>45771</v>
      </c>
      <c r="K1712" s="13">
        <v>36</v>
      </c>
      <c r="M1712" s="13" t="b">
        <v>0</v>
      </c>
      <c r="O1712" s="13">
        <f t="shared" si="26"/>
        <v>3.1288461538461547</v>
      </c>
    </row>
    <row r="1713" spans="1:15" x14ac:dyDescent="0.25">
      <c r="A1713" s="13" t="s">
        <v>1725</v>
      </c>
      <c r="B1713" s="13" t="s">
        <v>2191</v>
      </c>
      <c r="C1713" s="13" t="s">
        <v>2202</v>
      </c>
      <c r="D1713" s="13" t="s">
        <v>2204</v>
      </c>
      <c r="E1713" s="13" t="s">
        <v>2210</v>
      </c>
      <c r="F1713" s="13" t="s">
        <v>2215</v>
      </c>
      <c r="G1713" s="13">
        <v>43.45</v>
      </c>
      <c r="H1713" s="13">
        <v>0</v>
      </c>
      <c r="I1713" s="13">
        <v>43.45</v>
      </c>
      <c r="J1713" s="24">
        <v>45855</v>
      </c>
      <c r="K1713" s="13">
        <v>30</v>
      </c>
      <c r="L1713" s="13">
        <v>2.2999999999999998</v>
      </c>
      <c r="M1713" s="13" t="b">
        <v>0</v>
      </c>
      <c r="O1713" s="13">
        <f t="shared" si="26"/>
        <v>2.2999999999999998</v>
      </c>
    </row>
    <row r="1714" spans="1:15" x14ac:dyDescent="0.25">
      <c r="A1714" s="13" t="s">
        <v>1726</v>
      </c>
      <c r="B1714" s="13" t="s">
        <v>2195</v>
      </c>
      <c r="C1714" s="13" t="s">
        <v>2197</v>
      </c>
      <c r="D1714" s="13" t="s">
        <v>2206</v>
      </c>
      <c r="E1714" s="13" t="s">
        <v>2208</v>
      </c>
      <c r="F1714" s="13" t="s">
        <v>2218</v>
      </c>
      <c r="G1714" s="13">
        <v>149.22</v>
      </c>
      <c r="H1714" s="13">
        <v>53.9</v>
      </c>
      <c r="I1714" s="13">
        <v>68.790000000000006</v>
      </c>
      <c r="J1714" s="24">
        <v>45875</v>
      </c>
      <c r="K1714" s="13">
        <v>41</v>
      </c>
      <c r="L1714" s="13">
        <v>2.2000000000000002</v>
      </c>
      <c r="M1714" s="13" t="b">
        <v>0</v>
      </c>
      <c r="O1714" s="13">
        <f t="shared" si="26"/>
        <v>2.2000000000000002</v>
      </c>
    </row>
    <row r="1715" spans="1:15" x14ac:dyDescent="0.25">
      <c r="A1715" s="13" t="s">
        <v>1727</v>
      </c>
      <c r="B1715" s="13" t="s">
        <v>2194</v>
      </c>
      <c r="C1715" s="13" t="s">
        <v>2202</v>
      </c>
      <c r="D1715" s="13" t="s">
        <v>2207</v>
      </c>
      <c r="E1715" s="13" t="s">
        <v>2212</v>
      </c>
      <c r="F1715" s="13" t="s">
        <v>2218</v>
      </c>
      <c r="G1715" s="13">
        <v>48.24</v>
      </c>
      <c r="H1715" s="13">
        <v>31.7</v>
      </c>
      <c r="I1715" s="13">
        <v>32.950000000000003</v>
      </c>
      <c r="J1715" s="24">
        <v>45875</v>
      </c>
      <c r="K1715" s="13">
        <v>46</v>
      </c>
      <c r="L1715" s="13">
        <v>3.7</v>
      </c>
      <c r="M1715" s="13" t="b">
        <v>0</v>
      </c>
      <c r="O1715" s="13">
        <f t="shared" si="26"/>
        <v>3.7</v>
      </c>
    </row>
    <row r="1716" spans="1:15" x14ac:dyDescent="0.25">
      <c r="A1716" s="13" t="s">
        <v>1728</v>
      </c>
      <c r="B1716" s="13" t="s">
        <v>2194</v>
      </c>
      <c r="C1716" s="13" t="s">
        <v>2200</v>
      </c>
      <c r="D1716" s="13" t="s">
        <v>2207</v>
      </c>
      <c r="E1716" s="13" t="s">
        <v>2210</v>
      </c>
      <c r="F1716" s="13" t="s">
        <v>2224</v>
      </c>
      <c r="G1716" s="13">
        <v>66.27</v>
      </c>
      <c r="H1716" s="13">
        <v>21.7</v>
      </c>
      <c r="I1716" s="13">
        <v>51.89</v>
      </c>
      <c r="J1716" s="24">
        <v>45875</v>
      </c>
      <c r="K1716" s="13">
        <v>28</v>
      </c>
      <c r="L1716" s="13">
        <v>2.5</v>
      </c>
      <c r="M1716" s="13" t="b">
        <v>1</v>
      </c>
      <c r="N1716" s="13" t="s">
        <v>2229</v>
      </c>
      <c r="O1716" s="13">
        <f t="shared" si="26"/>
        <v>2.5</v>
      </c>
    </row>
    <row r="1717" spans="1:15" x14ac:dyDescent="0.25">
      <c r="A1717" s="13" t="s">
        <v>1729</v>
      </c>
      <c r="B1717" s="13" t="s">
        <v>2193</v>
      </c>
      <c r="C1717" s="13" t="s">
        <v>2200</v>
      </c>
      <c r="D1717" s="13" t="s">
        <v>2206</v>
      </c>
      <c r="E1717" s="13" t="s">
        <v>2211</v>
      </c>
      <c r="F1717" s="13" t="s">
        <v>2222</v>
      </c>
      <c r="G1717" s="13">
        <v>82.65</v>
      </c>
      <c r="H1717" s="13">
        <v>0</v>
      </c>
      <c r="I1717" s="13">
        <v>82.65</v>
      </c>
      <c r="J1717" s="24">
        <v>45875</v>
      </c>
      <c r="K1717" s="13">
        <v>30</v>
      </c>
      <c r="L1717" s="13">
        <v>4.0999999999999996</v>
      </c>
      <c r="M1717" s="13" t="b">
        <v>0</v>
      </c>
      <c r="O1717" s="13">
        <f t="shared" si="26"/>
        <v>4.0999999999999996</v>
      </c>
    </row>
    <row r="1718" spans="1:15" x14ac:dyDescent="0.25">
      <c r="A1718" s="13" t="s">
        <v>1730</v>
      </c>
      <c r="B1718" s="13" t="s">
        <v>2194</v>
      </c>
      <c r="C1718" s="13" t="s">
        <v>2201</v>
      </c>
      <c r="D1718" s="13" t="s">
        <v>2205</v>
      </c>
      <c r="E1718" s="13" t="s">
        <v>2211</v>
      </c>
      <c r="F1718" s="13" t="s">
        <v>2216</v>
      </c>
      <c r="G1718" s="13">
        <v>42.36</v>
      </c>
      <c r="H1718" s="13">
        <v>0</v>
      </c>
      <c r="I1718" s="13">
        <v>42.36</v>
      </c>
      <c r="J1718" s="24">
        <v>45875</v>
      </c>
      <c r="K1718" s="13">
        <v>37</v>
      </c>
      <c r="L1718" s="13">
        <v>1.4</v>
      </c>
      <c r="M1718" s="13" t="b">
        <v>0</v>
      </c>
      <c r="O1718" s="13">
        <f t="shared" si="26"/>
        <v>1.4</v>
      </c>
    </row>
    <row r="1719" spans="1:15" x14ac:dyDescent="0.25">
      <c r="A1719" s="13" t="s">
        <v>1731</v>
      </c>
      <c r="B1719" s="13" t="s">
        <v>2194</v>
      </c>
      <c r="C1719" s="13" t="s">
        <v>2201</v>
      </c>
      <c r="D1719" s="13" t="s">
        <v>2207</v>
      </c>
      <c r="E1719" s="13" t="s">
        <v>2213</v>
      </c>
      <c r="F1719" s="13" t="s">
        <v>2214</v>
      </c>
      <c r="G1719" s="13">
        <v>109.36</v>
      </c>
      <c r="H1719" s="13">
        <v>0</v>
      </c>
      <c r="I1719" s="13">
        <v>109.36</v>
      </c>
      <c r="J1719" s="24">
        <v>45875</v>
      </c>
      <c r="K1719" s="13">
        <v>24</v>
      </c>
      <c r="L1719" s="13">
        <v>1.7</v>
      </c>
      <c r="M1719" s="13" t="b">
        <v>0</v>
      </c>
      <c r="O1719" s="13">
        <f t="shared" si="26"/>
        <v>1.7</v>
      </c>
    </row>
    <row r="1720" spans="1:15" x14ac:dyDescent="0.25">
      <c r="A1720" s="13" t="s">
        <v>1732</v>
      </c>
      <c r="B1720" s="13" t="s">
        <v>2192</v>
      </c>
      <c r="C1720" s="13" t="s">
        <v>2201</v>
      </c>
      <c r="D1720" s="13" t="s">
        <v>2205</v>
      </c>
      <c r="F1720" s="13" t="s">
        <v>2221</v>
      </c>
      <c r="G1720" s="13">
        <v>59.98</v>
      </c>
      <c r="H1720" s="13">
        <v>0</v>
      </c>
      <c r="I1720" s="13">
        <v>59.98</v>
      </c>
      <c r="J1720" s="24">
        <v>45875</v>
      </c>
      <c r="K1720" s="13">
        <v>28</v>
      </c>
      <c r="L1720" s="13">
        <v>2.2000000000000002</v>
      </c>
      <c r="M1720" s="13" t="b">
        <v>0</v>
      </c>
      <c r="O1720" s="13">
        <f t="shared" si="26"/>
        <v>2.2000000000000002</v>
      </c>
    </row>
    <row r="1721" spans="1:15" x14ac:dyDescent="0.25">
      <c r="A1721" s="13" t="s">
        <v>1733</v>
      </c>
      <c r="B1721" s="13" t="s">
        <v>2195</v>
      </c>
      <c r="C1721" s="13" t="s">
        <v>2202</v>
      </c>
      <c r="D1721" s="13" t="s">
        <v>2204</v>
      </c>
      <c r="F1721" s="13" t="s">
        <v>2223</v>
      </c>
      <c r="G1721" s="13">
        <v>111.81</v>
      </c>
      <c r="H1721" s="13">
        <v>0</v>
      </c>
      <c r="I1721" s="13">
        <v>111.81</v>
      </c>
      <c r="J1721" s="24">
        <v>45525</v>
      </c>
      <c r="K1721" s="13">
        <v>45</v>
      </c>
      <c r="L1721" s="13">
        <v>1.1000000000000001</v>
      </c>
      <c r="M1721" s="13" t="b">
        <v>0</v>
      </c>
      <c r="O1721" s="13">
        <f t="shared" si="26"/>
        <v>1.1000000000000001</v>
      </c>
    </row>
    <row r="1722" spans="1:15" x14ac:dyDescent="0.25">
      <c r="A1722" s="13" t="s">
        <v>1734</v>
      </c>
      <c r="B1722" s="13" t="s">
        <v>2194</v>
      </c>
      <c r="C1722" s="13" t="s">
        <v>2198</v>
      </c>
      <c r="D1722" s="13" t="s">
        <v>2205</v>
      </c>
      <c r="E1722" s="13" t="s">
        <v>2211</v>
      </c>
      <c r="F1722" s="13" t="s">
        <v>2214</v>
      </c>
      <c r="G1722" s="13">
        <v>70.78</v>
      </c>
      <c r="H1722" s="13">
        <v>0</v>
      </c>
      <c r="I1722" s="13">
        <v>70.78</v>
      </c>
      <c r="J1722" s="24">
        <v>45875</v>
      </c>
      <c r="K1722" s="13">
        <v>39</v>
      </c>
      <c r="L1722" s="13">
        <v>3.4</v>
      </c>
      <c r="M1722" s="13" t="b">
        <v>1</v>
      </c>
      <c r="N1722" s="13" t="s">
        <v>2225</v>
      </c>
      <c r="O1722" s="13">
        <f t="shared" si="26"/>
        <v>3.4</v>
      </c>
    </row>
    <row r="1723" spans="1:15" x14ac:dyDescent="0.25">
      <c r="A1723" s="13" t="s">
        <v>1735</v>
      </c>
      <c r="B1723" s="13" t="s">
        <v>2192</v>
      </c>
      <c r="C1723" s="13" t="s">
        <v>2199</v>
      </c>
      <c r="D1723" s="13" t="s">
        <v>2205</v>
      </c>
      <c r="F1723" s="13" t="s">
        <v>2215</v>
      </c>
      <c r="G1723" s="13">
        <v>76.13</v>
      </c>
      <c r="H1723" s="13">
        <v>58.5</v>
      </c>
      <c r="I1723" s="13">
        <v>31.59</v>
      </c>
      <c r="J1723" s="24">
        <v>45875</v>
      </c>
      <c r="K1723" s="13">
        <v>40</v>
      </c>
      <c r="L1723" s="13">
        <v>1.6</v>
      </c>
      <c r="M1723" s="13" t="b">
        <v>0</v>
      </c>
      <c r="O1723" s="13">
        <f t="shared" si="26"/>
        <v>1.6</v>
      </c>
    </row>
    <row r="1724" spans="1:15" x14ac:dyDescent="0.25">
      <c r="A1724" s="13" t="s">
        <v>1736</v>
      </c>
      <c r="B1724" s="13" t="s">
        <v>2194</v>
      </c>
      <c r="C1724" s="13" t="s">
        <v>2198</v>
      </c>
      <c r="D1724" s="13" t="s">
        <v>2206</v>
      </c>
      <c r="E1724" s="13" t="s">
        <v>2212</v>
      </c>
      <c r="F1724" s="13" t="s">
        <v>2215</v>
      </c>
      <c r="G1724" s="13">
        <v>71.09</v>
      </c>
      <c r="H1724" s="13">
        <v>41.5</v>
      </c>
      <c r="I1724" s="13">
        <v>41.59</v>
      </c>
      <c r="J1724" s="24">
        <v>45875</v>
      </c>
      <c r="K1724" s="13">
        <v>20</v>
      </c>
      <c r="L1724" s="13">
        <v>3.1</v>
      </c>
      <c r="M1724" s="13" t="b">
        <v>0</v>
      </c>
      <c r="O1724" s="13">
        <f t="shared" si="26"/>
        <v>3.1</v>
      </c>
    </row>
    <row r="1725" spans="1:15" x14ac:dyDescent="0.25">
      <c r="A1725" s="13" t="s">
        <v>1737</v>
      </c>
      <c r="B1725" s="13" t="s">
        <v>2194</v>
      </c>
      <c r="C1725" s="13" t="s">
        <v>2199</v>
      </c>
      <c r="D1725" s="13" t="s">
        <v>2206</v>
      </c>
      <c r="F1725" s="13" t="s">
        <v>2218</v>
      </c>
      <c r="G1725" s="13">
        <v>53.64</v>
      </c>
      <c r="H1725" s="13">
        <v>55.9</v>
      </c>
      <c r="I1725" s="13">
        <v>23.66</v>
      </c>
      <c r="J1725" s="24">
        <v>45875</v>
      </c>
      <c r="K1725" s="13">
        <v>10</v>
      </c>
      <c r="L1725" s="13">
        <v>2.5</v>
      </c>
      <c r="M1725" s="13" t="b">
        <v>0</v>
      </c>
      <c r="O1725" s="13">
        <f t="shared" si="26"/>
        <v>2.5</v>
      </c>
    </row>
    <row r="1726" spans="1:15" x14ac:dyDescent="0.25">
      <c r="A1726" s="13" t="s">
        <v>1738</v>
      </c>
      <c r="B1726" s="13" t="s">
        <v>2193</v>
      </c>
      <c r="C1726" s="13" t="s">
        <v>2201</v>
      </c>
      <c r="D1726" s="13" t="s">
        <v>2206</v>
      </c>
      <c r="F1726" s="13" t="s">
        <v>2224</v>
      </c>
      <c r="G1726" s="13">
        <v>110.2</v>
      </c>
      <c r="H1726" s="13">
        <v>59.7</v>
      </c>
      <c r="I1726" s="13">
        <v>44.41</v>
      </c>
      <c r="J1726" s="24">
        <v>45875</v>
      </c>
      <c r="K1726" s="13">
        <v>13</v>
      </c>
      <c r="L1726" s="13">
        <v>3.5</v>
      </c>
      <c r="M1726" s="13" t="b">
        <v>1</v>
      </c>
      <c r="N1726" s="13" t="s">
        <v>2225</v>
      </c>
      <c r="O1726" s="13">
        <f t="shared" si="26"/>
        <v>3.5</v>
      </c>
    </row>
    <row r="1727" spans="1:15" x14ac:dyDescent="0.25">
      <c r="A1727" s="13" t="s">
        <v>1739</v>
      </c>
      <c r="B1727" s="13" t="s">
        <v>2193</v>
      </c>
      <c r="C1727" s="13" t="s">
        <v>2197</v>
      </c>
      <c r="D1727" s="13" t="s">
        <v>2207</v>
      </c>
      <c r="E1727" s="13" t="s">
        <v>2211</v>
      </c>
      <c r="F1727" s="13" t="s">
        <v>2220</v>
      </c>
      <c r="G1727" s="13">
        <v>80.63</v>
      </c>
      <c r="H1727" s="13">
        <v>17.399999999999999</v>
      </c>
      <c r="I1727" s="13">
        <v>66.599999999999994</v>
      </c>
      <c r="J1727" s="24">
        <v>45875</v>
      </c>
      <c r="K1727" s="13">
        <v>6</v>
      </c>
      <c r="M1727" s="13" t="b">
        <v>1</v>
      </c>
      <c r="N1727" s="13" t="s">
        <v>2227</v>
      </c>
      <c r="O1727" s="13">
        <f t="shared" si="26"/>
        <v>2.8205128205128198</v>
      </c>
    </row>
    <row r="1728" spans="1:15" x14ac:dyDescent="0.25">
      <c r="A1728" s="13" t="s">
        <v>1740</v>
      </c>
      <c r="B1728" s="13" t="s">
        <v>2195</v>
      </c>
      <c r="C1728" s="13" t="s">
        <v>2199</v>
      </c>
      <c r="D1728" s="13" t="s">
        <v>2204</v>
      </c>
      <c r="E1728" s="13" t="s">
        <v>2208</v>
      </c>
      <c r="F1728" s="13" t="s">
        <v>2220</v>
      </c>
      <c r="G1728" s="13">
        <v>101.09</v>
      </c>
      <c r="H1728" s="13">
        <v>24.8</v>
      </c>
      <c r="I1728" s="13">
        <v>76.02</v>
      </c>
      <c r="J1728" s="24">
        <v>45537</v>
      </c>
      <c r="K1728" s="13">
        <v>7</v>
      </c>
      <c r="L1728" s="13">
        <v>4.5</v>
      </c>
      <c r="M1728" s="13" t="b">
        <v>1</v>
      </c>
      <c r="N1728" s="13" t="s">
        <v>2227</v>
      </c>
      <c r="O1728" s="13">
        <f t="shared" si="26"/>
        <v>4.5</v>
      </c>
    </row>
    <row r="1729" spans="1:15" x14ac:dyDescent="0.25">
      <c r="A1729" s="13" t="s">
        <v>1741</v>
      </c>
      <c r="B1729" s="13" t="s">
        <v>2192</v>
      </c>
      <c r="C1729" s="13" t="s">
        <v>2196</v>
      </c>
      <c r="D1729" s="13" t="s">
        <v>2204</v>
      </c>
      <c r="F1729" s="13" t="s">
        <v>2222</v>
      </c>
      <c r="G1729" s="13">
        <v>75.48</v>
      </c>
      <c r="H1729" s="13">
        <v>0</v>
      </c>
      <c r="I1729" s="13">
        <v>75.48</v>
      </c>
      <c r="J1729" s="24">
        <v>45804</v>
      </c>
      <c r="K1729" s="13">
        <v>16</v>
      </c>
      <c r="L1729" s="13">
        <v>1.4</v>
      </c>
      <c r="M1729" s="13" t="b">
        <v>0</v>
      </c>
      <c r="O1729" s="13">
        <f t="shared" si="26"/>
        <v>1.4</v>
      </c>
    </row>
    <row r="1730" spans="1:15" x14ac:dyDescent="0.25">
      <c r="A1730" s="13" t="s">
        <v>1742</v>
      </c>
      <c r="B1730" s="13" t="s">
        <v>2193</v>
      </c>
      <c r="C1730" s="13" t="s">
        <v>2198</v>
      </c>
      <c r="D1730" s="13" t="s">
        <v>2207</v>
      </c>
      <c r="E1730" s="13" t="s">
        <v>2210</v>
      </c>
      <c r="F1730" s="13" t="s">
        <v>2224</v>
      </c>
      <c r="G1730" s="13">
        <v>159.94999999999999</v>
      </c>
      <c r="H1730" s="13">
        <v>6.4</v>
      </c>
      <c r="I1730" s="13">
        <v>149.71</v>
      </c>
      <c r="J1730" s="24">
        <v>45875</v>
      </c>
      <c r="K1730" s="13">
        <v>39</v>
      </c>
      <c r="L1730" s="13">
        <v>3</v>
      </c>
      <c r="M1730" s="13" t="b">
        <v>0</v>
      </c>
      <c r="O1730" s="13">
        <f t="shared" si="26"/>
        <v>3</v>
      </c>
    </row>
    <row r="1731" spans="1:15" x14ac:dyDescent="0.25">
      <c r="A1731" s="13" t="s">
        <v>1743</v>
      </c>
      <c r="B1731" s="13" t="s">
        <v>2195</v>
      </c>
      <c r="C1731" s="13" t="s">
        <v>2202</v>
      </c>
      <c r="D1731" s="13" t="s">
        <v>2207</v>
      </c>
      <c r="E1731" s="13" t="s">
        <v>2209</v>
      </c>
      <c r="F1731" s="13" t="s">
        <v>2216</v>
      </c>
      <c r="G1731" s="13">
        <v>61.9</v>
      </c>
      <c r="H1731" s="13">
        <v>0</v>
      </c>
      <c r="I1731" s="13">
        <v>61.9</v>
      </c>
      <c r="J1731" s="24">
        <v>45875</v>
      </c>
      <c r="K1731" s="13">
        <v>29</v>
      </c>
      <c r="L1731" s="13">
        <v>4.4000000000000004</v>
      </c>
      <c r="M1731" s="13" t="b">
        <v>0</v>
      </c>
      <c r="O1731" s="13">
        <f t="shared" ref="O1731:O1794" si="27">IF(L1731="",AVERAGEIFS($L$2:$L$2177,$B$2:$B$2177,B1731,$C$2:$C$2177,C1731),L1731)</f>
        <v>4.4000000000000004</v>
      </c>
    </row>
    <row r="1732" spans="1:15" x14ac:dyDescent="0.25">
      <c r="A1732" s="13" t="s">
        <v>1744</v>
      </c>
      <c r="B1732" s="13" t="s">
        <v>2191</v>
      </c>
      <c r="C1732" s="13" t="s">
        <v>2198</v>
      </c>
      <c r="D1732" s="13" t="s">
        <v>2206</v>
      </c>
      <c r="E1732" s="13" t="s">
        <v>2208</v>
      </c>
      <c r="F1732" s="13" t="s">
        <v>2223</v>
      </c>
      <c r="G1732" s="13">
        <v>63.45</v>
      </c>
      <c r="H1732" s="13">
        <v>12.3</v>
      </c>
      <c r="I1732" s="13">
        <v>55.65</v>
      </c>
      <c r="J1732" s="24">
        <v>45875</v>
      </c>
      <c r="K1732" s="13">
        <v>23</v>
      </c>
      <c r="L1732" s="13">
        <v>4.9000000000000004</v>
      </c>
      <c r="M1732" s="13" t="b">
        <v>0</v>
      </c>
      <c r="O1732" s="13">
        <f t="shared" si="27"/>
        <v>4.9000000000000004</v>
      </c>
    </row>
    <row r="1733" spans="1:15" x14ac:dyDescent="0.25">
      <c r="A1733" s="13" t="s">
        <v>1745</v>
      </c>
      <c r="B1733" s="13" t="s">
        <v>2191</v>
      </c>
      <c r="C1733" s="13" t="s">
        <v>2199</v>
      </c>
      <c r="D1733" s="13" t="s">
        <v>2207</v>
      </c>
      <c r="E1733" s="13" t="s">
        <v>2210</v>
      </c>
      <c r="F1733" s="13" t="s">
        <v>2214</v>
      </c>
      <c r="G1733" s="13">
        <v>43.22</v>
      </c>
      <c r="H1733" s="13">
        <v>46.7</v>
      </c>
      <c r="I1733" s="13">
        <v>23.04</v>
      </c>
      <c r="J1733" s="24">
        <v>45875</v>
      </c>
      <c r="K1733" s="13">
        <v>29</v>
      </c>
      <c r="L1733" s="13">
        <v>1.3</v>
      </c>
      <c r="M1733" s="13" t="b">
        <v>0</v>
      </c>
      <c r="O1733" s="13">
        <f t="shared" si="27"/>
        <v>1.3</v>
      </c>
    </row>
    <row r="1734" spans="1:15" x14ac:dyDescent="0.25">
      <c r="A1734" s="13" t="s">
        <v>1746</v>
      </c>
      <c r="B1734" s="13" t="s">
        <v>2193</v>
      </c>
      <c r="C1734" s="13" t="s">
        <v>2198</v>
      </c>
      <c r="D1734" s="13" t="s">
        <v>2205</v>
      </c>
      <c r="E1734" s="13" t="s">
        <v>2210</v>
      </c>
      <c r="F1734" s="13" t="s">
        <v>2222</v>
      </c>
      <c r="G1734" s="13">
        <v>64.650000000000006</v>
      </c>
      <c r="H1734" s="13">
        <v>26.8</v>
      </c>
      <c r="I1734" s="13">
        <v>47.32</v>
      </c>
      <c r="J1734" s="24">
        <v>45875</v>
      </c>
      <c r="K1734" s="13">
        <v>28</v>
      </c>
      <c r="L1734" s="13">
        <v>4.7</v>
      </c>
      <c r="M1734" s="13" t="b">
        <v>0</v>
      </c>
      <c r="O1734" s="13">
        <f t="shared" si="27"/>
        <v>4.7</v>
      </c>
    </row>
    <row r="1735" spans="1:15" x14ac:dyDescent="0.25">
      <c r="A1735" s="13" t="s">
        <v>1747</v>
      </c>
      <c r="B1735" s="13" t="s">
        <v>2193</v>
      </c>
      <c r="C1735" s="13" t="s">
        <v>2197</v>
      </c>
      <c r="D1735" s="13" t="s">
        <v>2204</v>
      </c>
      <c r="E1735" s="13" t="s">
        <v>2211</v>
      </c>
      <c r="F1735" s="13" t="s">
        <v>2223</v>
      </c>
      <c r="G1735" s="13">
        <v>118.67</v>
      </c>
      <c r="H1735" s="13">
        <v>56</v>
      </c>
      <c r="I1735" s="13">
        <v>52.21</v>
      </c>
      <c r="J1735" s="24">
        <v>45773</v>
      </c>
      <c r="K1735" s="13">
        <v>27</v>
      </c>
      <c r="L1735" s="13">
        <v>3.5</v>
      </c>
      <c r="M1735" s="13" t="b">
        <v>0</v>
      </c>
      <c r="O1735" s="13">
        <f t="shared" si="27"/>
        <v>3.5</v>
      </c>
    </row>
    <row r="1736" spans="1:15" x14ac:dyDescent="0.25">
      <c r="A1736" s="13" t="s">
        <v>1748</v>
      </c>
      <c r="B1736" s="13" t="s">
        <v>2195</v>
      </c>
      <c r="C1736" s="13" t="s">
        <v>2198</v>
      </c>
      <c r="D1736" s="13" t="s">
        <v>2204</v>
      </c>
      <c r="E1736" s="13" t="s">
        <v>2212</v>
      </c>
      <c r="F1736" s="13" t="s">
        <v>2217</v>
      </c>
      <c r="G1736" s="13">
        <v>169.32</v>
      </c>
      <c r="H1736" s="13">
        <v>0</v>
      </c>
      <c r="I1736" s="13">
        <v>169.32</v>
      </c>
      <c r="J1736" s="24">
        <v>45643</v>
      </c>
      <c r="K1736" s="13">
        <v>19</v>
      </c>
      <c r="L1736" s="13">
        <v>2.2000000000000002</v>
      </c>
      <c r="M1736" s="13" t="b">
        <v>0</v>
      </c>
      <c r="O1736" s="13">
        <f t="shared" si="27"/>
        <v>2.2000000000000002</v>
      </c>
    </row>
    <row r="1737" spans="1:15" x14ac:dyDescent="0.25">
      <c r="A1737" s="13" t="s">
        <v>1749</v>
      </c>
      <c r="B1737" s="13" t="s">
        <v>2193</v>
      </c>
      <c r="C1737" s="13" t="s">
        <v>2201</v>
      </c>
      <c r="D1737" s="13" t="s">
        <v>2204</v>
      </c>
      <c r="E1737" s="13" t="s">
        <v>2212</v>
      </c>
      <c r="F1737" s="13" t="s">
        <v>2218</v>
      </c>
      <c r="G1737" s="13">
        <v>115.77</v>
      </c>
      <c r="H1737" s="13">
        <v>0</v>
      </c>
      <c r="I1737" s="13">
        <v>115.77</v>
      </c>
      <c r="J1737" s="24">
        <v>45620</v>
      </c>
      <c r="K1737" s="13">
        <v>43</v>
      </c>
      <c r="M1737" s="13" t="b">
        <v>0</v>
      </c>
      <c r="O1737" s="13">
        <f t="shared" si="27"/>
        <v>3.0068965517241386</v>
      </c>
    </row>
    <row r="1738" spans="1:15" x14ac:dyDescent="0.25">
      <c r="A1738" s="13" t="s">
        <v>1750</v>
      </c>
      <c r="B1738" s="13" t="s">
        <v>2193</v>
      </c>
      <c r="C1738" s="13" t="s">
        <v>2199</v>
      </c>
      <c r="D1738" s="13" t="s">
        <v>2206</v>
      </c>
      <c r="E1738" s="13" t="s">
        <v>2212</v>
      </c>
      <c r="F1738" s="13" t="s">
        <v>2221</v>
      </c>
      <c r="G1738" s="13">
        <v>139.91</v>
      </c>
      <c r="H1738" s="13">
        <v>0</v>
      </c>
      <c r="I1738" s="13">
        <v>139.91</v>
      </c>
      <c r="J1738" s="24">
        <v>45875</v>
      </c>
      <c r="K1738" s="13">
        <v>9</v>
      </c>
      <c r="L1738" s="13">
        <v>3.7</v>
      </c>
      <c r="M1738" s="13" t="b">
        <v>0</v>
      </c>
      <c r="O1738" s="13">
        <f t="shared" si="27"/>
        <v>3.7</v>
      </c>
    </row>
    <row r="1739" spans="1:15" x14ac:dyDescent="0.25">
      <c r="A1739" s="13" t="s">
        <v>1751</v>
      </c>
      <c r="B1739" s="13" t="s">
        <v>2194</v>
      </c>
      <c r="C1739" s="13" t="s">
        <v>2198</v>
      </c>
      <c r="D1739" s="13" t="s">
        <v>2207</v>
      </c>
      <c r="E1739" s="13" t="s">
        <v>2211</v>
      </c>
      <c r="F1739" s="13" t="s">
        <v>2223</v>
      </c>
      <c r="G1739" s="13">
        <v>101.73</v>
      </c>
      <c r="H1739" s="13">
        <v>0</v>
      </c>
      <c r="I1739" s="13">
        <v>101.73</v>
      </c>
      <c r="J1739" s="24">
        <v>45875</v>
      </c>
      <c r="K1739" s="13">
        <v>14</v>
      </c>
      <c r="L1739" s="13">
        <v>4.7</v>
      </c>
      <c r="M1739" s="13" t="b">
        <v>0</v>
      </c>
      <c r="O1739" s="13">
        <f t="shared" si="27"/>
        <v>4.7</v>
      </c>
    </row>
    <row r="1740" spans="1:15" x14ac:dyDescent="0.25">
      <c r="A1740" s="13" t="s">
        <v>1752</v>
      </c>
      <c r="B1740" s="13" t="s">
        <v>2191</v>
      </c>
      <c r="C1740" s="13" t="s">
        <v>2203</v>
      </c>
      <c r="D1740" s="13" t="s">
        <v>2207</v>
      </c>
      <c r="F1740" s="13" t="s">
        <v>2215</v>
      </c>
      <c r="G1740" s="13">
        <v>105.85</v>
      </c>
      <c r="H1740" s="13">
        <v>0</v>
      </c>
      <c r="I1740" s="13">
        <v>105.85</v>
      </c>
      <c r="J1740" s="24">
        <v>45875</v>
      </c>
      <c r="K1740" s="13">
        <v>29</v>
      </c>
      <c r="L1740" s="13">
        <v>2.1</v>
      </c>
      <c r="M1740" s="13" t="b">
        <v>0</v>
      </c>
      <c r="O1740" s="13">
        <f t="shared" si="27"/>
        <v>2.1</v>
      </c>
    </row>
    <row r="1741" spans="1:15" x14ac:dyDescent="0.25">
      <c r="A1741" s="13" t="s">
        <v>1753</v>
      </c>
      <c r="B1741" s="13" t="s">
        <v>2191</v>
      </c>
      <c r="C1741" s="13" t="s">
        <v>2202</v>
      </c>
      <c r="D1741" s="13" t="s">
        <v>2204</v>
      </c>
      <c r="E1741" s="13" t="s">
        <v>2208</v>
      </c>
      <c r="F1741" s="13" t="s">
        <v>2218</v>
      </c>
      <c r="G1741" s="13">
        <v>105.37</v>
      </c>
      <c r="H1741" s="13">
        <v>0</v>
      </c>
      <c r="I1741" s="13">
        <v>105.37</v>
      </c>
      <c r="J1741" s="24">
        <v>45762</v>
      </c>
      <c r="K1741" s="13">
        <v>24</v>
      </c>
      <c r="L1741" s="13">
        <v>1.2</v>
      </c>
      <c r="M1741" s="13" t="b">
        <v>0</v>
      </c>
      <c r="O1741" s="13">
        <f t="shared" si="27"/>
        <v>1.2</v>
      </c>
    </row>
    <row r="1742" spans="1:15" x14ac:dyDescent="0.25">
      <c r="A1742" s="13" t="s">
        <v>1754</v>
      </c>
      <c r="B1742" s="13" t="s">
        <v>2191</v>
      </c>
      <c r="C1742" s="13" t="s">
        <v>2200</v>
      </c>
      <c r="D1742" s="13" t="s">
        <v>2207</v>
      </c>
      <c r="E1742" s="13" t="s">
        <v>2210</v>
      </c>
      <c r="F1742" s="13" t="s">
        <v>2224</v>
      </c>
      <c r="G1742" s="13">
        <v>44.42</v>
      </c>
      <c r="H1742" s="13">
        <v>0</v>
      </c>
      <c r="I1742" s="13">
        <v>44.42</v>
      </c>
      <c r="J1742" s="24">
        <v>45875</v>
      </c>
      <c r="K1742" s="13">
        <v>49</v>
      </c>
      <c r="M1742" s="13" t="b">
        <v>0</v>
      </c>
      <c r="O1742" s="13">
        <f t="shared" si="27"/>
        <v>2.9657142857142857</v>
      </c>
    </row>
    <row r="1743" spans="1:15" x14ac:dyDescent="0.25">
      <c r="A1743" s="13" t="s">
        <v>1755</v>
      </c>
      <c r="B1743" s="13" t="s">
        <v>2193</v>
      </c>
      <c r="C1743" s="13" t="s">
        <v>2197</v>
      </c>
      <c r="D1743" s="13" t="s">
        <v>2204</v>
      </c>
      <c r="E1743" s="13" t="s">
        <v>2212</v>
      </c>
      <c r="F1743" s="13" t="s">
        <v>2218</v>
      </c>
      <c r="G1743" s="13">
        <v>164.86</v>
      </c>
      <c r="H1743" s="13">
        <v>14.3</v>
      </c>
      <c r="I1743" s="13">
        <v>141.29</v>
      </c>
      <c r="J1743" s="24">
        <v>45730</v>
      </c>
      <c r="K1743" s="13">
        <v>7</v>
      </c>
      <c r="L1743" s="13">
        <v>2.2999999999999998</v>
      </c>
      <c r="M1743" s="13" t="b">
        <v>0</v>
      </c>
      <c r="O1743" s="13">
        <f t="shared" si="27"/>
        <v>2.2999999999999998</v>
      </c>
    </row>
    <row r="1744" spans="1:15" x14ac:dyDescent="0.25">
      <c r="A1744" s="13" t="s">
        <v>1756</v>
      </c>
      <c r="B1744" s="13" t="s">
        <v>2193</v>
      </c>
      <c r="C1744" s="13" t="s">
        <v>2199</v>
      </c>
      <c r="D1744" s="13" t="s">
        <v>2206</v>
      </c>
      <c r="E1744" s="13" t="s">
        <v>2211</v>
      </c>
      <c r="F1744" s="13" t="s">
        <v>2216</v>
      </c>
      <c r="G1744" s="13">
        <v>163.88</v>
      </c>
      <c r="H1744" s="13">
        <v>5.9</v>
      </c>
      <c r="I1744" s="13">
        <v>154.21</v>
      </c>
      <c r="J1744" s="24">
        <v>45875</v>
      </c>
      <c r="K1744" s="13">
        <v>39</v>
      </c>
      <c r="L1744" s="13">
        <v>2.6</v>
      </c>
      <c r="M1744" s="13" t="b">
        <v>0</v>
      </c>
      <c r="O1744" s="13">
        <f t="shared" si="27"/>
        <v>2.6</v>
      </c>
    </row>
    <row r="1745" spans="1:15" x14ac:dyDescent="0.25">
      <c r="A1745" s="13" t="s">
        <v>1757</v>
      </c>
      <c r="B1745" s="13" t="s">
        <v>2194</v>
      </c>
      <c r="C1745" s="13" t="s">
        <v>2196</v>
      </c>
      <c r="D1745" s="13" t="s">
        <v>2206</v>
      </c>
      <c r="E1745" s="13" t="s">
        <v>2212</v>
      </c>
      <c r="F1745" s="13" t="s">
        <v>2220</v>
      </c>
      <c r="G1745" s="13">
        <v>36.54</v>
      </c>
      <c r="H1745" s="13">
        <v>5.3</v>
      </c>
      <c r="I1745" s="13">
        <v>34.6</v>
      </c>
      <c r="J1745" s="24">
        <v>45875</v>
      </c>
      <c r="K1745" s="13">
        <v>13</v>
      </c>
      <c r="L1745" s="13">
        <v>2.5</v>
      </c>
      <c r="M1745" s="13" t="b">
        <v>0</v>
      </c>
      <c r="O1745" s="13">
        <f t="shared" si="27"/>
        <v>2.5</v>
      </c>
    </row>
    <row r="1746" spans="1:15" x14ac:dyDescent="0.25">
      <c r="A1746" s="13" t="s">
        <v>1758</v>
      </c>
      <c r="B1746" s="13" t="s">
        <v>2195</v>
      </c>
      <c r="C1746" s="13" t="s">
        <v>2198</v>
      </c>
      <c r="D1746" s="13" t="s">
        <v>2204</v>
      </c>
      <c r="E1746" s="13" t="s">
        <v>2213</v>
      </c>
      <c r="F1746" s="13" t="s">
        <v>2214</v>
      </c>
      <c r="G1746" s="13">
        <v>99.97</v>
      </c>
      <c r="H1746" s="13">
        <v>0</v>
      </c>
      <c r="I1746" s="13">
        <v>99.97</v>
      </c>
      <c r="J1746" s="24">
        <v>45581</v>
      </c>
      <c r="K1746" s="13">
        <v>38</v>
      </c>
      <c r="L1746" s="13">
        <v>1.4</v>
      </c>
      <c r="M1746" s="13" t="b">
        <v>0</v>
      </c>
      <c r="O1746" s="13">
        <f t="shared" si="27"/>
        <v>1.4</v>
      </c>
    </row>
    <row r="1747" spans="1:15" x14ac:dyDescent="0.25">
      <c r="A1747" s="13" t="s">
        <v>1759</v>
      </c>
      <c r="B1747" s="13" t="s">
        <v>2190</v>
      </c>
      <c r="C1747" s="13" t="s">
        <v>2201</v>
      </c>
      <c r="D1747" s="13" t="s">
        <v>2207</v>
      </c>
      <c r="E1747" s="13" t="s">
        <v>2208</v>
      </c>
      <c r="F1747" s="13" t="s">
        <v>2214</v>
      </c>
      <c r="G1747" s="13">
        <v>194.78</v>
      </c>
      <c r="H1747" s="13">
        <v>0</v>
      </c>
      <c r="I1747" s="13">
        <v>194.78</v>
      </c>
      <c r="J1747" s="24">
        <v>45875</v>
      </c>
      <c r="K1747" s="13">
        <v>31</v>
      </c>
      <c r="M1747" s="13" t="b">
        <v>0</v>
      </c>
      <c r="O1747" s="13">
        <f t="shared" si="27"/>
        <v>3.0305555555555546</v>
      </c>
    </row>
    <row r="1748" spans="1:15" x14ac:dyDescent="0.25">
      <c r="A1748" s="13" t="s">
        <v>1760</v>
      </c>
      <c r="B1748" s="13" t="s">
        <v>2190</v>
      </c>
      <c r="C1748" s="13" t="s">
        <v>2197</v>
      </c>
      <c r="D1748" s="13" t="s">
        <v>2206</v>
      </c>
      <c r="E1748" s="13" t="s">
        <v>2212</v>
      </c>
      <c r="F1748" s="13" t="s">
        <v>2219</v>
      </c>
      <c r="G1748" s="13">
        <v>208.93</v>
      </c>
      <c r="H1748" s="13">
        <v>0</v>
      </c>
      <c r="I1748" s="13">
        <v>208.93</v>
      </c>
      <c r="J1748" s="24">
        <v>45875</v>
      </c>
      <c r="K1748" s="13">
        <v>12</v>
      </c>
      <c r="L1748" s="13">
        <v>2.2999999999999998</v>
      </c>
      <c r="M1748" s="13" t="b">
        <v>0</v>
      </c>
      <c r="O1748" s="13">
        <f t="shared" si="27"/>
        <v>2.2999999999999998</v>
      </c>
    </row>
    <row r="1749" spans="1:15" x14ac:dyDescent="0.25">
      <c r="A1749" s="13" t="s">
        <v>1761</v>
      </c>
      <c r="B1749" s="13" t="s">
        <v>2194</v>
      </c>
      <c r="C1749" s="13" t="s">
        <v>2201</v>
      </c>
      <c r="D1749" s="13" t="s">
        <v>2204</v>
      </c>
      <c r="E1749" s="13" t="s">
        <v>2212</v>
      </c>
      <c r="F1749" s="13" t="s">
        <v>2214</v>
      </c>
      <c r="G1749" s="13">
        <v>68.459999999999994</v>
      </c>
      <c r="H1749" s="13">
        <v>50</v>
      </c>
      <c r="I1749" s="13">
        <v>34.229999999999997</v>
      </c>
      <c r="J1749" s="24">
        <v>45683</v>
      </c>
      <c r="K1749" s="13">
        <v>24</v>
      </c>
      <c r="L1749" s="13">
        <v>1.9</v>
      </c>
      <c r="M1749" s="13" t="b">
        <v>0</v>
      </c>
      <c r="O1749" s="13">
        <f t="shared" si="27"/>
        <v>1.9</v>
      </c>
    </row>
    <row r="1750" spans="1:15" x14ac:dyDescent="0.25">
      <c r="A1750" s="13" t="s">
        <v>1762</v>
      </c>
      <c r="B1750" s="13" t="s">
        <v>2192</v>
      </c>
      <c r="C1750" s="13" t="s">
        <v>2198</v>
      </c>
      <c r="D1750" s="13" t="s">
        <v>2205</v>
      </c>
      <c r="F1750" s="13" t="s">
        <v>2223</v>
      </c>
      <c r="G1750" s="13">
        <v>30.26</v>
      </c>
      <c r="H1750" s="13">
        <v>50</v>
      </c>
      <c r="I1750" s="13">
        <v>15.13</v>
      </c>
      <c r="J1750" s="24">
        <v>45875</v>
      </c>
      <c r="K1750" s="13">
        <v>23</v>
      </c>
      <c r="L1750" s="13">
        <v>1.4</v>
      </c>
      <c r="M1750" s="13" t="b">
        <v>0</v>
      </c>
      <c r="O1750" s="13">
        <f t="shared" si="27"/>
        <v>1.4</v>
      </c>
    </row>
    <row r="1751" spans="1:15" x14ac:dyDescent="0.25">
      <c r="A1751" s="13" t="s">
        <v>1763</v>
      </c>
      <c r="B1751" s="13" t="s">
        <v>2190</v>
      </c>
      <c r="C1751" s="13" t="s">
        <v>2199</v>
      </c>
      <c r="D1751" s="13" t="s">
        <v>2207</v>
      </c>
      <c r="E1751" s="13" t="s">
        <v>2212</v>
      </c>
      <c r="F1751" s="13" t="s">
        <v>2220</v>
      </c>
      <c r="G1751" s="13">
        <v>186.66</v>
      </c>
      <c r="H1751" s="13">
        <v>30.9</v>
      </c>
      <c r="I1751" s="13">
        <v>128.97999999999999</v>
      </c>
      <c r="J1751" s="24">
        <v>45875</v>
      </c>
      <c r="K1751" s="13">
        <v>7</v>
      </c>
      <c r="L1751" s="13">
        <v>1</v>
      </c>
      <c r="M1751" s="13" t="b">
        <v>0</v>
      </c>
      <c r="O1751" s="13">
        <f t="shared" si="27"/>
        <v>1</v>
      </c>
    </row>
    <row r="1752" spans="1:15" x14ac:dyDescent="0.25">
      <c r="A1752" s="13" t="s">
        <v>1764</v>
      </c>
      <c r="B1752" s="13" t="s">
        <v>2191</v>
      </c>
      <c r="C1752" s="13" t="s">
        <v>2196</v>
      </c>
      <c r="D1752" s="13" t="s">
        <v>2205</v>
      </c>
      <c r="E1752" s="13" t="s">
        <v>2210</v>
      </c>
      <c r="F1752" s="13" t="s">
        <v>2216</v>
      </c>
      <c r="G1752" s="13">
        <v>78.05</v>
      </c>
      <c r="H1752" s="13">
        <v>48.1</v>
      </c>
      <c r="I1752" s="13">
        <v>40.51</v>
      </c>
      <c r="J1752" s="24">
        <v>45875</v>
      </c>
      <c r="K1752" s="13">
        <v>36</v>
      </c>
      <c r="L1752" s="13">
        <v>2.9</v>
      </c>
      <c r="M1752" s="13" t="b">
        <v>1</v>
      </c>
      <c r="N1752" s="13" t="s">
        <v>2229</v>
      </c>
      <c r="O1752" s="13">
        <f t="shared" si="27"/>
        <v>2.9</v>
      </c>
    </row>
    <row r="1753" spans="1:15" x14ac:dyDescent="0.25">
      <c r="A1753" s="13" t="s">
        <v>1765</v>
      </c>
      <c r="B1753" s="13" t="s">
        <v>2191</v>
      </c>
      <c r="C1753" s="13" t="s">
        <v>2197</v>
      </c>
      <c r="D1753" s="13" t="s">
        <v>2204</v>
      </c>
      <c r="E1753" s="13" t="s">
        <v>2213</v>
      </c>
      <c r="F1753" s="13" t="s">
        <v>2223</v>
      </c>
      <c r="G1753" s="13">
        <v>104.75</v>
      </c>
      <c r="H1753" s="13">
        <v>0</v>
      </c>
      <c r="I1753" s="13">
        <v>104.75</v>
      </c>
      <c r="J1753" s="24">
        <v>45591</v>
      </c>
      <c r="K1753" s="13">
        <v>11</v>
      </c>
      <c r="M1753" s="13" t="b">
        <v>0</v>
      </c>
      <c r="O1753" s="13">
        <f t="shared" si="27"/>
        <v>3.34</v>
      </c>
    </row>
    <row r="1754" spans="1:15" x14ac:dyDescent="0.25">
      <c r="A1754" s="13" t="s">
        <v>1766</v>
      </c>
      <c r="B1754" s="13" t="s">
        <v>2193</v>
      </c>
      <c r="C1754" s="13" t="s">
        <v>2197</v>
      </c>
      <c r="D1754" s="13" t="s">
        <v>2207</v>
      </c>
      <c r="E1754" s="13" t="s">
        <v>2213</v>
      </c>
      <c r="F1754" s="13" t="s">
        <v>2224</v>
      </c>
      <c r="G1754" s="13">
        <v>121.33</v>
      </c>
      <c r="H1754" s="13">
        <v>0</v>
      </c>
      <c r="I1754" s="13">
        <v>121.33</v>
      </c>
      <c r="J1754" s="24">
        <v>45875</v>
      </c>
      <c r="K1754" s="13">
        <v>30</v>
      </c>
      <c r="L1754" s="13">
        <v>4.2</v>
      </c>
      <c r="M1754" s="13" t="b">
        <v>0</v>
      </c>
      <c r="O1754" s="13">
        <f t="shared" si="27"/>
        <v>4.2</v>
      </c>
    </row>
    <row r="1755" spans="1:15" x14ac:dyDescent="0.25">
      <c r="A1755" s="13" t="s">
        <v>1767</v>
      </c>
      <c r="B1755" s="13" t="s">
        <v>2195</v>
      </c>
      <c r="C1755" s="13" t="s">
        <v>2199</v>
      </c>
      <c r="D1755" s="13" t="s">
        <v>2206</v>
      </c>
      <c r="E1755" s="13" t="s">
        <v>2211</v>
      </c>
      <c r="F1755" s="13" t="s">
        <v>2220</v>
      </c>
      <c r="G1755" s="13">
        <v>78.09</v>
      </c>
      <c r="H1755" s="13">
        <v>0</v>
      </c>
      <c r="I1755" s="13">
        <v>78.09</v>
      </c>
      <c r="J1755" s="24">
        <v>45875</v>
      </c>
      <c r="K1755" s="13">
        <v>6</v>
      </c>
      <c r="L1755" s="13">
        <v>2</v>
      </c>
      <c r="M1755" s="13" t="b">
        <v>0</v>
      </c>
      <c r="O1755" s="13">
        <f t="shared" si="27"/>
        <v>2</v>
      </c>
    </row>
    <row r="1756" spans="1:15" x14ac:dyDescent="0.25">
      <c r="A1756" s="13" t="s">
        <v>1768</v>
      </c>
      <c r="B1756" s="13" t="s">
        <v>2191</v>
      </c>
      <c r="C1756" s="13" t="s">
        <v>2197</v>
      </c>
      <c r="D1756" s="13" t="s">
        <v>2206</v>
      </c>
      <c r="E1756" s="13" t="s">
        <v>2211</v>
      </c>
      <c r="F1756" s="13" t="s">
        <v>2214</v>
      </c>
      <c r="G1756" s="13">
        <v>109.19</v>
      </c>
      <c r="H1756" s="13">
        <v>0</v>
      </c>
      <c r="I1756" s="13">
        <v>109.19</v>
      </c>
      <c r="J1756" s="24">
        <v>45875</v>
      </c>
      <c r="K1756" s="13">
        <v>47</v>
      </c>
      <c r="L1756" s="13">
        <v>4.5</v>
      </c>
      <c r="M1756" s="13" t="b">
        <v>0</v>
      </c>
      <c r="O1756" s="13">
        <f t="shared" si="27"/>
        <v>4.5</v>
      </c>
    </row>
    <row r="1757" spans="1:15" x14ac:dyDescent="0.25">
      <c r="A1757" s="13" t="s">
        <v>1769</v>
      </c>
      <c r="B1757" s="13" t="s">
        <v>2193</v>
      </c>
      <c r="C1757" s="13" t="s">
        <v>2201</v>
      </c>
      <c r="D1757" s="13" t="s">
        <v>2205</v>
      </c>
      <c r="E1757" s="13" t="s">
        <v>2209</v>
      </c>
      <c r="F1757" s="13" t="s">
        <v>2216</v>
      </c>
      <c r="G1757" s="13">
        <v>126.74</v>
      </c>
      <c r="H1757" s="13">
        <v>0</v>
      </c>
      <c r="I1757" s="13">
        <v>126.74</v>
      </c>
      <c r="J1757" s="24">
        <v>45875</v>
      </c>
      <c r="K1757" s="13">
        <v>2</v>
      </c>
      <c r="L1757" s="13">
        <v>2.9</v>
      </c>
      <c r="M1757" s="13" t="b">
        <v>0</v>
      </c>
      <c r="O1757" s="13">
        <f t="shared" si="27"/>
        <v>2.9</v>
      </c>
    </row>
    <row r="1758" spans="1:15" x14ac:dyDescent="0.25">
      <c r="A1758" s="13" t="s">
        <v>1770</v>
      </c>
      <c r="B1758" s="13" t="s">
        <v>2193</v>
      </c>
      <c r="C1758" s="13" t="s">
        <v>2200</v>
      </c>
      <c r="D1758" s="13" t="s">
        <v>2204</v>
      </c>
      <c r="E1758" s="13" t="s">
        <v>2208</v>
      </c>
      <c r="F1758" s="13" t="s">
        <v>2216</v>
      </c>
      <c r="G1758" s="13">
        <v>95.85</v>
      </c>
      <c r="H1758" s="13">
        <v>0</v>
      </c>
      <c r="I1758" s="13">
        <v>95.85</v>
      </c>
      <c r="J1758" s="24">
        <v>45703</v>
      </c>
      <c r="K1758" s="13">
        <v>45</v>
      </c>
      <c r="L1758" s="13">
        <v>5</v>
      </c>
      <c r="M1758" s="13" t="b">
        <v>0</v>
      </c>
      <c r="O1758" s="13">
        <f t="shared" si="27"/>
        <v>5</v>
      </c>
    </row>
    <row r="1759" spans="1:15" x14ac:dyDescent="0.25">
      <c r="A1759" s="13" t="s">
        <v>1771</v>
      </c>
      <c r="B1759" s="13" t="s">
        <v>2190</v>
      </c>
      <c r="C1759" s="13" t="s">
        <v>2199</v>
      </c>
      <c r="D1759" s="13" t="s">
        <v>2207</v>
      </c>
      <c r="E1759" s="13" t="s">
        <v>2210</v>
      </c>
      <c r="F1759" s="13" t="s">
        <v>2219</v>
      </c>
      <c r="G1759" s="13">
        <v>213.98</v>
      </c>
      <c r="H1759" s="13">
        <v>0</v>
      </c>
      <c r="I1759" s="13">
        <v>213.98</v>
      </c>
      <c r="J1759" s="24">
        <v>45875</v>
      </c>
      <c r="K1759" s="13">
        <v>38</v>
      </c>
      <c r="M1759" s="13" t="b">
        <v>0</v>
      </c>
      <c r="O1759" s="13">
        <f t="shared" si="27"/>
        <v>2.4137931034482762</v>
      </c>
    </row>
    <row r="1760" spans="1:15" x14ac:dyDescent="0.25">
      <c r="A1760" s="13" t="s">
        <v>1772</v>
      </c>
      <c r="B1760" s="13" t="s">
        <v>2193</v>
      </c>
      <c r="C1760" s="13" t="s">
        <v>2203</v>
      </c>
      <c r="D1760" s="13" t="s">
        <v>2204</v>
      </c>
      <c r="E1760" s="13" t="s">
        <v>2211</v>
      </c>
      <c r="F1760" s="13" t="s">
        <v>2221</v>
      </c>
      <c r="G1760" s="13">
        <v>146.22999999999999</v>
      </c>
      <c r="H1760" s="13">
        <v>40</v>
      </c>
      <c r="I1760" s="13">
        <v>87.74</v>
      </c>
      <c r="J1760" s="24">
        <v>45684</v>
      </c>
      <c r="K1760" s="13">
        <v>17</v>
      </c>
      <c r="L1760" s="13">
        <v>2.6</v>
      </c>
      <c r="M1760" s="13" t="b">
        <v>1</v>
      </c>
      <c r="N1760" s="13" t="s">
        <v>2228</v>
      </c>
      <c r="O1760" s="13">
        <f t="shared" si="27"/>
        <v>2.6</v>
      </c>
    </row>
    <row r="1761" spans="1:15" x14ac:dyDescent="0.25">
      <c r="A1761" s="13" t="s">
        <v>1773</v>
      </c>
      <c r="B1761" s="13" t="s">
        <v>2194</v>
      </c>
      <c r="C1761" s="13" t="s">
        <v>2199</v>
      </c>
      <c r="D1761" s="13" t="s">
        <v>2205</v>
      </c>
      <c r="E1761" s="13" t="s">
        <v>2209</v>
      </c>
      <c r="F1761" s="13" t="s">
        <v>2215</v>
      </c>
      <c r="G1761" s="13">
        <v>115.57</v>
      </c>
      <c r="H1761" s="13">
        <v>16.100000000000001</v>
      </c>
      <c r="I1761" s="13">
        <v>96.96</v>
      </c>
      <c r="J1761" s="24">
        <v>45875</v>
      </c>
      <c r="K1761" s="13">
        <v>32</v>
      </c>
      <c r="L1761" s="13">
        <v>3.1</v>
      </c>
      <c r="M1761" s="13" t="b">
        <v>1</v>
      </c>
      <c r="N1761" s="13" t="s">
        <v>2226</v>
      </c>
      <c r="O1761" s="13">
        <f t="shared" si="27"/>
        <v>3.1</v>
      </c>
    </row>
    <row r="1762" spans="1:15" x14ac:dyDescent="0.25">
      <c r="A1762" s="13" t="s">
        <v>1774</v>
      </c>
      <c r="B1762" s="13" t="s">
        <v>2192</v>
      </c>
      <c r="C1762" s="13" t="s">
        <v>2198</v>
      </c>
      <c r="D1762" s="13" t="s">
        <v>2204</v>
      </c>
      <c r="F1762" s="13" t="s">
        <v>2219</v>
      </c>
      <c r="G1762" s="13">
        <v>66.62</v>
      </c>
      <c r="H1762" s="13">
        <v>0</v>
      </c>
      <c r="I1762" s="13">
        <v>66.62</v>
      </c>
      <c r="J1762" s="24">
        <v>45592</v>
      </c>
      <c r="K1762" s="13">
        <v>37</v>
      </c>
      <c r="M1762" s="13" t="b">
        <v>0</v>
      </c>
      <c r="O1762" s="13">
        <f t="shared" si="27"/>
        <v>2.8694444444444449</v>
      </c>
    </row>
    <row r="1763" spans="1:15" x14ac:dyDescent="0.25">
      <c r="A1763" s="13" t="s">
        <v>1775</v>
      </c>
      <c r="B1763" s="13" t="s">
        <v>2195</v>
      </c>
      <c r="C1763" s="13" t="s">
        <v>2198</v>
      </c>
      <c r="D1763" s="13" t="s">
        <v>2204</v>
      </c>
      <c r="E1763" s="13" t="s">
        <v>2212</v>
      </c>
      <c r="F1763" s="13" t="s">
        <v>2223</v>
      </c>
      <c r="G1763" s="13">
        <v>60.37</v>
      </c>
      <c r="H1763" s="13">
        <v>23.1</v>
      </c>
      <c r="I1763" s="13">
        <v>46.42</v>
      </c>
      <c r="J1763" s="24">
        <v>45730</v>
      </c>
      <c r="K1763" s="13">
        <v>30</v>
      </c>
      <c r="L1763" s="13">
        <v>4.8</v>
      </c>
      <c r="M1763" s="13" t="b">
        <v>0</v>
      </c>
      <c r="O1763" s="13">
        <f t="shared" si="27"/>
        <v>4.8</v>
      </c>
    </row>
    <row r="1764" spans="1:15" x14ac:dyDescent="0.25">
      <c r="A1764" s="13" t="s">
        <v>1776</v>
      </c>
      <c r="B1764" s="13" t="s">
        <v>2193</v>
      </c>
      <c r="C1764" s="13" t="s">
        <v>2200</v>
      </c>
      <c r="D1764" s="13" t="s">
        <v>2205</v>
      </c>
      <c r="E1764" s="13" t="s">
        <v>2213</v>
      </c>
      <c r="F1764" s="13" t="s">
        <v>2219</v>
      </c>
      <c r="G1764" s="13">
        <v>83.2</v>
      </c>
      <c r="H1764" s="13">
        <v>57.1</v>
      </c>
      <c r="I1764" s="13">
        <v>35.69</v>
      </c>
      <c r="J1764" s="24">
        <v>45875</v>
      </c>
      <c r="K1764" s="13">
        <v>10</v>
      </c>
      <c r="L1764" s="13">
        <v>3.3</v>
      </c>
      <c r="M1764" s="13" t="b">
        <v>0</v>
      </c>
      <c r="O1764" s="13">
        <f t="shared" si="27"/>
        <v>3.3</v>
      </c>
    </row>
    <row r="1765" spans="1:15" x14ac:dyDescent="0.25">
      <c r="A1765" s="13" t="s">
        <v>1777</v>
      </c>
      <c r="B1765" s="13" t="s">
        <v>2190</v>
      </c>
      <c r="C1765" s="13" t="s">
        <v>2197</v>
      </c>
      <c r="D1765" s="13" t="s">
        <v>2207</v>
      </c>
      <c r="E1765" s="13" t="s">
        <v>2210</v>
      </c>
      <c r="F1765" s="13" t="s">
        <v>2222</v>
      </c>
      <c r="G1765" s="13">
        <v>204.47</v>
      </c>
      <c r="H1765" s="13">
        <v>3.6</v>
      </c>
      <c r="I1765" s="13">
        <v>197.11</v>
      </c>
      <c r="J1765" s="24">
        <v>45875</v>
      </c>
      <c r="K1765" s="13">
        <v>26</v>
      </c>
      <c r="M1765" s="13" t="b">
        <v>0</v>
      </c>
      <c r="O1765" s="13">
        <f t="shared" si="27"/>
        <v>3.15</v>
      </c>
    </row>
    <row r="1766" spans="1:15" x14ac:dyDescent="0.25">
      <c r="A1766" s="13" t="s">
        <v>1778</v>
      </c>
      <c r="B1766" s="13" t="s">
        <v>2192</v>
      </c>
      <c r="C1766" s="13" t="s">
        <v>2199</v>
      </c>
      <c r="D1766" s="13" t="s">
        <v>2206</v>
      </c>
      <c r="F1766" s="13" t="s">
        <v>2223</v>
      </c>
      <c r="G1766" s="13">
        <v>52.73</v>
      </c>
      <c r="H1766" s="13">
        <v>0</v>
      </c>
      <c r="I1766" s="13">
        <v>52.73</v>
      </c>
      <c r="J1766" s="24">
        <v>45875</v>
      </c>
      <c r="K1766" s="13">
        <v>42</v>
      </c>
      <c r="M1766" s="13" t="b">
        <v>0</v>
      </c>
      <c r="O1766" s="13">
        <f t="shared" si="27"/>
        <v>2.5131578947368416</v>
      </c>
    </row>
    <row r="1767" spans="1:15" x14ac:dyDescent="0.25">
      <c r="A1767" s="13" t="s">
        <v>1779</v>
      </c>
      <c r="B1767" s="13" t="s">
        <v>2194</v>
      </c>
      <c r="C1767" s="13" t="s">
        <v>2203</v>
      </c>
      <c r="D1767" s="13" t="s">
        <v>2206</v>
      </c>
      <c r="E1767" s="13" t="s">
        <v>2211</v>
      </c>
      <c r="F1767" s="13" t="s">
        <v>2221</v>
      </c>
      <c r="G1767" s="13">
        <v>61.1</v>
      </c>
      <c r="H1767" s="13">
        <v>0</v>
      </c>
      <c r="I1767" s="13">
        <v>61.1</v>
      </c>
      <c r="J1767" s="24">
        <v>45875</v>
      </c>
      <c r="K1767" s="13">
        <v>30</v>
      </c>
      <c r="L1767" s="13">
        <v>4.5999999999999996</v>
      </c>
      <c r="M1767" s="13" t="b">
        <v>0</v>
      </c>
      <c r="O1767" s="13">
        <f t="shared" si="27"/>
        <v>4.5999999999999996</v>
      </c>
    </row>
    <row r="1768" spans="1:15" x14ac:dyDescent="0.25">
      <c r="A1768" s="13" t="s">
        <v>1780</v>
      </c>
      <c r="B1768" s="13" t="s">
        <v>2190</v>
      </c>
      <c r="C1768" s="13" t="s">
        <v>2196</v>
      </c>
      <c r="D1768" s="13" t="s">
        <v>2207</v>
      </c>
      <c r="E1768" s="13" t="s">
        <v>2210</v>
      </c>
      <c r="F1768" s="13" t="s">
        <v>2218</v>
      </c>
      <c r="G1768" s="13">
        <v>227.92</v>
      </c>
      <c r="H1768" s="13">
        <v>0</v>
      </c>
      <c r="I1768" s="13">
        <v>227.92</v>
      </c>
      <c r="J1768" s="24">
        <v>45875</v>
      </c>
      <c r="K1768" s="13">
        <v>34</v>
      </c>
      <c r="M1768" s="13" t="b">
        <v>0</v>
      </c>
      <c r="O1768" s="13">
        <f t="shared" si="27"/>
        <v>2.7030303030303036</v>
      </c>
    </row>
    <row r="1769" spans="1:15" x14ac:dyDescent="0.25">
      <c r="A1769" s="13" t="s">
        <v>1781</v>
      </c>
      <c r="B1769" s="13" t="s">
        <v>2195</v>
      </c>
      <c r="C1769" s="13" t="s">
        <v>2200</v>
      </c>
      <c r="D1769" s="13" t="s">
        <v>2206</v>
      </c>
      <c r="E1769" s="13" t="s">
        <v>2209</v>
      </c>
      <c r="F1769" s="13" t="s">
        <v>2219</v>
      </c>
      <c r="G1769" s="13">
        <v>111.55</v>
      </c>
      <c r="H1769" s="13">
        <v>0</v>
      </c>
      <c r="I1769" s="13">
        <v>111.55</v>
      </c>
      <c r="J1769" s="24">
        <v>45875</v>
      </c>
      <c r="K1769" s="13">
        <v>14</v>
      </c>
      <c r="M1769" s="13" t="b">
        <v>0</v>
      </c>
      <c r="O1769" s="13">
        <f t="shared" si="27"/>
        <v>3.1051282051282048</v>
      </c>
    </row>
    <row r="1770" spans="1:15" x14ac:dyDescent="0.25">
      <c r="A1770" s="13" t="s">
        <v>1782</v>
      </c>
      <c r="B1770" s="13" t="s">
        <v>2194</v>
      </c>
      <c r="C1770" s="13" t="s">
        <v>2203</v>
      </c>
      <c r="D1770" s="13" t="s">
        <v>2206</v>
      </c>
      <c r="E1770" s="13" t="s">
        <v>2212</v>
      </c>
      <c r="F1770" s="13" t="s">
        <v>2215</v>
      </c>
      <c r="G1770" s="13">
        <v>29.09</v>
      </c>
      <c r="H1770" s="13">
        <v>29.6</v>
      </c>
      <c r="I1770" s="13">
        <v>20.48</v>
      </c>
      <c r="J1770" s="24">
        <v>45875</v>
      </c>
      <c r="K1770" s="13">
        <v>25</v>
      </c>
      <c r="L1770" s="13">
        <v>4.8</v>
      </c>
      <c r="M1770" s="13" t="b">
        <v>0</v>
      </c>
      <c r="O1770" s="13">
        <f t="shared" si="27"/>
        <v>4.8</v>
      </c>
    </row>
    <row r="1771" spans="1:15" x14ac:dyDescent="0.25">
      <c r="A1771" s="13" t="s">
        <v>1783</v>
      </c>
      <c r="B1771" s="13" t="s">
        <v>2195</v>
      </c>
      <c r="C1771" s="13" t="s">
        <v>2200</v>
      </c>
      <c r="D1771" s="13" t="s">
        <v>2206</v>
      </c>
      <c r="E1771" s="13" t="s">
        <v>2213</v>
      </c>
      <c r="F1771" s="13" t="s">
        <v>2215</v>
      </c>
      <c r="G1771" s="13">
        <v>179.71</v>
      </c>
      <c r="H1771" s="13">
        <v>0</v>
      </c>
      <c r="I1771" s="13">
        <v>179.71</v>
      </c>
      <c r="J1771" s="24">
        <v>45875</v>
      </c>
      <c r="K1771" s="13">
        <v>9</v>
      </c>
      <c r="L1771" s="13">
        <v>3.9</v>
      </c>
      <c r="M1771" s="13" t="b">
        <v>0</v>
      </c>
      <c r="O1771" s="13">
        <f t="shared" si="27"/>
        <v>3.9</v>
      </c>
    </row>
    <row r="1772" spans="1:15" x14ac:dyDescent="0.25">
      <c r="A1772" s="13" t="s">
        <v>1784</v>
      </c>
      <c r="B1772" s="13" t="s">
        <v>2192</v>
      </c>
      <c r="C1772" s="13" t="s">
        <v>2200</v>
      </c>
      <c r="D1772" s="13" t="s">
        <v>2207</v>
      </c>
      <c r="F1772" s="13" t="s">
        <v>2215</v>
      </c>
      <c r="G1772" s="13">
        <v>52.76</v>
      </c>
      <c r="H1772" s="13">
        <v>39.4</v>
      </c>
      <c r="I1772" s="13">
        <v>31.97</v>
      </c>
      <c r="J1772" s="24">
        <v>45875</v>
      </c>
      <c r="K1772" s="13">
        <v>0</v>
      </c>
      <c r="L1772" s="13">
        <v>1.4</v>
      </c>
      <c r="M1772" s="13" t="b">
        <v>0</v>
      </c>
      <c r="O1772" s="13">
        <f t="shared" si="27"/>
        <v>1.4</v>
      </c>
    </row>
    <row r="1773" spans="1:15" x14ac:dyDescent="0.25">
      <c r="A1773" s="13" t="s">
        <v>1785</v>
      </c>
      <c r="B1773" s="13" t="s">
        <v>2192</v>
      </c>
      <c r="C1773" s="13" t="s">
        <v>2197</v>
      </c>
      <c r="D1773" s="13" t="s">
        <v>2204</v>
      </c>
      <c r="F1773" s="13" t="s">
        <v>2220</v>
      </c>
      <c r="G1773" s="13">
        <v>67.900000000000006</v>
      </c>
      <c r="H1773" s="13">
        <v>0</v>
      </c>
      <c r="I1773" s="13">
        <v>67.900000000000006</v>
      </c>
      <c r="J1773" s="24">
        <v>45657</v>
      </c>
      <c r="K1773" s="13">
        <v>1</v>
      </c>
      <c r="L1773" s="13">
        <v>1.3</v>
      </c>
      <c r="M1773" s="13" t="b">
        <v>0</v>
      </c>
      <c r="O1773" s="13">
        <f t="shared" si="27"/>
        <v>1.3</v>
      </c>
    </row>
    <row r="1774" spans="1:15" x14ac:dyDescent="0.25">
      <c r="A1774" s="13" t="s">
        <v>1786</v>
      </c>
      <c r="B1774" s="13" t="s">
        <v>2192</v>
      </c>
      <c r="C1774" s="13" t="s">
        <v>2197</v>
      </c>
      <c r="D1774" s="13" t="s">
        <v>2206</v>
      </c>
      <c r="F1774" s="13" t="s">
        <v>2222</v>
      </c>
      <c r="G1774" s="13">
        <v>46.77</v>
      </c>
      <c r="H1774" s="13">
        <v>40.799999999999997</v>
      </c>
      <c r="I1774" s="13">
        <v>27.69</v>
      </c>
      <c r="J1774" s="24">
        <v>45875</v>
      </c>
      <c r="K1774" s="13">
        <v>25</v>
      </c>
      <c r="L1774" s="13">
        <v>2.6</v>
      </c>
      <c r="M1774" s="13" t="b">
        <v>0</v>
      </c>
      <c r="O1774" s="13">
        <f t="shared" si="27"/>
        <v>2.6</v>
      </c>
    </row>
    <row r="1775" spans="1:15" x14ac:dyDescent="0.25">
      <c r="A1775" s="13" t="s">
        <v>1787</v>
      </c>
      <c r="B1775" s="13" t="s">
        <v>2191</v>
      </c>
      <c r="C1775" s="13" t="s">
        <v>2197</v>
      </c>
      <c r="D1775" s="13" t="s">
        <v>2205</v>
      </c>
      <c r="E1775" s="13" t="s">
        <v>2208</v>
      </c>
      <c r="F1775" s="13" t="s">
        <v>2222</v>
      </c>
      <c r="G1775" s="13">
        <v>91.6</v>
      </c>
      <c r="H1775" s="13">
        <v>0</v>
      </c>
      <c r="I1775" s="13">
        <v>91.6</v>
      </c>
      <c r="J1775" s="24">
        <v>45875</v>
      </c>
      <c r="K1775" s="13">
        <v>6</v>
      </c>
      <c r="L1775" s="13">
        <v>2.7</v>
      </c>
      <c r="M1775" s="13" t="b">
        <v>0</v>
      </c>
      <c r="O1775" s="13">
        <f t="shared" si="27"/>
        <v>2.7</v>
      </c>
    </row>
    <row r="1776" spans="1:15" x14ac:dyDescent="0.25">
      <c r="A1776" s="13" t="s">
        <v>1788</v>
      </c>
      <c r="B1776" s="13" t="s">
        <v>2190</v>
      </c>
      <c r="C1776" s="13" t="s">
        <v>2197</v>
      </c>
      <c r="D1776" s="13" t="s">
        <v>2204</v>
      </c>
      <c r="E1776" s="13" t="s">
        <v>2212</v>
      </c>
      <c r="F1776" s="13" t="s">
        <v>2215</v>
      </c>
      <c r="G1776" s="13">
        <v>230.39</v>
      </c>
      <c r="H1776" s="13">
        <v>4.2</v>
      </c>
      <c r="I1776" s="13">
        <v>220.71</v>
      </c>
      <c r="J1776" s="24">
        <v>45580</v>
      </c>
      <c r="K1776" s="13">
        <v>34</v>
      </c>
      <c r="L1776" s="13">
        <v>3.5</v>
      </c>
      <c r="M1776" s="13" t="b">
        <v>0</v>
      </c>
      <c r="O1776" s="13">
        <f t="shared" si="27"/>
        <v>3.5</v>
      </c>
    </row>
    <row r="1777" spans="1:15" x14ac:dyDescent="0.25">
      <c r="A1777" s="13" t="s">
        <v>1789</v>
      </c>
      <c r="B1777" s="13" t="s">
        <v>2190</v>
      </c>
      <c r="C1777" s="13" t="s">
        <v>2201</v>
      </c>
      <c r="D1777" s="13" t="s">
        <v>2206</v>
      </c>
      <c r="E1777" s="13" t="s">
        <v>2213</v>
      </c>
      <c r="F1777" s="13" t="s">
        <v>2219</v>
      </c>
      <c r="G1777" s="13">
        <v>118.37</v>
      </c>
      <c r="H1777" s="13">
        <v>0</v>
      </c>
      <c r="I1777" s="13">
        <v>118.37</v>
      </c>
      <c r="J1777" s="24">
        <v>45875</v>
      </c>
      <c r="K1777" s="13">
        <v>45</v>
      </c>
      <c r="M1777" s="13" t="b">
        <v>0</v>
      </c>
      <c r="O1777" s="13">
        <f t="shared" si="27"/>
        <v>3.0305555555555546</v>
      </c>
    </row>
    <row r="1778" spans="1:15" x14ac:dyDescent="0.25">
      <c r="A1778" s="13" t="s">
        <v>1790</v>
      </c>
      <c r="B1778" s="13" t="s">
        <v>2193</v>
      </c>
      <c r="C1778" s="13" t="s">
        <v>2202</v>
      </c>
      <c r="D1778" s="13" t="s">
        <v>2205</v>
      </c>
      <c r="E1778" s="13" t="s">
        <v>2213</v>
      </c>
      <c r="F1778" s="13" t="s">
        <v>2214</v>
      </c>
      <c r="G1778" s="13">
        <v>81.260000000000005</v>
      </c>
      <c r="H1778" s="13">
        <v>32.700000000000003</v>
      </c>
      <c r="I1778" s="13">
        <v>54.69</v>
      </c>
      <c r="J1778" s="24">
        <v>45875</v>
      </c>
      <c r="K1778" s="13">
        <v>2</v>
      </c>
      <c r="L1778" s="13">
        <v>3.3</v>
      </c>
      <c r="M1778" s="13" t="b">
        <v>0</v>
      </c>
      <c r="O1778" s="13">
        <f t="shared" si="27"/>
        <v>3.3</v>
      </c>
    </row>
    <row r="1779" spans="1:15" x14ac:dyDescent="0.25">
      <c r="A1779" s="13" t="s">
        <v>1791</v>
      </c>
      <c r="B1779" s="13" t="s">
        <v>2192</v>
      </c>
      <c r="C1779" s="13" t="s">
        <v>2200</v>
      </c>
      <c r="D1779" s="13" t="s">
        <v>2206</v>
      </c>
      <c r="F1779" s="13" t="s">
        <v>2223</v>
      </c>
      <c r="G1779" s="13">
        <v>57.21</v>
      </c>
      <c r="H1779" s="13">
        <v>18</v>
      </c>
      <c r="I1779" s="13">
        <v>46.91</v>
      </c>
      <c r="J1779" s="24">
        <v>45875</v>
      </c>
      <c r="K1779" s="13">
        <v>7</v>
      </c>
      <c r="L1779" s="13">
        <v>2.5</v>
      </c>
      <c r="M1779" s="13" t="b">
        <v>0</v>
      </c>
      <c r="O1779" s="13">
        <f t="shared" si="27"/>
        <v>2.5</v>
      </c>
    </row>
    <row r="1780" spans="1:15" x14ac:dyDescent="0.25">
      <c r="A1780" s="13" t="s">
        <v>1792</v>
      </c>
      <c r="B1780" s="13" t="s">
        <v>2195</v>
      </c>
      <c r="C1780" s="13" t="s">
        <v>2203</v>
      </c>
      <c r="D1780" s="13" t="s">
        <v>2207</v>
      </c>
      <c r="E1780" s="13" t="s">
        <v>2208</v>
      </c>
      <c r="F1780" s="13" t="s">
        <v>2224</v>
      </c>
      <c r="G1780" s="13">
        <v>74.53</v>
      </c>
      <c r="H1780" s="13">
        <v>0</v>
      </c>
      <c r="I1780" s="13">
        <v>74.53</v>
      </c>
      <c r="J1780" s="24">
        <v>45875</v>
      </c>
      <c r="K1780" s="13">
        <v>9</v>
      </c>
      <c r="M1780" s="13" t="b">
        <v>0</v>
      </c>
      <c r="O1780" s="13">
        <f t="shared" si="27"/>
        <v>2.9636363636363638</v>
      </c>
    </row>
    <row r="1781" spans="1:15" x14ac:dyDescent="0.25">
      <c r="A1781" s="13" t="s">
        <v>1793</v>
      </c>
      <c r="B1781" s="13" t="s">
        <v>2195</v>
      </c>
      <c r="C1781" s="13" t="s">
        <v>2198</v>
      </c>
      <c r="D1781" s="13" t="s">
        <v>2207</v>
      </c>
      <c r="E1781" s="13" t="s">
        <v>2213</v>
      </c>
      <c r="F1781" s="13" t="s">
        <v>2214</v>
      </c>
      <c r="G1781" s="13">
        <v>69.540000000000006</v>
      </c>
      <c r="H1781" s="13">
        <v>0</v>
      </c>
      <c r="I1781" s="13">
        <v>69.540000000000006</v>
      </c>
      <c r="J1781" s="24">
        <v>45875</v>
      </c>
      <c r="K1781" s="13">
        <v>40</v>
      </c>
      <c r="L1781" s="13">
        <v>3.2</v>
      </c>
      <c r="M1781" s="13" t="b">
        <v>1</v>
      </c>
      <c r="N1781" s="13" t="s">
        <v>2226</v>
      </c>
      <c r="O1781" s="13">
        <f t="shared" si="27"/>
        <v>3.2</v>
      </c>
    </row>
    <row r="1782" spans="1:15" x14ac:dyDescent="0.25">
      <c r="A1782" s="13" t="s">
        <v>1794</v>
      </c>
      <c r="B1782" s="13" t="s">
        <v>2195</v>
      </c>
      <c r="C1782" s="13" t="s">
        <v>2201</v>
      </c>
      <c r="D1782" s="13" t="s">
        <v>2207</v>
      </c>
      <c r="E1782" s="13" t="s">
        <v>2208</v>
      </c>
      <c r="F1782" s="13" t="s">
        <v>2224</v>
      </c>
      <c r="G1782" s="13">
        <v>102.71</v>
      </c>
      <c r="H1782" s="13">
        <v>55.9</v>
      </c>
      <c r="I1782" s="13">
        <v>45.3</v>
      </c>
      <c r="J1782" s="24">
        <v>45875</v>
      </c>
      <c r="K1782" s="13">
        <v>31</v>
      </c>
      <c r="L1782" s="13">
        <v>4.5999999999999996</v>
      </c>
      <c r="M1782" s="13" t="b">
        <v>0</v>
      </c>
      <c r="O1782" s="13">
        <f t="shared" si="27"/>
        <v>4.5999999999999996</v>
      </c>
    </row>
    <row r="1783" spans="1:15" x14ac:dyDescent="0.25">
      <c r="A1783" s="13" t="s">
        <v>1795</v>
      </c>
      <c r="B1783" s="13" t="s">
        <v>2193</v>
      </c>
      <c r="C1783" s="13" t="s">
        <v>2202</v>
      </c>
      <c r="D1783" s="13" t="s">
        <v>2207</v>
      </c>
      <c r="E1783" s="13" t="s">
        <v>2209</v>
      </c>
      <c r="F1783" s="13" t="s">
        <v>2221</v>
      </c>
      <c r="G1783" s="13">
        <v>117.82</v>
      </c>
      <c r="H1783" s="13">
        <v>0</v>
      </c>
      <c r="I1783" s="13">
        <v>117.82</v>
      </c>
      <c r="J1783" s="24">
        <v>45875</v>
      </c>
      <c r="K1783" s="13">
        <v>7</v>
      </c>
      <c r="L1783" s="13">
        <v>4.9000000000000004</v>
      </c>
      <c r="M1783" s="13" t="b">
        <v>0</v>
      </c>
      <c r="O1783" s="13">
        <f t="shared" si="27"/>
        <v>4.9000000000000004</v>
      </c>
    </row>
    <row r="1784" spans="1:15" x14ac:dyDescent="0.25">
      <c r="A1784" s="13" t="s">
        <v>1796</v>
      </c>
      <c r="B1784" s="13" t="s">
        <v>2192</v>
      </c>
      <c r="C1784" s="13" t="s">
        <v>2202</v>
      </c>
      <c r="D1784" s="13" t="s">
        <v>2204</v>
      </c>
      <c r="F1784" s="13" t="s">
        <v>2223</v>
      </c>
      <c r="G1784" s="13">
        <v>61.01</v>
      </c>
      <c r="H1784" s="13">
        <v>0</v>
      </c>
      <c r="I1784" s="13">
        <v>61.01</v>
      </c>
      <c r="J1784" s="24">
        <v>45772</v>
      </c>
      <c r="K1784" s="13">
        <v>30</v>
      </c>
      <c r="L1784" s="13">
        <v>3.4</v>
      </c>
      <c r="M1784" s="13" t="b">
        <v>0</v>
      </c>
      <c r="O1784" s="13">
        <f t="shared" si="27"/>
        <v>3.4</v>
      </c>
    </row>
    <row r="1785" spans="1:15" x14ac:dyDescent="0.25">
      <c r="A1785" s="13" t="s">
        <v>1797</v>
      </c>
      <c r="B1785" s="13" t="s">
        <v>2190</v>
      </c>
      <c r="C1785" s="13" t="s">
        <v>2203</v>
      </c>
      <c r="D1785" s="13" t="s">
        <v>2205</v>
      </c>
      <c r="E1785" s="13" t="s">
        <v>2208</v>
      </c>
      <c r="F1785" s="13" t="s">
        <v>2215</v>
      </c>
      <c r="G1785" s="13">
        <v>222.01</v>
      </c>
      <c r="H1785" s="13">
        <v>0</v>
      </c>
      <c r="I1785" s="13">
        <v>222.01</v>
      </c>
      <c r="J1785" s="24">
        <v>45875</v>
      </c>
      <c r="K1785" s="13">
        <v>27</v>
      </c>
      <c r="L1785" s="13">
        <v>2.1</v>
      </c>
      <c r="M1785" s="13" t="b">
        <v>0</v>
      </c>
      <c r="O1785" s="13">
        <f t="shared" si="27"/>
        <v>2.1</v>
      </c>
    </row>
    <row r="1786" spans="1:15" x14ac:dyDescent="0.25">
      <c r="A1786" s="13" t="s">
        <v>1798</v>
      </c>
      <c r="B1786" s="13" t="s">
        <v>2190</v>
      </c>
      <c r="C1786" s="13" t="s">
        <v>2200</v>
      </c>
      <c r="D1786" s="13" t="s">
        <v>2207</v>
      </c>
      <c r="E1786" s="13" t="s">
        <v>2209</v>
      </c>
      <c r="F1786" s="13" t="s">
        <v>2224</v>
      </c>
      <c r="G1786" s="13">
        <v>123.55</v>
      </c>
      <c r="H1786" s="13">
        <v>0</v>
      </c>
      <c r="I1786" s="13">
        <v>123.55</v>
      </c>
      <c r="J1786" s="24">
        <v>45875</v>
      </c>
      <c r="K1786" s="13">
        <v>28</v>
      </c>
      <c r="L1786" s="13">
        <v>1.2</v>
      </c>
      <c r="M1786" s="13" t="b">
        <v>0</v>
      </c>
      <c r="O1786" s="13">
        <f t="shared" si="27"/>
        <v>1.2</v>
      </c>
    </row>
    <row r="1787" spans="1:15" x14ac:dyDescent="0.25">
      <c r="A1787" s="13" t="s">
        <v>1799</v>
      </c>
      <c r="B1787" s="13" t="s">
        <v>2192</v>
      </c>
      <c r="C1787" s="13" t="s">
        <v>2196</v>
      </c>
      <c r="D1787" s="13" t="s">
        <v>2206</v>
      </c>
      <c r="F1787" s="13" t="s">
        <v>2216</v>
      </c>
      <c r="G1787" s="13">
        <v>24.65</v>
      </c>
      <c r="H1787" s="13">
        <v>0</v>
      </c>
      <c r="I1787" s="13">
        <v>24.65</v>
      </c>
      <c r="J1787" s="24">
        <v>45875</v>
      </c>
      <c r="K1787" s="13">
        <v>43</v>
      </c>
      <c r="L1787" s="13">
        <v>1.1000000000000001</v>
      </c>
      <c r="M1787" s="13" t="b">
        <v>0</v>
      </c>
      <c r="O1787" s="13">
        <f t="shared" si="27"/>
        <v>1.1000000000000001</v>
      </c>
    </row>
    <row r="1788" spans="1:15" x14ac:dyDescent="0.25">
      <c r="A1788" s="13" t="s">
        <v>1800</v>
      </c>
      <c r="B1788" s="13" t="s">
        <v>2190</v>
      </c>
      <c r="C1788" s="13" t="s">
        <v>2198</v>
      </c>
      <c r="D1788" s="13" t="s">
        <v>2206</v>
      </c>
      <c r="E1788" s="13" t="s">
        <v>2211</v>
      </c>
      <c r="F1788" s="13" t="s">
        <v>2222</v>
      </c>
      <c r="G1788" s="13">
        <v>168.8</v>
      </c>
      <c r="H1788" s="13">
        <v>0</v>
      </c>
      <c r="I1788" s="13">
        <v>168.8</v>
      </c>
      <c r="J1788" s="24">
        <v>45875</v>
      </c>
      <c r="K1788" s="13">
        <v>1</v>
      </c>
      <c r="L1788" s="13">
        <v>1</v>
      </c>
      <c r="M1788" s="13" t="b">
        <v>0</v>
      </c>
      <c r="O1788" s="13">
        <f t="shared" si="27"/>
        <v>1</v>
      </c>
    </row>
    <row r="1789" spans="1:15" x14ac:dyDescent="0.25">
      <c r="A1789" s="13" t="s">
        <v>1801</v>
      </c>
      <c r="B1789" s="13" t="s">
        <v>2191</v>
      </c>
      <c r="C1789" s="13" t="s">
        <v>2202</v>
      </c>
      <c r="D1789" s="13" t="s">
        <v>2206</v>
      </c>
      <c r="E1789" s="13" t="s">
        <v>2210</v>
      </c>
      <c r="F1789" s="13" t="s">
        <v>2220</v>
      </c>
      <c r="G1789" s="13">
        <v>39.159999999999997</v>
      </c>
      <c r="H1789" s="13">
        <v>40.1</v>
      </c>
      <c r="I1789" s="13">
        <v>23.46</v>
      </c>
      <c r="J1789" s="24">
        <v>45875</v>
      </c>
      <c r="K1789" s="13">
        <v>4</v>
      </c>
      <c r="L1789" s="13">
        <v>2.8</v>
      </c>
      <c r="M1789" s="13" t="b">
        <v>0</v>
      </c>
      <c r="O1789" s="13">
        <f t="shared" si="27"/>
        <v>2.8</v>
      </c>
    </row>
    <row r="1790" spans="1:15" x14ac:dyDescent="0.25">
      <c r="A1790" s="13" t="s">
        <v>1802</v>
      </c>
      <c r="B1790" s="13" t="s">
        <v>2194</v>
      </c>
      <c r="C1790" s="13" t="s">
        <v>2200</v>
      </c>
      <c r="D1790" s="13" t="s">
        <v>2206</v>
      </c>
      <c r="F1790" s="13" t="s">
        <v>2224</v>
      </c>
      <c r="G1790" s="13">
        <v>74.760000000000005</v>
      </c>
      <c r="H1790" s="13">
        <v>0</v>
      </c>
      <c r="I1790" s="13">
        <v>74.760000000000005</v>
      </c>
      <c r="J1790" s="24">
        <v>45875</v>
      </c>
      <c r="K1790" s="13">
        <v>50</v>
      </c>
      <c r="L1790" s="13">
        <v>4.4000000000000004</v>
      </c>
      <c r="M1790" s="13" t="b">
        <v>1</v>
      </c>
      <c r="N1790" s="13" t="s">
        <v>2225</v>
      </c>
      <c r="O1790" s="13">
        <f t="shared" si="27"/>
        <v>4.4000000000000004</v>
      </c>
    </row>
    <row r="1791" spans="1:15" x14ac:dyDescent="0.25">
      <c r="A1791" s="13" t="s">
        <v>1803</v>
      </c>
      <c r="B1791" s="13" t="s">
        <v>2192</v>
      </c>
      <c r="C1791" s="13" t="s">
        <v>2202</v>
      </c>
      <c r="D1791" s="13" t="s">
        <v>2205</v>
      </c>
      <c r="F1791" s="13" t="s">
        <v>2222</v>
      </c>
      <c r="G1791" s="13">
        <v>37</v>
      </c>
      <c r="H1791" s="13">
        <v>0</v>
      </c>
      <c r="I1791" s="13">
        <v>37</v>
      </c>
      <c r="J1791" s="24">
        <v>45875</v>
      </c>
      <c r="K1791" s="13">
        <v>5</v>
      </c>
      <c r="L1791" s="13">
        <v>4.9000000000000004</v>
      </c>
      <c r="M1791" s="13" t="b">
        <v>0</v>
      </c>
      <c r="O1791" s="13">
        <f t="shared" si="27"/>
        <v>4.9000000000000004</v>
      </c>
    </row>
    <row r="1792" spans="1:15" x14ac:dyDescent="0.25">
      <c r="A1792" s="13" t="s">
        <v>1804</v>
      </c>
      <c r="B1792" s="13" t="s">
        <v>2192</v>
      </c>
      <c r="C1792" s="13" t="s">
        <v>2199</v>
      </c>
      <c r="D1792" s="13" t="s">
        <v>2205</v>
      </c>
      <c r="F1792" s="13" t="s">
        <v>2216</v>
      </c>
      <c r="G1792" s="13">
        <v>67.38</v>
      </c>
      <c r="H1792" s="13">
        <v>0</v>
      </c>
      <c r="I1792" s="13">
        <v>67.38</v>
      </c>
      <c r="J1792" s="24">
        <v>45875</v>
      </c>
      <c r="K1792" s="13">
        <v>15</v>
      </c>
      <c r="L1792" s="13">
        <v>1.6</v>
      </c>
      <c r="M1792" s="13" t="b">
        <v>0</v>
      </c>
      <c r="O1792" s="13">
        <f t="shared" si="27"/>
        <v>1.6</v>
      </c>
    </row>
    <row r="1793" spans="1:15" x14ac:dyDescent="0.25">
      <c r="A1793" s="13" t="s">
        <v>1805</v>
      </c>
      <c r="B1793" s="13" t="s">
        <v>2194</v>
      </c>
      <c r="C1793" s="13" t="s">
        <v>2200</v>
      </c>
      <c r="D1793" s="13" t="s">
        <v>2207</v>
      </c>
      <c r="E1793" s="13" t="s">
        <v>2212</v>
      </c>
      <c r="F1793" s="13" t="s">
        <v>2217</v>
      </c>
      <c r="G1793" s="13">
        <v>77.44</v>
      </c>
      <c r="H1793" s="13">
        <v>1.4</v>
      </c>
      <c r="I1793" s="13">
        <v>76.36</v>
      </c>
      <c r="J1793" s="24">
        <v>45875</v>
      </c>
      <c r="K1793" s="13">
        <v>18</v>
      </c>
      <c r="L1793" s="13">
        <v>3.3</v>
      </c>
      <c r="M1793" s="13" t="b">
        <v>0</v>
      </c>
      <c r="O1793" s="13">
        <f t="shared" si="27"/>
        <v>3.3</v>
      </c>
    </row>
    <row r="1794" spans="1:15" x14ac:dyDescent="0.25">
      <c r="A1794" s="13" t="s">
        <v>1806</v>
      </c>
      <c r="B1794" s="13" t="s">
        <v>2190</v>
      </c>
      <c r="C1794" s="13" t="s">
        <v>2200</v>
      </c>
      <c r="D1794" s="13" t="s">
        <v>2207</v>
      </c>
      <c r="E1794" s="13" t="s">
        <v>2212</v>
      </c>
      <c r="F1794" s="13" t="s">
        <v>2218</v>
      </c>
      <c r="G1794" s="13">
        <v>215.06</v>
      </c>
      <c r="H1794" s="13">
        <v>0</v>
      </c>
      <c r="I1794" s="13">
        <v>215.06</v>
      </c>
      <c r="J1794" s="24">
        <v>45875</v>
      </c>
      <c r="K1794" s="13">
        <v>50</v>
      </c>
      <c r="L1794" s="13">
        <v>1.6</v>
      </c>
      <c r="M1794" s="13" t="b">
        <v>0</v>
      </c>
      <c r="O1794" s="13">
        <f t="shared" si="27"/>
        <v>1.6</v>
      </c>
    </row>
    <row r="1795" spans="1:15" x14ac:dyDescent="0.25">
      <c r="A1795" s="13" t="s">
        <v>1807</v>
      </c>
      <c r="B1795" s="13" t="s">
        <v>2190</v>
      </c>
      <c r="C1795" s="13" t="s">
        <v>2198</v>
      </c>
      <c r="D1795" s="13" t="s">
        <v>2205</v>
      </c>
      <c r="E1795" s="13" t="s">
        <v>2212</v>
      </c>
      <c r="F1795" s="13" t="s">
        <v>2218</v>
      </c>
      <c r="G1795" s="13">
        <v>141.44</v>
      </c>
      <c r="H1795" s="13">
        <v>0</v>
      </c>
      <c r="I1795" s="13">
        <v>141.44</v>
      </c>
      <c r="J1795" s="24">
        <v>45875</v>
      </c>
      <c r="K1795" s="13">
        <v>34</v>
      </c>
      <c r="L1795" s="13">
        <v>2.4</v>
      </c>
      <c r="M1795" s="13" t="b">
        <v>0</v>
      </c>
      <c r="O1795" s="13">
        <f t="shared" ref="O1795:O1858" si="28">IF(L1795="",AVERAGEIFS($L$2:$L$2177,$B$2:$B$2177,B1795,$C$2:$C$2177,C1795),L1795)</f>
        <v>2.4</v>
      </c>
    </row>
    <row r="1796" spans="1:15" x14ac:dyDescent="0.25">
      <c r="A1796" s="13" t="s">
        <v>1808</v>
      </c>
      <c r="B1796" s="13" t="s">
        <v>2195</v>
      </c>
      <c r="C1796" s="13" t="s">
        <v>2201</v>
      </c>
      <c r="D1796" s="13" t="s">
        <v>2204</v>
      </c>
      <c r="E1796" s="13" t="s">
        <v>2211</v>
      </c>
      <c r="F1796" s="13" t="s">
        <v>2217</v>
      </c>
      <c r="G1796" s="13">
        <v>151.83000000000001</v>
      </c>
      <c r="H1796" s="13">
        <v>0</v>
      </c>
      <c r="I1796" s="13">
        <v>151.83000000000001</v>
      </c>
      <c r="J1796" s="24">
        <v>45825</v>
      </c>
      <c r="K1796" s="13">
        <v>24</v>
      </c>
      <c r="L1796" s="13">
        <v>4.3</v>
      </c>
      <c r="M1796" s="13" t="b">
        <v>1</v>
      </c>
      <c r="N1796" s="13" t="s">
        <v>2230</v>
      </c>
      <c r="O1796" s="13">
        <f t="shared" si="28"/>
        <v>4.3</v>
      </c>
    </row>
    <row r="1797" spans="1:15" x14ac:dyDescent="0.25">
      <c r="A1797" s="13" t="s">
        <v>1809</v>
      </c>
      <c r="B1797" s="13" t="s">
        <v>2190</v>
      </c>
      <c r="C1797" s="13" t="s">
        <v>2202</v>
      </c>
      <c r="D1797" s="13" t="s">
        <v>2205</v>
      </c>
      <c r="E1797" s="13" t="s">
        <v>2208</v>
      </c>
      <c r="F1797" s="13" t="s">
        <v>2218</v>
      </c>
      <c r="G1797" s="13">
        <v>140.07</v>
      </c>
      <c r="H1797" s="13">
        <v>0</v>
      </c>
      <c r="I1797" s="13">
        <v>140.07</v>
      </c>
      <c r="J1797" s="24">
        <v>45875</v>
      </c>
      <c r="K1797" s="13">
        <v>23</v>
      </c>
      <c r="L1797" s="13">
        <v>2.7</v>
      </c>
      <c r="M1797" s="13" t="b">
        <v>0</v>
      </c>
      <c r="O1797" s="13">
        <f t="shared" si="28"/>
        <v>2.7</v>
      </c>
    </row>
    <row r="1798" spans="1:15" x14ac:dyDescent="0.25">
      <c r="A1798" s="13" t="s">
        <v>1810</v>
      </c>
      <c r="B1798" s="13" t="s">
        <v>2195</v>
      </c>
      <c r="C1798" s="13" t="s">
        <v>2199</v>
      </c>
      <c r="D1798" s="13" t="s">
        <v>2207</v>
      </c>
      <c r="E1798" s="13" t="s">
        <v>2211</v>
      </c>
      <c r="F1798" s="13" t="s">
        <v>2215</v>
      </c>
      <c r="G1798" s="13">
        <v>94.26</v>
      </c>
      <c r="H1798" s="13">
        <v>28.9</v>
      </c>
      <c r="I1798" s="13">
        <v>67.02</v>
      </c>
      <c r="J1798" s="24">
        <v>45875</v>
      </c>
      <c r="K1798" s="13">
        <v>44</v>
      </c>
      <c r="L1798" s="13">
        <v>3.6</v>
      </c>
      <c r="M1798" s="13" t="b">
        <v>0</v>
      </c>
      <c r="O1798" s="13">
        <f t="shared" si="28"/>
        <v>3.6</v>
      </c>
    </row>
    <row r="1799" spans="1:15" x14ac:dyDescent="0.25">
      <c r="A1799" s="13" t="s">
        <v>1811</v>
      </c>
      <c r="B1799" s="13" t="s">
        <v>2192</v>
      </c>
      <c r="C1799" s="13" t="s">
        <v>2201</v>
      </c>
      <c r="D1799" s="13" t="s">
        <v>2205</v>
      </c>
      <c r="F1799" s="13" t="s">
        <v>2220</v>
      </c>
      <c r="G1799" s="13">
        <v>55.79</v>
      </c>
      <c r="H1799" s="13">
        <v>27.3</v>
      </c>
      <c r="I1799" s="13">
        <v>40.56</v>
      </c>
      <c r="J1799" s="24">
        <v>45875</v>
      </c>
      <c r="K1799" s="13">
        <v>39</v>
      </c>
      <c r="L1799" s="13">
        <v>4.9000000000000004</v>
      </c>
      <c r="M1799" s="13" t="b">
        <v>0</v>
      </c>
      <c r="O1799" s="13">
        <f t="shared" si="28"/>
        <v>4.9000000000000004</v>
      </c>
    </row>
    <row r="1800" spans="1:15" x14ac:dyDescent="0.25">
      <c r="A1800" s="13" t="s">
        <v>1812</v>
      </c>
      <c r="B1800" s="13" t="s">
        <v>2192</v>
      </c>
      <c r="C1800" s="13" t="s">
        <v>2202</v>
      </c>
      <c r="D1800" s="13" t="s">
        <v>2205</v>
      </c>
      <c r="F1800" s="13" t="s">
        <v>2216</v>
      </c>
      <c r="G1800" s="13">
        <v>58.99</v>
      </c>
      <c r="H1800" s="13">
        <v>0</v>
      </c>
      <c r="I1800" s="13">
        <v>58.99</v>
      </c>
      <c r="J1800" s="24">
        <v>45875</v>
      </c>
      <c r="K1800" s="13">
        <v>50</v>
      </c>
      <c r="L1800" s="13">
        <v>2.7</v>
      </c>
      <c r="M1800" s="13" t="b">
        <v>0</v>
      </c>
      <c r="O1800" s="13">
        <f t="shared" si="28"/>
        <v>2.7</v>
      </c>
    </row>
    <row r="1801" spans="1:15" x14ac:dyDescent="0.25">
      <c r="A1801" s="13" t="s">
        <v>1813</v>
      </c>
      <c r="B1801" s="13" t="s">
        <v>2194</v>
      </c>
      <c r="C1801" s="13" t="s">
        <v>2203</v>
      </c>
      <c r="D1801" s="13" t="s">
        <v>2207</v>
      </c>
      <c r="E1801" s="13" t="s">
        <v>2211</v>
      </c>
      <c r="F1801" s="13" t="s">
        <v>2223</v>
      </c>
      <c r="G1801" s="13">
        <v>61.96</v>
      </c>
      <c r="H1801" s="13">
        <v>0</v>
      </c>
      <c r="I1801" s="13">
        <v>61.96</v>
      </c>
      <c r="J1801" s="24">
        <v>45875</v>
      </c>
      <c r="K1801" s="13">
        <v>13</v>
      </c>
      <c r="L1801" s="13">
        <v>3.9</v>
      </c>
      <c r="M1801" s="13" t="b">
        <v>0</v>
      </c>
      <c r="O1801" s="13">
        <f t="shared" si="28"/>
        <v>3.9</v>
      </c>
    </row>
    <row r="1802" spans="1:15" x14ac:dyDescent="0.25">
      <c r="A1802" s="13" t="s">
        <v>1814</v>
      </c>
      <c r="B1802" s="13" t="s">
        <v>2194</v>
      </c>
      <c r="C1802" s="13" t="s">
        <v>2196</v>
      </c>
      <c r="D1802" s="13" t="s">
        <v>2206</v>
      </c>
      <c r="E1802" s="13" t="s">
        <v>2209</v>
      </c>
      <c r="F1802" s="13" t="s">
        <v>2224</v>
      </c>
      <c r="G1802" s="13">
        <v>104.25</v>
      </c>
      <c r="H1802" s="13">
        <v>0</v>
      </c>
      <c r="I1802" s="13">
        <v>104.25</v>
      </c>
      <c r="J1802" s="24">
        <v>45875</v>
      </c>
      <c r="K1802" s="13">
        <v>35</v>
      </c>
      <c r="L1802" s="13">
        <v>3.1</v>
      </c>
      <c r="M1802" s="13" t="b">
        <v>0</v>
      </c>
      <c r="O1802" s="13">
        <f t="shared" si="28"/>
        <v>3.1</v>
      </c>
    </row>
    <row r="1803" spans="1:15" x14ac:dyDescent="0.25">
      <c r="A1803" s="13" t="s">
        <v>1815</v>
      </c>
      <c r="B1803" s="13" t="s">
        <v>2190</v>
      </c>
      <c r="C1803" s="13" t="s">
        <v>2200</v>
      </c>
      <c r="D1803" s="13" t="s">
        <v>2205</v>
      </c>
      <c r="E1803" s="13" t="s">
        <v>2209</v>
      </c>
      <c r="F1803" s="13" t="s">
        <v>2218</v>
      </c>
      <c r="G1803" s="13">
        <v>102.68</v>
      </c>
      <c r="H1803" s="13">
        <v>0</v>
      </c>
      <c r="I1803" s="13">
        <v>102.68</v>
      </c>
      <c r="J1803" s="24">
        <v>45875</v>
      </c>
      <c r="K1803" s="13">
        <v>18</v>
      </c>
      <c r="L1803" s="13">
        <v>1.9</v>
      </c>
      <c r="M1803" s="13" t="b">
        <v>0</v>
      </c>
      <c r="O1803" s="13">
        <f t="shared" si="28"/>
        <v>1.9</v>
      </c>
    </row>
    <row r="1804" spans="1:15" x14ac:dyDescent="0.25">
      <c r="A1804" s="13" t="s">
        <v>1816</v>
      </c>
      <c r="B1804" s="13" t="s">
        <v>2195</v>
      </c>
      <c r="C1804" s="13" t="s">
        <v>2202</v>
      </c>
      <c r="D1804" s="13" t="s">
        <v>2205</v>
      </c>
      <c r="E1804" s="13" t="s">
        <v>2211</v>
      </c>
      <c r="F1804" s="13" t="s">
        <v>2221</v>
      </c>
      <c r="G1804" s="13">
        <v>131.05000000000001</v>
      </c>
      <c r="H1804" s="13">
        <v>32.6</v>
      </c>
      <c r="I1804" s="13">
        <v>88.33</v>
      </c>
      <c r="J1804" s="24">
        <v>45875</v>
      </c>
      <c r="K1804" s="13">
        <v>9</v>
      </c>
      <c r="M1804" s="13" t="b">
        <v>0</v>
      </c>
      <c r="O1804" s="13">
        <f t="shared" si="28"/>
        <v>2.980952380952381</v>
      </c>
    </row>
    <row r="1805" spans="1:15" x14ac:dyDescent="0.25">
      <c r="A1805" s="13" t="s">
        <v>1817</v>
      </c>
      <c r="B1805" s="13" t="s">
        <v>2190</v>
      </c>
      <c r="C1805" s="13" t="s">
        <v>2198</v>
      </c>
      <c r="D1805" s="13" t="s">
        <v>2204</v>
      </c>
      <c r="E1805" s="13" t="s">
        <v>2212</v>
      </c>
      <c r="F1805" s="13" t="s">
        <v>2222</v>
      </c>
      <c r="G1805" s="13">
        <v>139.72999999999999</v>
      </c>
      <c r="H1805" s="13">
        <v>54.3</v>
      </c>
      <c r="I1805" s="13">
        <v>63.86</v>
      </c>
      <c r="J1805" s="24">
        <v>45743</v>
      </c>
      <c r="K1805" s="13">
        <v>38</v>
      </c>
      <c r="M1805" s="13" t="b">
        <v>1</v>
      </c>
      <c r="N1805" s="13" t="s">
        <v>2229</v>
      </c>
      <c r="O1805" s="13">
        <f t="shared" si="28"/>
        <v>3.0177777777777774</v>
      </c>
    </row>
    <row r="1806" spans="1:15" x14ac:dyDescent="0.25">
      <c r="A1806" s="13" t="s">
        <v>1818</v>
      </c>
      <c r="B1806" s="13" t="s">
        <v>2192</v>
      </c>
      <c r="C1806" s="13" t="s">
        <v>2203</v>
      </c>
      <c r="D1806" s="13" t="s">
        <v>2205</v>
      </c>
      <c r="F1806" s="13" t="s">
        <v>2222</v>
      </c>
      <c r="G1806" s="13">
        <v>17.59</v>
      </c>
      <c r="H1806" s="13">
        <v>0</v>
      </c>
      <c r="I1806" s="13">
        <v>17.59</v>
      </c>
      <c r="J1806" s="24">
        <v>45875</v>
      </c>
      <c r="K1806" s="13">
        <v>14</v>
      </c>
      <c r="M1806" s="13" t="b">
        <v>0</v>
      </c>
      <c r="O1806" s="13">
        <f t="shared" si="28"/>
        <v>2.8636363636363633</v>
      </c>
    </row>
    <row r="1807" spans="1:15" x14ac:dyDescent="0.25">
      <c r="A1807" s="13" t="s">
        <v>1819</v>
      </c>
      <c r="B1807" s="13" t="s">
        <v>2193</v>
      </c>
      <c r="C1807" s="13" t="s">
        <v>2196</v>
      </c>
      <c r="D1807" s="13" t="s">
        <v>2206</v>
      </c>
      <c r="E1807" s="13" t="s">
        <v>2209</v>
      </c>
      <c r="F1807" s="13" t="s">
        <v>2214</v>
      </c>
      <c r="G1807" s="13">
        <v>115.09</v>
      </c>
      <c r="H1807" s="13">
        <v>0</v>
      </c>
      <c r="I1807" s="13">
        <v>115.09</v>
      </c>
      <c r="J1807" s="24">
        <v>45875</v>
      </c>
      <c r="K1807" s="13">
        <v>10</v>
      </c>
      <c r="L1807" s="13">
        <v>2.5</v>
      </c>
      <c r="M1807" s="13" t="b">
        <v>0</v>
      </c>
      <c r="O1807" s="13">
        <f t="shared" si="28"/>
        <v>2.5</v>
      </c>
    </row>
    <row r="1808" spans="1:15" x14ac:dyDescent="0.25">
      <c r="A1808" s="13" t="s">
        <v>1820</v>
      </c>
      <c r="B1808" s="13" t="s">
        <v>2192</v>
      </c>
      <c r="C1808" s="13" t="s">
        <v>2196</v>
      </c>
      <c r="D1808" s="13" t="s">
        <v>2207</v>
      </c>
      <c r="F1808" s="13" t="s">
        <v>2216</v>
      </c>
      <c r="G1808" s="13">
        <v>73.75</v>
      </c>
      <c r="H1808" s="13">
        <v>0</v>
      </c>
      <c r="I1808" s="13">
        <v>73.75</v>
      </c>
      <c r="J1808" s="24">
        <v>45875</v>
      </c>
      <c r="K1808" s="13">
        <v>23</v>
      </c>
      <c r="L1808" s="13">
        <v>4.5</v>
      </c>
      <c r="M1808" s="13" t="b">
        <v>0</v>
      </c>
      <c r="O1808" s="13">
        <f t="shared" si="28"/>
        <v>4.5</v>
      </c>
    </row>
    <row r="1809" spans="1:15" x14ac:dyDescent="0.25">
      <c r="A1809" s="13" t="s">
        <v>1821</v>
      </c>
      <c r="B1809" s="13" t="s">
        <v>2192</v>
      </c>
      <c r="C1809" s="13" t="s">
        <v>2201</v>
      </c>
      <c r="D1809" s="13" t="s">
        <v>2205</v>
      </c>
      <c r="F1809" s="13" t="s">
        <v>2222</v>
      </c>
      <c r="G1809" s="13">
        <v>66.77</v>
      </c>
      <c r="H1809" s="13">
        <v>0</v>
      </c>
      <c r="I1809" s="13">
        <v>66.77</v>
      </c>
      <c r="J1809" s="24">
        <v>45875</v>
      </c>
      <c r="K1809" s="13">
        <v>28</v>
      </c>
      <c r="L1809" s="13">
        <v>5</v>
      </c>
      <c r="M1809" s="13" t="b">
        <v>1</v>
      </c>
      <c r="N1809" s="13" t="s">
        <v>2226</v>
      </c>
      <c r="O1809" s="13">
        <f t="shared" si="28"/>
        <v>5</v>
      </c>
    </row>
    <row r="1810" spans="1:15" x14ac:dyDescent="0.25">
      <c r="A1810" s="13" t="s">
        <v>1822</v>
      </c>
      <c r="B1810" s="13" t="s">
        <v>2191</v>
      </c>
      <c r="C1810" s="13" t="s">
        <v>2200</v>
      </c>
      <c r="D1810" s="13" t="s">
        <v>2206</v>
      </c>
      <c r="E1810" s="13" t="s">
        <v>2209</v>
      </c>
      <c r="F1810" s="13" t="s">
        <v>2217</v>
      </c>
      <c r="G1810" s="13">
        <v>63.92</v>
      </c>
      <c r="H1810" s="13">
        <v>0</v>
      </c>
      <c r="I1810" s="13">
        <v>63.92</v>
      </c>
      <c r="J1810" s="24">
        <v>45875</v>
      </c>
      <c r="K1810" s="13">
        <v>10</v>
      </c>
      <c r="L1810" s="13">
        <v>4.4000000000000004</v>
      </c>
      <c r="M1810" s="13" t="b">
        <v>0</v>
      </c>
      <c r="O1810" s="13">
        <f t="shared" si="28"/>
        <v>4.4000000000000004</v>
      </c>
    </row>
    <row r="1811" spans="1:15" x14ac:dyDescent="0.25">
      <c r="A1811" s="13" t="s">
        <v>1823</v>
      </c>
      <c r="B1811" s="13" t="s">
        <v>2192</v>
      </c>
      <c r="C1811" s="13" t="s">
        <v>2200</v>
      </c>
      <c r="D1811" s="13" t="s">
        <v>2206</v>
      </c>
      <c r="F1811" s="13" t="s">
        <v>2220</v>
      </c>
      <c r="G1811" s="13">
        <v>26.26</v>
      </c>
      <c r="H1811" s="13">
        <v>0</v>
      </c>
      <c r="I1811" s="13">
        <v>26.26</v>
      </c>
      <c r="J1811" s="24">
        <v>45875</v>
      </c>
      <c r="K1811" s="13">
        <v>27</v>
      </c>
      <c r="M1811" s="13" t="b">
        <v>0</v>
      </c>
      <c r="O1811" s="13">
        <f t="shared" si="28"/>
        <v>2.7333333333333334</v>
      </c>
    </row>
    <row r="1812" spans="1:15" x14ac:dyDescent="0.25">
      <c r="A1812" s="13" t="s">
        <v>1824</v>
      </c>
      <c r="B1812" s="13" t="s">
        <v>2192</v>
      </c>
      <c r="C1812" s="13" t="s">
        <v>2200</v>
      </c>
      <c r="D1812" s="13" t="s">
        <v>2204</v>
      </c>
      <c r="F1812" s="13" t="s">
        <v>2217</v>
      </c>
      <c r="G1812" s="13">
        <v>62.58</v>
      </c>
      <c r="H1812" s="13">
        <v>8.8000000000000007</v>
      </c>
      <c r="I1812" s="13">
        <v>57.07</v>
      </c>
      <c r="J1812" s="24">
        <v>45602</v>
      </c>
      <c r="K1812" s="13">
        <v>1</v>
      </c>
      <c r="L1812" s="13">
        <v>1.7</v>
      </c>
      <c r="M1812" s="13" t="b">
        <v>0</v>
      </c>
      <c r="O1812" s="13">
        <f t="shared" si="28"/>
        <v>1.7</v>
      </c>
    </row>
    <row r="1813" spans="1:15" x14ac:dyDescent="0.25">
      <c r="A1813" s="13" t="s">
        <v>1825</v>
      </c>
      <c r="B1813" s="13" t="s">
        <v>2193</v>
      </c>
      <c r="C1813" s="13" t="s">
        <v>2198</v>
      </c>
      <c r="D1813" s="13" t="s">
        <v>2207</v>
      </c>
      <c r="E1813" s="13" t="s">
        <v>2210</v>
      </c>
      <c r="F1813" s="13" t="s">
        <v>2220</v>
      </c>
      <c r="G1813" s="13">
        <v>143.88</v>
      </c>
      <c r="H1813" s="13">
        <v>0</v>
      </c>
      <c r="I1813" s="13">
        <v>143.88</v>
      </c>
      <c r="J1813" s="24">
        <v>45875</v>
      </c>
      <c r="K1813" s="13">
        <v>1</v>
      </c>
      <c r="L1813" s="13">
        <v>3.1</v>
      </c>
      <c r="M1813" s="13" t="b">
        <v>0</v>
      </c>
      <c r="O1813" s="13">
        <f t="shared" si="28"/>
        <v>3.1</v>
      </c>
    </row>
    <row r="1814" spans="1:15" x14ac:dyDescent="0.25">
      <c r="A1814" s="13" t="s">
        <v>1826</v>
      </c>
      <c r="B1814" s="13" t="s">
        <v>2190</v>
      </c>
      <c r="C1814" s="13" t="s">
        <v>2196</v>
      </c>
      <c r="D1814" s="13" t="s">
        <v>2204</v>
      </c>
      <c r="E1814" s="13" t="s">
        <v>2208</v>
      </c>
      <c r="F1814" s="13" t="s">
        <v>2219</v>
      </c>
      <c r="G1814" s="13">
        <v>226.24</v>
      </c>
      <c r="H1814" s="13">
        <v>1.2</v>
      </c>
      <c r="I1814" s="13">
        <v>223.53</v>
      </c>
      <c r="J1814" s="24">
        <v>45708</v>
      </c>
      <c r="K1814" s="13">
        <v>24</v>
      </c>
      <c r="L1814" s="13">
        <v>4.5</v>
      </c>
      <c r="M1814" s="13" t="b">
        <v>0</v>
      </c>
      <c r="O1814" s="13">
        <f t="shared" si="28"/>
        <v>4.5</v>
      </c>
    </row>
    <row r="1815" spans="1:15" x14ac:dyDescent="0.25">
      <c r="A1815" s="13" t="s">
        <v>1827</v>
      </c>
      <c r="B1815" s="13" t="s">
        <v>2193</v>
      </c>
      <c r="C1815" s="13" t="s">
        <v>2202</v>
      </c>
      <c r="D1815" s="13" t="s">
        <v>2204</v>
      </c>
      <c r="E1815" s="13" t="s">
        <v>2211</v>
      </c>
      <c r="F1815" s="13" t="s">
        <v>2216</v>
      </c>
      <c r="G1815" s="13">
        <v>164.75</v>
      </c>
      <c r="H1815" s="13">
        <v>0</v>
      </c>
      <c r="I1815" s="13">
        <v>164.75</v>
      </c>
      <c r="J1815" s="24">
        <v>45779</v>
      </c>
      <c r="K1815" s="13">
        <v>8</v>
      </c>
      <c r="L1815" s="13">
        <v>3.7</v>
      </c>
      <c r="M1815" s="13" t="b">
        <v>0</v>
      </c>
      <c r="O1815" s="13">
        <f t="shared" si="28"/>
        <v>3.7</v>
      </c>
    </row>
    <row r="1816" spans="1:15" x14ac:dyDescent="0.25">
      <c r="A1816" s="13" t="s">
        <v>1828</v>
      </c>
      <c r="B1816" s="13" t="s">
        <v>2194</v>
      </c>
      <c r="C1816" s="13" t="s">
        <v>2196</v>
      </c>
      <c r="D1816" s="13" t="s">
        <v>2207</v>
      </c>
      <c r="E1816" s="13" t="s">
        <v>2209</v>
      </c>
      <c r="F1816" s="13" t="s">
        <v>2222</v>
      </c>
      <c r="G1816" s="13">
        <v>56.14</v>
      </c>
      <c r="H1816" s="13">
        <v>0</v>
      </c>
      <c r="I1816" s="13">
        <v>56.14</v>
      </c>
      <c r="J1816" s="24">
        <v>45875</v>
      </c>
      <c r="K1816" s="13">
        <v>16</v>
      </c>
      <c r="L1816" s="13">
        <v>4.3</v>
      </c>
      <c r="M1816" s="13" t="b">
        <v>0</v>
      </c>
      <c r="O1816" s="13">
        <f t="shared" si="28"/>
        <v>4.3</v>
      </c>
    </row>
    <row r="1817" spans="1:15" x14ac:dyDescent="0.25">
      <c r="A1817" s="13" t="s">
        <v>1829</v>
      </c>
      <c r="B1817" s="13" t="s">
        <v>2192</v>
      </c>
      <c r="C1817" s="13" t="s">
        <v>2200</v>
      </c>
      <c r="D1817" s="13" t="s">
        <v>2205</v>
      </c>
      <c r="F1817" s="13" t="s">
        <v>2214</v>
      </c>
      <c r="G1817" s="13">
        <v>39.96</v>
      </c>
      <c r="H1817" s="13">
        <v>0</v>
      </c>
      <c r="I1817" s="13">
        <v>39.96</v>
      </c>
      <c r="J1817" s="24">
        <v>45875</v>
      </c>
      <c r="K1817" s="13">
        <v>49</v>
      </c>
      <c r="M1817" s="13" t="b">
        <v>0</v>
      </c>
      <c r="O1817" s="13">
        <f t="shared" si="28"/>
        <v>2.7333333333333334</v>
      </c>
    </row>
    <row r="1818" spans="1:15" x14ac:dyDescent="0.25">
      <c r="A1818" s="13" t="s">
        <v>1830</v>
      </c>
      <c r="B1818" s="13" t="s">
        <v>2194</v>
      </c>
      <c r="C1818" s="13" t="s">
        <v>2201</v>
      </c>
      <c r="D1818" s="13" t="s">
        <v>2207</v>
      </c>
      <c r="E1818" s="13" t="s">
        <v>2209</v>
      </c>
      <c r="F1818" s="13" t="s">
        <v>2222</v>
      </c>
      <c r="G1818" s="13">
        <v>26.5</v>
      </c>
      <c r="H1818" s="13">
        <v>57.9</v>
      </c>
      <c r="I1818" s="13">
        <v>11.16</v>
      </c>
      <c r="J1818" s="24">
        <v>45875</v>
      </c>
      <c r="K1818" s="13">
        <v>8</v>
      </c>
      <c r="L1818" s="13">
        <v>1.7</v>
      </c>
      <c r="M1818" s="13" t="b">
        <v>0</v>
      </c>
      <c r="O1818" s="13">
        <f t="shared" si="28"/>
        <v>1.7</v>
      </c>
    </row>
    <row r="1819" spans="1:15" x14ac:dyDescent="0.25">
      <c r="A1819" s="13" t="s">
        <v>1831</v>
      </c>
      <c r="B1819" s="13" t="s">
        <v>2193</v>
      </c>
      <c r="C1819" s="13" t="s">
        <v>2200</v>
      </c>
      <c r="D1819" s="13" t="s">
        <v>2204</v>
      </c>
      <c r="E1819" s="13" t="s">
        <v>2211</v>
      </c>
      <c r="F1819" s="13" t="s">
        <v>2224</v>
      </c>
      <c r="G1819" s="13">
        <v>118.53</v>
      </c>
      <c r="H1819" s="13">
        <v>55</v>
      </c>
      <c r="I1819" s="13">
        <v>53.34</v>
      </c>
      <c r="J1819" s="24">
        <v>45772</v>
      </c>
      <c r="K1819" s="13">
        <v>2</v>
      </c>
      <c r="L1819" s="13">
        <v>4.9000000000000004</v>
      </c>
      <c r="M1819" s="13" t="b">
        <v>0</v>
      </c>
      <c r="O1819" s="13">
        <f t="shared" si="28"/>
        <v>4.9000000000000004</v>
      </c>
    </row>
    <row r="1820" spans="1:15" x14ac:dyDescent="0.25">
      <c r="A1820" s="13" t="s">
        <v>1832</v>
      </c>
      <c r="B1820" s="13" t="s">
        <v>2195</v>
      </c>
      <c r="C1820" s="13" t="s">
        <v>2199</v>
      </c>
      <c r="D1820" s="13" t="s">
        <v>2207</v>
      </c>
      <c r="E1820" s="13" t="s">
        <v>2208</v>
      </c>
      <c r="F1820" s="13" t="s">
        <v>2223</v>
      </c>
      <c r="G1820" s="13">
        <v>58.08</v>
      </c>
      <c r="H1820" s="13">
        <v>0</v>
      </c>
      <c r="I1820" s="13">
        <v>58.08</v>
      </c>
      <c r="J1820" s="24">
        <v>45875</v>
      </c>
      <c r="K1820" s="13">
        <v>42</v>
      </c>
      <c r="L1820" s="13">
        <v>1.6</v>
      </c>
      <c r="M1820" s="13" t="b">
        <v>0</v>
      </c>
      <c r="O1820" s="13">
        <f t="shared" si="28"/>
        <v>1.6</v>
      </c>
    </row>
    <row r="1821" spans="1:15" x14ac:dyDescent="0.25">
      <c r="A1821" s="13" t="s">
        <v>1833</v>
      </c>
      <c r="B1821" s="13" t="s">
        <v>2193</v>
      </c>
      <c r="C1821" s="13" t="s">
        <v>2200</v>
      </c>
      <c r="D1821" s="13" t="s">
        <v>2207</v>
      </c>
      <c r="E1821" s="13" t="s">
        <v>2210</v>
      </c>
      <c r="F1821" s="13" t="s">
        <v>2222</v>
      </c>
      <c r="G1821" s="13">
        <v>138.85</v>
      </c>
      <c r="H1821" s="13">
        <v>15</v>
      </c>
      <c r="I1821" s="13">
        <v>118.02</v>
      </c>
      <c r="J1821" s="24">
        <v>45875</v>
      </c>
      <c r="K1821" s="13">
        <v>17</v>
      </c>
      <c r="M1821" s="13" t="b">
        <v>0</v>
      </c>
      <c r="O1821" s="13">
        <f t="shared" si="28"/>
        <v>3.3021276595744684</v>
      </c>
    </row>
    <row r="1822" spans="1:15" x14ac:dyDescent="0.25">
      <c r="A1822" s="13" t="s">
        <v>1834</v>
      </c>
      <c r="B1822" s="13" t="s">
        <v>2194</v>
      </c>
      <c r="C1822" s="13" t="s">
        <v>2198</v>
      </c>
      <c r="D1822" s="13" t="s">
        <v>2207</v>
      </c>
      <c r="E1822" s="13" t="s">
        <v>2212</v>
      </c>
      <c r="F1822" s="13" t="s">
        <v>2218</v>
      </c>
      <c r="G1822" s="13">
        <v>73.33</v>
      </c>
      <c r="H1822" s="13">
        <v>0</v>
      </c>
      <c r="I1822" s="13">
        <v>73.33</v>
      </c>
      <c r="J1822" s="24">
        <v>45875</v>
      </c>
      <c r="K1822" s="13">
        <v>3</v>
      </c>
      <c r="L1822" s="13">
        <v>3.1</v>
      </c>
      <c r="M1822" s="13" t="b">
        <v>1</v>
      </c>
      <c r="N1822" s="13" t="s">
        <v>2229</v>
      </c>
      <c r="O1822" s="13">
        <f t="shared" si="28"/>
        <v>3.1</v>
      </c>
    </row>
    <row r="1823" spans="1:15" x14ac:dyDescent="0.25">
      <c r="A1823" s="13" t="s">
        <v>1835</v>
      </c>
      <c r="B1823" s="13" t="s">
        <v>2190</v>
      </c>
      <c r="C1823" s="13" t="s">
        <v>2203</v>
      </c>
      <c r="D1823" s="13" t="s">
        <v>2205</v>
      </c>
      <c r="E1823" s="13" t="s">
        <v>2210</v>
      </c>
      <c r="F1823" s="13" t="s">
        <v>2220</v>
      </c>
      <c r="G1823" s="13">
        <v>167.73</v>
      </c>
      <c r="H1823" s="13">
        <v>0</v>
      </c>
      <c r="I1823" s="13">
        <v>167.73</v>
      </c>
      <c r="J1823" s="24">
        <v>45875</v>
      </c>
      <c r="K1823" s="13">
        <v>4</v>
      </c>
      <c r="L1823" s="13">
        <v>4.9000000000000004</v>
      </c>
      <c r="M1823" s="13" t="b">
        <v>0</v>
      </c>
      <c r="O1823" s="13">
        <f t="shared" si="28"/>
        <v>4.9000000000000004</v>
      </c>
    </row>
    <row r="1824" spans="1:15" x14ac:dyDescent="0.25">
      <c r="A1824" s="13" t="s">
        <v>1836</v>
      </c>
      <c r="B1824" s="13" t="s">
        <v>2191</v>
      </c>
      <c r="C1824" s="13" t="s">
        <v>2200</v>
      </c>
      <c r="D1824" s="13" t="s">
        <v>2205</v>
      </c>
      <c r="E1824" s="13" t="s">
        <v>2211</v>
      </c>
      <c r="F1824" s="13" t="s">
        <v>2216</v>
      </c>
      <c r="G1824" s="13">
        <v>79.47</v>
      </c>
      <c r="H1824" s="13">
        <v>0</v>
      </c>
      <c r="I1824" s="13">
        <v>79.47</v>
      </c>
      <c r="J1824" s="24">
        <v>45875</v>
      </c>
      <c r="K1824" s="13">
        <v>31</v>
      </c>
      <c r="L1824" s="13">
        <v>3.7</v>
      </c>
      <c r="M1824" s="13" t="b">
        <v>0</v>
      </c>
      <c r="O1824" s="13">
        <f t="shared" si="28"/>
        <v>3.7</v>
      </c>
    </row>
    <row r="1825" spans="1:15" x14ac:dyDescent="0.25">
      <c r="A1825" s="13" t="s">
        <v>1837</v>
      </c>
      <c r="B1825" s="13" t="s">
        <v>2195</v>
      </c>
      <c r="C1825" s="13" t="s">
        <v>2203</v>
      </c>
      <c r="D1825" s="13" t="s">
        <v>2207</v>
      </c>
      <c r="E1825" s="13" t="s">
        <v>2208</v>
      </c>
      <c r="F1825" s="13" t="s">
        <v>2217</v>
      </c>
      <c r="G1825" s="13">
        <v>69.12</v>
      </c>
      <c r="H1825" s="13">
        <v>49.4</v>
      </c>
      <c r="I1825" s="13">
        <v>34.97</v>
      </c>
      <c r="J1825" s="24">
        <v>45875</v>
      </c>
      <c r="K1825" s="13">
        <v>45</v>
      </c>
      <c r="L1825" s="13">
        <v>2.2999999999999998</v>
      </c>
      <c r="M1825" s="13" t="b">
        <v>0</v>
      </c>
      <c r="O1825" s="13">
        <f t="shared" si="28"/>
        <v>2.2999999999999998</v>
      </c>
    </row>
    <row r="1826" spans="1:15" x14ac:dyDescent="0.25">
      <c r="A1826" s="13" t="s">
        <v>1838</v>
      </c>
      <c r="B1826" s="13" t="s">
        <v>2194</v>
      </c>
      <c r="C1826" s="13" t="s">
        <v>2199</v>
      </c>
      <c r="D1826" s="13" t="s">
        <v>2207</v>
      </c>
      <c r="E1826" s="13" t="s">
        <v>2210</v>
      </c>
      <c r="F1826" s="13" t="s">
        <v>2223</v>
      </c>
      <c r="G1826" s="13">
        <v>56.18</v>
      </c>
      <c r="H1826" s="13">
        <v>6.7</v>
      </c>
      <c r="I1826" s="13">
        <v>52.42</v>
      </c>
      <c r="J1826" s="24">
        <v>45875</v>
      </c>
      <c r="K1826" s="13">
        <v>35</v>
      </c>
      <c r="L1826" s="13">
        <v>2.6</v>
      </c>
      <c r="M1826" s="13" t="b">
        <v>1</v>
      </c>
      <c r="N1826" s="13" t="s">
        <v>2229</v>
      </c>
      <c r="O1826" s="13">
        <f t="shared" si="28"/>
        <v>2.6</v>
      </c>
    </row>
    <row r="1827" spans="1:15" x14ac:dyDescent="0.25">
      <c r="A1827" s="13" t="s">
        <v>1839</v>
      </c>
      <c r="B1827" s="13" t="s">
        <v>2191</v>
      </c>
      <c r="C1827" s="13" t="s">
        <v>2202</v>
      </c>
      <c r="D1827" s="13" t="s">
        <v>2205</v>
      </c>
      <c r="E1827" s="13" t="s">
        <v>2212</v>
      </c>
      <c r="F1827" s="13" t="s">
        <v>2218</v>
      </c>
      <c r="G1827" s="13">
        <v>51.28</v>
      </c>
      <c r="H1827" s="13">
        <v>48.3</v>
      </c>
      <c r="I1827" s="13">
        <v>26.51</v>
      </c>
      <c r="J1827" s="24">
        <v>45875</v>
      </c>
      <c r="K1827" s="13">
        <v>9</v>
      </c>
      <c r="L1827" s="13">
        <v>1.1000000000000001</v>
      </c>
      <c r="M1827" s="13" t="b">
        <v>1</v>
      </c>
      <c r="N1827" s="13" t="s">
        <v>2229</v>
      </c>
      <c r="O1827" s="13">
        <f t="shared" si="28"/>
        <v>1.1000000000000001</v>
      </c>
    </row>
    <row r="1828" spans="1:15" x14ac:dyDescent="0.25">
      <c r="A1828" s="13" t="s">
        <v>1840</v>
      </c>
      <c r="B1828" s="13" t="s">
        <v>2190</v>
      </c>
      <c r="C1828" s="13" t="s">
        <v>2202</v>
      </c>
      <c r="D1828" s="13" t="s">
        <v>2204</v>
      </c>
      <c r="F1828" s="13" t="s">
        <v>2220</v>
      </c>
      <c r="G1828" s="13">
        <v>111.73</v>
      </c>
      <c r="H1828" s="13">
        <v>16.8</v>
      </c>
      <c r="I1828" s="13">
        <v>92.96</v>
      </c>
      <c r="J1828" s="24">
        <v>45806</v>
      </c>
      <c r="K1828" s="13">
        <v>41</v>
      </c>
      <c r="L1828" s="13">
        <v>1.2</v>
      </c>
      <c r="M1828" s="13" t="b">
        <v>0</v>
      </c>
      <c r="O1828" s="13">
        <f t="shared" si="28"/>
        <v>1.2</v>
      </c>
    </row>
    <row r="1829" spans="1:15" x14ac:dyDescent="0.25">
      <c r="A1829" s="13" t="s">
        <v>1841</v>
      </c>
      <c r="B1829" s="13" t="s">
        <v>2194</v>
      </c>
      <c r="C1829" s="13" t="s">
        <v>2201</v>
      </c>
      <c r="D1829" s="13" t="s">
        <v>2206</v>
      </c>
      <c r="E1829" s="13" t="s">
        <v>2211</v>
      </c>
      <c r="F1829" s="13" t="s">
        <v>2218</v>
      </c>
      <c r="G1829" s="13">
        <v>49.08</v>
      </c>
      <c r="H1829" s="13">
        <v>19.899999999999999</v>
      </c>
      <c r="I1829" s="13">
        <v>39.31</v>
      </c>
      <c r="J1829" s="24">
        <v>45875</v>
      </c>
      <c r="K1829" s="13">
        <v>46</v>
      </c>
      <c r="L1829" s="13">
        <v>1</v>
      </c>
      <c r="M1829" s="13" t="b">
        <v>1</v>
      </c>
      <c r="N1829" s="13" t="s">
        <v>2229</v>
      </c>
      <c r="O1829" s="13">
        <f t="shared" si="28"/>
        <v>1</v>
      </c>
    </row>
    <row r="1830" spans="1:15" x14ac:dyDescent="0.25">
      <c r="A1830" s="13" t="s">
        <v>1842</v>
      </c>
      <c r="B1830" s="13" t="s">
        <v>2193</v>
      </c>
      <c r="C1830" s="13" t="s">
        <v>2203</v>
      </c>
      <c r="D1830" s="13" t="s">
        <v>2205</v>
      </c>
      <c r="E1830" s="13" t="s">
        <v>2213</v>
      </c>
      <c r="F1830" s="13" t="s">
        <v>2215</v>
      </c>
      <c r="G1830" s="13">
        <v>182.47</v>
      </c>
      <c r="H1830" s="13">
        <v>27.1</v>
      </c>
      <c r="I1830" s="13">
        <v>133.02000000000001</v>
      </c>
      <c r="J1830" s="24">
        <v>45875</v>
      </c>
      <c r="K1830" s="13">
        <v>40</v>
      </c>
      <c r="M1830" s="13" t="b">
        <v>0</v>
      </c>
      <c r="O1830" s="13">
        <f t="shared" si="28"/>
        <v>3.2576923076923077</v>
      </c>
    </row>
    <row r="1831" spans="1:15" x14ac:dyDescent="0.25">
      <c r="A1831" s="13" t="s">
        <v>1843</v>
      </c>
      <c r="B1831" s="13" t="s">
        <v>2190</v>
      </c>
      <c r="C1831" s="13" t="s">
        <v>2203</v>
      </c>
      <c r="D1831" s="13" t="s">
        <v>2207</v>
      </c>
      <c r="E1831" s="13" t="s">
        <v>2212</v>
      </c>
      <c r="F1831" s="13" t="s">
        <v>2223</v>
      </c>
      <c r="G1831" s="13">
        <v>241.22</v>
      </c>
      <c r="H1831" s="13">
        <v>5.9</v>
      </c>
      <c r="I1831" s="13">
        <v>226.99</v>
      </c>
      <c r="J1831" s="24">
        <v>45875</v>
      </c>
      <c r="K1831" s="13">
        <v>13</v>
      </c>
      <c r="L1831" s="13">
        <v>1.2</v>
      </c>
      <c r="M1831" s="13" t="b">
        <v>0</v>
      </c>
      <c r="O1831" s="13">
        <f t="shared" si="28"/>
        <v>1.2</v>
      </c>
    </row>
    <row r="1832" spans="1:15" x14ac:dyDescent="0.25">
      <c r="A1832" s="13" t="s">
        <v>1844</v>
      </c>
      <c r="B1832" s="13" t="s">
        <v>2195</v>
      </c>
      <c r="C1832" s="13" t="s">
        <v>2201</v>
      </c>
      <c r="D1832" s="13" t="s">
        <v>2204</v>
      </c>
      <c r="E1832" s="13" t="s">
        <v>2211</v>
      </c>
      <c r="F1832" s="13" t="s">
        <v>2219</v>
      </c>
      <c r="G1832" s="13">
        <v>78.3</v>
      </c>
      <c r="H1832" s="13">
        <v>0</v>
      </c>
      <c r="I1832" s="13">
        <v>78.3</v>
      </c>
      <c r="J1832" s="24">
        <v>45730</v>
      </c>
      <c r="K1832" s="13">
        <v>19</v>
      </c>
      <c r="L1832" s="13">
        <v>3</v>
      </c>
      <c r="M1832" s="13" t="b">
        <v>0</v>
      </c>
      <c r="O1832" s="13">
        <f t="shared" si="28"/>
        <v>3</v>
      </c>
    </row>
    <row r="1833" spans="1:15" x14ac:dyDescent="0.25">
      <c r="A1833" s="13" t="s">
        <v>1845</v>
      </c>
      <c r="B1833" s="13" t="s">
        <v>2193</v>
      </c>
      <c r="C1833" s="13" t="s">
        <v>2198</v>
      </c>
      <c r="D1833" s="13" t="s">
        <v>2205</v>
      </c>
      <c r="E1833" s="13" t="s">
        <v>2213</v>
      </c>
      <c r="F1833" s="13" t="s">
        <v>2223</v>
      </c>
      <c r="G1833" s="13">
        <v>73.930000000000007</v>
      </c>
      <c r="H1833" s="13">
        <v>0</v>
      </c>
      <c r="I1833" s="13">
        <v>73.930000000000007</v>
      </c>
      <c r="J1833" s="24">
        <v>45875</v>
      </c>
      <c r="K1833" s="13">
        <v>0</v>
      </c>
      <c r="M1833" s="13" t="b">
        <v>0</v>
      </c>
      <c r="O1833" s="13">
        <f t="shared" si="28"/>
        <v>3.1936170212765949</v>
      </c>
    </row>
    <row r="1834" spans="1:15" x14ac:dyDescent="0.25">
      <c r="A1834" s="13" t="s">
        <v>1846</v>
      </c>
      <c r="B1834" s="13" t="s">
        <v>2194</v>
      </c>
      <c r="C1834" s="13" t="s">
        <v>2200</v>
      </c>
      <c r="D1834" s="13" t="s">
        <v>2207</v>
      </c>
      <c r="E1834" s="13" t="s">
        <v>2211</v>
      </c>
      <c r="F1834" s="13" t="s">
        <v>2220</v>
      </c>
      <c r="G1834" s="13">
        <v>97.5</v>
      </c>
      <c r="H1834" s="13">
        <v>0</v>
      </c>
      <c r="I1834" s="13">
        <v>97.5</v>
      </c>
      <c r="J1834" s="24">
        <v>45875</v>
      </c>
      <c r="K1834" s="13">
        <v>43</v>
      </c>
      <c r="L1834" s="13">
        <v>1.6</v>
      </c>
      <c r="M1834" s="13" t="b">
        <v>0</v>
      </c>
      <c r="O1834" s="13">
        <f t="shared" si="28"/>
        <v>1.6</v>
      </c>
    </row>
    <row r="1835" spans="1:15" x14ac:dyDescent="0.25">
      <c r="A1835" s="13" t="s">
        <v>1847</v>
      </c>
      <c r="B1835" s="13" t="s">
        <v>2191</v>
      </c>
      <c r="C1835" s="13" t="s">
        <v>2201</v>
      </c>
      <c r="D1835" s="13" t="s">
        <v>2207</v>
      </c>
      <c r="E1835" s="13" t="s">
        <v>2212</v>
      </c>
      <c r="F1835" s="13" t="s">
        <v>2220</v>
      </c>
      <c r="G1835" s="13">
        <v>38.9</v>
      </c>
      <c r="H1835" s="13">
        <v>0</v>
      </c>
      <c r="I1835" s="13">
        <v>38.9</v>
      </c>
      <c r="J1835" s="24">
        <v>45875</v>
      </c>
      <c r="K1835" s="13">
        <v>1</v>
      </c>
      <c r="L1835" s="13">
        <v>5</v>
      </c>
      <c r="M1835" s="13" t="b">
        <v>0</v>
      </c>
      <c r="O1835" s="13">
        <f t="shared" si="28"/>
        <v>5</v>
      </c>
    </row>
    <row r="1836" spans="1:15" x14ac:dyDescent="0.25">
      <c r="A1836" s="13" t="s">
        <v>1848</v>
      </c>
      <c r="B1836" s="13" t="s">
        <v>2193</v>
      </c>
      <c r="C1836" s="13" t="s">
        <v>2198</v>
      </c>
      <c r="D1836" s="13" t="s">
        <v>2207</v>
      </c>
      <c r="E1836" s="13" t="s">
        <v>2210</v>
      </c>
      <c r="F1836" s="13" t="s">
        <v>2219</v>
      </c>
      <c r="G1836" s="13">
        <v>95.52</v>
      </c>
      <c r="H1836" s="13">
        <v>0</v>
      </c>
      <c r="I1836" s="13">
        <v>95.52</v>
      </c>
      <c r="J1836" s="24">
        <v>45875</v>
      </c>
      <c r="K1836" s="13">
        <v>47</v>
      </c>
      <c r="L1836" s="13">
        <v>3.9</v>
      </c>
      <c r="M1836" s="13" t="b">
        <v>0</v>
      </c>
      <c r="O1836" s="13">
        <f t="shared" si="28"/>
        <v>3.9</v>
      </c>
    </row>
    <row r="1837" spans="1:15" x14ac:dyDescent="0.25">
      <c r="A1837" s="13" t="s">
        <v>1849</v>
      </c>
      <c r="B1837" s="13" t="s">
        <v>2190</v>
      </c>
      <c r="C1837" s="13" t="s">
        <v>2196</v>
      </c>
      <c r="D1837" s="13" t="s">
        <v>2206</v>
      </c>
      <c r="E1837" s="13" t="s">
        <v>2213</v>
      </c>
      <c r="F1837" s="13" t="s">
        <v>2214</v>
      </c>
      <c r="G1837" s="13">
        <v>158.63999999999999</v>
      </c>
      <c r="H1837" s="13">
        <v>50.2</v>
      </c>
      <c r="I1837" s="13">
        <v>79</v>
      </c>
      <c r="J1837" s="24">
        <v>45875</v>
      </c>
      <c r="K1837" s="13">
        <v>7</v>
      </c>
      <c r="L1837" s="13">
        <v>3</v>
      </c>
      <c r="M1837" s="13" t="b">
        <v>1</v>
      </c>
      <c r="N1837" s="13" t="s">
        <v>2229</v>
      </c>
      <c r="O1837" s="13">
        <f t="shared" si="28"/>
        <v>3</v>
      </c>
    </row>
    <row r="1838" spans="1:15" x14ac:dyDescent="0.25">
      <c r="A1838" s="13" t="s">
        <v>1850</v>
      </c>
      <c r="B1838" s="13" t="s">
        <v>2191</v>
      </c>
      <c r="C1838" s="13" t="s">
        <v>2199</v>
      </c>
      <c r="D1838" s="13" t="s">
        <v>2206</v>
      </c>
      <c r="E1838" s="13" t="s">
        <v>2208</v>
      </c>
      <c r="F1838" s="13" t="s">
        <v>2222</v>
      </c>
      <c r="G1838" s="13">
        <v>26.11</v>
      </c>
      <c r="H1838" s="13">
        <v>0</v>
      </c>
      <c r="I1838" s="13">
        <v>26.11</v>
      </c>
      <c r="J1838" s="24">
        <v>45875</v>
      </c>
      <c r="K1838" s="13">
        <v>41</v>
      </c>
      <c r="L1838" s="13">
        <v>4.3</v>
      </c>
      <c r="M1838" s="13" t="b">
        <v>0</v>
      </c>
      <c r="O1838" s="13">
        <f t="shared" si="28"/>
        <v>4.3</v>
      </c>
    </row>
    <row r="1839" spans="1:15" x14ac:dyDescent="0.25">
      <c r="A1839" s="13" t="s">
        <v>1851</v>
      </c>
      <c r="B1839" s="13" t="s">
        <v>2193</v>
      </c>
      <c r="C1839" s="13" t="s">
        <v>2203</v>
      </c>
      <c r="D1839" s="13" t="s">
        <v>2204</v>
      </c>
      <c r="F1839" s="13" t="s">
        <v>2217</v>
      </c>
      <c r="G1839" s="13">
        <v>107.09</v>
      </c>
      <c r="H1839" s="13">
        <v>43.1</v>
      </c>
      <c r="I1839" s="13">
        <v>60.93</v>
      </c>
      <c r="J1839" s="24">
        <v>45702</v>
      </c>
      <c r="K1839" s="13">
        <v>16</v>
      </c>
      <c r="L1839" s="13">
        <v>4.7</v>
      </c>
      <c r="M1839" s="13" t="b">
        <v>1</v>
      </c>
      <c r="N1839" s="13" t="s">
        <v>2229</v>
      </c>
      <c r="O1839" s="13">
        <f t="shared" si="28"/>
        <v>4.7</v>
      </c>
    </row>
    <row r="1840" spans="1:15" x14ac:dyDescent="0.25">
      <c r="A1840" s="13" t="s">
        <v>1852</v>
      </c>
      <c r="B1840" s="13" t="s">
        <v>2192</v>
      </c>
      <c r="C1840" s="13" t="s">
        <v>2202</v>
      </c>
      <c r="D1840" s="13" t="s">
        <v>2207</v>
      </c>
      <c r="F1840" s="13" t="s">
        <v>2216</v>
      </c>
      <c r="G1840" s="13">
        <v>71.42</v>
      </c>
      <c r="H1840" s="13">
        <v>38</v>
      </c>
      <c r="I1840" s="13">
        <v>44.28</v>
      </c>
      <c r="J1840" s="24">
        <v>45875</v>
      </c>
      <c r="K1840" s="13">
        <v>49</v>
      </c>
      <c r="L1840" s="13">
        <v>2.8</v>
      </c>
      <c r="M1840" s="13" t="b">
        <v>0</v>
      </c>
      <c r="O1840" s="13">
        <f t="shared" si="28"/>
        <v>2.8</v>
      </c>
    </row>
    <row r="1841" spans="1:15" x14ac:dyDescent="0.25">
      <c r="A1841" s="13" t="s">
        <v>1853</v>
      </c>
      <c r="B1841" s="13" t="s">
        <v>2193</v>
      </c>
      <c r="C1841" s="13" t="s">
        <v>2196</v>
      </c>
      <c r="D1841" s="13" t="s">
        <v>2207</v>
      </c>
      <c r="E1841" s="13" t="s">
        <v>2208</v>
      </c>
      <c r="F1841" s="13" t="s">
        <v>2214</v>
      </c>
      <c r="G1841" s="13">
        <v>124.56</v>
      </c>
      <c r="H1841" s="13">
        <v>0</v>
      </c>
      <c r="I1841" s="13">
        <v>124.56</v>
      </c>
      <c r="J1841" s="24">
        <v>45875</v>
      </c>
      <c r="K1841" s="13">
        <v>18</v>
      </c>
      <c r="L1841" s="13">
        <v>3</v>
      </c>
      <c r="M1841" s="13" t="b">
        <v>0</v>
      </c>
      <c r="O1841" s="13">
        <f t="shared" si="28"/>
        <v>3</v>
      </c>
    </row>
    <row r="1842" spans="1:15" x14ac:dyDescent="0.25">
      <c r="A1842" s="13" t="s">
        <v>1854</v>
      </c>
      <c r="B1842" s="13" t="s">
        <v>2194</v>
      </c>
      <c r="C1842" s="13" t="s">
        <v>2197</v>
      </c>
      <c r="D1842" s="13" t="s">
        <v>2207</v>
      </c>
      <c r="E1842" s="13" t="s">
        <v>2209</v>
      </c>
      <c r="F1842" s="13" t="s">
        <v>2223</v>
      </c>
      <c r="G1842" s="13">
        <v>30.91</v>
      </c>
      <c r="H1842" s="13">
        <v>0</v>
      </c>
      <c r="I1842" s="13">
        <v>30.91</v>
      </c>
      <c r="J1842" s="24">
        <v>45875</v>
      </c>
      <c r="K1842" s="13">
        <v>45</v>
      </c>
      <c r="L1842" s="13">
        <v>1.8</v>
      </c>
      <c r="M1842" s="13" t="b">
        <v>0</v>
      </c>
      <c r="O1842" s="13">
        <f t="shared" si="28"/>
        <v>1.8</v>
      </c>
    </row>
    <row r="1843" spans="1:15" x14ac:dyDescent="0.25">
      <c r="A1843" s="13" t="s">
        <v>1855</v>
      </c>
      <c r="B1843" s="13" t="s">
        <v>2191</v>
      </c>
      <c r="C1843" s="13" t="s">
        <v>2196</v>
      </c>
      <c r="D1843" s="13" t="s">
        <v>2205</v>
      </c>
      <c r="E1843" s="13" t="s">
        <v>2212</v>
      </c>
      <c r="F1843" s="13" t="s">
        <v>2221</v>
      </c>
      <c r="G1843" s="13">
        <v>53.37</v>
      </c>
      <c r="H1843" s="13">
        <v>0</v>
      </c>
      <c r="I1843" s="13">
        <v>53.37</v>
      </c>
      <c r="J1843" s="24">
        <v>45875</v>
      </c>
      <c r="K1843" s="13">
        <v>15</v>
      </c>
      <c r="L1843" s="13">
        <v>1.1000000000000001</v>
      </c>
      <c r="M1843" s="13" t="b">
        <v>0</v>
      </c>
      <c r="O1843" s="13">
        <f t="shared" si="28"/>
        <v>1.1000000000000001</v>
      </c>
    </row>
    <row r="1844" spans="1:15" x14ac:dyDescent="0.25">
      <c r="A1844" s="13" t="s">
        <v>1856</v>
      </c>
      <c r="B1844" s="13" t="s">
        <v>2193</v>
      </c>
      <c r="C1844" s="13" t="s">
        <v>2202</v>
      </c>
      <c r="D1844" s="13" t="s">
        <v>2207</v>
      </c>
      <c r="E1844" s="13" t="s">
        <v>2208</v>
      </c>
      <c r="F1844" s="13" t="s">
        <v>2220</v>
      </c>
      <c r="G1844" s="13">
        <v>159.16</v>
      </c>
      <c r="H1844" s="13">
        <v>0</v>
      </c>
      <c r="I1844" s="13">
        <v>159.16</v>
      </c>
      <c r="J1844" s="24">
        <v>45875</v>
      </c>
      <c r="K1844" s="13">
        <v>40</v>
      </c>
      <c r="M1844" s="13" t="b">
        <v>1</v>
      </c>
      <c r="N1844" s="13" t="s">
        <v>2229</v>
      </c>
      <c r="O1844" s="13">
        <f t="shared" si="28"/>
        <v>2.9083333333333328</v>
      </c>
    </row>
    <row r="1845" spans="1:15" x14ac:dyDescent="0.25">
      <c r="A1845" s="13" t="s">
        <v>1857</v>
      </c>
      <c r="B1845" s="13" t="s">
        <v>2195</v>
      </c>
      <c r="C1845" s="13" t="s">
        <v>2199</v>
      </c>
      <c r="D1845" s="13" t="s">
        <v>2206</v>
      </c>
      <c r="E1845" s="13" t="s">
        <v>2210</v>
      </c>
      <c r="F1845" s="13" t="s">
        <v>2215</v>
      </c>
      <c r="G1845" s="13">
        <v>169.64</v>
      </c>
      <c r="H1845" s="13">
        <v>0</v>
      </c>
      <c r="I1845" s="13">
        <v>169.64</v>
      </c>
      <c r="J1845" s="24">
        <v>45875</v>
      </c>
      <c r="K1845" s="13">
        <v>5</v>
      </c>
      <c r="L1845" s="13">
        <v>1.6</v>
      </c>
      <c r="M1845" s="13" t="b">
        <v>0</v>
      </c>
      <c r="O1845" s="13">
        <f t="shared" si="28"/>
        <v>1.6</v>
      </c>
    </row>
    <row r="1846" spans="1:15" x14ac:dyDescent="0.25">
      <c r="A1846" s="13" t="s">
        <v>1858</v>
      </c>
      <c r="B1846" s="13" t="s">
        <v>2192</v>
      </c>
      <c r="C1846" s="13" t="s">
        <v>2202</v>
      </c>
      <c r="D1846" s="13" t="s">
        <v>2207</v>
      </c>
      <c r="F1846" s="13" t="s">
        <v>2219</v>
      </c>
      <c r="G1846" s="13">
        <v>59.94</v>
      </c>
      <c r="H1846" s="13">
        <v>0</v>
      </c>
      <c r="I1846" s="13">
        <v>59.94</v>
      </c>
      <c r="J1846" s="24">
        <v>45875</v>
      </c>
      <c r="K1846" s="13">
        <v>7</v>
      </c>
      <c r="L1846" s="13">
        <v>4</v>
      </c>
      <c r="M1846" s="13" t="b">
        <v>0</v>
      </c>
      <c r="O1846" s="13">
        <f t="shared" si="28"/>
        <v>4</v>
      </c>
    </row>
    <row r="1847" spans="1:15" x14ac:dyDescent="0.25">
      <c r="A1847" s="13" t="s">
        <v>1859</v>
      </c>
      <c r="B1847" s="13" t="s">
        <v>2195</v>
      </c>
      <c r="C1847" s="13" t="s">
        <v>2202</v>
      </c>
      <c r="D1847" s="13" t="s">
        <v>2206</v>
      </c>
      <c r="E1847" s="13" t="s">
        <v>2208</v>
      </c>
      <c r="F1847" s="13" t="s">
        <v>2223</v>
      </c>
      <c r="G1847" s="13">
        <v>92.59</v>
      </c>
      <c r="H1847" s="13">
        <v>0</v>
      </c>
      <c r="I1847" s="13">
        <v>92.59</v>
      </c>
      <c r="J1847" s="24">
        <v>45875</v>
      </c>
      <c r="K1847" s="13">
        <v>29</v>
      </c>
      <c r="L1847" s="13">
        <v>3.5</v>
      </c>
      <c r="M1847" s="13" t="b">
        <v>1</v>
      </c>
      <c r="N1847" s="13" t="s">
        <v>2226</v>
      </c>
      <c r="O1847" s="13">
        <f t="shared" si="28"/>
        <v>3.5</v>
      </c>
    </row>
    <row r="1848" spans="1:15" x14ac:dyDescent="0.25">
      <c r="A1848" s="13" t="s">
        <v>1860</v>
      </c>
      <c r="B1848" s="13" t="s">
        <v>2194</v>
      </c>
      <c r="C1848" s="13" t="s">
        <v>2200</v>
      </c>
      <c r="D1848" s="13" t="s">
        <v>2204</v>
      </c>
      <c r="E1848" s="13" t="s">
        <v>2210</v>
      </c>
      <c r="F1848" s="13" t="s">
        <v>2217</v>
      </c>
      <c r="G1848" s="13">
        <v>64.069999999999993</v>
      </c>
      <c r="H1848" s="13">
        <v>0</v>
      </c>
      <c r="I1848" s="13">
        <v>64.069999999999993</v>
      </c>
      <c r="J1848" s="24">
        <v>45734</v>
      </c>
      <c r="K1848" s="13">
        <v>10</v>
      </c>
      <c r="M1848" s="13" t="b">
        <v>0</v>
      </c>
      <c r="O1848" s="13">
        <f t="shared" si="28"/>
        <v>3.0659090909090896</v>
      </c>
    </row>
    <row r="1849" spans="1:15" x14ac:dyDescent="0.25">
      <c r="A1849" s="13" t="s">
        <v>1861</v>
      </c>
      <c r="B1849" s="13" t="s">
        <v>2195</v>
      </c>
      <c r="C1849" s="13" t="s">
        <v>2203</v>
      </c>
      <c r="D1849" s="13" t="s">
        <v>2206</v>
      </c>
      <c r="E1849" s="13" t="s">
        <v>2212</v>
      </c>
      <c r="F1849" s="13" t="s">
        <v>2219</v>
      </c>
      <c r="G1849" s="13">
        <v>127.87</v>
      </c>
      <c r="H1849" s="13">
        <v>54.6</v>
      </c>
      <c r="I1849" s="13">
        <v>58.05</v>
      </c>
      <c r="J1849" s="24">
        <v>45875</v>
      </c>
      <c r="K1849" s="13">
        <v>14</v>
      </c>
      <c r="L1849" s="13">
        <v>4.4000000000000004</v>
      </c>
      <c r="M1849" s="13" t="b">
        <v>0</v>
      </c>
      <c r="O1849" s="13">
        <f t="shared" si="28"/>
        <v>4.4000000000000004</v>
      </c>
    </row>
    <row r="1850" spans="1:15" x14ac:dyDescent="0.25">
      <c r="A1850" s="13" t="s">
        <v>1862</v>
      </c>
      <c r="B1850" s="13" t="s">
        <v>2194</v>
      </c>
      <c r="C1850" s="13" t="s">
        <v>2198</v>
      </c>
      <c r="D1850" s="13" t="s">
        <v>2206</v>
      </c>
      <c r="E1850" s="13" t="s">
        <v>2213</v>
      </c>
      <c r="F1850" s="13" t="s">
        <v>2219</v>
      </c>
      <c r="G1850" s="13">
        <v>32.46</v>
      </c>
      <c r="H1850" s="13">
        <v>12.9</v>
      </c>
      <c r="I1850" s="13">
        <v>28.27</v>
      </c>
      <c r="J1850" s="24">
        <v>45875</v>
      </c>
      <c r="K1850" s="13">
        <v>9</v>
      </c>
      <c r="M1850" s="13" t="b">
        <v>0</v>
      </c>
      <c r="O1850" s="13">
        <f t="shared" si="28"/>
        <v>3.0384615384615379</v>
      </c>
    </row>
    <row r="1851" spans="1:15" x14ac:dyDescent="0.25">
      <c r="A1851" s="13" t="s">
        <v>1863</v>
      </c>
      <c r="B1851" s="13" t="s">
        <v>2194</v>
      </c>
      <c r="C1851" s="13" t="s">
        <v>2200</v>
      </c>
      <c r="D1851" s="13" t="s">
        <v>2207</v>
      </c>
      <c r="E1851" s="13" t="s">
        <v>2211</v>
      </c>
      <c r="F1851" s="13" t="s">
        <v>2215</v>
      </c>
      <c r="G1851" s="13">
        <v>40.31</v>
      </c>
      <c r="H1851" s="13">
        <v>43</v>
      </c>
      <c r="I1851" s="13">
        <v>22.98</v>
      </c>
      <c r="J1851" s="24">
        <v>45875</v>
      </c>
      <c r="K1851" s="13">
        <v>30</v>
      </c>
      <c r="L1851" s="13">
        <v>3.5</v>
      </c>
      <c r="M1851" s="13" t="b">
        <v>1</v>
      </c>
      <c r="N1851" s="13" t="s">
        <v>2225</v>
      </c>
      <c r="O1851" s="13">
        <f t="shared" si="28"/>
        <v>3.5</v>
      </c>
    </row>
    <row r="1852" spans="1:15" x14ac:dyDescent="0.25">
      <c r="A1852" s="13" t="s">
        <v>1864</v>
      </c>
      <c r="B1852" s="13" t="s">
        <v>2192</v>
      </c>
      <c r="C1852" s="13" t="s">
        <v>2201</v>
      </c>
      <c r="D1852" s="13" t="s">
        <v>2205</v>
      </c>
      <c r="F1852" s="13" t="s">
        <v>2220</v>
      </c>
      <c r="G1852" s="13">
        <v>51.3</v>
      </c>
      <c r="H1852" s="13">
        <v>6.1</v>
      </c>
      <c r="I1852" s="13">
        <v>48.17</v>
      </c>
      <c r="J1852" s="24">
        <v>45875</v>
      </c>
      <c r="K1852" s="13">
        <v>31</v>
      </c>
      <c r="M1852" s="13" t="b">
        <v>0</v>
      </c>
      <c r="O1852" s="13">
        <f t="shared" si="28"/>
        <v>3.2731707317073173</v>
      </c>
    </row>
    <row r="1853" spans="1:15" x14ac:dyDescent="0.25">
      <c r="A1853" s="13" t="s">
        <v>1865</v>
      </c>
      <c r="B1853" s="13" t="s">
        <v>2194</v>
      </c>
      <c r="C1853" s="13" t="s">
        <v>2202</v>
      </c>
      <c r="D1853" s="13" t="s">
        <v>2205</v>
      </c>
      <c r="E1853" s="13" t="s">
        <v>2212</v>
      </c>
      <c r="F1853" s="13" t="s">
        <v>2215</v>
      </c>
      <c r="G1853" s="13">
        <v>28.62</v>
      </c>
      <c r="H1853" s="13">
        <v>0</v>
      </c>
      <c r="I1853" s="13">
        <v>28.62</v>
      </c>
      <c r="J1853" s="24">
        <v>45875</v>
      </c>
      <c r="K1853" s="13">
        <v>41</v>
      </c>
      <c r="L1853" s="13">
        <v>4</v>
      </c>
      <c r="M1853" s="13" t="b">
        <v>0</v>
      </c>
      <c r="O1853" s="13">
        <f t="shared" si="28"/>
        <v>4</v>
      </c>
    </row>
    <row r="1854" spans="1:15" x14ac:dyDescent="0.25">
      <c r="A1854" s="13" t="s">
        <v>1866</v>
      </c>
      <c r="B1854" s="13" t="s">
        <v>2192</v>
      </c>
      <c r="C1854" s="13" t="s">
        <v>2202</v>
      </c>
      <c r="D1854" s="13" t="s">
        <v>2206</v>
      </c>
      <c r="F1854" s="13" t="s">
        <v>2220</v>
      </c>
      <c r="G1854" s="13">
        <v>59.03</v>
      </c>
      <c r="H1854" s="13">
        <v>6.4</v>
      </c>
      <c r="I1854" s="13">
        <v>55.25</v>
      </c>
      <c r="J1854" s="24">
        <v>45875</v>
      </c>
      <c r="K1854" s="13">
        <v>45</v>
      </c>
      <c r="M1854" s="13" t="b">
        <v>0</v>
      </c>
      <c r="O1854" s="13">
        <f t="shared" si="28"/>
        <v>3.2720930232558145</v>
      </c>
    </row>
    <row r="1855" spans="1:15" x14ac:dyDescent="0.25">
      <c r="A1855" s="13" t="s">
        <v>1867</v>
      </c>
      <c r="B1855" s="13" t="s">
        <v>2191</v>
      </c>
      <c r="C1855" s="13" t="s">
        <v>2201</v>
      </c>
      <c r="D1855" s="13" t="s">
        <v>2207</v>
      </c>
      <c r="E1855" s="13" t="s">
        <v>2210</v>
      </c>
      <c r="F1855" s="13" t="s">
        <v>2224</v>
      </c>
      <c r="G1855" s="13">
        <v>99.65</v>
      </c>
      <c r="H1855" s="13">
        <v>7.4</v>
      </c>
      <c r="I1855" s="13">
        <v>92.28</v>
      </c>
      <c r="J1855" s="24">
        <v>45875</v>
      </c>
      <c r="K1855" s="13">
        <v>31</v>
      </c>
      <c r="L1855" s="13">
        <v>3.8</v>
      </c>
      <c r="M1855" s="13" t="b">
        <v>0</v>
      </c>
      <c r="O1855" s="13">
        <f t="shared" si="28"/>
        <v>3.8</v>
      </c>
    </row>
    <row r="1856" spans="1:15" x14ac:dyDescent="0.25">
      <c r="A1856" s="13" t="s">
        <v>1868</v>
      </c>
      <c r="B1856" s="13" t="s">
        <v>2195</v>
      </c>
      <c r="C1856" s="13" t="s">
        <v>2203</v>
      </c>
      <c r="D1856" s="13" t="s">
        <v>2205</v>
      </c>
      <c r="F1856" s="13" t="s">
        <v>2219</v>
      </c>
      <c r="G1856" s="13">
        <v>128.55000000000001</v>
      </c>
      <c r="H1856" s="13">
        <v>0</v>
      </c>
      <c r="I1856" s="13">
        <v>128.55000000000001</v>
      </c>
      <c r="J1856" s="24">
        <v>45875</v>
      </c>
      <c r="K1856" s="13">
        <v>1</v>
      </c>
      <c r="L1856" s="13">
        <v>3.7</v>
      </c>
      <c r="M1856" s="13" t="b">
        <v>0</v>
      </c>
      <c r="O1856" s="13">
        <f t="shared" si="28"/>
        <v>3.7</v>
      </c>
    </row>
    <row r="1857" spans="1:15" x14ac:dyDescent="0.25">
      <c r="A1857" s="13" t="s">
        <v>1869</v>
      </c>
      <c r="B1857" s="13" t="s">
        <v>2194</v>
      </c>
      <c r="C1857" s="13" t="s">
        <v>2199</v>
      </c>
      <c r="D1857" s="13" t="s">
        <v>2204</v>
      </c>
      <c r="E1857" s="13" t="s">
        <v>2209</v>
      </c>
      <c r="F1857" s="13" t="s">
        <v>2223</v>
      </c>
      <c r="G1857" s="13">
        <v>78.09</v>
      </c>
      <c r="H1857" s="13">
        <v>56.3</v>
      </c>
      <c r="I1857" s="13">
        <v>34.130000000000003</v>
      </c>
      <c r="J1857" s="24">
        <v>45770</v>
      </c>
      <c r="K1857" s="13">
        <v>20</v>
      </c>
      <c r="L1857" s="13">
        <v>1.3</v>
      </c>
      <c r="M1857" s="13" t="b">
        <v>0</v>
      </c>
      <c r="O1857" s="13">
        <f t="shared" si="28"/>
        <v>1.3</v>
      </c>
    </row>
    <row r="1858" spans="1:15" x14ac:dyDescent="0.25">
      <c r="A1858" s="13" t="s">
        <v>1870</v>
      </c>
      <c r="B1858" s="13" t="s">
        <v>2194</v>
      </c>
      <c r="C1858" s="13" t="s">
        <v>2199</v>
      </c>
      <c r="D1858" s="13" t="s">
        <v>2207</v>
      </c>
      <c r="E1858" s="13" t="s">
        <v>2211</v>
      </c>
      <c r="F1858" s="13" t="s">
        <v>2222</v>
      </c>
      <c r="G1858" s="13">
        <v>108.89</v>
      </c>
      <c r="H1858" s="13">
        <v>0</v>
      </c>
      <c r="I1858" s="13">
        <v>108.89</v>
      </c>
      <c r="J1858" s="24">
        <v>45875</v>
      </c>
      <c r="K1858" s="13">
        <v>50</v>
      </c>
      <c r="L1858" s="13">
        <v>2.9</v>
      </c>
      <c r="M1858" s="13" t="b">
        <v>0</v>
      </c>
      <c r="O1858" s="13">
        <f t="shared" si="28"/>
        <v>2.9</v>
      </c>
    </row>
    <row r="1859" spans="1:15" x14ac:dyDescent="0.25">
      <c r="A1859" s="13" t="s">
        <v>1871</v>
      </c>
      <c r="B1859" s="13" t="s">
        <v>2194</v>
      </c>
      <c r="C1859" s="13" t="s">
        <v>2201</v>
      </c>
      <c r="D1859" s="13" t="s">
        <v>2204</v>
      </c>
      <c r="F1859" s="13" t="s">
        <v>2218</v>
      </c>
      <c r="G1859" s="13">
        <v>35.21</v>
      </c>
      <c r="H1859" s="13">
        <v>14.7</v>
      </c>
      <c r="I1859" s="13">
        <v>30.03</v>
      </c>
      <c r="J1859" s="24">
        <v>45649</v>
      </c>
      <c r="K1859" s="13">
        <v>15</v>
      </c>
      <c r="L1859" s="13">
        <v>3.1</v>
      </c>
      <c r="M1859" s="13" t="b">
        <v>1</v>
      </c>
      <c r="N1859" s="13" t="s">
        <v>2228</v>
      </c>
      <c r="O1859" s="13">
        <f t="shared" ref="O1859:O1922" si="29">IF(L1859="",AVERAGEIFS($L$2:$L$2177,$B$2:$B$2177,B1859,$C$2:$C$2177,C1859),L1859)</f>
        <v>3.1</v>
      </c>
    </row>
    <row r="1860" spans="1:15" x14ac:dyDescent="0.25">
      <c r="A1860" s="13" t="s">
        <v>1872</v>
      </c>
      <c r="B1860" s="13" t="s">
        <v>2195</v>
      </c>
      <c r="C1860" s="13" t="s">
        <v>2202</v>
      </c>
      <c r="D1860" s="13" t="s">
        <v>2207</v>
      </c>
      <c r="E1860" s="13" t="s">
        <v>2211</v>
      </c>
      <c r="F1860" s="13" t="s">
        <v>2224</v>
      </c>
      <c r="G1860" s="13">
        <v>129.16</v>
      </c>
      <c r="H1860" s="13">
        <v>34</v>
      </c>
      <c r="I1860" s="13">
        <v>85.25</v>
      </c>
      <c r="J1860" s="24">
        <v>45875</v>
      </c>
      <c r="K1860" s="13">
        <v>24</v>
      </c>
      <c r="L1860" s="13">
        <v>1.7</v>
      </c>
      <c r="M1860" s="13" t="b">
        <v>0</v>
      </c>
      <c r="O1860" s="13">
        <f t="shared" si="29"/>
        <v>1.7</v>
      </c>
    </row>
    <row r="1861" spans="1:15" x14ac:dyDescent="0.25">
      <c r="A1861" s="13" t="s">
        <v>1873</v>
      </c>
      <c r="B1861" s="13" t="s">
        <v>2195</v>
      </c>
      <c r="C1861" s="13" t="s">
        <v>2201</v>
      </c>
      <c r="D1861" s="13" t="s">
        <v>2207</v>
      </c>
      <c r="E1861" s="13" t="s">
        <v>2210</v>
      </c>
      <c r="F1861" s="13" t="s">
        <v>2218</v>
      </c>
      <c r="G1861" s="13">
        <v>142.43</v>
      </c>
      <c r="H1861" s="13">
        <v>0</v>
      </c>
      <c r="I1861" s="13">
        <v>142.43</v>
      </c>
      <c r="J1861" s="24">
        <v>45875</v>
      </c>
      <c r="K1861" s="13">
        <v>15</v>
      </c>
      <c r="L1861" s="13">
        <v>4.0999999999999996</v>
      </c>
      <c r="M1861" s="13" t="b">
        <v>1</v>
      </c>
      <c r="N1861" s="13" t="s">
        <v>2226</v>
      </c>
      <c r="O1861" s="13">
        <f t="shared" si="29"/>
        <v>4.0999999999999996</v>
      </c>
    </row>
    <row r="1862" spans="1:15" x14ac:dyDescent="0.25">
      <c r="A1862" s="13" t="s">
        <v>1874</v>
      </c>
      <c r="B1862" s="13" t="s">
        <v>2192</v>
      </c>
      <c r="C1862" s="13" t="s">
        <v>2203</v>
      </c>
      <c r="D1862" s="13" t="s">
        <v>2204</v>
      </c>
      <c r="F1862" s="13" t="s">
        <v>2222</v>
      </c>
      <c r="G1862" s="13">
        <v>45.19</v>
      </c>
      <c r="H1862" s="13">
        <v>0</v>
      </c>
      <c r="I1862" s="13">
        <v>45.19</v>
      </c>
      <c r="J1862" s="24">
        <v>45716</v>
      </c>
      <c r="K1862" s="13">
        <v>38</v>
      </c>
      <c r="L1862" s="13">
        <v>1.6</v>
      </c>
      <c r="M1862" s="13" t="b">
        <v>1</v>
      </c>
      <c r="N1862" s="13" t="s">
        <v>2230</v>
      </c>
      <c r="O1862" s="13">
        <f t="shared" si="29"/>
        <v>1.6</v>
      </c>
    </row>
    <row r="1863" spans="1:15" x14ac:dyDescent="0.25">
      <c r="A1863" s="13" t="s">
        <v>1875</v>
      </c>
      <c r="B1863" s="13" t="s">
        <v>2194</v>
      </c>
      <c r="C1863" s="13" t="s">
        <v>2200</v>
      </c>
      <c r="D1863" s="13" t="s">
        <v>2206</v>
      </c>
      <c r="E1863" s="13" t="s">
        <v>2210</v>
      </c>
      <c r="F1863" s="13" t="s">
        <v>2223</v>
      </c>
      <c r="G1863" s="13">
        <v>47.66</v>
      </c>
      <c r="H1863" s="13">
        <v>0</v>
      </c>
      <c r="I1863" s="13">
        <v>47.66</v>
      </c>
      <c r="J1863" s="24">
        <v>45875</v>
      </c>
      <c r="K1863" s="13">
        <v>0</v>
      </c>
      <c r="L1863" s="13">
        <v>4.8</v>
      </c>
      <c r="M1863" s="13" t="b">
        <v>1</v>
      </c>
      <c r="N1863" s="13" t="s">
        <v>2226</v>
      </c>
      <c r="O1863" s="13">
        <f t="shared" si="29"/>
        <v>4.8</v>
      </c>
    </row>
    <row r="1864" spans="1:15" x14ac:dyDescent="0.25">
      <c r="A1864" s="13" t="s">
        <v>1876</v>
      </c>
      <c r="B1864" s="13" t="s">
        <v>2194</v>
      </c>
      <c r="C1864" s="13" t="s">
        <v>2197</v>
      </c>
      <c r="D1864" s="13" t="s">
        <v>2207</v>
      </c>
      <c r="E1864" s="13" t="s">
        <v>2212</v>
      </c>
      <c r="F1864" s="13" t="s">
        <v>2221</v>
      </c>
      <c r="G1864" s="13">
        <v>115.05</v>
      </c>
      <c r="H1864" s="13">
        <v>40</v>
      </c>
      <c r="I1864" s="13">
        <v>69.03</v>
      </c>
      <c r="J1864" s="24">
        <v>45875</v>
      </c>
      <c r="K1864" s="13">
        <v>48</v>
      </c>
      <c r="L1864" s="13">
        <v>3.1</v>
      </c>
      <c r="M1864" s="13" t="b">
        <v>0</v>
      </c>
      <c r="O1864" s="13">
        <f t="shared" si="29"/>
        <v>3.1</v>
      </c>
    </row>
    <row r="1865" spans="1:15" x14ac:dyDescent="0.25">
      <c r="A1865" s="13" t="s">
        <v>1877</v>
      </c>
      <c r="B1865" s="13" t="s">
        <v>2194</v>
      </c>
      <c r="C1865" s="13" t="s">
        <v>2198</v>
      </c>
      <c r="D1865" s="13" t="s">
        <v>2207</v>
      </c>
      <c r="E1865" s="13" t="s">
        <v>2208</v>
      </c>
      <c r="F1865" s="13" t="s">
        <v>2224</v>
      </c>
      <c r="G1865" s="13">
        <v>87.84</v>
      </c>
      <c r="H1865" s="13">
        <v>0</v>
      </c>
      <c r="I1865" s="13">
        <v>87.84</v>
      </c>
      <c r="J1865" s="24">
        <v>45875</v>
      </c>
      <c r="K1865" s="13">
        <v>29</v>
      </c>
      <c r="L1865" s="13">
        <v>1.3</v>
      </c>
      <c r="M1865" s="13" t="b">
        <v>0</v>
      </c>
      <c r="O1865" s="13">
        <f t="shared" si="29"/>
        <v>1.3</v>
      </c>
    </row>
    <row r="1866" spans="1:15" x14ac:dyDescent="0.25">
      <c r="A1866" s="13" t="s">
        <v>1878</v>
      </c>
      <c r="B1866" s="13" t="s">
        <v>2195</v>
      </c>
      <c r="C1866" s="13" t="s">
        <v>2203</v>
      </c>
      <c r="D1866" s="13" t="s">
        <v>2206</v>
      </c>
      <c r="E1866" s="13" t="s">
        <v>2210</v>
      </c>
      <c r="F1866" s="13" t="s">
        <v>2219</v>
      </c>
      <c r="G1866" s="13">
        <v>73.42</v>
      </c>
      <c r="H1866" s="13">
        <v>35</v>
      </c>
      <c r="I1866" s="13">
        <v>47.72</v>
      </c>
      <c r="J1866" s="24">
        <v>45875</v>
      </c>
      <c r="K1866" s="13">
        <v>44</v>
      </c>
      <c r="M1866" s="13" t="b">
        <v>0</v>
      </c>
      <c r="O1866" s="13">
        <f t="shared" si="29"/>
        <v>2.9636363636363638</v>
      </c>
    </row>
    <row r="1867" spans="1:15" x14ac:dyDescent="0.25">
      <c r="A1867" s="13" t="s">
        <v>1879</v>
      </c>
      <c r="B1867" s="13" t="s">
        <v>2193</v>
      </c>
      <c r="C1867" s="13" t="s">
        <v>2202</v>
      </c>
      <c r="D1867" s="13" t="s">
        <v>2206</v>
      </c>
      <c r="E1867" s="13" t="s">
        <v>2209</v>
      </c>
      <c r="F1867" s="13" t="s">
        <v>2222</v>
      </c>
      <c r="G1867" s="13">
        <v>181.58</v>
      </c>
      <c r="H1867" s="13">
        <v>21.6</v>
      </c>
      <c r="I1867" s="13">
        <v>142.36000000000001</v>
      </c>
      <c r="J1867" s="24">
        <v>45875</v>
      </c>
      <c r="K1867" s="13">
        <v>14</v>
      </c>
      <c r="L1867" s="13">
        <v>4.7</v>
      </c>
      <c r="M1867" s="13" t="b">
        <v>0</v>
      </c>
      <c r="O1867" s="13">
        <f t="shared" si="29"/>
        <v>4.7</v>
      </c>
    </row>
    <row r="1868" spans="1:15" x14ac:dyDescent="0.25">
      <c r="A1868" s="13" t="s">
        <v>1880</v>
      </c>
      <c r="B1868" s="13" t="s">
        <v>2191</v>
      </c>
      <c r="C1868" s="13" t="s">
        <v>2200</v>
      </c>
      <c r="D1868" s="13" t="s">
        <v>2204</v>
      </c>
      <c r="E1868" s="13" t="s">
        <v>2209</v>
      </c>
      <c r="F1868" s="13" t="s">
        <v>2216</v>
      </c>
      <c r="G1868" s="13">
        <v>71.680000000000007</v>
      </c>
      <c r="H1868" s="13">
        <v>0</v>
      </c>
      <c r="I1868" s="13">
        <v>71.680000000000007</v>
      </c>
      <c r="J1868" s="24">
        <v>45874</v>
      </c>
      <c r="K1868" s="13">
        <v>0</v>
      </c>
      <c r="L1868" s="13">
        <v>1.5</v>
      </c>
      <c r="M1868" s="13" t="b">
        <v>0</v>
      </c>
      <c r="O1868" s="13">
        <f t="shared" si="29"/>
        <v>1.5</v>
      </c>
    </row>
    <row r="1869" spans="1:15" x14ac:dyDescent="0.25">
      <c r="A1869" s="13" t="s">
        <v>1881</v>
      </c>
      <c r="B1869" s="13" t="s">
        <v>2191</v>
      </c>
      <c r="C1869" s="13" t="s">
        <v>2198</v>
      </c>
      <c r="D1869" s="13" t="s">
        <v>2205</v>
      </c>
      <c r="E1869" s="13" t="s">
        <v>2211</v>
      </c>
      <c r="F1869" s="13" t="s">
        <v>2221</v>
      </c>
      <c r="G1869" s="13">
        <v>25.63</v>
      </c>
      <c r="H1869" s="13">
        <v>0</v>
      </c>
      <c r="I1869" s="13">
        <v>25.63</v>
      </c>
      <c r="J1869" s="24">
        <v>45875</v>
      </c>
      <c r="K1869" s="13">
        <v>27</v>
      </c>
      <c r="L1869" s="13">
        <v>1.2</v>
      </c>
      <c r="M1869" s="13" t="b">
        <v>0</v>
      </c>
      <c r="O1869" s="13">
        <f t="shared" si="29"/>
        <v>1.2</v>
      </c>
    </row>
    <row r="1870" spans="1:15" x14ac:dyDescent="0.25">
      <c r="A1870" s="13" t="s">
        <v>1882</v>
      </c>
      <c r="B1870" s="13" t="s">
        <v>2191</v>
      </c>
      <c r="C1870" s="13" t="s">
        <v>2203</v>
      </c>
      <c r="D1870" s="13" t="s">
        <v>2205</v>
      </c>
      <c r="F1870" s="13" t="s">
        <v>2224</v>
      </c>
      <c r="G1870" s="13">
        <v>31.34</v>
      </c>
      <c r="H1870" s="13">
        <v>48.5</v>
      </c>
      <c r="I1870" s="13">
        <v>16.14</v>
      </c>
      <c r="J1870" s="24">
        <v>45875</v>
      </c>
      <c r="K1870" s="13">
        <v>36</v>
      </c>
      <c r="L1870" s="13">
        <v>1.6</v>
      </c>
      <c r="M1870" s="13" t="b">
        <v>1</v>
      </c>
      <c r="N1870" s="13" t="s">
        <v>2226</v>
      </c>
      <c r="O1870" s="13">
        <f t="shared" si="29"/>
        <v>1.6</v>
      </c>
    </row>
    <row r="1871" spans="1:15" x14ac:dyDescent="0.25">
      <c r="A1871" s="13" t="s">
        <v>1883</v>
      </c>
      <c r="B1871" s="13" t="s">
        <v>2195</v>
      </c>
      <c r="C1871" s="13" t="s">
        <v>2200</v>
      </c>
      <c r="D1871" s="13" t="s">
        <v>2206</v>
      </c>
      <c r="E1871" s="13" t="s">
        <v>2209</v>
      </c>
      <c r="F1871" s="13" t="s">
        <v>2221</v>
      </c>
      <c r="G1871" s="13">
        <v>98.91</v>
      </c>
      <c r="H1871" s="13">
        <v>33.799999999999997</v>
      </c>
      <c r="I1871" s="13">
        <v>65.48</v>
      </c>
      <c r="J1871" s="24">
        <v>45875</v>
      </c>
      <c r="K1871" s="13">
        <v>33</v>
      </c>
      <c r="M1871" s="13" t="b">
        <v>1</v>
      </c>
      <c r="N1871" s="13" t="s">
        <v>2225</v>
      </c>
      <c r="O1871" s="13">
        <f t="shared" si="29"/>
        <v>3.1051282051282048</v>
      </c>
    </row>
    <row r="1872" spans="1:15" x14ac:dyDescent="0.25">
      <c r="A1872" s="13" t="s">
        <v>1884</v>
      </c>
      <c r="B1872" s="13" t="s">
        <v>2192</v>
      </c>
      <c r="C1872" s="13" t="s">
        <v>2196</v>
      </c>
      <c r="D1872" s="13" t="s">
        <v>2205</v>
      </c>
      <c r="F1872" s="13" t="s">
        <v>2214</v>
      </c>
      <c r="G1872" s="13">
        <v>43.33</v>
      </c>
      <c r="H1872" s="13">
        <v>7.8</v>
      </c>
      <c r="I1872" s="13">
        <v>39.950000000000003</v>
      </c>
      <c r="J1872" s="24">
        <v>45875</v>
      </c>
      <c r="K1872" s="13">
        <v>4</v>
      </c>
      <c r="L1872" s="13">
        <v>1.3</v>
      </c>
      <c r="M1872" s="13" t="b">
        <v>0</v>
      </c>
      <c r="O1872" s="13">
        <f t="shared" si="29"/>
        <v>1.3</v>
      </c>
    </row>
    <row r="1873" spans="1:15" x14ac:dyDescent="0.25">
      <c r="A1873" s="13" t="s">
        <v>1885</v>
      </c>
      <c r="B1873" s="13" t="s">
        <v>2193</v>
      </c>
      <c r="C1873" s="13" t="s">
        <v>2202</v>
      </c>
      <c r="D1873" s="13" t="s">
        <v>2207</v>
      </c>
      <c r="E1873" s="13" t="s">
        <v>2213</v>
      </c>
      <c r="F1873" s="13" t="s">
        <v>2216</v>
      </c>
      <c r="G1873" s="13">
        <v>70.709999999999994</v>
      </c>
      <c r="H1873" s="13">
        <v>0</v>
      </c>
      <c r="I1873" s="13">
        <v>70.709999999999994</v>
      </c>
      <c r="J1873" s="24">
        <v>45875</v>
      </c>
      <c r="K1873" s="13">
        <v>8</v>
      </c>
      <c r="L1873" s="13">
        <v>2.2999999999999998</v>
      </c>
      <c r="M1873" s="13" t="b">
        <v>0</v>
      </c>
      <c r="O1873" s="13">
        <f t="shared" si="29"/>
        <v>2.2999999999999998</v>
      </c>
    </row>
    <row r="1874" spans="1:15" x14ac:dyDescent="0.25">
      <c r="A1874" s="13" t="s">
        <v>1886</v>
      </c>
      <c r="B1874" s="13" t="s">
        <v>2190</v>
      </c>
      <c r="C1874" s="13" t="s">
        <v>2200</v>
      </c>
      <c r="D1874" s="13" t="s">
        <v>2205</v>
      </c>
      <c r="E1874" s="13" t="s">
        <v>2210</v>
      </c>
      <c r="F1874" s="13" t="s">
        <v>2223</v>
      </c>
      <c r="G1874" s="13">
        <v>215.99</v>
      </c>
      <c r="H1874" s="13">
        <v>38.1</v>
      </c>
      <c r="I1874" s="13">
        <v>133.69999999999999</v>
      </c>
      <c r="J1874" s="24">
        <v>45875</v>
      </c>
      <c r="K1874" s="13">
        <v>14</v>
      </c>
      <c r="L1874" s="13">
        <v>3.9</v>
      </c>
      <c r="M1874" s="13" t="b">
        <v>0</v>
      </c>
      <c r="O1874" s="13">
        <f t="shared" si="29"/>
        <v>3.9</v>
      </c>
    </row>
    <row r="1875" spans="1:15" x14ac:dyDescent="0.25">
      <c r="A1875" s="13" t="s">
        <v>1887</v>
      </c>
      <c r="B1875" s="13" t="s">
        <v>2195</v>
      </c>
      <c r="C1875" s="13" t="s">
        <v>2198</v>
      </c>
      <c r="D1875" s="13" t="s">
        <v>2205</v>
      </c>
      <c r="E1875" s="13" t="s">
        <v>2208</v>
      </c>
      <c r="F1875" s="13" t="s">
        <v>2220</v>
      </c>
      <c r="G1875" s="13">
        <v>145.57</v>
      </c>
      <c r="H1875" s="13">
        <v>5.0999999999999996</v>
      </c>
      <c r="I1875" s="13">
        <v>138.15</v>
      </c>
      <c r="J1875" s="24">
        <v>45875</v>
      </c>
      <c r="K1875" s="13">
        <v>8</v>
      </c>
      <c r="L1875" s="13">
        <v>4.4000000000000004</v>
      </c>
      <c r="M1875" s="13" t="b">
        <v>0</v>
      </c>
      <c r="O1875" s="13">
        <f t="shared" si="29"/>
        <v>4.4000000000000004</v>
      </c>
    </row>
    <row r="1876" spans="1:15" x14ac:dyDescent="0.25">
      <c r="A1876" s="13" t="s">
        <v>1888</v>
      </c>
      <c r="B1876" s="13" t="s">
        <v>2193</v>
      </c>
      <c r="C1876" s="13" t="s">
        <v>2198</v>
      </c>
      <c r="D1876" s="13" t="s">
        <v>2206</v>
      </c>
      <c r="E1876" s="13" t="s">
        <v>2212</v>
      </c>
      <c r="F1876" s="13" t="s">
        <v>2222</v>
      </c>
      <c r="G1876" s="13">
        <v>195.03</v>
      </c>
      <c r="H1876" s="13">
        <v>0</v>
      </c>
      <c r="I1876" s="13">
        <v>195.03</v>
      </c>
      <c r="J1876" s="24">
        <v>45875</v>
      </c>
      <c r="K1876" s="13">
        <v>44</v>
      </c>
      <c r="L1876" s="13">
        <v>4.4000000000000004</v>
      </c>
      <c r="M1876" s="13" t="b">
        <v>0</v>
      </c>
      <c r="O1876" s="13">
        <f t="shared" si="29"/>
        <v>4.4000000000000004</v>
      </c>
    </row>
    <row r="1877" spans="1:15" x14ac:dyDescent="0.25">
      <c r="A1877" s="13" t="s">
        <v>1889</v>
      </c>
      <c r="B1877" s="13" t="s">
        <v>2194</v>
      </c>
      <c r="C1877" s="13" t="s">
        <v>2201</v>
      </c>
      <c r="D1877" s="13" t="s">
        <v>2205</v>
      </c>
      <c r="E1877" s="13" t="s">
        <v>2212</v>
      </c>
      <c r="F1877" s="13" t="s">
        <v>2216</v>
      </c>
      <c r="G1877" s="13">
        <v>74.88</v>
      </c>
      <c r="H1877" s="13">
        <v>9.6999999999999993</v>
      </c>
      <c r="I1877" s="13">
        <v>67.62</v>
      </c>
      <c r="J1877" s="24">
        <v>45875</v>
      </c>
      <c r="K1877" s="13">
        <v>23</v>
      </c>
      <c r="L1877" s="13">
        <v>2.6</v>
      </c>
      <c r="M1877" s="13" t="b">
        <v>0</v>
      </c>
      <c r="O1877" s="13">
        <f t="shared" si="29"/>
        <v>2.6</v>
      </c>
    </row>
    <row r="1878" spans="1:15" x14ac:dyDescent="0.25">
      <c r="A1878" s="13" t="s">
        <v>1890</v>
      </c>
      <c r="B1878" s="13" t="s">
        <v>2191</v>
      </c>
      <c r="C1878" s="13" t="s">
        <v>2202</v>
      </c>
      <c r="D1878" s="13" t="s">
        <v>2204</v>
      </c>
      <c r="E1878" s="13" t="s">
        <v>2209</v>
      </c>
      <c r="F1878" s="13" t="s">
        <v>2215</v>
      </c>
      <c r="G1878" s="13">
        <v>50.3</v>
      </c>
      <c r="H1878" s="13">
        <v>0</v>
      </c>
      <c r="I1878" s="13">
        <v>50.3</v>
      </c>
      <c r="J1878" s="24">
        <v>45522</v>
      </c>
      <c r="K1878" s="13">
        <v>23</v>
      </c>
      <c r="L1878" s="13">
        <v>1.3</v>
      </c>
      <c r="M1878" s="13" t="b">
        <v>0</v>
      </c>
      <c r="O1878" s="13">
        <f t="shared" si="29"/>
        <v>1.3</v>
      </c>
    </row>
    <row r="1879" spans="1:15" x14ac:dyDescent="0.25">
      <c r="A1879" s="13" t="s">
        <v>1891</v>
      </c>
      <c r="B1879" s="13" t="s">
        <v>2190</v>
      </c>
      <c r="C1879" s="13" t="s">
        <v>2201</v>
      </c>
      <c r="D1879" s="13" t="s">
        <v>2207</v>
      </c>
      <c r="E1879" s="13" t="s">
        <v>2211</v>
      </c>
      <c r="F1879" s="13" t="s">
        <v>2214</v>
      </c>
      <c r="G1879" s="13">
        <v>130.65</v>
      </c>
      <c r="H1879" s="13">
        <v>0</v>
      </c>
      <c r="I1879" s="13">
        <v>130.65</v>
      </c>
      <c r="J1879" s="24">
        <v>45875</v>
      </c>
      <c r="K1879" s="13">
        <v>20</v>
      </c>
      <c r="L1879" s="13">
        <v>2.6</v>
      </c>
      <c r="M1879" s="13" t="b">
        <v>0</v>
      </c>
      <c r="O1879" s="13">
        <f t="shared" si="29"/>
        <v>2.6</v>
      </c>
    </row>
    <row r="1880" spans="1:15" x14ac:dyDescent="0.25">
      <c r="A1880" s="13" t="s">
        <v>1892</v>
      </c>
      <c r="B1880" s="13" t="s">
        <v>2195</v>
      </c>
      <c r="C1880" s="13" t="s">
        <v>2203</v>
      </c>
      <c r="D1880" s="13" t="s">
        <v>2204</v>
      </c>
      <c r="E1880" s="13" t="s">
        <v>2211</v>
      </c>
      <c r="F1880" s="13" t="s">
        <v>2220</v>
      </c>
      <c r="G1880" s="13">
        <v>94.56</v>
      </c>
      <c r="H1880" s="13">
        <v>40.299999999999997</v>
      </c>
      <c r="I1880" s="13">
        <v>56.45</v>
      </c>
      <c r="J1880" s="24">
        <v>45822</v>
      </c>
      <c r="K1880" s="13">
        <v>41</v>
      </c>
      <c r="L1880" s="13">
        <v>4.7</v>
      </c>
      <c r="M1880" s="13" t="b">
        <v>0</v>
      </c>
      <c r="O1880" s="13">
        <f t="shared" si="29"/>
        <v>4.7</v>
      </c>
    </row>
    <row r="1881" spans="1:15" x14ac:dyDescent="0.25">
      <c r="A1881" s="13" t="s">
        <v>1893</v>
      </c>
      <c r="B1881" s="13" t="s">
        <v>2190</v>
      </c>
      <c r="C1881" s="13" t="s">
        <v>2197</v>
      </c>
      <c r="D1881" s="13" t="s">
        <v>2204</v>
      </c>
      <c r="E1881" s="13" t="s">
        <v>2210</v>
      </c>
      <c r="F1881" s="13" t="s">
        <v>2224</v>
      </c>
      <c r="G1881" s="13">
        <v>138.97999999999999</v>
      </c>
      <c r="H1881" s="13">
        <v>10.199999999999999</v>
      </c>
      <c r="I1881" s="13">
        <v>124.8</v>
      </c>
      <c r="J1881" s="24">
        <v>45860</v>
      </c>
      <c r="K1881" s="13">
        <v>36</v>
      </c>
      <c r="L1881" s="13">
        <v>1.4</v>
      </c>
      <c r="M1881" s="13" t="b">
        <v>0</v>
      </c>
      <c r="O1881" s="13">
        <f t="shared" si="29"/>
        <v>1.4</v>
      </c>
    </row>
    <row r="1882" spans="1:15" x14ac:dyDescent="0.25">
      <c r="A1882" s="13" t="s">
        <v>1894</v>
      </c>
      <c r="B1882" s="13" t="s">
        <v>2192</v>
      </c>
      <c r="C1882" s="13" t="s">
        <v>2200</v>
      </c>
      <c r="D1882" s="13" t="s">
        <v>2205</v>
      </c>
      <c r="F1882" s="13" t="s">
        <v>2220</v>
      </c>
      <c r="G1882" s="13">
        <v>52.57</v>
      </c>
      <c r="H1882" s="13">
        <v>0</v>
      </c>
      <c r="I1882" s="13">
        <v>52.57</v>
      </c>
      <c r="J1882" s="24">
        <v>45875</v>
      </c>
      <c r="K1882" s="13">
        <v>50</v>
      </c>
      <c r="L1882" s="13">
        <v>2.5</v>
      </c>
      <c r="M1882" s="13" t="b">
        <v>1</v>
      </c>
      <c r="N1882" s="13" t="s">
        <v>2227</v>
      </c>
      <c r="O1882" s="13">
        <f t="shared" si="29"/>
        <v>2.5</v>
      </c>
    </row>
    <row r="1883" spans="1:15" x14ac:dyDescent="0.25">
      <c r="A1883" s="13" t="s">
        <v>1895</v>
      </c>
      <c r="B1883" s="13" t="s">
        <v>2190</v>
      </c>
      <c r="C1883" s="13" t="s">
        <v>2200</v>
      </c>
      <c r="D1883" s="13" t="s">
        <v>2204</v>
      </c>
      <c r="F1883" s="13" t="s">
        <v>2217</v>
      </c>
      <c r="G1883" s="13">
        <v>151.62</v>
      </c>
      <c r="H1883" s="13">
        <v>0</v>
      </c>
      <c r="I1883" s="13">
        <v>151.62</v>
      </c>
      <c r="J1883" s="24">
        <v>45849</v>
      </c>
      <c r="K1883" s="13">
        <v>41</v>
      </c>
      <c r="L1883" s="13">
        <v>3.5</v>
      </c>
      <c r="M1883" s="13" t="b">
        <v>0</v>
      </c>
      <c r="O1883" s="13">
        <f t="shared" si="29"/>
        <v>3.5</v>
      </c>
    </row>
    <row r="1884" spans="1:15" x14ac:dyDescent="0.25">
      <c r="A1884" s="13" t="s">
        <v>1896</v>
      </c>
      <c r="B1884" s="13" t="s">
        <v>2192</v>
      </c>
      <c r="C1884" s="13" t="s">
        <v>2197</v>
      </c>
      <c r="D1884" s="13" t="s">
        <v>2204</v>
      </c>
      <c r="F1884" s="13" t="s">
        <v>2219</v>
      </c>
      <c r="G1884" s="13">
        <v>26.7</v>
      </c>
      <c r="H1884" s="13">
        <v>0</v>
      </c>
      <c r="I1884" s="13">
        <v>26.7</v>
      </c>
      <c r="J1884" s="24">
        <v>45804</v>
      </c>
      <c r="K1884" s="13">
        <v>48</v>
      </c>
      <c r="L1884" s="13">
        <v>3.1</v>
      </c>
      <c r="M1884" s="13" t="b">
        <v>0</v>
      </c>
      <c r="O1884" s="13">
        <f t="shared" si="29"/>
        <v>3.1</v>
      </c>
    </row>
    <row r="1885" spans="1:15" x14ac:dyDescent="0.25">
      <c r="A1885" s="13" t="s">
        <v>1897</v>
      </c>
      <c r="B1885" s="13" t="s">
        <v>2190</v>
      </c>
      <c r="C1885" s="13" t="s">
        <v>2201</v>
      </c>
      <c r="D1885" s="13" t="s">
        <v>2207</v>
      </c>
      <c r="E1885" s="13" t="s">
        <v>2210</v>
      </c>
      <c r="F1885" s="13" t="s">
        <v>2224</v>
      </c>
      <c r="G1885" s="13">
        <v>147.5</v>
      </c>
      <c r="H1885" s="13">
        <v>0</v>
      </c>
      <c r="I1885" s="13">
        <v>147.5</v>
      </c>
      <c r="J1885" s="24">
        <v>45875</v>
      </c>
      <c r="K1885" s="13">
        <v>4</v>
      </c>
      <c r="L1885" s="13">
        <v>2.4</v>
      </c>
      <c r="M1885" s="13" t="b">
        <v>0</v>
      </c>
      <c r="O1885" s="13">
        <f t="shared" si="29"/>
        <v>2.4</v>
      </c>
    </row>
    <row r="1886" spans="1:15" x14ac:dyDescent="0.25">
      <c r="A1886" s="13" t="s">
        <v>1898</v>
      </c>
      <c r="B1886" s="13" t="s">
        <v>2191</v>
      </c>
      <c r="C1886" s="13" t="s">
        <v>2199</v>
      </c>
      <c r="D1886" s="13" t="s">
        <v>2206</v>
      </c>
      <c r="E1886" s="13" t="s">
        <v>2210</v>
      </c>
      <c r="F1886" s="13" t="s">
        <v>2222</v>
      </c>
      <c r="G1886" s="13">
        <v>66</v>
      </c>
      <c r="H1886" s="13">
        <v>2.7</v>
      </c>
      <c r="I1886" s="13">
        <v>64.22</v>
      </c>
      <c r="J1886" s="24">
        <v>45875</v>
      </c>
      <c r="K1886" s="13">
        <v>42</v>
      </c>
      <c r="L1886" s="13">
        <v>4.4000000000000004</v>
      </c>
      <c r="M1886" s="13" t="b">
        <v>0</v>
      </c>
      <c r="O1886" s="13">
        <f t="shared" si="29"/>
        <v>4.4000000000000004</v>
      </c>
    </row>
    <row r="1887" spans="1:15" x14ac:dyDescent="0.25">
      <c r="A1887" s="13" t="s">
        <v>1899</v>
      </c>
      <c r="B1887" s="13" t="s">
        <v>2190</v>
      </c>
      <c r="C1887" s="13" t="s">
        <v>2196</v>
      </c>
      <c r="D1887" s="13" t="s">
        <v>2206</v>
      </c>
      <c r="E1887" s="13" t="s">
        <v>2212</v>
      </c>
      <c r="F1887" s="13" t="s">
        <v>2214</v>
      </c>
      <c r="G1887" s="13">
        <v>183.6</v>
      </c>
      <c r="H1887" s="13">
        <v>0</v>
      </c>
      <c r="I1887" s="13">
        <v>183.6</v>
      </c>
      <c r="J1887" s="24">
        <v>45875</v>
      </c>
      <c r="K1887" s="13">
        <v>10</v>
      </c>
      <c r="M1887" s="13" t="b">
        <v>0</v>
      </c>
      <c r="O1887" s="13">
        <f t="shared" si="29"/>
        <v>2.7030303030303036</v>
      </c>
    </row>
    <row r="1888" spans="1:15" x14ac:dyDescent="0.25">
      <c r="A1888" s="13" t="s">
        <v>1900</v>
      </c>
      <c r="B1888" s="13" t="s">
        <v>2193</v>
      </c>
      <c r="C1888" s="13" t="s">
        <v>2197</v>
      </c>
      <c r="D1888" s="13" t="s">
        <v>2207</v>
      </c>
      <c r="E1888" s="13" t="s">
        <v>2209</v>
      </c>
      <c r="F1888" s="13" t="s">
        <v>2219</v>
      </c>
      <c r="G1888" s="13">
        <v>195.83</v>
      </c>
      <c r="H1888" s="13">
        <v>0</v>
      </c>
      <c r="I1888" s="13">
        <v>195.83</v>
      </c>
      <c r="J1888" s="24">
        <v>45875</v>
      </c>
      <c r="K1888" s="13">
        <v>14</v>
      </c>
      <c r="L1888" s="13">
        <v>2.1</v>
      </c>
      <c r="M1888" s="13" t="b">
        <v>0</v>
      </c>
      <c r="O1888" s="13">
        <f t="shared" si="29"/>
        <v>2.1</v>
      </c>
    </row>
    <row r="1889" spans="1:15" x14ac:dyDescent="0.25">
      <c r="A1889" s="13" t="s">
        <v>1901</v>
      </c>
      <c r="B1889" s="13" t="s">
        <v>2194</v>
      </c>
      <c r="C1889" s="13" t="s">
        <v>2201</v>
      </c>
      <c r="D1889" s="13" t="s">
        <v>2205</v>
      </c>
      <c r="E1889" s="13" t="s">
        <v>2210</v>
      </c>
      <c r="F1889" s="13" t="s">
        <v>2221</v>
      </c>
      <c r="G1889" s="13">
        <v>75.53</v>
      </c>
      <c r="H1889" s="13">
        <v>58.1</v>
      </c>
      <c r="I1889" s="13">
        <v>31.65</v>
      </c>
      <c r="J1889" s="24">
        <v>45875</v>
      </c>
      <c r="K1889" s="13">
        <v>33</v>
      </c>
      <c r="L1889" s="13">
        <v>4</v>
      </c>
      <c r="M1889" s="13" t="b">
        <v>0</v>
      </c>
      <c r="O1889" s="13">
        <f t="shared" si="29"/>
        <v>4</v>
      </c>
    </row>
    <row r="1890" spans="1:15" x14ac:dyDescent="0.25">
      <c r="A1890" s="13" t="s">
        <v>1902</v>
      </c>
      <c r="B1890" s="13" t="s">
        <v>2191</v>
      </c>
      <c r="C1890" s="13" t="s">
        <v>2199</v>
      </c>
      <c r="D1890" s="13" t="s">
        <v>2204</v>
      </c>
      <c r="E1890" s="13" t="s">
        <v>2208</v>
      </c>
      <c r="F1890" s="13" t="s">
        <v>2221</v>
      </c>
      <c r="G1890" s="13">
        <v>30.78</v>
      </c>
      <c r="H1890" s="13">
        <v>0</v>
      </c>
      <c r="I1890" s="13">
        <v>30.78</v>
      </c>
      <c r="J1890" s="24">
        <v>45821</v>
      </c>
      <c r="K1890" s="13">
        <v>28</v>
      </c>
      <c r="L1890" s="13">
        <v>3.9</v>
      </c>
      <c r="M1890" s="13" t="b">
        <v>0</v>
      </c>
      <c r="O1890" s="13">
        <f t="shared" si="29"/>
        <v>3.9</v>
      </c>
    </row>
    <row r="1891" spans="1:15" x14ac:dyDescent="0.25">
      <c r="A1891" s="13" t="s">
        <v>1903</v>
      </c>
      <c r="B1891" s="13" t="s">
        <v>2193</v>
      </c>
      <c r="C1891" s="13" t="s">
        <v>2198</v>
      </c>
      <c r="D1891" s="13" t="s">
        <v>2205</v>
      </c>
      <c r="E1891" s="13" t="s">
        <v>2209</v>
      </c>
      <c r="F1891" s="13" t="s">
        <v>2217</v>
      </c>
      <c r="G1891" s="13">
        <v>150.96</v>
      </c>
      <c r="H1891" s="13">
        <v>0</v>
      </c>
      <c r="I1891" s="13">
        <v>150.96</v>
      </c>
      <c r="J1891" s="24">
        <v>45875</v>
      </c>
      <c r="K1891" s="13">
        <v>18</v>
      </c>
      <c r="L1891" s="13">
        <v>4.5999999999999996</v>
      </c>
      <c r="M1891" s="13" t="b">
        <v>0</v>
      </c>
      <c r="O1891" s="13">
        <f t="shared" si="29"/>
        <v>4.5999999999999996</v>
      </c>
    </row>
    <row r="1892" spans="1:15" x14ac:dyDescent="0.25">
      <c r="A1892" s="13" t="s">
        <v>1904</v>
      </c>
      <c r="B1892" s="13" t="s">
        <v>2194</v>
      </c>
      <c r="C1892" s="13" t="s">
        <v>2203</v>
      </c>
      <c r="D1892" s="13" t="s">
        <v>2207</v>
      </c>
      <c r="E1892" s="13" t="s">
        <v>2209</v>
      </c>
      <c r="F1892" s="13" t="s">
        <v>2216</v>
      </c>
      <c r="G1892" s="13">
        <v>58.98</v>
      </c>
      <c r="H1892" s="13">
        <v>18.100000000000001</v>
      </c>
      <c r="I1892" s="13">
        <v>48.3</v>
      </c>
      <c r="J1892" s="24">
        <v>45875</v>
      </c>
      <c r="K1892" s="13">
        <v>23</v>
      </c>
      <c r="L1892" s="13">
        <v>2.8</v>
      </c>
      <c r="M1892" s="13" t="b">
        <v>0</v>
      </c>
      <c r="O1892" s="13">
        <f t="shared" si="29"/>
        <v>2.8</v>
      </c>
    </row>
    <row r="1893" spans="1:15" x14ac:dyDescent="0.25">
      <c r="A1893" s="13" t="s">
        <v>1905</v>
      </c>
      <c r="B1893" s="13" t="s">
        <v>2190</v>
      </c>
      <c r="C1893" s="13" t="s">
        <v>2203</v>
      </c>
      <c r="D1893" s="13" t="s">
        <v>2204</v>
      </c>
      <c r="E1893" s="13" t="s">
        <v>2209</v>
      </c>
      <c r="F1893" s="13" t="s">
        <v>2223</v>
      </c>
      <c r="G1893" s="13">
        <v>224.91</v>
      </c>
      <c r="H1893" s="13">
        <v>18.899999999999999</v>
      </c>
      <c r="I1893" s="13">
        <v>182.4</v>
      </c>
      <c r="J1893" s="24">
        <v>45554</v>
      </c>
      <c r="K1893" s="13">
        <v>50</v>
      </c>
      <c r="M1893" s="13" t="b">
        <v>0</v>
      </c>
      <c r="O1893" s="13">
        <f t="shared" si="29"/>
        <v>2.9718749999999998</v>
      </c>
    </row>
    <row r="1894" spans="1:15" x14ac:dyDescent="0.25">
      <c r="A1894" s="13" t="s">
        <v>1906</v>
      </c>
      <c r="B1894" s="13" t="s">
        <v>2190</v>
      </c>
      <c r="C1894" s="13" t="s">
        <v>2198</v>
      </c>
      <c r="D1894" s="13" t="s">
        <v>2204</v>
      </c>
      <c r="E1894" s="13" t="s">
        <v>2208</v>
      </c>
      <c r="F1894" s="13" t="s">
        <v>2224</v>
      </c>
      <c r="G1894" s="13">
        <v>155.75</v>
      </c>
      <c r="H1894" s="13">
        <v>0</v>
      </c>
      <c r="I1894" s="13">
        <v>155.75</v>
      </c>
      <c r="J1894" s="24">
        <v>45741</v>
      </c>
      <c r="K1894" s="13">
        <v>0</v>
      </c>
      <c r="L1894" s="13">
        <v>2.4</v>
      </c>
      <c r="M1894" s="13" t="b">
        <v>0</v>
      </c>
      <c r="O1894" s="13">
        <f t="shared" si="29"/>
        <v>2.4</v>
      </c>
    </row>
    <row r="1895" spans="1:15" x14ac:dyDescent="0.25">
      <c r="A1895" s="13" t="s">
        <v>1907</v>
      </c>
      <c r="B1895" s="13" t="s">
        <v>2193</v>
      </c>
      <c r="C1895" s="13" t="s">
        <v>2200</v>
      </c>
      <c r="D1895" s="13" t="s">
        <v>2205</v>
      </c>
      <c r="E1895" s="13" t="s">
        <v>2208</v>
      </c>
      <c r="F1895" s="13" t="s">
        <v>2219</v>
      </c>
      <c r="G1895" s="13">
        <v>194.4</v>
      </c>
      <c r="H1895" s="13">
        <v>16.2</v>
      </c>
      <c r="I1895" s="13">
        <v>162.91</v>
      </c>
      <c r="J1895" s="24">
        <v>45875</v>
      </c>
      <c r="K1895" s="13">
        <v>36</v>
      </c>
      <c r="L1895" s="13">
        <v>1.5</v>
      </c>
      <c r="M1895" s="13" t="b">
        <v>0</v>
      </c>
      <c r="O1895" s="13">
        <f t="shared" si="29"/>
        <v>1.5</v>
      </c>
    </row>
    <row r="1896" spans="1:15" x14ac:dyDescent="0.25">
      <c r="A1896" s="13" t="s">
        <v>1908</v>
      </c>
      <c r="B1896" s="13" t="s">
        <v>2193</v>
      </c>
      <c r="C1896" s="13" t="s">
        <v>2198</v>
      </c>
      <c r="D1896" s="13" t="s">
        <v>2206</v>
      </c>
      <c r="E1896" s="13" t="s">
        <v>2209</v>
      </c>
      <c r="F1896" s="13" t="s">
        <v>2214</v>
      </c>
      <c r="G1896" s="13">
        <v>169.77</v>
      </c>
      <c r="H1896" s="13">
        <v>0</v>
      </c>
      <c r="I1896" s="13">
        <v>169.77</v>
      </c>
      <c r="J1896" s="24">
        <v>45875</v>
      </c>
      <c r="K1896" s="13">
        <v>39</v>
      </c>
      <c r="L1896" s="13">
        <v>4.4000000000000004</v>
      </c>
      <c r="M1896" s="13" t="b">
        <v>0</v>
      </c>
      <c r="O1896" s="13">
        <f t="shared" si="29"/>
        <v>4.4000000000000004</v>
      </c>
    </row>
    <row r="1897" spans="1:15" x14ac:dyDescent="0.25">
      <c r="A1897" s="13" t="s">
        <v>1909</v>
      </c>
      <c r="B1897" s="13" t="s">
        <v>2192</v>
      </c>
      <c r="C1897" s="13" t="s">
        <v>2197</v>
      </c>
      <c r="D1897" s="13" t="s">
        <v>2205</v>
      </c>
      <c r="F1897" s="13" t="s">
        <v>2219</v>
      </c>
      <c r="G1897" s="13">
        <v>41.52</v>
      </c>
      <c r="H1897" s="13">
        <v>27.3</v>
      </c>
      <c r="I1897" s="13">
        <v>30.19</v>
      </c>
      <c r="J1897" s="24">
        <v>45875</v>
      </c>
      <c r="K1897" s="13">
        <v>48</v>
      </c>
      <c r="L1897" s="13">
        <v>3.4</v>
      </c>
      <c r="M1897" s="13" t="b">
        <v>0</v>
      </c>
      <c r="O1897" s="13">
        <f t="shared" si="29"/>
        <v>3.4</v>
      </c>
    </row>
    <row r="1898" spans="1:15" x14ac:dyDescent="0.25">
      <c r="A1898" s="13" t="s">
        <v>1910</v>
      </c>
      <c r="B1898" s="13" t="s">
        <v>2194</v>
      </c>
      <c r="C1898" s="13" t="s">
        <v>2197</v>
      </c>
      <c r="D1898" s="13" t="s">
        <v>2205</v>
      </c>
      <c r="E1898" s="13" t="s">
        <v>2210</v>
      </c>
      <c r="F1898" s="13" t="s">
        <v>2220</v>
      </c>
      <c r="G1898" s="13">
        <v>29.5</v>
      </c>
      <c r="H1898" s="13">
        <v>0</v>
      </c>
      <c r="I1898" s="13">
        <v>29.5</v>
      </c>
      <c r="J1898" s="24">
        <v>45875</v>
      </c>
      <c r="K1898" s="13">
        <v>36</v>
      </c>
      <c r="L1898" s="13">
        <v>2.6</v>
      </c>
      <c r="M1898" s="13" t="b">
        <v>0</v>
      </c>
      <c r="O1898" s="13">
        <f t="shared" si="29"/>
        <v>2.6</v>
      </c>
    </row>
    <row r="1899" spans="1:15" x14ac:dyDescent="0.25">
      <c r="A1899" s="13" t="s">
        <v>1911</v>
      </c>
      <c r="B1899" s="13" t="s">
        <v>2190</v>
      </c>
      <c r="C1899" s="13" t="s">
        <v>2198</v>
      </c>
      <c r="D1899" s="13" t="s">
        <v>2204</v>
      </c>
      <c r="E1899" s="13" t="s">
        <v>2210</v>
      </c>
      <c r="F1899" s="13" t="s">
        <v>2218</v>
      </c>
      <c r="G1899" s="13">
        <v>224.47</v>
      </c>
      <c r="H1899" s="13">
        <v>2.7</v>
      </c>
      <c r="I1899" s="13">
        <v>218.41</v>
      </c>
      <c r="J1899" s="24">
        <v>45684</v>
      </c>
      <c r="K1899" s="13">
        <v>15</v>
      </c>
      <c r="L1899" s="13">
        <v>3.5</v>
      </c>
      <c r="M1899" s="13" t="b">
        <v>0</v>
      </c>
      <c r="O1899" s="13">
        <f t="shared" si="29"/>
        <v>3.5</v>
      </c>
    </row>
    <row r="1900" spans="1:15" x14ac:dyDescent="0.25">
      <c r="A1900" s="13" t="s">
        <v>1912</v>
      </c>
      <c r="B1900" s="13" t="s">
        <v>2194</v>
      </c>
      <c r="C1900" s="13" t="s">
        <v>2203</v>
      </c>
      <c r="D1900" s="13" t="s">
        <v>2207</v>
      </c>
      <c r="E1900" s="13" t="s">
        <v>2210</v>
      </c>
      <c r="F1900" s="13" t="s">
        <v>2218</v>
      </c>
      <c r="G1900" s="13">
        <v>101.45</v>
      </c>
      <c r="H1900" s="13">
        <v>7.8</v>
      </c>
      <c r="I1900" s="13">
        <v>93.54</v>
      </c>
      <c r="J1900" s="24">
        <v>45875</v>
      </c>
      <c r="K1900" s="13">
        <v>4</v>
      </c>
      <c r="L1900" s="13">
        <v>1.1000000000000001</v>
      </c>
      <c r="M1900" s="13" t="b">
        <v>0</v>
      </c>
      <c r="O1900" s="13">
        <f t="shared" si="29"/>
        <v>1.1000000000000001</v>
      </c>
    </row>
    <row r="1901" spans="1:15" x14ac:dyDescent="0.25">
      <c r="A1901" s="13" t="s">
        <v>1913</v>
      </c>
      <c r="B1901" s="13" t="s">
        <v>2193</v>
      </c>
      <c r="C1901" s="13" t="s">
        <v>2198</v>
      </c>
      <c r="D1901" s="13" t="s">
        <v>2204</v>
      </c>
      <c r="E1901" s="13" t="s">
        <v>2211</v>
      </c>
      <c r="F1901" s="13" t="s">
        <v>2214</v>
      </c>
      <c r="G1901" s="13">
        <v>84.65</v>
      </c>
      <c r="H1901" s="13">
        <v>0</v>
      </c>
      <c r="I1901" s="13">
        <v>84.65</v>
      </c>
      <c r="J1901" s="24">
        <v>45864</v>
      </c>
      <c r="K1901" s="13">
        <v>49</v>
      </c>
      <c r="L1901" s="13">
        <v>3.6</v>
      </c>
      <c r="M1901" s="13" t="b">
        <v>0</v>
      </c>
      <c r="O1901" s="13">
        <f t="shared" si="29"/>
        <v>3.6</v>
      </c>
    </row>
    <row r="1902" spans="1:15" x14ac:dyDescent="0.25">
      <c r="A1902" s="13" t="s">
        <v>1914</v>
      </c>
      <c r="B1902" s="13" t="s">
        <v>2190</v>
      </c>
      <c r="C1902" s="13" t="s">
        <v>2201</v>
      </c>
      <c r="D1902" s="13" t="s">
        <v>2207</v>
      </c>
      <c r="E1902" s="13" t="s">
        <v>2210</v>
      </c>
      <c r="F1902" s="13" t="s">
        <v>2221</v>
      </c>
      <c r="G1902" s="13">
        <v>155.85</v>
      </c>
      <c r="H1902" s="13">
        <v>0</v>
      </c>
      <c r="I1902" s="13">
        <v>155.85</v>
      </c>
      <c r="J1902" s="24">
        <v>45875</v>
      </c>
      <c r="K1902" s="13">
        <v>38</v>
      </c>
      <c r="M1902" s="13" t="b">
        <v>0</v>
      </c>
      <c r="O1902" s="13">
        <f t="shared" si="29"/>
        <v>3.0305555555555546</v>
      </c>
    </row>
    <row r="1903" spans="1:15" x14ac:dyDescent="0.25">
      <c r="A1903" s="13" t="s">
        <v>1915</v>
      </c>
      <c r="B1903" s="13" t="s">
        <v>2191</v>
      </c>
      <c r="C1903" s="13" t="s">
        <v>2196</v>
      </c>
      <c r="D1903" s="13" t="s">
        <v>2205</v>
      </c>
      <c r="E1903" s="13" t="s">
        <v>2208</v>
      </c>
      <c r="F1903" s="13" t="s">
        <v>2219</v>
      </c>
      <c r="G1903" s="13">
        <v>89.62</v>
      </c>
      <c r="H1903" s="13">
        <v>0</v>
      </c>
      <c r="I1903" s="13">
        <v>89.62</v>
      </c>
      <c r="J1903" s="24">
        <v>45875</v>
      </c>
      <c r="K1903" s="13">
        <v>0</v>
      </c>
      <c r="L1903" s="13">
        <v>4.5999999999999996</v>
      </c>
      <c r="M1903" s="13" t="b">
        <v>1</v>
      </c>
      <c r="N1903" s="13" t="s">
        <v>2225</v>
      </c>
      <c r="O1903" s="13">
        <f t="shared" si="29"/>
        <v>4.5999999999999996</v>
      </c>
    </row>
    <row r="1904" spans="1:15" x14ac:dyDescent="0.25">
      <c r="A1904" s="13" t="s">
        <v>1916</v>
      </c>
      <c r="B1904" s="13" t="s">
        <v>2191</v>
      </c>
      <c r="C1904" s="13" t="s">
        <v>2202</v>
      </c>
      <c r="D1904" s="13" t="s">
        <v>2207</v>
      </c>
      <c r="E1904" s="13" t="s">
        <v>2209</v>
      </c>
      <c r="F1904" s="13" t="s">
        <v>2220</v>
      </c>
      <c r="G1904" s="13">
        <v>62.79</v>
      </c>
      <c r="H1904" s="13">
        <v>37.700000000000003</v>
      </c>
      <c r="I1904" s="13">
        <v>39.119999999999997</v>
      </c>
      <c r="J1904" s="24">
        <v>45875</v>
      </c>
      <c r="K1904" s="13">
        <v>5</v>
      </c>
      <c r="L1904" s="13">
        <v>2.6</v>
      </c>
      <c r="M1904" s="13" t="b">
        <v>0</v>
      </c>
      <c r="O1904" s="13">
        <f t="shared" si="29"/>
        <v>2.6</v>
      </c>
    </row>
    <row r="1905" spans="1:15" x14ac:dyDescent="0.25">
      <c r="A1905" s="13" t="s">
        <v>1917</v>
      </c>
      <c r="B1905" s="13" t="s">
        <v>2194</v>
      </c>
      <c r="C1905" s="13" t="s">
        <v>2202</v>
      </c>
      <c r="D1905" s="13" t="s">
        <v>2207</v>
      </c>
      <c r="E1905" s="13" t="s">
        <v>2208</v>
      </c>
      <c r="F1905" s="13" t="s">
        <v>2221</v>
      </c>
      <c r="G1905" s="13">
        <v>84.72</v>
      </c>
      <c r="H1905" s="13">
        <v>24.2</v>
      </c>
      <c r="I1905" s="13">
        <v>64.22</v>
      </c>
      <c r="J1905" s="24">
        <v>45875</v>
      </c>
      <c r="K1905" s="13">
        <v>44</v>
      </c>
      <c r="M1905" s="13" t="b">
        <v>1</v>
      </c>
      <c r="N1905" s="13" t="s">
        <v>2225</v>
      </c>
      <c r="O1905" s="13">
        <f t="shared" si="29"/>
        <v>3.1799999999999997</v>
      </c>
    </row>
    <row r="1906" spans="1:15" x14ac:dyDescent="0.25">
      <c r="A1906" s="13" t="s">
        <v>1918</v>
      </c>
      <c r="B1906" s="13" t="s">
        <v>2191</v>
      </c>
      <c r="C1906" s="13" t="s">
        <v>2199</v>
      </c>
      <c r="D1906" s="13" t="s">
        <v>2206</v>
      </c>
      <c r="E1906" s="13" t="s">
        <v>2208</v>
      </c>
      <c r="F1906" s="13" t="s">
        <v>2215</v>
      </c>
      <c r="G1906" s="13">
        <v>50.9</v>
      </c>
      <c r="H1906" s="13">
        <v>0</v>
      </c>
      <c r="I1906" s="13">
        <v>50.9</v>
      </c>
      <c r="J1906" s="24">
        <v>45875</v>
      </c>
      <c r="K1906" s="13">
        <v>1</v>
      </c>
      <c r="L1906" s="13">
        <v>1.8</v>
      </c>
      <c r="M1906" s="13" t="b">
        <v>0</v>
      </c>
      <c r="O1906" s="13">
        <f t="shared" si="29"/>
        <v>1.8</v>
      </c>
    </row>
    <row r="1907" spans="1:15" x14ac:dyDescent="0.25">
      <c r="A1907" s="13" t="s">
        <v>1919</v>
      </c>
      <c r="B1907" s="13" t="s">
        <v>2192</v>
      </c>
      <c r="C1907" s="13" t="s">
        <v>2196</v>
      </c>
      <c r="D1907" s="13" t="s">
        <v>2205</v>
      </c>
      <c r="F1907" s="13" t="s">
        <v>2215</v>
      </c>
      <c r="G1907" s="13">
        <v>31.23</v>
      </c>
      <c r="H1907" s="13">
        <v>0</v>
      </c>
      <c r="I1907" s="13">
        <v>31.23</v>
      </c>
      <c r="J1907" s="24">
        <v>45875</v>
      </c>
      <c r="K1907" s="13">
        <v>25</v>
      </c>
      <c r="L1907" s="13">
        <v>2.8</v>
      </c>
      <c r="M1907" s="13" t="b">
        <v>0</v>
      </c>
      <c r="O1907" s="13">
        <f t="shared" si="29"/>
        <v>2.8</v>
      </c>
    </row>
    <row r="1908" spans="1:15" x14ac:dyDescent="0.25">
      <c r="A1908" s="13" t="s">
        <v>1920</v>
      </c>
      <c r="B1908" s="13" t="s">
        <v>2191</v>
      </c>
      <c r="C1908" s="13" t="s">
        <v>2196</v>
      </c>
      <c r="D1908" s="13" t="s">
        <v>2204</v>
      </c>
      <c r="E1908" s="13" t="s">
        <v>2211</v>
      </c>
      <c r="F1908" s="13" t="s">
        <v>2214</v>
      </c>
      <c r="G1908" s="13">
        <v>105.1</v>
      </c>
      <c r="H1908" s="13">
        <v>0</v>
      </c>
      <c r="I1908" s="13">
        <v>105.1</v>
      </c>
      <c r="J1908" s="24">
        <v>45532</v>
      </c>
      <c r="K1908" s="13">
        <v>39</v>
      </c>
      <c r="L1908" s="13">
        <v>4.4000000000000004</v>
      </c>
      <c r="M1908" s="13" t="b">
        <v>0</v>
      </c>
      <c r="O1908" s="13">
        <f t="shared" si="29"/>
        <v>4.4000000000000004</v>
      </c>
    </row>
    <row r="1909" spans="1:15" x14ac:dyDescent="0.25">
      <c r="A1909" s="13" t="s">
        <v>1921</v>
      </c>
      <c r="B1909" s="13" t="s">
        <v>2195</v>
      </c>
      <c r="C1909" s="13" t="s">
        <v>2203</v>
      </c>
      <c r="D1909" s="13" t="s">
        <v>2207</v>
      </c>
      <c r="E1909" s="13" t="s">
        <v>2212</v>
      </c>
      <c r="F1909" s="13" t="s">
        <v>2224</v>
      </c>
      <c r="G1909" s="13">
        <v>160.38</v>
      </c>
      <c r="H1909" s="13">
        <v>0</v>
      </c>
      <c r="I1909" s="13">
        <v>160.38</v>
      </c>
      <c r="J1909" s="24">
        <v>45875</v>
      </c>
      <c r="K1909" s="13">
        <v>27</v>
      </c>
      <c r="L1909" s="13">
        <v>2.7</v>
      </c>
      <c r="M1909" s="13" t="b">
        <v>1</v>
      </c>
      <c r="N1909" s="13" t="s">
        <v>2230</v>
      </c>
      <c r="O1909" s="13">
        <f t="shared" si="29"/>
        <v>2.7</v>
      </c>
    </row>
    <row r="1910" spans="1:15" x14ac:dyDescent="0.25">
      <c r="A1910" s="13" t="s">
        <v>1922</v>
      </c>
      <c r="B1910" s="13" t="s">
        <v>2194</v>
      </c>
      <c r="C1910" s="13" t="s">
        <v>2197</v>
      </c>
      <c r="D1910" s="13" t="s">
        <v>2204</v>
      </c>
      <c r="E1910" s="13" t="s">
        <v>2212</v>
      </c>
      <c r="F1910" s="13" t="s">
        <v>2215</v>
      </c>
      <c r="G1910" s="13">
        <v>96.68</v>
      </c>
      <c r="H1910" s="13">
        <v>26</v>
      </c>
      <c r="I1910" s="13">
        <v>71.540000000000006</v>
      </c>
      <c r="J1910" s="24">
        <v>45556</v>
      </c>
      <c r="K1910" s="13">
        <v>16</v>
      </c>
      <c r="M1910" s="13" t="b">
        <v>0</v>
      </c>
      <c r="O1910" s="13">
        <f t="shared" si="29"/>
        <v>3.0846153846153843</v>
      </c>
    </row>
    <row r="1911" spans="1:15" x14ac:dyDescent="0.25">
      <c r="A1911" s="13" t="s">
        <v>1923</v>
      </c>
      <c r="B1911" s="13" t="s">
        <v>2192</v>
      </c>
      <c r="C1911" s="13" t="s">
        <v>2203</v>
      </c>
      <c r="D1911" s="13" t="s">
        <v>2207</v>
      </c>
      <c r="F1911" s="13" t="s">
        <v>2221</v>
      </c>
      <c r="G1911" s="13">
        <v>16.64</v>
      </c>
      <c r="H1911" s="13">
        <v>0</v>
      </c>
      <c r="I1911" s="13">
        <v>16.64</v>
      </c>
      <c r="J1911" s="24">
        <v>45875</v>
      </c>
      <c r="K1911" s="13">
        <v>8</v>
      </c>
      <c r="L1911" s="13">
        <v>4.8</v>
      </c>
      <c r="M1911" s="13" t="b">
        <v>0</v>
      </c>
      <c r="O1911" s="13">
        <f t="shared" si="29"/>
        <v>4.8</v>
      </c>
    </row>
    <row r="1912" spans="1:15" x14ac:dyDescent="0.25">
      <c r="A1912" s="13" t="s">
        <v>1924</v>
      </c>
      <c r="B1912" s="13" t="s">
        <v>2190</v>
      </c>
      <c r="C1912" s="13" t="s">
        <v>2201</v>
      </c>
      <c r="D1912" s="13" t="s">
        <v>2206</v>
      </c>
      <c r="E1912" s="13" t="s">
        <v>2210</v>
      </c>
      <c r="F1912" s="13" t="s">
        <v>2221</v>
      </c>
      <c r="G1912" s="13">
        <v>160.05000000000001</v>
      </c>
      <c r="H1912" s="13">
        <v>53.7</v>
      </c>
      <c r="I1912" s="13">
        <v>74.099999999999994</v>
      </c>
      <c r="J1912" s="24">
        <v>45875</v>
      </c>
      <c r="K1912" s="13">
        <v>2</v>
      </c>
      <c r="L1912" s="13">
        <v>3.2</v>
      </c>
      <c r="M1912" s="13" t="b">
        <v>1</v>
      </c>
      <c r="N1912" s="13" t="s">
        <v>2228</v>
      </c>
      <c r="O1912" s="13">
        <f t="shared" si="29"/>
        <v>3.2</v>
      </c>
    </row>
    <row r="1913" spans="1:15" x14ac:dyDescent="0.25">
      <c r="A1913" s="13" t="s">
        <v>1925</v>
      </c>
      <c r="B1913" s="13" t="s">
        <v>2192</v>
      </c>
      <c r="C1913" s="13" t="s">
        <v>2199</v>
      </c>
      <c r="D1913" s="13" t="s">
        <v>2206</v>
      </c>
      <c r="F1913" s="13" t="s">
        <v>2218</v>
      </c>
      <c r="G1913" s="13">
        <v>23.56</v>
      </c>
      <c r="H1913" s="13">
        <v>0</v>
      </c>
      <c r="I1913" s="13">
        <v>23.56</v>
      </c>
      <c r="J1913" s="24">
        <v>45875</v>
      </c>
      <c r="K1913" s="13">
        <v>16</v>
      </c>
      <c r="L1913" s="13">
        <v>4.4000000000000004</v>
      </c>
      <c r="M1913" s="13" t="b">
        <v>0</v>
      </c>
      <c r="O1913" s="13">
        <f t="shared" si="29"/>
        <v>4.4000000000000004</v>
      </c>
    </row>
    <row r="1914" spans="1:15" x14ac:dyDescent="0.25">
      <c r="A1914" s="13" t="s">
        <v>1926</v>
      </c>
      <c r="B1914" s="13" t="s">
        <v>2193</v>
      </c>
      <c r="C1914" s="13" t="s">
        <v>2196</v>
      </c>
      <c r="D1914" s="13" t="s">
        <v>2206</v>
      </c>
      <c r="E1914" s="13" t="s">
        <v>2212</v>
      </c>
      <c r="F1914" s="13" t="s">
        <v>2216</v>
      </c>
      <c r="G1914" s="13">
        <v>68.37</v>
      </c>
      <c r="H1914" s="13">
        <v>24.2</v>
      </c>
      <c r="I1914" s="13">
        <v>51.82</v>
      </c>
      <c r="J1914" s="24">
        <v>45875</v>
      </c>
      <c r="K1914" s="13">
        <v>8</v>
      </c>
      <c r="L1914" s="13">
        <v>3.7</v>
      </c>
      <c r="M1914" s="13" t="b">
        <v>0</v>
      </c>
      <c r="O1914" s="13">
        <f t="shared" si="29"/>
        <v>3.7</v>
      </c>
    </row>
    <row r="1915" spans="1:15" x14ac:dyDescent="0.25">
      <c r="A1915" s="13" t="s">
        <v>1927</v>
      </c>
      <c r="B1915" s="13" t="s">
        <v>2190</v>
      </c>
      <c r="C1915" s="13" t="s">
        <v>2199</v>
      </c>
      <c r="D1915" s="13" t="s">
        <v>2206</v>
      </c>
      <c r="E1915" s="13" t="s">
        <v>2210</v>
      </c>
      <c r="F1915" s="13" t="s">
        <v>2220</v>
      </c>
      <c r="G1915" s="13">
        <v>184.24</v>
      </c>
      <c r="H1915" s="13">
        <v>0</v>
      </c>
      <c r="I1915" s="13">
        <v>184.24</v>
      </c>
      <c r="J1915" s="24">
        <v>45875</v>
      </c>
      <c r="K1915" s="13">
        <v>49</v>
      </c>
      <c r="L1915" s="13">
        <v>4</v>
      </c>
      <c r="M1915" s="13" t="b">
        <v>0</v>
      </c>
      <c r="O1915" s="13">
        <f t="shared" si="29"/>
        <v>4</v>
      </c>
    </row>
    <row r="1916" spans="1:15" x14ac:dyDescent="0.25">
      <c r="A1916" s="13" t="s">
        <v>1928</v>
      </c>
      <c r="B1916" s="13" t="s">
        <v>2193</v>
      </c>
      <c r="C1916" s="13" t="s">
        <v>2198</v>
      </c>
      <c r="D1916" s="13" t="s">
        <v>2204</v>
      </c>
      <c r="E1916" s="13" t="s">
        <v>2212</v>
      </c>
      <c r="F1916" s="13" t="s">
        <v>2220</v>
      </c>
      <c r="G1916" s="13">
        <v>94.83</v>
      </c>
      <c r="H1916" s="13">
        <v>0</v>
      </c>
      <c r="I1916" s="13">
        <v>94.83</v>
      </c>
      <c r="J1916" s="24">
        <v>45543</v>
      </c>
      <c r="K1916" s="13">
        <v>23</v>
      </c>
      <c r="L1916" s="13">
        <v>2.9</v>
      </c>
      <c r="M1916" s="13" t="b">
        <v>0</v>
      </c>
      <c r="O1916" s="13">
        <f t="shared" si="29"/>
        <v>2.9</v>
      </c>
    </row>
    <row r="1917" spans="1:15" x14ac:dyDescent="0.25">
      <c r="A1917" s="13" t="s">
        <v>1929</v>
      </c>
      <c r="B1917" s="13" t="s">
        <v>2191</v>
      </c>
      <c r="C1917" s="13" t="s">
        <v>2201</v>
      </c>
      <c r="D1917" s="13" t="s">
        <v>2207</v>
      </c>
      <c r="E1917" s="13" t="s">
        <v>2213</v>
      </c>
      <c r="F1917" s="13" t="s">
        <v>2215</v>
      </c>
      <c r="G1917" s="13">
        <v>115.58</v>
      </c>
      <c r="H1917" s="13">
        <v>0</v>
      </c>
      <c r="I1917" s="13">
        <v>115.58</v>
      </c>
      <c r="J1917" s="24">
        <v>45875</v>
      </c>
      <c r="K1917" s="13">
        <v>37</v>
      </c>
      <c r="L1917" s="13">
        <v>2.2000000000000002</v>
      </c>
      <c r="M1917" s="13" t="b">
        <v>0</v>
      </c>
      <c r="O1917" s="13">
        <f t="shared" si="29"/>
        <v>2.2000000000000002</v>
      </c>
    </row>
    <row r="1918" spans="1:15" x14ac:dyDescent="0.25">
      <c r="A1918" s="13" t="s">
        <v>1930</v>
      </c>
      <c r="B1918" s="13" t="s">
        <v>2190</v>
      </c>
      <c r="C1918" s="13" t="s">
        <v>2196</v>
      </c>
      <c r="D1918" s="13" t="s">
        <v>2205</v>
      </c>
      <c r="E1918" s="13" t="s">
        <v>2211</v>
      </c>
      <c r="F1918" s="13" t="s">
        <v>2220</v>
      </c>
      <c r="G1918" s="13">
        <v>116.29</v>
      </c>
      <c r="H1918" s="13">
        <v>58.7</v>
      </c>
      <c r="I1918" s="13">
        <v>48.03</v>
      </c>
      <c r="J1918" s="24">
        <v>45875</v>
      </c>
      <c r="K1918" s="13">
        <v>34</v>
      </c>
      <c r="L1918" s="13">
        <v>3.3</v>
      </c>
      <c r="M1918" s="13" t="b">
        <v>0</v>
      </c>
      <c r="O1918" s="13">
        <f t="shared" si="29"/>
        <v>3.3</v>
      </c>
    </row>
    <row r="1919" spans="1:15" x14ac:dyDescent="0.25">
      <c r="A1919" s="13" t="s">
        <v>1931</v>
      </c>
      <c r="B1919" s="13" t="s">
        <v>2192</v>
      </c>
      <c r="C1919" s="13" t="s">
        <v>2198</v>
      </c>
      <c r="D1919" s="13" t="s">
        <v>2207</v>
      </c>
      <c r="F1919" s="13" t="s">
        <v>2220</v>
      </c>
      <c r="G1919" s="13">
        <v>24.55</v>
      </c>
      <c r="H1919" s="13">
        <v>0</v>
      </c>
      <c r="I1919" s="13">
        <v>24.55</v>
      </c>
      <c r="J1919" s="24">
        <v>45875</v>
      </c>
      <c r="K1919" s="13">
        <v>43</v>
      </c>
      <c r="L1919" s="13">
        <v>2.2999999999999998</v>
      </c>
      <c r="M1919" s="13" t="b">
        <v>0</v>
      </c>
      <c r="O1919" s="13">
        <f t="shared" si="29"/>
        <v>2.2999999999999998</v>
      </c>
    </row>
    <row r="1920" spans="1:15" x14ac:dyDescent="0.25">
      <c r="A1920" s="13" t="s">
        <v>1932</v>
      </c>
      <c r="B1920" s="13" t="s">
        <v>2195</v>
      </c>
      <c r="C1920" s="13" t="s">
        <v>2196</v>
      </c>
      <c r="D1920" s="13" t="s">
        <v>2204</v>
      </c>
      <c r="F1920" s="13" t="s">
        <v>2222</v>
      </c>
      <c r="G1920" s="13">
        <v>81.56</v>
      </c>
      <c r="H1920" s="13">
        <v>0</v>
      </c>
      <c r="I1920" s="13">
        <v>81.56</v>
      </c>
      <c r="J1920" s="24">
        <v>45666</v>
      </c>
      <c r="K1920" s="13">
        <v>28</v>
      </c>
      <c r="L1920" s="13">
        <v>3</v>
      </c>
      <c r="M1920" s="13" t="b">
        <v>0</v>
      </c>
      <c r="O1920" s="13">
        <f t="shared" si="29"/>
        <v>3</v>
      </c>
    </row>
    <row r="1921" spans="1:15" x14ac:dyDescent="0.25">
      <c r="A1921" s="13" t="s">
        <v>1933</v>
      </c>
      <c r="B1921" s="13" t="s">
        <v>2190</v>
      </c>
      <c r="C1921" s="13" t="s">
        <v>2198</v>
      </c>
      <c r="D1921" s="13" t="s">
        <v>2204</v>
      </c>
      <c r="E1921" s="13" t="s">
        <v>2213</v>
      </c>
      <c r="F1921" s="13" t="s">
        <v>2217</v>
      </c>
      <c r="G1921" s="13">
        <v>234.63</v>
      </c>
      <c r="H1921" s="13">
        <v>0</v>
      </c>
      <c r="I1921" s="13">
        <v>234.63</v>
      </c>
      <c r="J1921" s="24">
        <v>45695</v>
      </c>
      <c r="K1921" s="13">
        <v>30</v>
      </c>
      <c r="L1921" s="13">
        <v>4.3</v>
      </c>
      <c r="M1921" s="13" t="b">
        <v>0</v>
      </c>
      <c r="O1921" s="13">
        <f t="shared" si="29"/>
        <v>4.3</v>
      </c>
    </row>
    <row r="1922" spans="1:15" x14ac:dyDescent="0.25">
      <c r="A1922" s="13" t="s">
        <v>1934</v>
      </c>
      <c r="B1922" s="13" t="s">
        <v>2192</v>
      </c>
      <c r="C1922" s="13" t="s">
        <v>2196</v>
      </c>
      <c r="D1922" s="13" t="s">
        <v>2206</v>
      </c>
      <c r="F1922" s="13" t="s">
        <v>2217</v>
      </c>
      <c r="G1922" s="13">
        <v>27.6</v>
      </c>
      <c r="H1922" s="13">
        <v>0</v>
      </c>
      <c r="I1922" s="13">
        <v>27.6</v>
      </c>
      <c r="J1922" s="24">
        <v>45875</v>
      </c>
      <c r="K1922" s="13">
        <v>33</v>
      </c>
      <c r="L1922" s="13">
        <v>2.8</v>
      </c>
      <c r="M1922" s="13" t="b">
        <v>0</v>
      </c>
      <c r="O1922" s="13">
        <f t="shared" si="29"/>
        <v>2.8</v>
      </c>
    </row>
    <row r="1923" spans="1:15" x14ac:dyDescent="0.25">
      <c r="A1923" s="13" t="s">
        <v>1935</v>
      </c>
      <c r="B1923" s="13" t="s">
        <v>2191</v>
      </c>
      <c r="C1923" s="13" t="s">
        <v>2201</v>
      </c>
      <c r="D1923" s="13" t="s">
        <v>2206</v>
      </c>
      <c r="E1923" s="13" t="s">
        <v>2212</v>
      </c>
      <c r="F1923" s="13" t="s">
        <v>2218</v>
      </c>
      <c r="G1923" s="13">
        <v>114.76</v>
      </c>
      <c r="H1923" s="13">
        <v>24.3</v>
      </c>
      <c r="I1923" s="13">
        <v>86.87</v>
      </c>
      <c r="J1923" s="24">
        <v>45875</v>
      </c>
      <c r="K1923" s="13">
        <v>10</v>
      </c>
      <c r="L1923" s="13">
        <v>3.4</v>
      </c>
      <c r="M1923" s="13" t="b">
        <v>0</v>
      </c>
      <c r="O1923" s="13">
        <f t="shared" ref="O1923:O1986" si="30">IF(L1923="",AVERAGEIFS($L$2:$L$2177,$B$2:$B$2177,B1923,$C$2:$C$2177,C1923),L1923)</f>
        <v>3.4</v>
      </c>
    </row>
    <row r="1924" spans="1:15" x14ac:dyDescent="0.25">
      <c r="A1924" s="13" t="s">
        <v>1936</v>
      </c>
      <c r="B1924" s="13" t="s">
        <v>2193</v>
      </c>
      <c r="C1924" s="13" t="s">
        <v>2196</v>
      </c>
      <c r="D1924" s="13" t="s">
        <v>2204</v>
      </c>
      <c r="E1924" s="13" t="s">
        <v>2210</v>
      </c>
      <c r="F1924" s="13" t="s">
        <v>2220</v>
      </c>
      <c r="G1924" s="13">
        <v>133.52000000000001</v>
      </c>
      <c r="H1924" s="13">
        <v>0</v>
      </c>
      <c r="I1924" s="13">
        <v>133.52000000000001</v>
      </c>
      <c r="J1924" s="24">
        <v>45569</v>
      </c>
      <c r="K1924" s="13">
        <v>32</v>
      </c>
      <c r="M1924" s="13" t="b">
        <v>0</v>
      </c>
      <c r="O1924" s="13">
        <f t="shared" si="30"/>
        <v>2.9153846153846157</v>
      </c>
    </row>
    <row r="1925" spans="1:15" x14ac:dyDescent="0.25">
      <c r="A1925" s="13" t="s">
        <v>1937</v>
      </c>
      <c r="B1925" s="13" t="s">
        <v>2191</v>
      </c>
      <c r="C1925" s="13" t="s">
        <v>2198</v>
      </c>
      <c r="D1925" s="13" t="s">
        <v>2205</v>
      </c>
      <c r="E1925" s="13" t="s">
        <v>2212</v>
      </c>
      <c r="F1925" s="13" t="s">
        <v>2219</v>
      </c>
      <c r="G1925" s="13">
        <v>64.34</v>
      </c>
      <c r="H1925" s="13">
        <v>59.3</v>
      </c>
      <c r="I1925" s="13">
        <v>26.19</v>
      </c>
      <c r="J1925" s="24">
        <v>45875</v>
      </c>
      <c r="K1925" s="13">
        <v>34</v>
      </c>
      <c r="L1925" s="13">
        <v>1.2</v>
      </c>
      <c r="M1925" s="13" t="b">
        <v>0</v>
      </c>
      <c r="O1925" s="13">
        <f t="shared" si="30"/>
        <v>1.2</v>
      </c>
    </row>
    <row r="1926" spans="1:15" x14ac:dyDescent="0.25">
      <c r="A1926" s="13" t="s">
        <v>1938</v>
      </c>
      <c r="B1926" s="13" t="s">
        <v>2194</v>
      </c>
      <c r="C1926" s="13" t="s">
        <v>2203</v>
      </c>
      <c r="D1926" s="13" t="s">
        <v>2206</v>
      </c>
      <c r="E1926" s="13" t="s">
        <v>2209</v>
      </c>
      <c r="F1926" s="13" t="s">
        <v>2223</v>
      </c>
      <c r="G1926" s="13">
        <v>117.81</v>
      </c>
      <c r="H1926" s="13">
        <v>0</v>
      </c>
      <c r="I1926" s="13">
        <v>117.81</v>
      </c>
      <c r="J1926" s="24">
        <v>45875</v>
      </c>
      <c r="K1926" s="13">
        <v>22</v>
      </c>
      <c r="L1926" s="13">
        <v>4.9000000000000004</v>
      </c>
      <c r="M1926" s="13" t="b">
        <v>0</v>
      </c>
      <c r="O1926" s="13">
        <f t="shared" si="30"/>
        <v>4.9000000000000004</v>
      </c>
    </row>
    <row r="1927" spans="1:15" x14ac:dyDescent="0.25">
      <c r="A1927" s="13" t="s">
        <v>1939</v>
      </c>
      <c r="B1927" s="13" t="s">
        <v>2192</v>
      </c>
      <c r="C1927" s="13" t="s">
        <v>2201</v>
      </c>
      <c r="D1927" s="13" t="s">
        <v>2204</v>
      </c>
      <c r="F1927" s="13" t="s">
        <v>2219</v>
      </c>
      <c r="G1927" s="13">
        <v>29.19</v>
      </c>
      <c r="H1927" s="13">
        <v>0</v>
      </c>
      <c r="I1927" s="13">
        <v>29.19</v>
      </c>
      <c r="J1927" s="24">
        <v>45731</v>
      </c>
      <c r="K1927" s="13">
        <v>20</v>
      </c>
      <c r="L1927" s="13">
        <v>1.9</v>
      </c>
      <c r="M1927" s="13" t="b">
        <v>0</v>
      </c>
      <c r="O1927" s="13">
        <f t="shared" si="30"/>
        <v>1.9</v>
      </c>
    </row>
    <row r="1928" spans="1:15" x14ac:dyDescent="0.25">
      <c r="A1928" s="13" t="s">
        <v>1940</v>
      </c>
      <c r="B1928" s="13" t="s">
        <v>2191</v>
      </c>
      <c r="C1928" s="13" t="s">
        <v>2197</v>
      </c>
      <c r="D1928" s="13" t="s">
        <v>2206</v>
      </c>
      <c r="E1928" s="13" t="s">
        <v>2213</v>
      </c>
      <c r="F1928" s="13" t="s">
        <v>2223</v>
      </c>
      <c r="G1928" s="13">
        <v>34.72</v>
      </c>
      <c r="H1928" s="13">
        <v>0</v>
      </c>
      <c r="I1928" s="13">
        <v>34.72</v>
      </c>
      <c r="J1928" s="24">
        <v>45875</v>
      </c>
      <c r="K1928" s="13">
        <v>7</v>
      </c>
      <c r="M1928" s="13" t="b">
        <v>0</v>
      </c>
      <c r="O1928" s="13">
        <f t="shared" si="30"/>
        <v>3.34</v>
      </c>
    </row>
    <row r="1929" spans="1:15" x14ac:dyDescent="0.25">
      <c r="A1929" s="13" t="s">
        <v>1941</v>
      </c>
      <c r="B1929" s="13" t="s">
        <v>2195</v>
      </c>
      <c r="C1929" s="13" t="s">
        <v>2202</v>
      </c>
      <c r="D1929" s="13" t="s">
        <v>2206</v>
      </c>
      <c r="E1929" s="13" t="s">
        <v>2208</v>
      </c>
      <c r="F1929" s="13" t="s">
        <v>2218</v>
      </c>
      <c r="G1929" s="13">
        <v>107.49</v>
      </c>
      <c r="H1929" s="13">
        <v>0</v>
      </c>
      <c r="I1929" s="13">
        <v>107.49</v>
      </c>
      <c r="J1929" s="24">
        <v>45875</v>
      </c>
      <c r="K1929" s="13">
        <v>49</v>
      </c>
      <c r="L1929" s="13">
        <v>3.3</v>
      </c>
      <c r="M1929" s="13" t="b">
        <v>0</v>
      </c>
      <c r="O1929" s="13">
        <f t="shared" si="30"/>
        <v>3.3</v>
      </c>
    </row>
    <row r="1930" spans="1:15" x14ac:dyDescent="0.25">
      <c r="A1930" s="13" t="s">
        <v>1942</v>
      </c>
      <c r="B1930" s="13" t="s">
        <v>2194</v>
      </c>
      <c r="C1930" s="13" t="s">
        <v>2197</v>
      </c>
      <c r="D1930" s="13" t="s">
        <v>2205</v>
      </c>
      <c r="E1930" s="13" t="s">
        <v>2211</v>
      </c>
      <c r="F1930" s="13" t="s">
        <v>2219</v>
      </c>
      <c r="G1930" s="13">
        <v>38.700000000000003</v>
      </c>
      <c r="H1930" s="13">
        <v>0</v>
      </c>
      <c r="I1930" s="13">
        <v>38.700000000000003</v>
      </c>
      <c r="J1930" s="24">
        <v>45875</v>
      </c>
      <c r="K1930" s="13">
        <v>11</v>
      </c>
      <c r="L1930" s="13">
        <v>4</v>
      </c>
      <c r="M1930" s="13" t="b">
        <v>0</v>
      </c>
      <c r="O1930" s="13">
        <f t="shared" si="30"/>
        <v>4</v>
      </c>
    </row>
    <row r="1931" spans="1:15" x14ac:dyDescent="0.25">
      <c r="A1931" s="13" t="s">
        <v>1943</v>
      </c>
      <c r="B1931" s="13" t="s">
        <v>2190</v>
      </c>
      <c r="C1931" s="13" t="s">
        <v>2201</v>
      </c>
      <c r="D1931" s="13" t="s">
        <v>2204</v>
      </c>
      <c r="E1931" s="13" t="s">
        <v>2212</v>
      </c>
      <c r="F1931" s="13" t="s">
        <v>2224</v>
      </c>
      <c r="G1931" s="13">
        <v>152.63999999999999</v>
      </c>
      <c r="H1931" s="13">
        <v>0</v>
      </c>
      <c r="I1931" s="13">
        <v>152.63999999999999</v>
      </c>
      <c r="J1931" s="24">
        <v>45752</v>
      </c>
      <c r="K1931" s="13">
        <v>19</v>
      </c>
      <c r="L1931" s="13">
        <v>4.0999999999999996</v>
      </c>
      <c r="M1931" s="13" t="b">
        <v>0</v>
      </c>
      <c r="O1931" s="13">
        <f t="shared" si="30"/>
        <v>4.0999999999999996</v>
      </c>
    </row>
    <row r="1932" spans="1:15" x14ac:dyDescent="0.25">
      <c r="A1932" s="13" t="s">
        <v>1944</v>
      </c>
      <c r="B1932" s="13" t="s">
        <v>2190</v>
      </c>
      <c r="C1932" s="13" t="s">
        <v>2199</v>
      </c>
      <c r="D1932" s="13" t="s">
        <v>2206</v>
      </c>
      <c r="E1932" s="13" t="s">
        <v>2212</v>
      </c>
      <c r="F1932" s="13" t="s">
        <v>2223</v>
      </c>
      <c r="G1932" s="13">
        <v>181.66</v>
      </c>
      <c r="H1932" s="13">
        <v>56.4</v>
      </c>
      <c r="I1932" s="13">
        <v>79.2</v>
      </c>
      <c r="J1932" s="24">
        <v>45875</v>
      </c>
      <c r="K1932" s="13">
        <v>43</v>
      </c>
      <c r="L1932" s="13">
        <v>1.2</v>
      </c>
      <c r="M1932" s="13" t="b">
        <v>0</v>
      </c>
      <c r="O1932" s="13">
        <f t="shared" si="30"/>
        <v>1.2</v>
      </c>
    </row>
    <row r="1933" spans="1:15" x14ac:dyDescent="0.25">
      <c r="A1933" s="13" t="s">
        <v>1945</v>
      </c>
      <c r="B1933" s="13" t="s">
        <v>2191</v>
      </c>
      <c r="C1933" s="13" t="s">
        <v>2197</v>
      </c>
      <c r="D1933" s="13" t="s">
        <v>2204</v>
      </c>
      <c r="E1933" s="13" t="s">
        <v>2208</v>
      </c>
      <c r="F1933" s="13" t="s">
        <v>2220</v>
      </c>
      <c r="G1933" s="13">
        <v>114.8</v>
      </c>
      <c r="H1933" s="13">
        <v>17.399999999999999</v>
      </c>
      <c r="I1933" s="13">
        <v>94.82</v>
      </c>
      <c r="J1933" s="24">
        <v>45794</v>
      </c>
      <c r="K1933" s="13">
        <v>4</v>
      </c>
      <c r="L1933" s="13">
        <v>1.8</v>
      </c>
      <c r="M1933" s="13" t="b">
        <v>0</v>
      </c>
      <c r="O1933" s="13">
        <f t="shared" si="30"/>
        <v>1.8</v>
      </c>
    </row>
    <row r="1934" spans="1:15" x14ac:dyDescent="0.25">
      <c r="A1934" s="13" t="s">
        <v>1946</v>
      </c>
      <c r="B1934" s="13" t="s">
        <v>2193</v>
      </c>
      <c r="C1934" s="13" t="s">
        <v>2197</v>
      </c>
      <c r="D1934" s="13" t="s">
        <v>2205</v>
      </c>
      <c r="E1934" s="13" t="s">
        <v>2211</v>
      </c>
      <c r="F1934" s="13" t="s">
        <v>2220</v>
      </c>
      <c r="G1934" s="13">
        <v>102.95</v>
      </c>
      <c r="H1934" s="13">
        <v>0</v>
      </c>
      <c r="I1934" s="13">
        <v>102.95</v>
      </c>
      <c r="J1934" s="24">
        <v>45875</v>
      </c>
      <c r="K1934" s="13">
        <v>38</v>
      </c>
      <c r="L1934" s="13">
        <v>3.8</v>
      </c>
      <c r="M1934" s="13" t="b">
        <v>0</v>
      </c>
      <c r="O1934" s="13">
        <f t="shared" si="30"/>
        <v>3.8</v>
      </c>
    </row>
    <row r="1935" spans="1:15" x14ac:dyDescent="0.25">
      <c r="A1935" s="13" t="s">
        <v>1947</v>
      </c>
      <c r="B1935" s="13" t="s">
        <v>2191</v>
      </c>
      <c r="C1935" s="13" t="s">
        <v>2203</v>
      </c>
      <c r="D1935" s="13" t="s">
        <v>2205</v>
      </c>
      <c r="E1935" s="13" t="s">
        <v>2211</v>
      </c>
      <c r="F1935" s="13" t="s">
        <v>2220</v>
      </c>
      <c r="G1935" s="13">
        <v>86.82</v>
      </c>
      <c r="H1935" s="13">
        <v>0</v>
      </c>
      <c r="I1935" s="13">
        <v>86.82</v>
      </c>
      <c r="J1935" s="24">
        <v>45875</v>
      </c>
      <c r="K1935" s="13">
        <v>0</v>
      </c>
      <c r="L1935" s="13">
        <v>4.8</v>
      </c>
      <c r="M1935" s="13" t="b">
        <v>0</v>
      </c>
      <c r="O1935" s="13">
        <f t="shared" si="30"/>
        <v>4.8</v>
      </c>
    </row>
    <row r="1936" spans="1:15" x14ac:dyDescent="0.25">
      <c r="A1936" s="13" t="s">
        <v>1948</v>
      </c>
      <c r="B1936" s="13" t="s">
        <v>2190</v>
      </c>
      <c r="C1936" s="13" t="s">
        <v>2200</v>
      </c>
      <c r="D1936" s="13" t="s">
        <v>2207</v>
      </c>
      <c r="E1936" s="13" t="s">
        <v>2209</v>
      </c>
      <c r="F1936" s="13" t="s">
        <v>2214</v>
      </c>
      <c r="G1936" s="13">
        <v>83.68</v>
      </c>
      <c r="H1936" s="13">
        <v>28.1</v>
      </c>
      <c r="I1936" s="13">
        <v>60.17</v>
      </c>
      <c r="J1936" s="24">
        <v>45875</v>
      </c>
      <c r="K1936" s="13">
        <v>46</v>
      </c>
      <c r="M1936" s="13" t="b">
        <v>1</v>
      </c>
      <c r="N1936" s="13" t="s">
        <v>2228</v>
      </c>
      <c r="O1936" s="13">
        <f t="shared" si="30"/>
        <v>2.9228571428571426</v>
      </c>
    </row>
    <row r="1937" spans="1:15" x14ac:dyDescent="0.25">
      <c r="A1937" s="13" t="s">
        <v>1949</v>
      </c>
      <c r="B1937" s="13" t="s">
        <v>2190</v>
      </c>
      <c r="C1937" s="13" t="s">
        <v>2198</v>
      </c>
      <c r="D1937" s="13" t="s">
        <v>2206</v>
      </c>
      <c r="E1937" s="13" t="s">
        <v>2210</v>
      </c>
      <c r="F1937" s="13" t="s">
        <v>2215</v>
      </c>
      <c r="G1937" s="13">
        <v>167.31</v>
      </c>
      <c r="H1937" s="13">
        <v>50.7</v>
      </c>
      <c r="I1937" s="13">
        <v>82.48</v>
      </c>
      <c r="J1937" s="24">
        <v>45875</v>
      </c>
      <c r="K1937" s="13">
        <v>9</v>
      </c>
      <c r="L1937" s="13">
        <v>3.2</v>
      </c>
      <c r="M1937" s="13" t="b">
        <v>0</v>
      </c>
      <c r="O1937" s="13">
        <f t="shared" si="30"/>
        <v>3.2</v>
      </c>
    </row>
    <row r="1938" spans="1:15" x14ac:dyDescent="0.25">
      <c r="A1938" s="13" t="s">
        <v>1950</v>
      </c>
      <c r="B1938" s="13" t="s">
        <v>2194</v>
      </c>
      <c r="C1938" s="13" t="s">
        <v>2200</v>
      </c>
      <c r="D1938" s="13" t="s">
        <v>2206</v>
      </c>
      <c r="E1938" s="13" t="s">
        <v>2212</v>
      </c>
      <c r="F1938" s="13" t="s">
        <v>2218</v>
      </c>
      <c r="G1938" s="13">
        <v>114.64</v>
      </c>
      <c r="H1938" s="13">
        <v>5.0999999999999996</v>
      </c>
      <c r="I1938" s="13">
        <v>108.79</v>
      </c>
      <c r="J1938" s="24">
        <v>45875</v>
      </c>
      <c r="K1938" s="13">
        <v>21</v>
      </c>
      <c r="L1938" s="13">
        <v>2</v>
      </c>
      <c r="M1938" s="13" t="b">
        <v>0</v>
      </c>
      <c r="O1938" s="13">
        <f t="shared" si="30"/>
        <v>2</v>
      </c>
    </row>
    <row r="1939" spans="1:15" x14ac:dyDescent="0.25">
      <c r="A1939" s="13" t="s">
        <v>1951</v>
      </c>
      <c r="B1939" s="13" t="s">
        <v>2190</v>
      </c>
      <c r="C1939" s="13" t="s">
        <v>2200</v>
      </c>
      <c r="D1939" s="13" t="s">
        <v>2204</v>
      </c>
      <c r="E1939" s="13" t="s">
        <v>2211</v>
      </c>
      <c r="F1939" s="13" t="s">
        <v>2217</v>
      </c>
      <c r="G1939" s="13">
        <v>109.53</v>
      </c>
      <c r="H1939" s="13">
        <v>29.3</v>
      </c>
      <c r="I1939" s="13">
        <v>77.44</v>
      </c>
      <c r="J1939" s="24">
        <v>45598</v>
      </c>
      <c r="K1939" s="13">
        <v>35</v>
      </c>
      <c r="L1939" s="13">
        <v>1.3</v>
      </c>
      <c r="M1939" s="13" t="b">
        <v>0</v>
      </c>
      <c r="O1939" s="13">
        <f t="shared" si="30"/>
        <v>1.3</v>
      </c>
    </row>
    <row r="1940" spans="1:15" x14ac:dyDescent="0.25">
      <c r="A1940" s="13" t="s">
        <v>1952</v>
      </c>
      <c r="B1940" s="13" t="s">
        <v>2192</v>
      </c>
      <c r="C1940" s="13" t="s">
        <v>2201</v>
      </c>
      <c r="D1940" s="13" t="s">
        <v>2207</v>
      </c>
      <c r="F1940" s="13" t="s">
        <v>2221</v>
      </c>
      <c r="G1940" s="13">
        <v>51.02</v>
      </c>
      <c r="H1940" s="13">
        <v>57.9</v>
      </c>
      <c r="I1940" s="13">
        <v>21.48</v>
      </c>
      <c r="J1940" s="24">
        <v>45875</v>
      </c>
      <c r="K1940" s="13">
        <v>36</v>
      </c>
      <c r="M1940" s="13" t="b">
        <v>0</v>
      </c>
      <c r="O1940" s="13">
        <f t="shared" si="30"/>
        <v>3.2731707317073173</v>
      </c>
    </row>
    <row r="1941" spans="1:15" x14ac:dyDescent="0.25">
      <c r="A1941" s="13" t="s">
        <v>1953</v>
      </c>
      <c r="B1941" s="13" t="s">
        <v>2193</v>
      </c>
      <c r="C1941" s="13" t="s">
        <v>2200</v>
      </c>
      <c r="D1941" s="13" t="s">
        <v>2206</v>
      </c>
      <c r="E1941" s="13" t="s">
        <v>2213</v>
      </c>
      <c r="F1941" s="13" t="s">
        <v>2220</v>
      </c>
      <c r="G1941" s="13">
        <v>77.45</v>
      </c>
      <c r="H1941" s="13">
        <v>52.8</v>
      </c>
      <c r="I1941" s="13">
        <v>36.56</v>
      </c>
      <c r="J1941" s="24">
        <v>45875</v>
      </c>
      <c r="K1941" s="13">
        <v>6</v>
      </c>
      <c r="L1941" s="13">
        <v>2.7</v>
      </c>
      <c r="M1941" s="13" t="b">
        <v>0</v>
      </c>
      <c r="O1941" s="13">
        <f t="shared" si="30"/>
        <v>2.7</v>
      </c>
    </row>
    <row r="1942" spans="1:15" x14ac:dyDescent="0.25">
      <c r="A1942" s="13" t="s">
        <v>1954</v>
      </c>
      <c r="B1942" s="13" t="s">
        <v>2193</v>
      </c>
      <c r="C1942" s="13" t="s">
        <v>2201</v>
      </c>
      <c r="D1942" s="13" t="s">
        <v>2206</v>
      </c>
      <c r="E1942" s="13" t="s">
        <v>2212</v>
      </c>
      <c r="F1942" s="13" t="s">
        <v>2217</v>
      </c>
      <c r="G1942" s="13">
        <v>142.87</v>
      </c>
      <c r="H1942" s="13">
        <v>45.4</v>
      </c>
      <c r="I1942" s="13">
        <v>78.010000000000005</v>
      </c>
      <c r="J1942" s="24">
        <v>45875</v>
      </c>
      <c r="K1942" s="13">
        <v>20</v>
      </c>
      <c r="L1942" s="13">
        <v>1.7</v>
      </c>
      <c r="M1942" s="13" t="b">
        <v>0</v>
      </c>
      <c r="O1942" s="13">
        <f t="shared" si="30"/>
        <v>1.7</v>
      </c>
    </row>
    <row r="1943" spans="1:15" x14ac:dyDescent="0.25">
      <c r="A1943" s="13" t="s">
        <v>1955</v>
      </c>
      <c r="B1943" s="13" t="s">
        <v>2190</v>
      </c>
      <c r="C1943" s="13" t="s">
        <v>2198</v>
      </c>
      <c r="D1943" s="13" t="s">
        <v>2205</v>
      </c>
      <c r="E1943" s="13" t="s">
        <v>2212</v>
      </c>
      <c r="F1943" s="13" t="s">
        <v>2217</v>
      </c>
      <c r="G1943" s="13">
        <v>138.87</v>
      </c>
      <c r="H1943" s="13">
        <v>0</v>
      </c>
      <c r="I1943" s="13">
        <v>138.87</v>
      </c>
      <c r="J1943" s="24">
        <v>45875</v>
      </c>
      <c r="K1943" s="13">
        <v>37</v>
      </c>
      <c r="L1943" s="13">
        <v>3.2</v>
      </c>
      <c r="M1943" s="13" t="b">
        <v>0</v>
      </c>
      <c r="O1943" s="13">
        <f t="shared" si="30"/>
        <v>3.2</v>
      </c>
    </row>
    <row r="1944" spans="1:15" x14ac:dyDescent="0.25">
      <c r="A1944" s="13" t="s">
        <v>1956</v>
      </c>
      <c r="B1944" s="13" t="s">
        <v>2193</v>
      </c>
      <c r="C1944" s="13" t="s">
        <v>2201</v>
      </c>
      <c r="D1944" s="13" t="s">
        <v>2204</v>
      </c>
      <c r="E1944" s="13" t="s">
        <v>2210</v>
      </c>
      <c r="F1944" s="13" t="s">
        <v>2214</v>
      </c>
      <c r="G1944" s="13">
        <v>132.82</v>
      </c>
      <c r="H1944" s="13">
        <v>0</v>
      </c>
      <c r="I1944" s="13">
        <v>132.82</v>
      </c>
      <c r="J1944" s="24">
        <v>45733</v>
      </c>
      <c r="K1944" s="13">
        <v>40</v>
      </c>
      <c r="M1944" s="13" t="b">
        <v>1</v>
      </c>
      <c r="N1944" s="13" t="s">
        <v>2229</v>
      </c>
      <c r="O1944" s="13">
        <f t="shared" si="30"/>
        <v>3.0068965517241386</v>
      </c>
    </row>
    <row r="1945" spans="1:15" x14ac:dyDescent="0.25">
      <c r="A1945" s="13" t="s">
        <v>1957</v>
      </c>
      <c r="B1945" s="13" t="s">
        <v>2193</v>
      </c>
      <c r="C1945" s="13" t="s">
        <v>2200</v>
      </c>
      <c r="D1945" s="13" t="s">
        <v>2207</v>
      </c>
      <c r="E1945" s="13" t="s">
        <v>2209</v>
      </c>
      <c r="F1945" s="13" t="s">
        <v>2222</v>
      </c>
      <c r="G1945" s="13">
        <v>110.54</v>
      </c>
      <c r="H1945" s="13">
        <v>0</v>
      </c>
      <c r="I1945" s="13">
        <v>110.54</v>
      </c>
      <c r="J1945" s="24">
        <v>45875</v>
      </c>
      <c r="K1945" s="13">
        <v>24</v>
      </c>
      <c r="M1945" s="13" t="b">
        <v>1</v>
      </c>
      <c r="N1945" s="13" t="s">
        <v>2226</v>
      </c>
      <c r="O1945" s="13">
        <f t="shared" si="30"/>
        <v>3.3021276595744684</v>
      </c>
    </row>
    <row r="1946" spans="1:15" x14ac:dyDescent="0.25">
      <c r="A1946" s="13" t="s">
        <v>1958</v>
      </c>
      <c r="B1946" s="13" t="s">
        <v>2194</v>
      </c>
      <c r="C1946" s="13" t="s">
        <v>2196</v>
      </c>
      <c r="D1946" s="13" t="s">
        <v>2207</v>
      </c>
      <c r="E1946" s="13" t="s">
        <v>2208</v>
      </c>
      <c r="F1946" s="13" t="s">
        <v>2221</v>
      </c>
      <c r="G1946" s="13">
        <v>29.07</v>
      </c>
      <c r="H1946" s="13">
        <v>0</v>
      </c>
      <c r="I1946" s="13">
        <v>29.07</v>
      </c>
      <c r="J1946" s="24">
        <v>45875</v>
      </c>
      <c r="K1946" s="13">
        <v>41</v>
      </c>
      <c r="L1946" s="13">
        <v>2.8</v>
      </c>
      <c r="M1946" s="13" t="b">
        <v>0</v>
      </c>
      <c r="O1946" s="13">
        <f t="shared" si="30"/>
        <v>2.8</v>
      </c>
    </row>
    <row r="1947" spans="1:15" x14ac:dyDescent="0.25">
      <c r="A1947" s="13" t="s">
        <v>1959</v>
      </c>
      <c r="B1947" s="13" t="s">
        <v>2190</v>
      </c>
      <c r="C1947" s="13" t="s">
        <v>2202</v>
      </c>
      <c r="D1947" s="13" t="s">
        <v>2207</v>
      </c>
      <c r="E1947" s="13" t="s">
        <v>2210</v>
      </c>
      <c r="F1947" s="13" t="s">
        <v>2222</v>
      </c>
      <c r="G1947" s="13">
        <v>141.91999999999999</v>
      </c>
      <c r="H1947" s="13">
        <v>0</v>
      </c>
      <c r="I1947" s="13">
        <v>141.91999999999999</v>
      </c>
      <c r="J1947" s="24">
        <v>45875</v>
      </c>
      <c r="K1947" s="13">
        <v>37</v>
      </c>
      <c r="L1947" s="13">
        <v>1.7</v>
      </c>
      <c r="M1947" s="13" t="b">
        <v>0</v>
      </c>
      <c r="O1947" s="13">
        <f t="shared" si="30"/>
        <v>1.7</v>
      </c>
    </row>
    <row r="1948" spans="1:15" x14ac:dyDescent="0.25">
      <c r="A1948" s="13" t="s">
        <v>1960</v>
      </c>
      <c r="B1948" s="13" t="s">
        <v>2193</v>
      </c>
      <c r="C1948" s="13" t="s">
        <v>2198</v>
      </c>
      <c r="D1948" s="13" t="s">
        <v>2207</v>
      </c>
      <c r="E1948" s="13" t="s">
        <v>2208</v>
      </c>
      <c r="F1948" s="13" t="s">
        <v>2214</v>
      </c>
      <c r="G1948" s="13">
        <v>67.84</v>
      </c>
      <c r="H1948" s="13">
        <v>0</v>
      </c>
      <c r="I1948" s="13">
        <v>67.84</v>
      </c>
      <c r="J1948" s="24">
        <v>45875</v>
      </c>
      <c r="K1948" s="13">
        <v>24</v>
      </c>
      <c r="L1948" s="13">
        <v>1.2</v>
      </c>
      <c r="M1948" s="13" t="b">
        <v>0</v>
      </c>
      <c r="O1948" s="13">
        <f t="shared" si="30"/>
        <v>1.2</v>
      </c>
    </row>
    <row r="1949" spans="1:15" x14ac:dyDescent="0.25">
      <c r="A1949" s="13" t="s">
        <v>1961</v>
      </c>
      <c r="B1949" s="13" t="s">
        <v>2193</v>
      </c>
      <c r="C1949" s="13" t="s">
        <v>2199</v>
      </c>
      <c r="D1949" s="13" t="s">
        <v>2205</v>
      </c>
      <c r="E1949" s="13" t="s">
        <v>2210</v>
      </c>
      <c r="F1949" s="13" t="s">
        <v>2224</v>
      </c>
      <c r="G1949" s="13">
        <v>143.27000000000001</v>
      </c>
      <c r="H1949" s="13">
        <v>0</v>
      </c>
      <c r="I1949" s="13">
        <v>143.27000000000001</v>
      </c>
      <c r="J1949" s="24">
        <v>45875</v>
      </c>
      <c r="K1949" s="13">
        <v>0</v>
      </c>
      <c r="M1949" s="13" t="b">
        <v>0</v>
      </c>
      <c r="O1949" s="13">
        <f t="shared" si="30"/>
        <v>2.9804347826086954</v>
      </c>
    </row>
    <row r="1950" spans="1:15" x14ac:dyDescent="0.25">
      <c r="A1950" s="13" t="s">
        <v>1962</v>
      </c>
      <c r="B1950" s="13" t="s">
        <v>2192</v>
      </c>
      <c r="C1950" s="13" t="s">
        <v>2198</v>
      </c>
      <c r="D1950" s="13" t="s">
        <v>2205</v>
      </c>
      <c r="F1950" s="13" t="s">
        <v>2224</v>
      </c>
      <c r="G1950" s="13">
        <v>20.97</v>
      </c>
      <c r="H1950" s="13">
        <v>0</v>
      </c>
      <c r="I1950" s="13">
        <v>20.97</v>
      </c>
      <c r="J1950" s="24">
        <v>45875</v>
      </c>
      <c r="K1950" s="13">
        <v>44</v>
      </c>
      <c r="L1950" s="13">
        <v>4.5999999999999996</v>
      </c>
      <c r="M1950" s="13" t="b">
        <v>0</v>
      </c>
      <c r="O1950" s="13">
        <f t="shared" si="30"/>
        <v>4.5999999999999996</v>
      </c>
    </row>
    <row r="1951" spans="1:15" x14ac:dyDescent="0.25">
      <c r="A1951" s="13" t="s">
        <v>1963</v>
      </c>
      <c r="B1951" s="13" t="s">
        <v>2195</v>
      </c>
      <c r="C1951" s="13" t="s">
        <v>2196</v>
      </c>
      <c r="D1951" s="13" t="s">
        <v>2207</v>
      </c>
      <c r="E1951" s="13" t="s">
        <v>2208</v>
      </c>
      <c r="F1951" s="13" t="s">
        <v>2223</v>
      </c>
      <c r="G1951" s="13">
        <v>105.5</v>
      </c>
      <c r="H1951" s="13">
        <v>59.8</v>
      </c>
      <c r="I1951" s="13">
        <v>42.41</v>
      </c>
      <c r="J1951" s="24">
        <v>45875</v>
      </c>
      <c r="K1951" s="13">
        <v>34</v>
      </c>
      <c r="M1951" s="13" t="b">
        <v>0</v>
      </c>
      <c r="O1951" s="13">
        <f t="shared" si="30"/>
        <v>3.0424242424242425</v>
      </c>
    </row>
    <row r="1952" spans="1:15" x14ac:dyDescent="0.25">
      <c r="A1952" s="13" t="s">
        <v>1964</v>
      </c>
      <c r="B1952" s="13" t="s">
        <v>2193</v>
      </c>
      <c r="C1952" s="13" t="s">
        <v>2198</v>
      </c>
      <c r="D1952" s="13" t="s">
        <v>2204</v>
      </c>
      <c r="E1952" s="13" t="s">
        <v>2211</v>
      </c>
      <c r="F1952" s="13" t="s">
        <v>2220</v>
      </c>
      <c r="G1952" s="13">
        <v>184.7</v>
      </c>
      <c r="H1952" s="13">
        <v>0</v>
      </c>
      <c r="I1952" s="13">
        <v>184.7</v>
      </c>
      <c r="J1952" s="24">
        <v>45554</v>
      </c>
      <c r="K1952" s="13">
        <v>39</v>
      </c>
      <c r="L1952" s="13">
        <v>2.1</v>
      </c>
      <c r="M1952" s="13" t="b">
        <v>1</v>
      </c>
      <c r="N1952" s="13" t="s">
        <v>2226</v>
      </c>
      <c r="O1952" s="13">
        <f t="shared" si="30"/>
        <v>2.1</v>
      </c>
    </row>
    <row r="1953" spans="1:15" x14ac:dyDescent="0.25">
      <c r="A1953" s="13" t="s">
        <v>1965</v>
      </c>
      <c r="B1953" s="13" t="s">
        <v>2193</v>
      </c>
      <c r="C1953" s="13" t="s">
        <v>2200</v>
      </c>
      <c r="D1953" s="13" t="s">
        <v>2204</v>
      </c>
      <c r="E1953" s="13" t="s">
        <v>2212</v>
      </c>
      <c r="F1953" s="13" t="s">
        <v>2219</v>
      </c>
      <c r="G1953" s="13">
        <v>81.47</v>
      </c>
      <c r="H1953" s="13">
        <v>32</v>
      </c>
      <c r="I1953" s="13">
        <v>55.4</v>
      </c>
      <c r="J1953" s="24">
        <v>45536</v>
      </c>
      <c r="K1953" s="13">
        <v>2</v>
      </c>
      <c r="L1953" s="13">
        <v>1.1000000000000001</v>
      </c>
      <c r="M1953" s="13" t="b">
        <v>0</v>
      </c>
      <c r="O1953" s="13">
        <f t="shared" si="30"/>
        <v>1.1000000000000001</v>
      </c>
    </row>
    <row r="1954" spans="1:15" x14ac:dyDescent="0.25">
      <c r="A1954" s="13" t="s">
        <v>1966</v>
      </c>
      <c r="B1954" s="13" t="s">
        <v>2190</v>
      </c>
      <c r="C1954" s="13" t="s">
        <v>2198</v>
      </c>
      <c r="D1954" s="13" t="s">
        <v>2205</v>
      </c>
      <c r="E1954" s="13" t="s">
        <v>2209</v>
      </c>
      <c r="F1954" s="13" t="s">
        <v>2219</v>
      </c>
      <c r="G1954" s="13">
        <v>107.67</v>
      </c>
      <c r="H1954" s="13">
        <v>20.3</v>
      </c>
      <c r="I1954" s="13">
        <v>85.81</v>
      </c>
      <c r="J1954" s="24">
        <v>45875</v>
      </c>
      <c r="K1954" s="13">
        <v>16</v>
      </c>
      <c r="L1954" s="13">
        <v>4.3</v>
      </c>
      <c r="M1954" s="13" t="b">
        <v>0</v>
      </c>
      <c r="O1954" s="13">
        <f t="shared" si="30"/>
        <v>4.3</v>
      </c>
    </row>
    <row r="1955" spans="1:15" x14ac:dyDescent="0.25">
      <c r="A1955" s="13" t="s">
        <v>1967</v>
      </c>
      <c r="B1955" s="13" t="s">
        <v>2191</v>
      </c>
      <c r="C1955" s="13" t="s">
        <v>2198</v>
      </c>
      <c r="D1955" s="13" t="s">
        <v>2207</v>
      </c>
      <c r="E1955" s="13" t="s">
        <v>2208</v>
      </c>
      <c r="F1955" s="13" t="s">
        <v>2223</v>
      </c>
      <c r="G1955" s="13">
        <v>88.64</v>
      </c>
      <c r="H1955" s="13">
        <v>0</v>
      </c>
      <c r="I1955" s="13">
        <v>88.64</v>
      </c>
      <c r="J1955" s="24">
        <v>45875</v>
      </c>
      <c r="K1955" s="13">
        <v>33</v>
      </c>
      <c r="M1955" s="13" t="b">
        <v>0</v>
      </c>
      <c r="O1955" s="13">
        <f t="shared" si="30"/>
        <v>2.953125</v>
      </c>
    </row>
    <row r="1956" spans="1:15" x14ac:dyDescent="0.25">
      <c r="A1956" s="13" t="s">
        <v>1968</v>
      </c>
      <c r="B1956" s="13" t="s">
        <v>2192</v>
      </c>
      <c r="C1956" s="13" t="s">
        <v>2196</v>
      </c>
      <c r="D1956" s="13" t="s">
        <v>2205</v>
      </c>
      <c r="F1956" s="13" t="s">
        <v>2214</v>
      </c>
      <c r="G1956" s="13">
        <v>17.5</v>
      </c>
      <c r="H1956" s="13">
        <v>14.4</v>
      </c>
      <c r="I1956" s="13">
        <v>14.98</v>
      </c>
      <c r="J1956" s="24">
        <v>45875</v>
      </c>
      <c r="K1956" s="13">
        <v>16</v>
      </c>
      <c r="L1956" s="13">
        <v>3.1</v>
      </c>
      <c r="M1956" s="13" t="b">
        <v>0</v>
      </c>
      <c r="O1956" s="13">
        <f t="shared" si="30"/>
        <v>3.1</v>
      </c>
    </row>
    <row r="1957" spans="1:15" x14ac:dyDescent="0.25">
      <c r="A1957" s="13" t="s">
        <v>1969</v>
      </c>
      <c r="B1957" s="13" t="s">
        <v>2190</v>
      </c>
      <c r="C1957" s="13" t="s">
        <v>2200</v>
      </c>
      <c r="D1957" s="13" t="s">
        <v>2205</v>
      </c>
      <c r="E1957" s="13" t="s">
        <v>2208</v>
      </c>
      <c r="F1957" s="13" t="s">
        <v>2218</v>
      </c>
      <c r="G1957" s="13">
        <v>205.37</v>
      </c>
      <c r="H1957" s="13">
        <v>0</v>
      </c>
      <c r="I1957" s="13">
        <v>205.37</v>
      </c>
      <c r="J1957" s="24">
        <v>45875</v>
      </c>
      <c r="K1957" s="13">
        <v>25</v>
      </c>
      <c r="L1957" s="13">
        <v>2</v>
      </c>
      <c r="M1957" s="13" t="b">
        <v>1</v>
      </c>
      <c r="N1957" s="13" t="s">
        <v>2227</v>
      </c>
      <c r="O1957" s="13">
        <f t="shared" si="30"/>
        <v>2</v>
      </c>
    </row>
    <row r="1958" spans="1:15" x14ac:dyDescent="0.25">
      <c r="A1958" s="13" t="s">
        <v>1970</v>
      </c>
      <c r="B1958" s="13" t="s">
        <v>2195</v>
      </c>
      <c r="C1958" s="13" t="s">
        <v>2199</v>
      </c>
      <c r="D1958" s="13" t="s">
        <v>2205</v>
      </c>
      <c r="E1958" s="13" t="s">
        <v>2212</v>
      </c>
      <c r="F1958" s="13" t="s">
        <v>2221</v>
      </c>
      <c r="G1958" s="13">
        <v>111.66</v>
      </c>
      <c r="H1958" s="13">
        <v>0</v>
      </c>
      <c r="I1958" s="13">
        <v>111.66</v>
      </c>
      <c r="J1958" s="24">
        <v>45875</v>
      </c>
      <c r="K1958" s="13">
        <v>26</v>
      </c>
      <c r="L1958" s="13">
        <v>1.4</v>
      </c>
      <c r="M1958" s="13" t="b">
        <v>0</v>
      </c>
      <c r="O1958" s="13">
        <f t="shared" si="30"/>
        <v>1.4</v>
      </c>
    </row>
    <row r="1959" spans="1:15" x14ac:dyDescent="0.25">
      <c r="A1959" s="13" t="s">
        <v>1971</v>
      </c>
      <c r="B1959" s="13" t="s">
        <v>2193</v>
      </c>
      <c r="C1959" s="13" t="s">
        <v>2199</v>
      </c>
      <c r="D1959" s="13" t="s">
        <v>2207</v>
      </c>
      <c r="E1959" s="13" t="s">
        <v>2210</v>
      </c>
      <c r="F1959" s="13" t="s">
        <v>2215</v>
      </c>
      <c r="G1959" s="13">
        <v>184.87</v>
      </c>
      <c r="H1959" s="13">
        <v>56.4</v>
      </c>
      <c r="I1959" s="13">
        <v>80.599999999999994</v>
      </c>
      <c r="J1959" s="24">
        <v>45875</v>
      </c>
      <c r="K1959" s="13">
        <v>10</v>
      </c>
      <c r="L1959" s="13">
        <v>3.7</v>
      </c>
      <c r="M1959" s="13" t="b">
        <v>0</v>
      </c>
      <c r="O1959" s="13">
        <f t="shared" si="30"/>
        <v>3.7</v>
      </c>
    </row>
    <row r="1960" spans="1:15" x14ac:dyDescent="0.25">
      <c r="A1960" s="13" t="s">
        <v>1972</v>
      </c>
      <c r="B1960" s="13" t="s">
        <v>2194</v>
      </c>
      <c r="C1960" s="13" t="s">
        <v>2196</v>
      </c>
      <c r="D1960" s="13" t="s">
        <v>2204</v>
      </c>
      <c r="E1960" s="13" t="s">
        <v>2209</v>
      </c>
      <c r="F1960" s="13" t="s">
        <v>2220</v>
      </c>
      <c r="G1960" s="13">
        <v>84.58</v>
      </c>
      <c r="H1960" s="13">
        <v>0</v>
      </c>
      <c r="I1960" s="13">
        <v>84.58</v>
      </c>
      <c r="J1960" s="24">
        <v>45674</v>
      </c>
      <c r="K1960" s="13">
        <v>33</v>
      </c>
      <c r="L1960" s="13">
        <v>4.5</v>
      </c>
      <c r="M1960" s="13" t="b">
        <v>0</v>
      </c>
      <c r="O1960" s="13">
        <f t="shared" si="30"/>
        <v>4.5</v>
      </c>
    </row>
    <row r="1961" spans="1:15" x14ac:dyDescent="0.25">
      <c r="A1961" s="13" t="s">
        <v>1973</v>
      </c>
      <c r="B1961" s="13" t="s">
        <v>2194</v>
      </c>
      <c r="C1961" s="13" t="s">
        <v>2203</v>
      </c>
      <c r="D1961" s="13" t="s">
        <v>2207</v>
      </c>
      <c r="E1961" s="13" t="s">
        <v>2211</v>
      </c>
      <c r="F1961" s="13" t="s">
        <v>2217</v>
      </c>
      <c r="G1961" s="13">
        <v>66.739999999999995</v>
      </c>
      <c r="H1961" s="13">
        <v>0</v>
      </c>
      <c r="I1961" s="13">
        <v>66.739999999999995</v>
      </c>
      <c r="J1961" s="24">
        <v>45875</v>
      </c>
      <c r="K1961" s="13">
        <v>26</v>
      </c>
      <c r="L1961" s="13">
        <v>4.5999999999999996</v>
      </c>
      <c r="M1961" s="13" t="b">
        <v>0</v>
      </c>
      <c r="O1961" s="13">
        <f t="shared" si="30"/>
        <v>4.5999999999999996</v>
      </c>
    </row>
    <row r="1962" spans="1:15" x14ac:dyDescent="0.25">
      <c r="A1962" s="13" t="s">
        <v>1974</v>
      </c>
      <c r="B1962" s="13" t="s">
        <v>2193</v>
      </c>
      <c r="C1962" s="13" t="s">
        <v>2200</v>
      </c>
      <c r="D1962" s="13" t="s">
        <v>2207</v>
      </c>
      <c r="E1962" s="13" t="s">
        <v>2213</v>
      </c>
      <c r="F1962" s="13" t="s">
        <v>2220</v>
      </c>
      <c r="G1962" s="13">
        <v>104.19</v>
      </c>
      <c r="H1962" s="13">
        <v>0</v>
      </c>
      <c r="I1962" s="13">
        <v>104.19</v>
      </c>
      <c r="J1962" s="24">
        <v>45875</v>
      </c>
      <c r="K1962" s="13">
        <v>4</v>
      </c>
      <c r="L1962" s="13">
        <v>4.7</v>
      </c>
      <c r="M1962" s="13" t="b">
        <v>0</v>
      </c>
      <c r="O1962" s="13">
        <f t="shared" si="30"/>
        <v>4.7</v>
      </c>
    </row>
    <row r="1963" spans="1:15" x14ac:dyDescent="0.25">
      <c r="A1963" s="13" t="s">
        <v>1975</v>
      </c>
      <c r="B1963" s="13" t="s">
        <v>2190</v>
      </c>
      <c r="C1963" s="13" t="s">
        <v>2197</v>
      </c>
      <c r="D1963" s="13" t="s">
        <v>2207</v>
      </c>
      <c r="E1963" s="13" t="s">
        <v>2213</v>
      </c>
      <c r="F1963" s="13" t="s">
        <v>2220</v>
      </c>
      <c r="G1963" s="13">
        <v>216.73</v>
      </c>
      <c r="H1963" s="13">
        <v>0</v>
      </c>
      <c r="I1963" s="13">
        <v>216.73</v>
      </c>
      <c r="J1963" s="24">
        <v>45875</v>
      </c>
      <c r="K1963" s="13">
        <v>5</v>
      </c>
      <c r="L1963" s="13">
        <v>2.7</v>
      </c>
      <c r="M1963" s="13" t="b">
        <v>1</v>
      </c>
      <c r="N1963" s="13" t="s">
        <v>2230</v>
      </c>
      <c r="O1963" s="13">
        <f t="shared" si="30"/>
        <v>2.7</v>
      </c>
    </row>
    <row r="1964" spans="1:15" x14ac:dyDescent="0.25">
      <c r="A1964" s="13" t="s">
        <v>1976</v>
      </c>
      <c r="B1964" s="13" t="s">
        <v>2195</v>
      </c>
      <c r="C1964" s="13" t="s">
        <v>2199</v>
      </c>
      <c r="D1964" s="13" t="s">
        <v>2207</v>
      </c>
      <c r="E1964" s="13" t="s">
        <v>2211</v>
      </c>
      <c r="F1964" s="13" t="s">
        <v>2221</v>
      </c>
      <c r="G1964" s="13">
        <v>87.82</v>
      </c>
      <c r="H1964" s="13">
        <v>0</v>
      </c>
      <c r="I1964" s="13">
        <v>87.82</v>
      </c>
      <c r="J1964" s="24">
        <v>45875</v>
      </c>
      <c r="K1964" s="13">
        <v>24</v>
      </c>
      <c r="L1964" s="13">
        <v>4.2</v>
      </c>
      <c r="M1964" s="13" t="b">
        <v>0</v>
      </c>
      <c r="O1964" s="13">
        <f t="shared" si="30"/>
        <v>4.2</v>
      </c>
    </row>
    <row r="1965" spans="1:15" x14ac:dyDescent="0.25">
      <c r="A1965" s="13" t="s">
        <v>1977</v>
      </c>
      <c r="B1965" s="13" t="s">
        <v>2193</v>
      </c>
      <c r="C1965" s="13" t="s">
        <v>2196</v>
      </c>
      <c r="D1965" s="13" t="s">
        <v>2207</v>
      </c>
      <c r="E1965" s="13" t="s">
        <v>2209</v>
      </c>
      <c r="F1965" s="13" t="s">
        <v>2220</v>
      </c>
      <c r="G1965" s="13">
        <v>81.59</v>
      </c>
      <c r="H1965" s="13">
        <v>0</v>
      </c>
      <c r="I1965" s="13">
        <v>81.59</v>
      </c>
      <c r="J1965" s="24">
        <v>45875</v>
      </c>
      <c r="K1965" s="13">
        <v>5</v>
      </c>
      <c r="L1965" s="13">
        <v>2.5</v>
      </c>
      <c r="M1965" s="13" t="b">
        <v>0</v>
      </c>
      <c r="O1965" s="13">
        <f t="shared" si="30"/>
        <v>2.5</v>
      </c>
    </row>
    <row r="1966" spans="1:15" x14ac:dyDescent="0.25">
      <c r="A1966" s="13" t="s">
        <v>1978</v>
      </c>
      <c r="B1966" s="13" t="s">
        <v>2190</v>
      </c>
      <c r="C1966" s="13" t="s">
        <v>2202</v>
      </c>
      <c r="D1966" s="13" t="s">
        <v>2207</v>
      </c>
      <c r="F1966" s="13" t="s">
        <v>2219</v>
      </c>
      <c r="G1966" s="13">
        <v>93.14</v>
      </c>
      <c r="H1966" s="13">
        <v>32.799999999999997</v>
      </c>
      <c r="I1966" s="13">
        <v>62.59</v>
      </c>
      <c r="J1966" s="24">
        <v>45875</v>
      </c>
      <c r="K1966" s="13">
        <v>45</v>
      </c>
      <c r="L1966" s="13">
        <v>4.5</v>
      </c>
      <c r="M1966" s="13" t="b">
        <v>0</v>
      </c>
      <c r="O1966" s="13">
        <f t="shared" si="30"/>
        <v>4.5</v>
      </c>
    </row>
    <row r="1967" spans="1:15" x14ac:dyDescent="0.25">
      <c r="A1967" s="13" t="s">
        <v>1979</v>
      </c>
      <c r="B1967" s="13" t="s">
        <v>2194</v>
      </c>
      <c r="C1967" s="13" t="s">
        <v>2202</v>
      </c>
      <c r="D1967" s="13" t="s">
        <v>2204</v>
      </c>
      <c r="E1967" s="13" t="s">
        <v>2212</v>
      </c>
      <c r="F1967" s="13" t="s">
        <v>2218</v>
      </c>
      <c r="G1967" s="13">
        <v>96.73</v>
      </c>
      <c r="H1967" s="13">
        <v>0</v>
      </c>
      <c r="I1967" s="13">
        <v>96.73</v>
      </c>
      <c r="J1967" s="24">
        <v>45605</v>
      </c>
      <c r="K1967" s="13">
        <v>18</v>
      </c>
      <c r="L1967" s="13">
        <v>4.8</v>
      </c>
      <c r="M1967" s="13" t="b">
        <v>0</v>
      </c>
      <c r="O1967" s="13">
        <f t="shared" si="30"/>
        <v>4.8</v>
      </c>
    </row>
    <row r="1968" spans="1:15" x14ac:dyDescent="0.25">
      <c r="A1968" s="13" t="s">
        <v>1980</v>
      </c>
      <c r="B1968" s="13" t="s">
        <v>2192</v>
      </c>
      <c r="C1968" s="13" t="s">
        <v>2203</v>
      </c>
      <c r="D1968" s="13" t="s">
        <v>2205</v>
      </c>
      <c r="F1968" s="13" t="s">
        <v>2219</v>
      </c>
      <c r="G1968" s="13">
        <v>19.34</v>
      </c>
      <c r="H1968" s="13">
        <v>0</v>
      </c>
      <c r="I1968" s="13">
        <v>19.34</v>
      </c>
      <c r="J1968" s="24">
        <v>45875</v>
      </c>
      <c r="K1968" s="13">
        <v>19</v>
      </c>
      <c r="M1968" s="13" t="b">
        <v>0</v>
      </c>
      <c r="O1968" s="13">
        <f t="shared" si="30"/>
        <v>2.8636363636363633</v>
      </c>
    </row>
    <row r="1969" spans="1:15" x14ac:dyDescent="0.25">
      <c r="A1969" s="13" t="s">
        <v>1981</v>
      </c>
      <c r="B1969" s="13" t="s">
        <v>2193</v>
      </c>
      <c r="C1969" s="13" t="s">
        <v>2196</v>
      </c>
      <c r="D1969" s="13" t="s">
        <v>2204</v>
      </c>
      <c r="E1969" s="13" t="s">
        <v>2210</v>
      </c>
      <c r="F1969" s="13" t="s">
        <v>2214</v>
      </c>
      <c r="G1969" s="13">
        <v>113.88</v>
      </c>
      <c r="H1969" s="13">
        <v>31.1</v>
      </c>
      <c r="I1969" s="13">
        <v>78.459999999999994</v>
      </c>
      <c r="J1969" s="24">
        <v>45818</v>
      </c>
      <c r="K1969" s="13">
        <v>22</v>
      </c>
      <c r="L1969" s="13">
        <v>3.1</v>
      </c>
      <c r="M1969" s="13" t="b">
        <v>0</v>
      </c>
      <c r="O1969" s="13">
        <f t="shared" si="30"/>
        <v>3.1</v>
      </c>
    </row>
    <row r="1970" spans="1:15" x14ac:dyDescent="0.25">
      <c r="A1970" s="13" t="s">
        <v>1982</v>
      </c>
      <c r="B1970" s="13" t="s">
        <v>2195</v>
      </c>
      <c r="C1970" s="13" t="s">
        <v>2196</v>
      </c>
      <c r="D1970" s="13" t="s">
        <v>2204</v>
      </c>
      <c r="E1970" s="13" t="s">
        <v>2208</v>
      </c>
      <c r="F1970" s="13" t="s">
        <v>2222</v>
      </c>
      <c r="G1970" s="13">
        <v>90.32</v>
      </c>
      <c r="H1970" s="13">
        <v>0</v>
      </c>
      <c r="I1970" s="13">
        <v>90.32</v>
      </c>
      <c r="J1970" s="24">
        <v>45742</v>
      </c>
      <c r="K1970" s="13">
        <v>41</v>
      </c>
      <c r="L1970" s="13">
        <v>2.8</v>
      </c>
      <c r="M1970" s="13" t="b">
        <v>0</v>
      </c>
      <c r="O1970" s="13">
        <f t="shared" si="30"/>
        <v>2.8</v>
      </c>
    </row>
    <row r="1971" spans="1:15" x14ac:dyDescent="0.25">
      <c r="A1971" s="13" t="s">
        <v>1983</v>
      </c>
      <c r="B1971" s="13" t="s">
        <v>2191</v>
      </c>
      <c r="C1971" s="13" t="s">
        <v>2198</v>
      </c>
      <c r="D1971" s="13" t="s">
        <v>2207</v>
      </c>
      <c r="E1971" s="13" t="s">
        <v>2209</v>
      </c>
      <c r="F1971" s="13" t="s">
        <v>2218</v>
      </c>
      <c r="G1971" s="13">
        <v>38.119999999999997</v>
      </c>
      <c r="H1971" s="13">
        <v>0</v>
      </c>
      <c r="I1971" s="13">
        <v>38.119999999999997</v>
      </c>
      <c r="J1971" s="24">
        <v>45875</v>
      </c>
      <c r="K1971" s="13">
        <v>44</v>
      </c>
      <c r="M1971" s="13" t="b">
        <v>0</v>
      </c>
      <c r="O1971" s="13">
        <f t="shared" si="30"/>
        <v>2.953125</v>
      </c>
    </row>
    <row r="1972" spans="1:15" x14ac:dyDescent="0.25">
      <c r="A1972" s="13" t="s">
        <v>1984</v>
      </c>
      <c r="B1972" s="13" t="s">
        <v>2193</v>
      </c>
      <c r="C1972" s="13" t="s">
        <v>2198</v>
      </c>
      <c r="D1972" s="13" t="s">
        <v>2207</v>
      </c>
      <c r="E1972" s="13" t="s">
        <v>2210</v>
      </c>
      <c r="F1972" s="13" t="s">
        <v>2219</v>
      </c>
      <c r="G1972" s="13">
        <v>175.31</v>
      </c>
      <c r="H1972" s="13">
        <v>0</v>
      </c>
      <c r="I1972" s="13">
        <v>175.31</v>
      </c>
      <c r="J1972" s="24">
        <v>45875</v>
      </c>
      <c r="K1972" s="13">
        <v>13</v>
      </c>
      <c r="M1972" s="13" t="b">
        <v>0</v>
      </c>
      <c r="O1972" s="13">
        <f t="shared" si="30"/>
        <v>3.1936170212765949</v>
      </c>
    </row>
    <row r="1973" spans="1:15" x14ac:dyDescent="0.25">
      <c r="A1973" s="13" t="s">
        <v>1985</v>
      </c>
      <c r="B1973" s="13" t="s">
        <v>2195</v>
      </c>
      <c r="C1973" s="13" t="s">
        <v>2196</v>
      </c>
      <c r="D1973" s="13" t="s">
        <v>2204</v>
      </c>
      <c r="E1973" s="13" t="s">
        <v>2209</v>
      </c>
      <c r="F1973" s="13" t="s">
        <v>2214</v>
      </c>
      <c r="G1973" s="13">
        <v>171.92</v>
      </c>
      <c r="H1973" s="13">
        <v>0</v>
      </c>
      <c r="I1973" s="13">
        <v>171.92</v>
      </c>
      <c r="J1973" s="24">
        <v>45816</v>
      </c>
      <c r="K1973" s="13">
        <v>12</v>
      </c>
      <c r="L1973" s="13">
        <v>1.3</v>
      </c>
      <c r="M1973" s="13" t="b">
        <v>0</v>
      </c>
      <c r="O1973" s="13">
        <f t="shared" si="30"/>
        <v>1.3</v>
      </c>
    </row>
    <row r="1974" spans="1:15" x14ac:dyDescent="0.25">
      <c r="A1974" s="13" t="s">
        <v>1986</v>
      </c>
      <c r="B1974" s="13" t="s">
        <v>2192</v>
      </c>
      <c r="C1974" s="13" t="s">
        <v>2202</v>
      </c>
      <c r="D1974" s="13" t="s">
        <v>2207</v>
      </c>
      <c r="F1974" s="13" t="s">
        <v>2219</v>
      </c>
      <c r="G1974" s="13">
        <v>35.6</v>
      </c>
      <c r="H1974" s="13">
        <v>0</v>
      </c>
      <c r="I1974" s="13">
        <v>35.6</v>
      </c>
      <c r="J1974" s="24">
        <v>45875</v>
      </c>
      <c r="K1974" s="13">
        <v>24</v>
      </c>
      <c r="L1974" s="13">
        <v>3.1</v>
      </c>
      <c r="M1974" s="13" t="b">
        <v>0</v>
      </c>
      <c r="O1974" s="13">
        <f t="shared" si="30"/>
        <v>3.1</v>
      </c>
    </row>
    <row r="1975" spans="1:15" x14ac:dyDescent="0.25">
      <c r="A1975" s="13" t="s">
        <v>1987</v>
      </c>
      <c r="B1975" s="13" t="s">
        <v>2194</v>
      </c>
      <c r="C1975" s="13" t="s">
        <v>2200</v>
      </c>
      <c r="D1975" s="13" t="s">
        <v>2207</v>
      </c>
      <c r="E1975" s="13" t="s">
        <v>2213</v>
      </c>
      <c r="F1975" s="13" t="s">
        <v>2222</v>
      </c>
      <c r="G1975" s="13">
        <v>81.7</v>
      </c>
      <c r="H1975" s="13">
        <v>0</v>
      </c>
      <c r="I1975" s="13">
        <v>81.7</v>
      </c>
      <c r="J1975" s="24">
        <v>45875</v>
      </c>
      <c r="K1975" s="13">
        <v>33</v>
      </c>
      <c r="M1975" s="13" t="b">
        <v>1</v>
      </c>
      <c r="N1975" s="13" t="s">
        <v>2230</v>
      </c>
      <c r="O1975" s="13">
        <f t="shared" si="30"/>
        <v>3.0659090909090896</v>
      </c>
    </row>
    <row r="1976" spans="1:15" x14ac:dyDescent="0.25">
      <c r="A1976" s="13" t="s">
        <v>1988</v>
      </c>
      <c r="B1976" s="13" t="s">
        <v>2194</v>
      </c>
      <c r="C1976" s="13" t="s">
        <v>2198</v>
      </c>
      <c r="D1976" s="13" t="s">
        <v>2207</v>
      </c>
      <c r="F1976" s="13" t="s">
        <v>2223</v>
      </c>
      <c r="G1976" s="13">
        <v>29.7</v>
      </c>
      <c r="H1976" s="13">
        <v>0</v>
      </c>
      <c r="I1976" s="13">
        <v>29.7</v>
      </c>
      <c r="J1976" s="24">
        <v>45875</v>
      </c>
      <c r="K1976" s="13">
        <v>16</v>
      </c>
      <c r="L1976" s="13">
        <v>2.7</v>
      </c>
      <c r="M1976" s="13" t="b">
        <v>0</v>
      </c>
      <c r="O1976" s="13">
        <f t="shared" si="30"/>
        <v>2.7</v>
      </c>
    </row>
    <row r="1977" spans="1:15" x14ac:dyDescent="0.25">
      <c r="A1977" s="13" t="s">
        <v>1989</v>
      </c>
      <c r="B1977" s="13" t="s">
        <v>2190</v>
      </c>
      <c r="C1977" s="13" t="s">
        <v>2199</v>
      </c>
      <c r="D1977" s="13" t="s">
        <v>2205</v>
      </c>
      <c r="E1977" s="13" t="s">
        <v>2210</v>
      </c>
      <c r="F1977" s="13" t="s">
        <v>2224</v>
      </c>
      <c r="G1977" s="13">
        <v>239.65</v>
      </c>
      <c r="H1977" s="13">
        <v>0</v>
      </c>
      <c r="I1977" s="13">
        <v>239.65</v>
      </c>
      <c r="J1977" s="24">
        <v>45875</v>
      </c>
      <c r="K1977" s="13">
        <v>27</v>
      </c>
      <c r="L1977" s="13">
        <v>2.9</v>
      </c>
      <c r="M1977" s="13" t="b">
        <v>0</v>
      </c>
      <c r="O1977" s="13">
        <f t="shared" si="30"/>
        <v>2.9</v>
      </c>
    </row>
    <row r="1978" spans="1:15" x14ac:dyDescent="0.25">
      <c r="A1978" s="13" t="s">
        <v>1990</v>
      </c>
      <c r="B1978" s="13" t="s">
        <v>2191</v>
      </c>
      <c r="C1978" s="13" t="s">
        <v>2200</v>
      </c>
      <c r="D1978" s="13" t="s">
        <v>2206</v>
      </c>
      <c r="E1978" s="13" t="s">
        <v>2213</v>
      </c>
      <c r="F1978" s="13" t="s">
        <v>2214</v>
      </c>
      <c r="G1978" s="13">
        <v>90.41</v>
      </c>
      <c r="H1978" s="13">
        <v>0</v>
      </c>
      <c r="I1978" s="13">
        <v>90.41</v>
      </c>
      <c r="J1978" s="24">
        <v>45875</v>
      </c>
      <c r="K1978" s="13">
        <v>11</v>
      </c>
      <c r="M1978" s="13" t="b">
        <v>0</v>
      </c>
      <c r="O1978" s="13">
        <f t="shared" si="30"/>
        <v>2.9657142857142857</v>
      </c>
    </row>
    <row r="1979" spans="1:15" x14ac:dyDescent="0.25">
      <c r="A1979" s="13" t="s">
        <v>1991</v>
      </c>
      <c r="B1979" s="13" t="s">
        <v>2195</v>
      </c>
      <c r="C1979" s="13" t="s">
        <v>2201</v>
      </c>
      <c r="D1979" s="13" t="s">
        <v>2205</v>
      </c>
      <c r="E1979" s="13" t="s">
        <v>2208</v>
      </c>
      <c r="F1979" s="13" t="s">
        <v>2217</v>
      </c>
      <c r="G1979" s="13">
        <v>81.78</v>
      </c>
      <c r="H1979" s="13">
        <v>10</v>
      </c>
      <c r="I1979" s="13">
        <v>73.599999999999994</v>
      </c>
      <c r="J1979" s="24">
        <v>45875</v>
      </c>
      <c r="K1979" s="13">
        <v>24</v>
      </c>
      <c r="L1979" s="13">
        <v>1.2</v>
      </c>
      <c r="M1979" s="13" t="b">
        <v>0</v>
      </c>
      <c r="O1979" s="13">
        <f t="shared" si="30"/>
        <v>1.2</v>
      </c>
    </row>
    <row r="1980" spans="1:15" x14ac:dyDescent="0.25">
      <c r="A1980" s="13" t="s">
        <v>1992</v>
      </c>
      <c r="B1980" s="13" t="s">
        <v>2190</v>
      </c>
      <c r="C1980" s="13" t="s">
        <v>2203</v>
      </c>
      <c r="D1980" s="13" t="s">
        <v>2205</v>
      </c>
      <c r="E1980" s="13" t="s">
        <v>2209</v>
      </c>
      <c r="F1980" s="13" t="s">
        <v>2216</v>
      </c>
      <c r="G1980" s="13">
        <v>142.55000000000001</v>
      </c>
      <c r="H1980" s="13">
        <v>0</v>
      </c>
      <c r="I1980" s="13">
        <v>142.55000000000001</v>
      </c>
      <c r="J1980" s="24">
        <v>45875</v>
      </c>
      <c r="K1980" s="13">
        <v>21</v>
      </c>
      <c r="L1980" s="13">
        <v>4.5</v>
      </c>
      <c r="M1980" s="13" t="b">
        <v>0</v>
      </c>
      <c r="O1980" s="13">
        <f t="shared" si="30"/>
        <v>4.5</v>
      </c>
    </row>
    <row r="1981" spans="1:15" x14ac:dyDescent="0.25">
      <c r="A1981" s="13" t="s">
        <v>1993</v>
      </c>
      <c r="B1981" s="13" t="s">
        <v>2195</v>
      </c>
      <c r="C1981" s="13" t="s">
        <v>2202</v>
      </c>
      <c r="D1981" s="13" t="s">
        <v>2206</v>
      </c>
      <c r="E1981" s="13" t="s">
        <v>2210</v>
      </c>
      <c r="F1981" s="13" t="s">
        <v>2216</v>
      </c>
      <c r="G1981" s="13">
        <v>53.13</v>
      </c>
      <c r="H1981" s="13">
        <v>0</v>
      </c>
      <c r="I1981" s="13">
        <v>53.13</v>
      </c>
      <c r="J1981" s="24">
        <v>45875</v>
      </c>
      <c r="K1981" s="13">
        <v>5</v>
      </c>
      <c r="L1981" s="13">
        <v>4.5999999999999996</v>
      </c>
      <c r="M1981" s="13" t="b">
        <v>0</v>
      </c>
      <c r="O1981" s="13">
        <f t="shared" si="30"/>
        <v>4.5999999999999996</v>
      </c>
    </row>
    <row r="1982" spans="1:15" x14ac:dyDescent="0.25">
      <c r="A1982" s="13" t="s">
        <v>1994</v>
      </c>
      <c r="B1982" s="13" t="s">
        <v>2194</v>
      </c>
      <c r="C1982" s="13" t="s">
        <v>2203</v>
      </c>
      <c r="D1982" s="13" t="s">
        <v>2207</v>
      </c>
      <c r="E1982" s="13" t="s">
        <v>2209</v>
      </c>
      <c r="F1982" s="13" t="s">
        <v>2222</v>
      </c>
      <c r="G1982" s="13">
        <v>80.81</v>
      </c>
      <c r="H1982" s="13">
        <v>0</v>
      </c>
      <c r="I1982" s="13">
        <v>80.81</v>
      </c>
      <c r="J1982" s="24">
        <v>45875</v>
      </c>
      <c r="K1982" s="13">
        <v>15</v>
      </c>
      <c r="L1982" s="13">
        <v>4.5999999999999996</v>
      </c>
      <c r="M1982" s="13" t="b">
        <v>0</v>
      </c>
      <c r="O1982" s="13">
        <f t="shared" si="30"/>
        <v>4.5999999999999996</v>
      </c>
    </row>
    <row r="1983" spans="1:15" x14ac:dyDescent="0.25">
      <c r="A1983" s="13" t="s">
        <v>1995</v>
      </c>
      <c r="B1983" s="13" t="s">
        <v>2191</v>
      </c>
      <c r="C1983" s="13" t="s">
        <v>2197</v>
      </c>
      <c r="D1983" s="13" t="s">
        <v>2206</v>
      </c>
      <c r="E1983" s="13" t="s">
        <v>2213</v>
      </c>
      <c r="F1983" s="13" t="s">
        <v>2222</v>
      </c>
      <c r="G1983" s="13">
        <v>89.39</v>
      </c>
      <c r="H1983" s="13">
        <v>0</v>
      </c>
      <c r="I1983" s="13">
        <v>89.39</v>
      </c>
      <c r="J1983" s="24">
        <v>45875</v>
      </c>
      <c r="K1983" s="13">
        <v>33</v>
      </c>
      <c r="L1983" s="13">
        <v>4.2</v>
      </c>
      <c r="M1983" s="13" t="b">
        <v>0</v>
      </c>
      <c r="O1983" s="13">
        <f t="shared" si="30"/>
        <v>4.2</v>
      </c>
    </row>
    <row r="1984" spans="1:15" x14ac:dyDescent="0.25">
      <c r="A1984" s="13" t="s">
        <v>1996</v>
      </c>
      <c r="B1984" s="13" t="s">
        <v>2194</v>
      </c>
      <c r="C1984" s="13" t="s">
        <v>2199</v>
      </c>
      <c r="D1984" s="13" t="s">
        <v>2207</v>
      </c>
      <c r="E1984" s="13" t="s">
        <v>2210</v>
      </c>
      <c r="F1984" s="13" t="s">
        <v>2219</v>
      </c>
      <c r="G1984" s="13">
        <v>37.9</v>
      </c>
      <c r="H1984" s="13">
        <v>37.9</v>
      </c>
      <c r="I1984" s="13">
        <v>23.54</v>
      </c>
      <c r="J1984" s="24">
        <v>45875</v>
      </c>
      <c r="K1984" s="13">
        <v>34</v>
      </c>
      <c r="L1984" s="13">
        <v>1.3</v>
      </c>
      <c r="M1984" s="13" t="b">
        <v>0</v>
      </c>
      <c r="O1984" s="13">
        <f t="shared" si="30"/>
        <v>1.3</v>
      </c>
    </row>
    <row r="1985" spans="1:15" x14ac:dyDescent="0.25">
      <c r="A1985" s="13" t="s">
        <v>1997</v>
      </c>
      <c r="B1985" s="13" t="s">
        <v>2192</v>
      </c>
      <c r="C1985" s="13" t="s">
        <v>2199</v>
      </c>
      <c r="D1985" s="13" t="s">
        <v>2204</v>
      </c>
      <c r="F1985" s="13" t="s">
        <v>2224</v>
      </c>
      <c r="G1985" s="13">
        <v>44.49</v>
      </c>
      <c r="H1985" s="13">
        <v>0</v>
      </c>
      <c r="I1985" s="13">
        <v>44.49</v>
      </c>
      <c r="J1985" s="24">
        <v>45835</v>
      </c>
      <c r="K1985" s="13">
        <v>34</v>
      </c>
      <c r="L1985" s="13">
        <v>2.1</v>
      </c>
      <c r="M1985" s="13" t="b">
        <v>0</v>
      </c>
      <c r="O1985" s="13">
        <f t="shared" si="30"/>
        <v>2.1</v>
      </c>
    </row>
    <row r="1986" spans="1:15" x14ac:dyDescent="0.25">
      <c r="A1986" s="13" t="s">
        <v>1998</v>
      </c>
      <c r="B1986" s="13" t="s">
        <v>2191</v>
      </c>
      <c r="C1986" s="13" t="s">
        <v>2199</v>
      </c>
      <c r="D1986" s="13" t="s">
        <v>2207</v>
      </c>
      <c r="E1986" s="13" t="s">
        <v>2209</v>
      </c>
      <c r="F1986" s="13" t="s">
        <v>2221</v>
      </c>
      <c r="G1986" s="13">
        <v>111.7</v>
      </c>
      <c r="H1986" s="13">
        <v>0</v>
      </c>
      <c r="I1986" s="13">
        <v>111.7</v>
      </c>
      <c r="J1986" s="24">
        <v>45875</v>
      </c>
      <c r="K1986" s="13">
        <v>2</v>
      </c>
      <c r="M1986" s="13" t="b">
        <v>1</v>
      </c>
      <c r="N1986" s="13" t="s">
        <v>2226</v>
      </c>
      <c r="O1986" s="13">
        <f t="shared" si="30"/>
        <v>2.9742857142857138</v>
      </c>
    </row>
    <row r="1987" spans="1:15" x14ac:dyDescent="0.25">
      <c r="A1987" s="13" t="s">
        <v>1999</v>
      </c>
      <c r="B1987" s="13" t="s">
        <v>2191</v>
      </c>
      <c r="C1987" s="13" t="s">
        <v>2200</v>
      </c>
      <c r="D1987" s="13" t="s">
        <v>2204</v>
      </c>
      <c r="E1987" s="13" t="s">
        <v>2209</v>
      </c>
      <c r="F1987" s="13" t="s">
        <v>2222</v>
      </c>
      <c r="G1987" s="13">
        <v>109.76</v>
      </c>
      <c r="H1987" s="13">
        <v>0</v>
      </c>
      <c r="I1987" s="13">
        <v>109.76</v>
      </c>
      <c r="J1987" s="24">
        <v>45669</v>
      </c>
      <c r="K1987" s="13">
        <v>23</v>
      </c>
      <c r="L1987" s="13">
        <v>2</v>
      </c>
      <c r="M1987" s="13" t="b">
        <v>1</v>
      </c>
      <c r="N1987" s="13" t="s">
        <v>2228</v>
      </c>
      <c r="O1987" s="13">
        <f t="shared" ref="O1987:O2050" si="31">IF(L1987="",AVERAGEIFS($L$2:$L$2177,$B$2:$B$2177,B1987,$C$2:$C$2177,C1987),L1987)</f>
        <v>2</v>
      </c>
    </row>
    <row r="1988" spans="1:15" x14ac:dyDescent="0.25">
      <c r="A1988" s="13" t="s">
        <v>2000</v>
      </c>
      <c r="B1988" s="13" t="s">
        <v>2192</v>
      </c>
      <c r="C1988" s="13" t="s">
        <v>2197</v>
      </c>
      <c r="D1988" s="13" t="s">
        <v>2206</v>
      </c>
      <c r="F1988" s="13" t="s">
        <v>2222</v>
      </c>
      <c r="G1988" s="13">
        <v>33</v>
      </c>
      <c r="H1988" s="13">
        <v>0</v>
      </c>
      <c r="I1988" s="13">
        <v>33</v>
      </c>
      <c r="J1988" s="24">
        <v>45875</v>
      </c>
      <c r="K1988" s="13">
        <v>50</v>
      </c>
      <c r="L1988" s="13">
        <v>4</v>
      </c>
      <c r="M1988" s="13" t="b">
        <v>0</v>
      </c>
      <c r="O1988" s="13">
        <f t="shared" si="31"/>
        <v>4</v>
      </c>
    </row>
    <row r="1989" spans="1:15" x14ac:dyDescent="0.25">
      <c r="A1989" s="13" t="s">
        <v>2001</v>
      </c>
      <c r="B1989" s="13" t="s">
        <v>2193</v>
      </c>
      <c r="C1989" s="13" t="s">
        <v>2201</v>
      </c>
      <c r="D1989" s="13" t="s">
        <v>2205</v>
      </c>
      <c r="E1989" s="13" t="s">
        <v>2213</v>
      </c>
      <c r="F1989" s="13" t="s">
        <v>2220</v>
      </c>
      <c r="G1989" s="13">
        <v>150.65</v>
      </c>
      <c r="H1989" s="13">
        <v>8.9</v>
      </c>
      <c r="I1989" s="13">
        <v>137.24</v>
      </c>
      <c r="J1989" s="24">
        <v>45875</v>
      </c>
      <c r="K1989" s="13">
        <v>43</v>
      </c>
      <c r="L1989" s="13">
        <v>3.4</v>
      </c>
      <c r="M1989" s="13" t="b">
        <v>0</v>
      </c>
      <c r="O1989" s="13">
        <f t="shared" si="31"/>
        <v>3.4</v>
      </c>
    </row>
    <row r="1990" spans="1:15" x14ac:dyDescent="0.25">
      <c r="A1990" s="13" t="s">
        <v>2002</v>
      </c>
      <c r="B1990" s="13" t="s">
        <v>2194</v>
      </c>
      <c r="C1990" s="13" t="s">
        <v>2196</v>
      </c>
      <c r="D1990" s="13" t="s">
        <v>2206</v>
      </c>
      <c r="E1990" s="13" t="s">
        <v>2210</v>
      </c>
      <c r="F1990" s="13" t="s">
        <v>2220</v>
      </c>
      <c r="G1990" s="13">
        <v>66.34</v>
      </c>
      <c r="H1990" s="13">
        <v>19</v>
      </c>
      <c r="I1990" s="13">
        <v>53.74</v>
      </c>
      <c r="J1990" s="24">
        <v>45875</v>
      </c>
      <c r="K1990" s="13">
        <v>42</v>
      </c>
      <c r="L1990" s="13">
        <v>1.9</v>
      </c>
      <c r="M1990" s="13" t="b">
        <v>0</v>
      </c>
      <c r="O1990" s="13">
        <f t="shared" si="31"/>
        <v>1.9</v>
      </c>
    </row>
    <row r="1991" spans="1:15" x14ac:dyDescent="0.25">
      <c r="A1991" s="13" t="s">
        <v>2003</v>
      </c>
      <c r="B1991" s="13" t="s">
        <v>2194</v>
      </c>
      <c r="C1991" s="13" t="s">
        <v>2202</v>
      </c>
      <c r="D1991" s="13" t="s">
        <v>2204</v>
      </c>
      <c r="E1991" s="13" t="s">
        <v>2213</v>
      </c>
      <c r="F1991" s="13" t="s">
        <v>2215</v>
      </c>
      <c r="G1991" s="13">
        <v>27.89</v>
      </c>
      <c r="H1991" s="13">
        <v>17.399999999999999</v>
      </c>
      <c r="I1991" s="13">
        <v>23.04</v>
      </c>
      <c r="J1991" s="24">
        <v>45541</v>
      </c>
      <c r="K1991" s="13">
        <v>43</v>
      </c>
      <c r="L1991" s="13">
        <v>2.1</v>
      </c>
      <c r="M1991" s="13" t="b">
        <v>0</v>
      </c>
      <c r="O1991" s="13">
        <f t="shared" si="31"/>
        <v>2.1</v>
      </c>
    </row>
    <row r="1992" spans="1:15" x14ac:dyDescent="0.25">
      <c r="A1992" s="13" t="s">
        <v>2004</v>
      </c>
      <c r="B1992" s="13" t="s">
        <v>2192</v>
      </c>
      <c r="C1992" s="13" t="s">
        <v>2197</v>
      </c>
      <c r="D1992" s="13" t="s">
        <v>2207</v>
      </c>
      <c r="F1992" s="13" t="s">
        <v>2218</v>
      </c>
      <c r="G1992" s="13">
        <v>60.18</v>
      </c>
      <c r="H1992" s="13">
        <v>0</v>
      </c>
      <c r="I1992" s="13">
        <v>60.18</v>
      </c>
      <c r="J1992" s="24">
        <v>45875</v>
      </c>
      <c r="K1992" s="13">
        <v>36</v>
      </c>
      <c r="L1992" s="13">
        <v>1.4</v>
      </c>
      <c r="M1992" s="13" t="b">
        <v>0</v>
      </c>
      <c r="O1992" s="13">
        <f t="shared" si="31"/>
        <v>1.4</v>
      </c>
    </row>
    <row r="1993" spans="1:15" x14ac:dyDescent="0.25">
      <c r="A1993" s="13" t="s">
        <v>2005</v>
      </c>
      <c r="B1993" s="13" t="s">
        <v>2191</v>
      </c>
      <c r="C1993" s="13" t="s">
        <v>2196</v>
      </c>
      <c r="D1993" s="13" t="s">
        <v>2206</v>
      </c>
      <c r="E1993" s="13" t="s">
        <v>2208</v>
      </c>
      <c r="F1993" s="13" t="s">
        <v>2214</v>
      </c>
      <c r="G1993" s="13">
        <v>54.26</v>
      </c>
      <c r="H1993" s="13">
        <v>18.399999999999999</v>
      </c>
      <c r="I1993" s="13">
        <v>44.28</v>
      </c>
      <c r="J1993" s="24">
        <v>45875</v>
      </c>
      <c r="K1993" s="13">
        <v>29</v>
      </c>
      <c r="L1993" s="13">
        <v>2.6</v>
      </c>
      <c r="M1993" s="13" t="b">
        <v>0</v>
      </c>
      <c r="O1993" s="13">
        <f t="shared" si="31"/>
        <v>2.6</v>
      </c>
    </row>
    <row r="1994" spans="1:15" x14ac:dyDescent="0.25">
      <c r="A1994" s="13" t="s">
        <v>2006</v>
      </c>
      <c r="B1994" s="13" t="s">
        <v>2193</v>
      </c>
      <c r="C1994" s="13" t="s">
        <v>2197</v>
      </c>
      <c r="D1994" s="13" t="s">
        <v>2204</v>
      </c>
      <c r="E1994" s="13" t="s">
        <v>2210</v>
      </c>
      <c r="F1994" s="13" t="s">
        <v>2214</v>
      </c>
      <c r="G1994" s="13">
        <v>78.44</v>
      </c>
      <c r="H1994" s="13">
        <v>0</v>
      </c>
      <c r="I1994" s="13">
        <v>78.44</v>
      </c>
      <c r="J1994" s="24">
        <v>45555</v>
      </c>
      <c r="K1994" s="13">
        <v>42</v>
      </c>
      <c r="M1994" s="13" t="b">
        <v>1</v>
      </c>
      <c r="N1994" s="13" t="s">
        <v>2228</v>
      </c>
      <c r="O1994" s="13">
        <f t="shared" si="31"/>
        <v>2.8205128205128198</v>
      </c>
    </row>
    <row r="1995" spans="1:15" x14ac:dyDescent="0.25">
      <c r="A1995" s="13" t="s">
        <v>2007</v>
      </c>
      <c r="B1995" s="13" t="s">
        <v>2190</v>
      </c>
      <c r="C1995" s="13" t="s">
        <v>2200</v>
      </c>
      <c r="D1995" s="13" t="s">
        <v>2206</v>
      </c>
      <c r="E1995" s="13" t="s">
        <v>2212</v>
      </c>
      <c r="F1995" s="13" t="s">
        <v>2216</v>
      </c>
      <c r="G1995" s="13">
        <v>183.05</v>
      </c>
      <c r="H1995" s="13">
        <v>0</v>
      </c>
      <c r="I1995" s="13">
        <v>183.05</v>
      </c>
      <c r="J1995" s="24">
        <v>45875</v>
      </c>
      <c r="K1995" s="13">
        <v>4</v>
      </c>
      <c r="L1995" s="13">
        <v>4.5999999999999996</v>
      </c>
      <c r="M1995" s="13" t="b">
        <v>0</v>
      </c>
      <c r="O1995" s="13">
        <f t="shared" si="31"/>
        <v>4.5999999999999996</v>
      </c>
    </row>
    <row r="1996" spans="1:15" x14ac:dyDescent="0.25">
      <c r="A1996" s="13" t="s">
        <v>2008</v>
      </c>
      <c r="B1996" s="13" t="s">
        <v>2193</v>
      </c>
      <c r="C1996" s="13" t="s">
        <v>2197</v>
      </c>
      <c r="D1996" s="13" t="s">
        <v>2204</v>
      </c>
      <c r="E1996" s="13" t="s">
        <v>2213</v>
      </c>
      <c r="F1996" s="13" t="s">
        <v>2218</v>
      </c>
      <c r="G1996" s="13">
        <v>76.3</v>
      </c>
      <c r="H1996" s="13">
        <v>0</v>
      </c>
      <c r="I1996" s="13">
        <v>76.3</v>
      </c>
      <c r="J1996" s="24">
        <v>45841</v>
      </c>
      <c r="K1996" s="13">
        <v>35</v>
      </c>
      <c r="L1996" s="13">
        <v>2.6</v>
      </c>
      <c r="M1996" s="13" t="b">
        <v>0</v>
      </c>
      <c r="O1996" s="13">
        <f t="shared" si="31"/>
        <v>2.6</v>
      </c>
    </row>
    <row r="1997" spans="1:15" x14ac:dyDescent="0.25">
      <c r="A1997" s="13" t="s">
        <v>2009</v>
      </c>
      <c r="B1997" s="13" t="s">
        <v>2191</v>
      </c>
      <c r="C1997" s="13" t="s">
        <v>2196</v>
      </c>
      <c r="D1997" s="13" t="s">
        <v>2204</v>
      </c>
      <c r="E1997" s="13" t="s">
        <v>2212</v>
      </c>
      <c r="F1997" s="13" t="s">
        <v>2223</v>
      </c>
      <c r="G1997" s="13">
        <v>84.21</v>
      </c>
      <c r="H1997" s="13">
        <v>0</v>
      </c>
      <c r="I1997" s="13">
        <v>84.21</v>
      </c>
      <c r="J1997" s="24">
        <v>45672</v>
      </c>
      <c r="K1997" s="13">
        <v>43</v>
      </c>
      <c r="L1997" s="13">
        <v>3.4</v>
      </c>
      <c r="M1997" s="13" t="b">
        <v>0</v>
      </c>
      <c r="O1997" s="13">
        <f t="shared" si="31"/>
        <v>3.4</v>
      </c>
    </row>
    <row r="1998" spans="1:15" x14ac:dyDescent="0.25">
      <c r="A1998" s="13" t="s">
        <v>2010</v>
      </c>
      <c r="B1998" s="13" t="s">
        <v>2192</v>
      </c>
      <c r="C1998" s="13" t="s">
        <v>2201</v>
      </c>
      <c r="D1998" s="13" t="s">
        <v>2204</v>
      </c>
      <c r="F1998" s="13" t="s">
        <v>2218</v>
      </c>
      <c r="G1998" s="13">
        <v>77.34</v>
      </c>
      <c r="H1998" s="13">
        <v>0</v>
      </c>
      <c r="I1998" s="13">
        <v>77.34</v>
      </c>
      <c r="J1998" s="24">
        <v>45667</v>
      </c>
      <c r="K1998" s="13">
        <v>27</v>
      </c>
      <c r="M1998" s="13" t="b">
        <v>0</v>
      </c>
      <c r="O1998" s="13">
        <f t="shared" si="31"/>
        <v>3.2731707317073173</v>
      </c>
    </row>
    <row r="1999" spans="1:15" x14ac:dyDescent="0.25">
      <c r="A1999" s="13" t="s">
        <v>2011</v>
      </c>
      <c r="B1999" s="13" t="s">
        <v>2195</v>
      </c>
      <c r="C1999" s="13" t="s">
        <v>2196</v>
      </c>
      <c r="D1999" s="13" t="s">
        <v>2204</v>
      </c>
      <c r="E1999" s="13" t="s">
        <v>2210</v>
      </c>
      <c r="F1999" s="13" t="s">
        <v>2222</v>
      </c>
      <c r="G1999" s="13">
        <v>122.82</v>
      </c>
      <c r="H1999" s="13">
        <v>45.4</v>
      </c>
      <c r="I1999" s="13">
        <v>67.06</v>
      </c>
      <c r="J1999" s="24">
        <v>45534</v>
      </c>
      <c r="K1999" s="13">
        <v>9</v>
      </c>
      <c r="L1999" s="13">
        <v>3.1</v>
      </c>
      <c r="M1999" s="13" t="b">
        <v>0</v>
      </c>
      <c r="O1999" s="13">
        <f t="shared" si="31"/>
        <v>3.1</v>
      </c>
    </row>
    <row r="2000" spans="1:15" x14ac:dyDescent="0.25">
      <c r="A2000" s="13" t="s">
        <v>2012</v>
      </c>
      <c r="B2000" s="13" t="s">
        <v>2195</v>
      </c>
      <c r="C2000" s="13" t="s">
        <v>2199</v>
      </c>
      <c r="D2000" s="13" t="s">
        <v>2205</v>
      </c>
      <c r="E2000" s="13" t="s">
        <v>2211</v>
      </c>
      <c r="F2000" s="13" t="s">
        <v>2219</v>
      </c>
      <c r="G2000" s="13">
        <v>103.85</v>
      </c>
      <c r="H2000" s="13">
        <v>0</v>
      </c>
      <c r="I2000" s="13">
        <v>103.85</v>
      </c>
      <c r="J2000" s="24">
        <v>45875</v>
      </c>
      <c r="K2000" s="13">
        <v>26</v>
      </c>
      <c r="L2000" s="13">
        <v>3.1</v>
      </c>
      <c r="M2000" s="13" t="b">
        <v>0</v>
      </c>
      <c r="O2000" s="13">
        <f t="shared" si="31"/>
        <v>3.1</v>
      </c>
    </row>
    <row r="2001" spans="1:15" x14ac:dyDescent="0.25">
      <c r="A2001" s="13" t="s">
        <v>2013</v>
      </c>
      <c r="B2001" s="13" t="s">
        <v>2194</v>
      </c>
      <c r="C2001" s="13" t="s">
        <v>2200</v>
      </c>
      <c r="D2001" s="13" t="s">
        <v>2206</v>
      </c>
      <c r="E2001" s="13" t="s">
        <v>2211</v>
      </c>
      <c r="F2001" s="13" t="s">
        <v>2214</v>
      </c>
      <c r="G2001" s="13">
        <v>117.73</v>
      </c>
      <c r="H2001" s="13">
        <v>41.3</v>
      </c>
      <c r="I2001" s="13">
        <v>69.11</v>
      </c>
      <c r="J2001" s="24">
        <v>45875</v>
      </c>
      <c r="K2001" s="13">
        <v>8</v>
      </c>
      <c r="M2001" s="13" t="b">
        <v>0</v>
      </c>
      <c r="O2001" s="13">
        <f t="shared" si="31"/>
        <v>3.0659090909090896</v>
      </c>
    </row>
    <row r="2002" spans="1:15" x14ac:dyDescent="0.25">
      <c r="A2002" s="13" t="s">
        <v>2014</v>
      </c>
      <c r="B2002" s="13" t="s">
        <v>2195</v>
      </c>
      <c r="C2002" s="13" t="s">
        <v>2203</v>
      </c>
      <c r="D2002" s="13" t="s">
        <v>2206</v>
      </c>
      <c r="E2002" s="13" t="s">
        <v>2208</v>
      </c>
      <c r="F2002" s="13" t="s">
        <v>2220</v>
      </c>
      <c r="G2002" s="13">
        <v>115.98</v>
      </c>
      <c r="H2002" s="13">
        <v>0</v>
      </c>
      <c r="I2002" s="13">
        <v>115.98</v>
      </c>
      <c r="J2002" s="24">
        <v>45875</v>
      </c>
      <c r="K2002" s="13">
        <v>42</v>
      </c>
      <c r="L2002" s="13">
        <v>3.7</v>
      </c>
      <c r="M2002" s="13" t="b">
        <v>0</v>
      </c>
      <c r="O2002" s="13">
        <f t="shared" si="31"/>
        <v>3.7</v>
      </c>
    </row>
    <row r="2003" spans="1:15" x14ac:dyDescent="0.25">
      <c r="A2003" s="13" t="s">
        <v>2015</v>
      </c>
      <c r="B2003" s="13" t="s">
        <v>2195</v>
      </c>
      <c r="C2003" s="13" t="s">
        <v>2196</v>
      </c>
      <c r="D2003" s="13" t="s">
        <v>2206</v>
      </c>
      <c r="E2003" s="13" t="s">
        <v>2209</v>
      </c>
      <c r="F2003" s="13" t="s">
        <v>2222</v>
      </c>
      <c r="G2003" s="13">
        <v>175.43</v>
      </c>
      <c r="H2003" s="13">
        <v>0</v>
      </c>
      <c r="I2003" s="13">
        <v>175.43</v>
      </c>
      <c r="J2003" s="24">
        <v>45875</v>
      </c>
      <c r="K2003" s="13">
        <v>3</v>
      </c>
      <c r="L2003" s="13">
        <v>1.8</v>
      </c>
      <c r="M2003" s="13" t="b">
        <v>1</v>
      </c>
      <c r="N2003" s="13" t="s">
        <v>2225</v>
      </c>
      <c r="O2003" s="13">
        <f t="shared" si="31"/>
        <v>1.8</v>
      </c>
    </row>
    <row r="2004" spans="1:15" x14ac:dyDescent="0.25">
      <c r="A2004" s="13" t="s">
        <v>2016</v>
      </c>
      <c r="B2004" s="13" t="s">
        <v>2190</v>
      </c>
      <c r="C2004" s="13" t="s">
        <v>2202</v>
      </c>
      <c r="D2004" s="13" t="s">
        <v>2204</v>
      </c>
      <c r="E2004" s="13" t="s">
        <v>2210</v>
      </c>
      <c r="F2004" s="13" t="s">
        <v>2220</v>
      </c>
      <c r="G2004" s="13">
        <v>162.81</v>
      </c>
      <c r="H2004" s="13">
        <v>0</v>
      </c>
      <c r="I2004" s="13">
        <v>162.81</v>
      </c>
      <c r="J2004" s="24">
        <v>45667</v>
      </c>
      <c r="K2004" s="13">
        <v>40</v>
      </c>
      <c r="L2004" s="13">
        <v>2.1</v>
      </c>
      <c r="M2004" s="13" t="b">
        <v>0</v>
      </c>
      <c r="O2004" s="13">
        <f t="shared" si="31"/>
        <v>2.1</v>
      </c>
    </row>
    <row r="2005" spans="1:15" x14ac:dyDescent="0.25">
      <c r="A2005" s="13" t="s">
        <v>2017</v>
      </c>
      <c r="B2005" s="13" t="s">
        <v>2195</v>
      </c>
      <c r="C2005" s="13" t="s">
        <v>2197</v>
      </c>
      <c r="D2005" s="13" t="s">
        <v>2204</v>
      </c>
      <c r="E2005" s="13" t="s">
        <v>2209</v>
      </c>
      <c r="F2005" s="13" t="s">
        <v>2223</v>
      </c>
      <c r="G2005" s="13">
        <v>146.68</v>
      </c>
      <c r="H2005" s="13">
        <v>0</v>
      </c>
      <c r="I2005" s="13">
        <v>146.68</v>
      </c>
      <c r="J2005" s="24">
        <v>45511</v>
      </c>
      <c r="K2005" s="13">
        <v>8</v>
      </c>
      <c r="M2005" s="13" t="b">
        <v>0</v>
      </c>
      <c r="O2005" s="13">
        <f t="shared" si="31"/>
        <v>3.1666666666666665</v>
      </c>
    </row>
    <row r="2006" spans="1:15" x14ac:dyDescent="0.25">
      <c r="A2006" s="13" t="s">
        <v>2018</v>
      </c>
      <c r="B2006" s="13" t="s">
        <v>2195</v>
      </c>
      <c r="C2006" s="13" t="s">
        <v>2200</v>
      </c>
      <c r="D2006" s="13" t="s">
        <v>2206</v>
      </c>
      <c r="E2006" s="13" t="s">
        <v>2209</v>
      </c>
      <c r="F2006" s="13" t="s">
        <v>2215</v>
      </c>
      <c r="G2006" s="13">
        <v>82.9</v>
      </c>
      <c r="H2006" s="13">
        <v>42.2</v>
      </c>
      <c r="I2006" s="13">
        <v>47.92</v>
      </c>
      <c r="J2006" s="24">
        <v>45875</v>
      </c>
      <c r="K2006" s="13">
        <v>4</v>
      </c>
      <c r="L2006" s="13">
        <v>2.1</v>
      </c>
      <c r="M2006" s="13" t="b">
        <v>0</v>
      </c>
      <c r="O2006" s="13">
        <f t="shared" si="31"/>
        <v>2.1</v>
      </c>
    </row>
    <row r="2007" spans="1:15" x14ac:dyDescent="0.25">
      <c r="A2007" s="13" t="s">
        <v>2019</v>
      </c>
      <c r="B2007" s="13" t="s">
        <v>2191</v>
      </c>
      <c r="C2007" s="13" t="s">
        <v>2196</v>
      </c>
      <c r="D2007" s="13" t="s">
        <v>2206</v>
      </c>
      <c r="E2007" s="13" t="s">
        <v>2212</v>
      </c>
      <c r="F2007" s="13" t="s">
        <v>2217</v>
      </c>
      <c r="G2007" s="13">
        <v>92.9</v>
      </c>
      <c r="H2007" s="13">
        <v>0</v>
      </c>
      <c r="I2007" s="13">
        <v>92.9</v>
      </c>
      <c r="J2007" s="24">
        <v>45875</v>
      </c>
      <c r="K2007" s="13">
        <v>30</v>
      </c>
      <c r="M2007" s="13" t="b">
        <v>0</v>
      </c>
      <c r="O2007" s="13">
        <f t="shared" si="31"/>
        <v>2.9181818181818175</v>
      </c>
    </row>
    <row r="2008" spans="1:15" x14ac:dyDescent="0.25">
      <c r="A2008" s="13" t="s">
        <v>2020</v>
      </c>
      <c r="B2008" s="13" t="s">
        <v>2195</v>
      </c>
      <c r="C2008" s="13" t="s">
        <v>2198</v>
      </c>
      <c r="D2008" s="13" t="s">
        <v>2205</v>
      </c>
      <c r="E2008" s="13" t="s">
        <v>2211</v>
      </c>
      <c r="F2008" s="13" t="s">
        <v>2219</v>
      </c>
      <c r="G2008" s="13">
        <v>133.88999999999999</v>
      </c>
      <c r="H2008" s="13">
        <v>5.7</v>
      </c>
      <c r="I2008" s="13">
        <v>126.26</v>
      </c>
      <c r="J2008" s="24">
        <v>45875</v>
      </c>
      <c r="K2008" s="13">
        <v>17</v>
      </c>
      <c r="L2008" s="13">
        <v>3.4</v>
      </c>
      <c r="M2008" s="13" t="b">
        <v>1</v>
      </c>
      <c r="N2008" s="13" t="s">
        <v>2226</v>
      </c>
      <c r="O2008" s="13">
        <f t="shared" si="31"/>
        <v>3.4</v>
      </c>
    </row>
    <row r="2009" spans="1:15" x14ac:dyDescent="0.25">
      <c r="A2009" s="13" t="s">
        <v>2021</v>
      </c>
      <c r="B2009" s="13" t="s">
        <v>2195</v>
      </c>
      <c r="C2009" s="13" t="s">
        <v>2201</v>
      </c>
      <c r="D2009" s="13" t="s">
        <v>2205</v>
      </c>
      <c r="E2009" s="13" t="s">
        <v>2211</v>
      </c>
      <c r="F2009" s="13" t="s">
        <v>2221</v>
      </c>
      <c r="G2009" s="13">
        <v>89.1</v>
      </c>
      <c r="H2009" s="13">
        <v>0</v>
      </c>
      <c r="I2009" s="13">
        <v>89.1</v>
      </c>
      <c r="J2009" s="24">
        <v>45875</v>
      </c>
      <c r="K2009" s="13">
        <v>8</v>
      </c>
      <c r="L2009" s="13">
        <v>2.2000000000000002</v>
      </c>
      <c r="M2009" s="13" t="b">
        <v>0</v>
      </c>
      <c r="O2009" s="13">
        <f t="shared" si="31"/>
        <v>2.2000000000000002</v>
      </c>
    </row>
    <row r="2010" spans="1:15" x14ac:dyDescent="0.25">
      <c r="A2010" s="13" t="s">
        <v>2022</v>
      </c>
      <c r="B2010" s="13" t="s">
        <v>2190</v>
      </c>
      <c r="C2010" s="13" t="s">
        <v>2198</v>
      </c>
      <c r="D2010" s="13" t="s">
        <v>2205</v>
      </c>
      <c r="E2010" s="13" t="s">
        <v>2208</v>
      </c>
      <c r="F2010" s="13" t="s">
        <v>2221</v>
      </c>
      <c r="G2010" s="13">
        <v>175.62</v>
      </c>
      <c r="H2010" s="13">
        <v>3.2</v>
      </c>
      <c r="I2010" s="13">
        <v>170</v>
      </c>
      <c r="J2010" s="24">
        <v>45875</v>
      </c>
      <c r="K2010" s="13">
        <v>46</v>
      </c>
      <c r="M2010" s="13" t="b">
        <v>0</v>
      </c>
      <c r="O2010" s="13">
        <f t="shared" si="31"/>
        <v>3.0177777777777774</v>
      </c>
    </row>
    <row r="2011" spans="1:15" x14ac:dyDescent="0.25">
      <c r="A2011" s="13" t="s">
        <v>2023</v>
      </c>
      <c r="B2011" s="13" t="s">
        <v>2195</v>
      </c>
      <c r="C2011" s="13" t="s">
        <v>2200</v>
      </c>
      <c r="D2011" s="13" t="s">
        <v>2207</v>
      </c>
      <c r="E2011" s="13" t="s">
        <v>2209</v>
      </c>
      <c r="F2011" s="13" t="s">
        <v>2216</v>
      </c>
      <c r="G2011" s="13">
        <v>154.02000000000001</v>
      </c>
      <c r="H2011" s="13">
        <v>0</v>
      </c>
      <c r="I2011" s="13">
        <v>154.02000000000001</v>
      </c>
      <c r="J2011" s="24">
        <v>45875</v>
      </c>
      <c r="K2011" s="13">
        <v>21</v>
      </c>
      <c r="L2011" s="13">
        <v>3.3</v>
      </c>
      <c r="M2011" s="13" t="b">
        <v>0</v>
      </c>
      <c r="O2011" s="13">
        <f t="shared" si="31"/>
        <v>3.3</v>
      </c>
    </row>
    <row r="2012" spans="1:15" x14ac:dyDescent="0.25">
      <c r="A2012" s="13" t="s">
        <v>2024</v>
      </c>
      <c r="B2012" s="13" t="s">
        <v>2190</v>
      </c>
      <c r="C2012" s="13" t="s">
        <v>2196</v>
      </c>
      <c r="D2012" s="13" t="s">
        <v>2206</v>
      </c>
      <c r="E2012" s="13" t="s">
        <v>2210</v>
      </c>
      <c r="F2012" s="13" t="s">
        <v>2221</v>
      </c>
      <c r="G2012" s="13">
        <v>215.1</v>
      </c>
      <c r="H2012" s="13">
        <v>0</v>
      </c>
      <c r="I2012" s="13">
        <v>215.1</v>
      </c>
      <c r="J2012" s="24">
        <v>45875</v>
      </c>
      <c r="K2012" s="13">
        <v>16</v>
      </c>
      <c r="L2012" s="13">
        <v>2.5</v>
      </c>
      <c r="M2012" s="13" t="b">
        <v>0</v>
      </c>
      <c r="O2012" s="13">
        <f t="shared" si="31"/>
        <v>2.5</v>
      </c>
    </row>
    <row r="2013" spans="1:15" x14ac:dyDescent="0.25">
      <c r="A2013" s="13" t="s">
        <v>2025</v>
      </c>
      <c r="B2013" s="13" t="s">
        <v>2191</v>
      </c>
      <c r="C2013" s="13" t="s">
        <v>2201</v>
      </c>
      <c r="D2013" s="13" t="s">
        <v>2206</v>
      </c>
      <c r="E2013" s="13" t="s">
        <v>2213</v>
      </c>
      <c r="F2013" s="13" t="s">
        <v>2224</v>
      </c>
      <c r="G2013" s="13">
        <v>40.28</v>
      </c>
      <c r="H2013" s="13">
        <v>0</v>
      </c>
      <c r="I2013" s="13">
        <v>40.28</v>
      </c>
      <c r="J2013" s="24">
        <v>45875</v>
      </c>
      <c r="K2013" s="13">
        <v>35</v>
      </c>
      <c r="L2013" s="13">
        <v>3.8</v>
      </c>
      <c r="M2013" s="13" t="b">
        <v>0</v>
      </c>
      <c r="O2013" s="13">
        <f t="shared" si="31"/>
        <v>3.8</v>
      </c>
    </row>
    <row r="2014" spans="1:15" x14ac:dyDescent="0.25">
      <c r="A2014" s="13" t="s">
        <v>2026</v>
      </c>
      <c r="B2014" s="13" t="s">
        <v>2192</v>
      </c>
      <c r="C2014" s="13" t="s">
        <v>2203</v>
      </c>
      <c r="D2014" s="13" t="s">
        <v>2206</v>
      </c>
      <c r="F2014" s="13" t="s">
        <v>2218</v>
      </c>
      <c r="G2014" s="13">
        <v>25.95</v>
      </c>
      <c r="H2014" s="13">
        <v>18.8</v>
      </c>
      <c r="I2014" s="13">
        <v>21.07</v>
      </c>
      <c r="J2014" s="24">
        <v>45875</v>
      </c>
      <c r="K2014" s="13">
        <v>1</v>
      </c>
      <c r="L2014" s="13">
        <v>4</v>
      </c>
      <c r="M2014" s="13" t="b">
        <v>0</v>
      </c>
      <c r="O2014" s="13">
        <f t="shared" si="31"/>
        <v>4</v>
      </c>
    </row>
    <row r="2015" spans="1:15" x14ac:dyDescent="0.25">
      <c r="A2015" s="13" t="s">
        <v>2027</v>
      </c>
      <c r="B2015" s="13" t="s">
        <v>2192</v>
      </c>
      <c r="C2015" s="13" t="s">
        <v>2197</v>
      </c>
      <c r="D2015" s="13" t="s">
        <v>2206</v>
      </c>
      <c r="F2015" s="13" t="s">
        <v>2222</v>
      </c>
      <c r="G2015" s="13">
        <v>21.26</v>
      </c>
      <c r="H2015" s="13">
        <v>50.7</v>
      </c>
      <c r="I2015" s="13">
        <v>10.48</v>
      </c>
      <c r="J2015" s="24">
        <v>45875</v>
      </c>
      <c r="K2015" s="13">
        <v>39</v>
      </c>
      <c r="L2015" s="13">
        <v>4.3</v>
      </c>
      <c r="M2015" s="13" t="b">
        <v>0</v>
      </c>
      <c r="O2015" s="13">
        <f t="shared" si="31"/>
        <v>4.3</v>
      </c>
    </row>
    <row r="2016" spans="1:15" x14ac:dyDescent="0.25">
      <c r="A2016" s="13" t="s">
        <v>2028</v>
      </c>
      <c r="B2016" s="13" t="s">
        <v>2195</v>
      </c>
      <c r="C2016" s="13" t="s">
        <v>2196</v>
      </c>
      <c r="D2016" s="13" t="s">
        <v>2204</v>
      </c>
      <c r="E2016" s="13" t="s">
        <v>2212</v>
      </c>
      <c r="F2016" s="13" t="s">
        <v>2219</v>
      </c>
      <c r="G2016" s="13">
        <v>146.07</v>
      </c>
      <c r="H2016" s="13">
        <v>0</v>
      </c>
      <c r="I2016" s="13">
        <v>146.07</v>
      </c>
      <c r="J2016" s="24">
        <v>45847</v>
      </c>
      <c r="K2016" s="13">
        <v>33</v>
      </c>
      <c r="L2016" s="13">
        <v>3.7</v>
      </c>
      <c r="M2016" s="13" t="b">
        <v>0</v>
      </c>
      <c r="O2016" s="13">
        <f t="shared" si="31"/>
        <v>3.7</v>
      </c>
    </row>
    <row r="2017" spans="1:15" x14ac:dyDescent="0.25">
      <c r="A2017" s="13" t="s">
        <v>2029</v>
      </c>
      <c r="B2017" s="13" t="s">
        <v>2195</v>
      </c>
      <c r="C2017" s="13" t="s">
        <v>2201</v>
      </c>
      <c r="D2017" s="13" t="s">
        <v>2204</v>
      </c>
      <c r="E2017" s="13" t="s">
        <v>2210</v>
      </c>
      <c r="F2017" s="13" t="s">
        <v>2218</v>
      </c>
      <c r="G2017" s="13">
        <v>135.97</v>
      </c>
      <c r="H2017" s="13">
        <v>0</v>
      </c>
      <c r="I2017" s="13">
        <v>135.97</v>
      </c>
      <c r="J2017" s="24">
        <v>45545</v>
      </c>
      <c r="K2017" s="13">
        <v>30</v>
      </c>
      <c r="L2017" s="13">
        <v>1.1000000000000001</v>
      </c>
      <c r="M2017" s="13" t="b">
        <v>0</v>
      </c>
      <c r="O2017" s="13">
        <f t="shared" si="31"/>
        <v>1.1000000000000001</v>
      </c>
    </row>
    <row r="2018" spans="1:15" x14ac:dyDescent="0.25">
      <c r="A2018" s="13" t="s">
        <v>2030</v>
      </c>
      <c r="B2018" s="13" t="s">
        <v>2193</v>
      </c>
      <c r="C2018" s="13" t="s">
        <v>2196</v>
      </c>
      <c r="D2018" s="13" t="s">
        <v>2204</v>
      </c>
      <c r="E2018" s="13" t="s">
        <v>2209</v>
      </c>
      <c r="F2018" s="13" t="s">
        <v>2220</v>
      </c>
      <c r="G2018" s="13">
        <v>84.88</v>
      </c>
      <c r="H2018" s="13">
        <v>7.4</v>
      </c>
      <c r="I2018" s="13">
        <v>78.599999999999994</v>
      </c>
      <c r="J2018" s="24">
        <v>45742</v>
      </c>
      <c r="K2018" s="13">
        <v>42</v>
      </c>
      <c r="L2018" s="13">
        <v>3.4</v>
      </c>
      <c r="M2018" s="13" t="b">
        <v>0</v>
      </c>
      <c r="O2018" s="13">
        <f t="shared" si="31"/>
        <v>3.4</v>
      </c>
    </row>
    <row r="2019" spans="1:15" x14ac:dyDescent="0.25">
      <c r="A2019" s="13" t="s">
        <v>2031</v>
      </c>
      <c r="B2019" s="13" t="s">
        <v>2193</v>
      </c>
      <c r="C2019" s="13" t="s">
        <v>2200</v>
      </c>
      <c r="D2019" s="13" t="s">
        <v>2205</v>
      </c>
      <c r="E2019" s="13" t="s">
        <v>2212</v>
      </c>
      <c r="F2019" s="13" t="s">
        <v>2221</v>
      </c>
      <c r="G2019" s="13">
        <v>159.25</v>
      </c>
      <c r="H2019" s="13">
        <v>5.5</v>
      </c>
      <c r="I2019" s="13">
        <v>150.49</v>
      </c>
      <c r="J2019" s="24">
        <v>45875</v>
      </c>
      <c r="K2019" s="13">
        <v>8</v>
      </c>
      <c r="M2019" s="13" t="b">
        <v>0</v>
      </c>
      <c r="O2019" s="13">
        <f t="shared" si="31"/>
        <v>3.3021276595744684</v>
      </c>
    </row>
    <row r="2020" spans="1:15" x14ac:dyDescent="0.25">
      <c r="A2020" s="13" t="s">
        <v>2032</v>
      </c>
      <c r="B2020" s="13" t="s">
        <v>2194</v>
      </c>
      <c r="C2020" s="13" t="s">
        <v>2201</v>
      </c>
      <c r="D2020" s="13" t="s">
        <v>2205</v>
      </c>
      <c r="E2020" s="13" t="s">
        <v>2213</v>
      </c>
      <c r="F2020" s="13" t="s">
        <v>2224</v>
      </c>
      <c r="G2020" s="13">
        <v>84.29</v>
      </c>
      <c r="H2020" s="13">
        <v>0</v>
      </c>
      <c r="I2020" s="13">
        <v>84.29</v>
      </c>
      <c r="J2020" s="24">
        <v>45875</v>
      </c>
      <c r="K2020" s="13">
        <v>4</v>
      </c>
      <c r="L2020" s="13">
        <v>2.8</v>
      </c>
      <c r="M2020" s="13" t="b">
        <v>0</v>
      </c>
      <c r="O2020" s="13">
        <f t="shared" si="31"/>
        <v>2.8</v>
      </c>
    </row>
    <row r="2021" spans="1:15" x14ac:dyDescent="0.25">
      <c r="A2021" s="13" t="s">
        <v>2033</v>
      </c>
      <c r="B2021" s="13" t="s">
        <v>2192</v>
      </c>
      <c r="C2021" s="13" t="s">
        <v>2203</v>
      </c>
      <c r="D2021" s="13" t="s">
        <v>2205</v>
      </c>
      <c r="F2021" s="13" t="s">
        <v>2214</v>
      </c>
      <c r="G2021" s="13">
        <v>38.86</v>
      </c>
      <c r="H2021" s="13">
        <v>0</v>
      </c>
      <c r="I2021" s="13">
        <v>38.86</v>
      </c>
      <c r="J2021" s="24">
        <v>45875</v>
      </c>
      <c r="K2021" s="13">
        <v>44</v>
      </c>
      <c r="M2021" s="13" t="b">
        <v>0</v>
      </c>
      <c r="O2021" s="13">
        <f t="shared" si="31"/>
        <v>2.8636363636363633</v>
      </c>
    </row>
    <row r="2022" spans="1:15" x14ac:dyDescent="0.25">
      <c r="A2022" s="13" t="s">
        <v>2034</v>
      </c>
      <c r="B2022" s="13" t="s">
        <v>2191</v>
      </c>
      <c r="C2022" s="13" t="s">
        <v>2198</v>
      </c>
      <c r="D2022" s="13" t="s">
        <v>2207</v>
      </c>
      <c r="E2022" s="13" t="s">
        <v>2213</v>
      </c>
      <c r="F2022" s="13" t="s">
        <v>2219</v>
      </c>
      <c r="G2022" s="13">
        <v>38.72</v>
      </c>
      <c r="H2022" s="13">
        <v>0</v>
      </c>
      <c r="I2022" s="13">
        <v>38.72</v>
      </c>
      <c r="J2022" s="24">
        <v>45875</v>
      </c>
      <c r="K2022" s="13">
        <v>35</v>
      </c>
      <c r="L2022" s="13">
        <v>4</v>
      </c>
      <c r="M2022" s="13" t="b">
        <v>0</v>
      </c>
      <c r="O2022" s="13">
        <f t="shared" si="31"/>
        <v>4</v>
      </c>
    </row>
    <row r="2023" spans="1:15" x14ac:dyDescent="0.25">
      <c r="A2023" s="13" t="s">
        <v>2035</v>
      </c>
      <c r="B2023" s="13" t="s">
        <v>2195</v>
      </c>
      <c r="C2023" s="13" t="s">
        <v>2196</v>
      </c>
      <c r="D2023" s="13" t="s">
        <v>2205</v>
      </c>
      <c r="E2023" s="13" t="s">
        <v>2212</v>
      </c>
      <c r="F2023" s="13" t="s">
        <v>2216</v>
      </c>
      <c r="G2023" s="13">
        <v>177.1</v>
      </c>
      <c r="H2023" s="13">
        <v>0</v>
      </c>
      <c r="I2023" s="13">
        <v>177.1</v>
      </c>
      <c r="J2023" s="24">
        <v>45875</v>
      </c>
      <c r="K2023" s="13">
        <v>49</v>
      </c>
      <c r="L2023" s="13">
        <v>1.6</v>
      </c>
      <c r="M2023" s="13" t="b">
        <v>0</v>
      </c>
      <c r="O2023" s="13">
        <f t="shared" si="31"/>
        <v>1.6</v>
      </c>
    </row>
    <row r="2024" spans="1:15" x14ac:dyDescent="0.25">
      <c r="A2024" s="13" t="s">
        <v>2036</v>
      </c>
      <c r="B2024" s="13" t="s">
        <v>2194</v>
      </c>
      <c r="C2024" s="13" t="s">
        <v>2203</v>
      </c>
      <c r="D2024" s="13" t="s">
        <v>2204</v>
      </c>
      <c r="E2024" s="13" t="s">
        <v>2212</v>
      </c>
      <c r="F2024" s="13" t="s">
        <v>2218</v>
      </c>
      <c r="G2024" s="13">
        <v>31.49</v>
      </c>
      <c r="H2024" s="13">
        <v>0</v>
      </c>
      <c r="I2024" s="13">
        <v>31.49</v>
      </c>
      <c r="J2024" s="24">
        <v>45584</v>
      </c>
      <c r="K2024" s="13">
        <v>28</v>
      </c>
      <c r="M2024" s="13" t="b">
        <v>0</v>
      </c>
      <c r="O2024" s="13">
        <f t="shared" si="31"/>
        <v>3.1021739130434773</v>
      </c>
    </row>
    <row r="2025" spans="1:15" x14ac:dyDescent="0.25">
      <c r="A2025" s="13" t="s">
        <v>2037</v>
      </c>
      <c r="B2025" s="13" t="s">
        <v>2191</v>
      </c>
      <c r="C2025" s="13" t="s">
        <v>2197</v>
      </c>
      <c r="D2025" s="13" t="s">
        <v>2207</v>
      </c>
      <c r="F2025" s="13" t="s">
        <v>2215</v>
      </c>
      <c r="G2025" s="13">
        <v>118.14</v>
      </c>
      <c r="H2025" s="13">
        <v>0</v>
      </c>
      <c r="I2025" s="13">
        <v>118.14</v>
      </c>
      <c r="J2025" s="24">
        <v>45875</v>
      </c>
      <c r="K2025" s="13">
        <v>33</v>
      </c>
      <c r="L2025" s="13">
        <v>2.4</v>
      </c>
      <c r="M2025" s="13" t="b">
        <v>0</v>
      </c>
      <c r="O2025" s="13">
        <f t="shared" si="31"/>
        <v>2.4</v>
      </c>
    </row>
    <row r="2026" spans="1:15" x14ac:dyDescent="0.25">
      <c r="A2026" s="13" t="s">
        <v>2038</v>
      </c>
      <c r="B2026" s="13" t="s">
        <v>2191</v>
      </c>
      <c r="C2026" s="13" t="s">
        <v>2202</v>
      </c>
      <c r="D2026" s="13" t="s">
        <v>2204</v>
      </c>
      <c r="E2026" s="13" t="s">
        <v>2210</v>
      </c>
      <c r="F2026" s="13" t="s">
        <v>2220</v>
      </c>
      <c r="G2026" s="13">
        <v>26.51</v>
      </c>
      <c r="H2026" s="13">
        <v>24</v>
      </c>
      <c r="I2026" s="13">
        <v>20.149999999999999</v>
      </c>
      <c r="J2026" s="24">
        <v>45801</v>
      </c>
      <c r="K2026" s="13">
        <v>1</v>
      </c>
      <c r="L2026" s="13">
        <v>4.7</v>
      </c>
      <c r="M2026" s="13" t="b">
        <v>0</v>
      </c>
      <c r="O2026" s="13">
        <f t="shared" si="31"/>
        <v>4.7</v>
      </c>
    </row>
    <row r="2027" spans="1:15" x14ac:dyDescent="0.25">
      <c r="A2027" s="13" t="s">
        <v>2039</v>
      </c>
      <c r="B2027" s="13" t="s">
        <v>2191</v>
      </c>
      <c r="C2027" s="13" t="s">
        <v>2203</v>
      </c>
      <c r="D2027" s="13" t="s">
        <v>2206</v>
      </c>
      <c r="E2027" s="13" t="s">
        <v>2209</v>
      </c>
      <c r="F2027" s="13" t="s">
        <v>2219</v>
      </c>
      <c r="G2027" s="13">
        <v>29.61</v>
      </c>
      <c r="H2027" s="13">
        <v>0</v>
      </c>
      <c r="I2027" s="13">
        <v>29.61</v>
      </c>
      <c r="J2027" s="24">
        <v>45875</v>
      </c>
      <c r="K2027" s="13">
        <v>9</v>
      </c>
      <c r="L2027" s="13">
        <v>1</v>
      </c>
      <c r="M2027" s="13" t="b">
        <v>0</v>
      </c>
      <c r="O2027" s="13">
        <f t="shared" si="31"/>
        <v>1</v>
      </c>
    </row>
    <row r="2028" spans="1:15" x14ac:dyDescent="0.25">
      <c r="A2028" s="13" t="s">
        <v>2040</v>
      </c>
      <c r="B2028" s="13" t="s">
        <v>2190</v>
      </c>
      <c r="C2028" s="13" t="s">
        <v>2201</v>
      </c>
      <c r="D2028" s="13" t="s">
        <v>2207</v>
      </c>
      <c r="E2028" s="13" t="s">
        <v>2210</v>
      </c>
      <c r="F2028" s="13" t="s">
        <v>2218</v>
      </c>
      <c r="G2028" s="13">
        <v>244.13</v>
      </c>
      <c r="H2028" s="13">
        <v>0</v>
      </c>
      <c r="I2028" s="13">
        <v>244.13</v>
      </c>
      <c r="J2028" s="24">
        <v>45875</v>
      </c>
      <c r="K2028" s="13">
        <v>2</v>
      </c>
      <c r="L2028" s="13">
        <v>3.5</v>
      </c>
      <c r="M2028" s="13" t="b">
        <v>1</v>
      </c>
      <c r="N2028" s="13" t="s">
        <v>2226</v>
      </c>
      <c r="O2028" s="13">
        <f t="shared" si="31"/>
        <v>3.5</v>
      </c>
    </row>
    <row r="2029" spans="1:15" x14ac:dyDescent="0.25">
      <c r="A2029" s="13" t="s">
        <v>2041</v>
      </c>
      <c r="B2029" s="13" t="s">
        <v>2192</v>
      </c>
      <c r="C2029" s="13" t="s">
        <v>2202</v>
      </c>
      <c r="D2029" s="13" t="s">
        <v>2204</v>
      </c>
      <c r="F2029" s="13" t="s">
        <v>2217</v>
      </c>
      <c r="G2029" s="13">
        <v>16.54</v>
      </c>
      <c r="H2029" s="13">
        <v>0</v>
      </c>
      <c r="I2029" s="13">
        <v>16.54</v>
      </c>
      <c r="J2029" s="24">
        <v>45773</v>
      </c>
      <c r="K2029" s="13">
        <v>30</v>
      </c>
      <c r="M2029" s="13" t="b">
        <v>0</v>
      </c>
      <c r="O2029" s="13">
        <f t="shared" si="31"/>
        <v>3.2720930232558145</v>
      </c>
    </row>
    <row r="2030" spans="1:15" x14ac:dyDescent="0.25">
      <c r="A2030" s="13" t="s">
        <v>2042</v>
      </c>
      <c r="B2030" s="13" t="s">
        <v>2191</v>
      </c>
      <c r="C2030" s="13" t="s">
        <v>2196</v>
      </c>
      <c r="D2030" s="13" t="s">
        <v>2206</v>
      </c>
      <c r="E2030" s="13" t="s">
        <v>2210</v>
      </c>
      <c r="F2030" s="13" t="s">
        <v>2217</v>
      </c>
      <c r="G2030" s="13">
        <v>100.98</v>
      </c>
      <c r="H2030" s="13">
        <v>0</v>
      </c>
      <c r="I2030" s="13">
        <v>100.98</v>
      </c>
      <c r="J2030" s="24">
        <v>45875</v>
      </c>
      <c r="K2030" s="13">
        <v>41</v>
      </c>
      <c r="M2030" s="13" t="b">
        <v>0</v>
      </c>
      <c r="O2030" s="13">
        <f t="shared" si="31"/>
        <v>2.9181818181818175</v>
      </c>
    </row>
    <row r="2031" spans="1:15" x14ac:dyDescent="0.25">
      <c r="A2031" s="13" t="s">
        <v>2043</v>
      </c>
      <c r="B2031" s="13" t="s">
        <v>2190</v>
      </c>
      <c r="C2031" s="13" t="s">
        <v>2197</v>
      </c>
      <c r="D2031" s="13" t="s">
        <v>2205</v>
      </c>
      <c r="F2031" s="13" t="s">
        <v>2218</v>
      </c>
      <c r="G2031" s="13">
        <v>175.42</v>
      </c>
      <c r="H2031" s="13">
        <v>0</v>
      </c>
      <c r="I2031" s="13">
        <v>175.42</v>
      </c>
      <c r="J2031" s="24">
        <v>45875</v>
      </c>
      <c r="K2031" s="13">
        <v>5</v>
      </c>
      <c r="L2031" s="13">
        <v>3.6</v>
      </c>
      <c r="M2031" s="13" t="b">
        <v>0</v>
      </c>
      <c r="O2031" s="13">
        <f t="shared" si="31"/>
        <v>3.6</v>
      </c>
    </row>
    <row r="2032" spans="1:15" x14ac:dyDescent="0.25">
      <c r="A2032" s="13" t="s">
        <v>2044</v>
      </c>
      <c r="B2032" s="13" t="s">
        <v>2195</v>
      </c>
      <c r="C2032" s="13" t="s">
        <v>2201</v>
      </c>
      <c r="D2032" s="13" t="s">
        <v>2204</v>
      </c>
      <c r="E2032" s="13" t="s">
        <v>2211</v>
      </c>
      <c r="F2032" s="13" t="s">
        <v>2215</v>
      </c>
      <c r="G2032" s="13">
        <v>133.15</v>
      </c>
      <c r="H2032" s="13">
        <v>20.3</v>
      </c>
      <c r="I2032" s="13">
        <v>106.12</v>
      </c>
      <c r="J2032" s="24">
        <v>45811</v>
      </c>
      <c r="K2032" s="13">
        <v>9</v>
      </c>
      <c r="L2032" s="13">
        <v>3.2</v>
      </c>
      <c r="M2032" s="13" t="b">
        <v>0</v>
      </c>
      <c r="O2032" s="13">
        <f t="shared" si="31"/>
        <v>3.2</v>
      </c>
    </row>
    <row r="2033" spans="1:15" x14ac:dyDescent="0.25">
      <c r="A2033" s="13" t="s">
        <v>2045</v>
      </c>
      <c r="B2033" s="13" t="s">
        <v>2195</v>
      </c>
      <c r="C2033" s="13" t="s">
        <v>2197</v>
      </c>
      <c r="D2033" s="13" t="s">
        <v>2206</v>
      </c>
      <c r="F2033" s="13" t="s">
        <v>2215</v>
      </c>
      <c r="G2033" s="13">
        <v>94.21</v>
      </c>
      <c r="H2033" s="13">
        <v>44.7</v>
      </c>
      <c r="I2033" s="13">
        <v>52.1</v>
      </c>
      <c r="J2033" s="24">
        <v>45875</v>
      </c>
      <c r="K2033" s="13">
        <v>48</v>
      </c>
      <c r="L2033" s="13">
        <v>4.3</v>
      </c>
      <c r="M2033" s="13" t="b">
        <v>0</v>
      </c>
      <c r="O2033" s="13">
        <f t="shared" si="31"/>
        <v>4.3</v>
      </c>
    </row>
    <row r="2034" spans="1:15" x14ac:dyDescent="0.25">
      <c r="A2034" s="13" t="s">
        <v>2046</v>
      </c>
      <c r="B2034" s="13" t="s">
        <v>2191</v>
      </c>
      <c r="C2034" s="13" t="s">
        <v>2203</v>
      </c>
      <c r="D2034" s="13" t="s">
        <v>2205</v>
      </c>
      <c r="E2034" s="13" t="s">
        <v>2213</v>
      </c>
      <c r="F2034" s="13" t="s">
        <v>2215</v>
      </c>
      <c r="G2034" s="13">
        <v>115.44</v>
      </c>
      <c r="H2034" s="13">
        <v>0</v>
      </c>
      <c r="I2034" s="13">
        <v>115.44</v>
      </c>
      <c r="J2034" s="24">
        <v>45875</v>
      </c>
      <c r="K2034" s="13">
        <v>21</v>
      </c>
      <c r="L2034" s="13">
        <v>1.2</v>
      </c>
      <c r="M2034" s="13" t="b">
        <v>0</v>
      </c>
      <c r="O2034" s="13">
        <f t="shared" si="31"/>
        <v>1.2</v>
      </c>
    </row>
    <row r="2035" spans="1:15" x14ac:dyDescent="0.25">
      <c r="A2035" s="13" t="s">
        <v>2047</v>
      </c>
      <c r="B2035" s="13" t="s">
        <v>2190</v>
      </c>
      <c r="C2035" s="13" t="s">
        <v>2196</v>
      </c>
      <c r="D2035" s="13" t="s">
        <v>2204</v>
      </c>
      <c r="E2035" s="13" t="s">
        <v>2210</v>
      </c>
      <c r="F2035" s="13" t="s">
        <v>2217</v>
      </c>
      <c r="G2035" s="13">
        <v>194.39</v>
      </c>
      <c r="H2035" s="13">
        <v>26.5</v>
      </c>
      <c r="I2035" s="13">
        <v>142.88</v>
      </c>
      <c r="J2035" s="24">
        <v>45762</v>
      </c>
      <c r="K2035" s="13">
        <v>12</v>
      </c>
      <c r="L2035" s="13">
        <v>1.2</v>
      </c>
      <c r="M2035" s="13" t="b">
        <v>0</v>
      </c>
      <c r="O2035" s="13">
        <f t="shared" si="31"/>
        <v>1.2</v>
      </c>
    </row>
    <row r="2036" spans="1:15" x14ac:dyDescent="0.25">
      <c r="A2036" s="13" t="s">
        <v>2048</v>
      </c>
      <c r="B2036" s="13" t="s">
        <v>2193</v>
      </c>
      <c r="C2036" s="13" t="s">
        <v>2198</v>
      </c>
      <c r="D2036" s="13" t="s">
        <v>2204</v>
      </c>
      <c r="E2036" s="13" t="s">
        <v>2209</v>
      </c>
      <c r="F2036" s="13" t="s">
        <v>2217</v>
      </c>
      <c r="G2036" s="13">
        <v>132.38999999999999</v>
      </c>
      <c r="H2036" s="13">
        <v>27.6</v>
      </c>
      <c r="I2036" s="13">
        <v>95.85</v>
      </c>
      <c r="J2036" s="24">
        <v>45596</v>
      </c>
      <c r="K2036" s="13">
        <v>16</v>
      </c>
      <c r="M2036" s="13" t="b">
        <v>0</v>
      </c>
      <c r="O2036" s="13">
        <f t="shared" si="31"/>
        <v>3.1936170212765949</v>
      </c>
    </row>
    <row r="2037" spans="1:15" x14ac:dyDescent="0.25">
      <c r="A2037" s="13" t="s">
        <v>2049</v>
      </c>
      <c r="B2037" s="13" t="s">
        <v>2192</v>
      </c>
      <c r="C2037" s="13" t="s">
        <v>2197</v>
      </c>
      <c r="D2037" s="13" t="s">
        <v>2204</v>
      </c>
      <c r="F2037" s="13" t="s">
        <v>2214</v>
      </c>
      <c r="G2037" s="13">
        <v>52.54</v>
      </c>
      <c r="H2037" s="13">
        <v>14.6</v>
      </c>
      <c r="I2037" s="13">
        <v>44.87</v>
      </c>
      <c r="J2037" s="24">
        <v>45552</v>
      </c>
      <c r="K2037" s="13">
        <v>7</v>
      </c>
      <c r="L2037" s="13">
        <v>1.4</v>
      </c>
      <c r="M2037" s="13" t="b">
        <v>0</v>
      </c>
      <c r="O2037" s="13">
        <f t="shared" si="31"/>
        <v>1.4</v>
      </c>
    </row>
    <row r="2038" spans="1:15" x14ac:dyDescent="0.25">
      <c r="A2038" s="13" t="s">
        <v>2050</v>
      </c>
      <c r="B2038" s="13" t="s">
        <v>2195</v>
      </c>
      <c r="C2038" s="13" t="s">
        <v>2197</v>
      </c>
      <c r="D2038" s="13" t="s">
        <v>2204</v>
      </c>
      <c r="E2038" s="13" t="s">
        <v>2208</v>
      </c>
      <c r="F2038" s="13" t="s">
        <v>2216</v>
      </c>
      <c r="G2038" s="13">
        <v>165.01</v>
      </c>
      <c r="H2038" s="13">
        <v>41.2</v>
      </c>
      <c r="I2038" s="13">
        <v>97.03</v>
      </c>
      <c r="J2038" s="24">
        <v>45584</v>
      </c>
      <c r="K2038" s="13">
        <v>22</v>
      </c>
      <c r="M2038" s="13" t="b">
        <v>0</v>
      </c>
      <c r="O2038" s="13">
        <f t="shared" si="31"/>
        <v>3.1666666666666665</v>
      </c>
    </row>
    <row r="2039" spans="1:15" x14ac:dyDescent="0.25">
      <c r="A2039" s="13" t="s">
        <v>2051</v>
      </c>
      <c r="B2039" s="13" t="s">
        <v>2192</v>
      </c>
      <c r="C2039" s="13" t="s">
        <v>2201</v>
      </c>
      <c r="D2039" s="13" t="s">
        <v>2204</v>
      </c>
      <c r="F2039" s="13" t="s">
        <v>2223</v>
      </c>
      <c r="G2039" s="13">
        <v>42.94</v>
      </c>
      <c r="H2039" s="13">
        <v>34.299999999999997</v>
      </c>
      <c r="I2039" s="13">
        <v>28.21</v>
      </c>
      <c r="J2039" s="24">
        <v>45648</v>
      </c>
      <c r="K2039" s="13">
        <v>41</v>
      </c>
      <c r="M2039" s="13" t="b">
        <v>0</v>
      </c>
      <c r="O2039" s="13">
        <f t="shared" si="31"/>
        <v>3.2731707317073173</v>
      </c>
    </row>
    <row r="2040" spans="1:15" x14ac:dyDescent="0.25">
      <c r="A2040" s="13" t="s">
        <v>2052</v>
      </c>
      <c r="B2040" s="13" t="s">
        <v>2191</v>
      </c>
      <c r="C2040" s="13" t="s">
        <v>2197</v>
      </c>
      <c r="D2040" s="13" t="s">
        <v>2206</v>
      </c>
      <c r="E2040" s="13" t="s">
        <v>2208</v>
      </c>
      <c r="F2040" s="13" t="s">
        <v>2221</v>
      </c>
      <c r="G2040" s="13">
        <v>72.78</v>
      </c>
      <c r="H2040" s="13">
        <v>0</v>
      </c>
      <c r="I2040" s="13">
        <v>72.78</v>
      </c>
      <c r="J2040" s="24">
        <v>45875</v>
      </c>
      <c r="K2040" s="13">
        <v>49</v>
      </c>
      <c r="L2040" s="13">
        <v>3.1</v>
      </c>
      <c r="M2040" s="13" t="b">
        <v>0</v>
      </c>
      <c r="O2040" s="13">
        <f t="shared" si="31"/>
        <v>3.1</v>
      </c>
    </row>
    <row r="2041" spans="1:15" x14ac:dyDescent="0.25">
      <c r="A2041" s="13" t="s">
        <v>2053</v>
      </c>
      <c r="B2041" s="13" t="s">
        <v>2193</v>
      </c>
      <c r="C2041" s="13" t="s">
        <v>2197</v>
      </c>
      <c r="D2041" s="13" t="s">
        <v>2206</v>
      </c>
      <c r="E2041" s="13" t="s">
        <v>2210</v>
      </c>
      <c r="F2041" s="13" t="s">
        <v>2214</v>
      </c>
      <c r="G2041" s="13">
        <v>189.32</v>
      </c>
      <c r="H2041" s="13">
        <v>0</v>
      </c>
      <c r="I2041" s="13">
        <v>189.32</v>
      </c>
      <c r="J2041" s="24">
        <v>45875</v>
      </c>
      <c r="K2041" s="13">
        <v>35</v>
      </c>
      <c r="L2041" s="13">
        <v>2.5</v>
      </c>
      <c r="M2041" s="13" t="b">
        <v>0</v>
      </c>
      <c r="O2041" s="13">
        <f t="shared" si="31"/>
        <v>2.5</v>
      </c>
    </row>
    <row r="2042" spans="1:15" x14ac:dyDescent="0.25">
      <c r="A2042" s="13" t="s">
        <v>2054</v>
      </c>
      <c r="B2042" s="13" t="s">
        <v>2195</v>
      </c>
      <c r="C2042" s="13" t="s">
        <v>2201</v>
      </c>
      <c r="D2042" s="13" t="s">
        <v>2207</v>
      </c>
      <c r="E2042" s="13" t="s">
        <v>2208</v>
      </c>
      <c r="F2042" s="13" t="s">
        <v>2217</v>
      </c>
      <c r="G2042" s="13">
        <v>157</v>
      </c>
      <c r="H2042" s="13">
        <v>55.7</v>
      </c>
      <c r="I2042" s="13">
        <v>69.55</v>
      </c>
      <c r="J2042" s="24">
        <v>45875</v>
      </c>
      <c r="K2042" s="13">
        <v>6</v>
      </c>
      <c r="L2042" s="13">
        <v>2.1</v>
      </c>
      <c r="M2042" s="13" t="b">
        <v>0</v>
      </c>
      <c r="O2042" s="13">
        <f t="shared" si="31"/>
        <v>2.1</v>
      </c>
    </row>
    <row r="2043" spans="1:15" x14ac:dyDescent="0.25">
      <c r="A2043" s="13" t="s">
        <v>2055</v>
      </c>
      <c r="B2043" s="13" t="s">
        <v>2191</v>
      </c>
      <c r="C2043" s="13" t="s">
        <v>2202</v>
      </c>
      <c r="D2043" s="13" t="s">
        <v>2204</v>
      </c>
      <c r="E2043" s="13" t="s">
        <v>2210</v>
      </c>
      <c r="F2043" s="13" t="s">
        <v>2223</v>
      </c>
      <c r="G2043" s="13">
        <v>28.73</v>
      </c>
      <c r="H2043" s="13">
        <v>26.4</v>
      </c>
      <c r="I2043" s="13">
        <v>21.15</v>
      </c>
      <c r="J2043" s="24">
        <v>45575</v>
      </c>
      <c r="K2043" s="13">
        <v>47</v>
      </c>
      <c r="L2043" s="13">
        <v>2.2999999999999998</v>
      </c>
      <c r="M2043" s="13" t="b">
        <v>1</v>
      </c>
      <c r="N2043" s="13" t="s">
        <v>2226</v>
      </c>
      <c r="O2043" s="13">
        <f t="shared" si="31"/>
        <v>2.2999999999999998</v>
      </c>
    </row>
    <row r="2044" spans="1:15" x14ac:dyDescent="0.25">
      <c r="A2044" s="13" t="s">
        <v>2056</v>
      </c>
      <c r="B2044" s="13" t="s">
        <v>2190</v>
      </c>
      <c r="C2044" s="13" t="s">
        <v>2203</v>
      </c>
      <c r="D2044" s="13" t="s">
        <v>2205</v>
      </c>
      <c r="E2044" s="13" t="s">
        <v>2209</v>
      </c>
      <c r="F2044" s="13" t="s">
        <v>2218</v>
      </c>
      <c r="G2044" s="13">
        <v>144.63999999999999</v>
      </c>
      <c r="H2044" s="13">
        <v>0</v>
      </c>
      <c r="I2044" s="13">
        <v>144.63999999999999</v>
      </c>
      <c r="J2044" s="24">
        <v>45875</v>
      </c>
      <c r="K2044" s="13">
        <v>0</v>
      </c>
      <c r="L2044" s="13">
        <v>4.5</v>
      </c>
      <c r="M2044" s="13" t="b">
        <v>0</v>
      </c>
      <c r="O2044" s="13">
        <f t="shared" si="31"/>
        <v>4.5</v>
      </c>
    </row>
    <row r="2045" spans="1:15" x14ac:dyDescent="0.25">
      <c r="A2045" s="13" t="s">
        <v>2057</v>
      </c>
      <c r="B2045" s="13" t="s">
        <v>2193</v>
      </c>
      <c r="C2045" s="13" t="s">
        <v>2198</v>
      </c>
      <c r="D2045" s="13" t="s">
        <v>2206</v>
      </c>
      <c r="E2045" s="13" t="s">
        <v>2209</v>
      </c>
      <c r="F2045" s="13" t="s">
        <v>2219</v>
      </c>
      <c r="G2045" s="13">
        <v>180.99</v>
      </c>
      <c r="H2045" s="13">
        <v>0</v>
      </c>
      <c r="I2045" s="13">
        <v>180.99</v>
      </c>
      <c r="J2045" s="24">
        <v>45875</v>
      </c>
      <c r="K2045" s="13">
        <v>0</v>
      </c>
      <c r="L2045" s="13">
        <v>4.5</v>
      </c>
      <c r="M2045" s="13" t="b">
        <v>0</v>
      </c>
      <c r="O2045" s="13">
        <f t="shared" si="31"/>
        <v>4.5</v>
      </c>
    </row>
    <row r="2046" spans="1:15" x14ac:dyDescent="0.25">
      <c r="A2046" s="13" t="s">
        <v>2058</v>
      </c>
      <c r="B2046" s="13" t="s">
        <v>2191</v>
      </c>
      <c r="C2046" s="13" t="s">
        <v>2201</v>
      </c>
      <c r="D2046" s="13" t="s">
        <v>2206</v>
      </c>
      <c r="E2046" s="13" t="s">
        <v>2213</v>
      </c>
      <c r="F2046" s="13" t="s">
        <v>2220</v>
      </c>
      <c r="G2046" s="13">
        <v>74.959999999999994</v>
      </c>
      <c r="H2046" s="13">
        <v>56.1</v>
      </c>
      <c r="I2046" s="13">
        <v>32.909999999999997</v>
      </c>
      <c r="J2046" s="24">
        <v>45875</v>
      </c>
      <c r="K2046" s="13">
        <v>16</v>
      </c>
      <c r="M2046" s="13" t="b">
        <v>1</v>
      </c>
      <c r="N2046" s="13" t="s">
        <v>2230</v>
      </c>
      <c r="O2046" s="13">
        <f t="shared" si="31"/>
        <v>2.9846153846153847</v>
      </c>
    </row>
    <row r="2047" spans="1:15" x14ac:dyDescent="0.25">
      <c r="A2047" s="13" t="s">
        <v>2059</v>
      </c>
      <c r="B2047" s="13" t="s">
        <v>2195</v>
      </c>
      <c r="C2047" s="13" t="s">
        <v>2201</v>
      </c>
      <c r="D2047" s="13" t="s">
        <v>2206</v>
      </c>
      <c r="E2047" s="13" t="s">
        <v>2211</v>
      </c>
      <c r="F2047" s="13" t="s">
        <v>2222</v>
      </c>
      <c r="G2047" s="13">
        <v>63.46</v>
      </c>
      <c r="H2047" s="13">
        <v>0</v>
      </c>
      <c r="I2047" s="13">
        <v>63.46</v>
      </c>
      <c r="J2047" s="24">
        <v>45875</v>
      </c>
      <c r="K2047" s="13">
        <v>36</v>
      </c>
      <c r="L2047" s="13">
        <v>1.2</v>
      </c>
      <c r="M2047" s="13" t="b">
        <v>0</v>
      </c>
      <c r="O2047" s="13">
        <f t="shared" si="31"/>
        <v>1.2</v>
      </c>
    </row>
    <row r="2048" spans="1:15" x14ac:dyDescent="0.25">
      <c r="A2048" s="13" t="s">
        <v>2060</v>
      </c>
      <c r="B2048" s="13" t="s">
        <v>2193</v>
      </c>
      <c r="C2048" s="13" t="s">
        <v>2199</v>
      </c>
      <c r="D2048" s="13" t="s">
        <v>2204</v>
      </c>
      <c r="E2048" s="13" t="s">
        <v>2210</v>
      </c>
      <c r="F2048" s="13" t="s">
        <v>2216</v>
      </c>
      <c r="G2048" s="13">
        <v>105.95</v>
      </c>
      <c r="H2048" s="13">
        <v>31.6</v>
      </c>
      <c r="I2048" s="13">
        <v>72.47</v>
      </c>
      <c r="J2048" s="24">
        <v>45748</v>
      </c>
      <c r="K2048" s="13">
        <v>38</v>
      </c>
      <c r="L2048" s="13">
        <v>3.5</v>
      </c>
      <c r="M2048" s="13" t="b">
        <v>0</v>
      </c>
      <c r="O2048" s="13">
        <f t="shared" si="31"/>
        <v>3.5</v>
      </c>
    </row>
    <row r="2049" spans="1:15" x14ac:dyDescent="0.25">
      <c r="A2049" s="13" t="s">
        <v>2061</v>
      </c>
      <c r="B2049" s="13" t="s">
        <v>2195</v>
      </c>
      <c r="C2049" s="13" t="s">
        <v>2199</v>
      </c>
      <c r="D2049" s="13" t="s">
        <v>2207</v>
      </c>
      <c r="E2049" s="13" t="s">
        <v>2210</v>
      </c>
      <c r="F2049" s="13" t="s">
        <v>2222</v>
      </c>
      <c r="G2049" s="13">
        <v>86.55</v>
      </c>
      <c r="H2049" s="13">
        <v>24.5</v>
      </c>
      <c r="I2049" s="13">
        <v>65.349999999999994</v>
      </c>
      <c r="J2049" s="24">
        <v>45875</v>
      </c>
      <c r="K2049" s="13">
        <v>40</v>
      </c>
      <c r="L2049" s="13">
        <v>3.5</v>
      </c>
      <c r="M2049" s="13" t="b">
        <v>0</v>
      </c>
      <c r="O2049" s="13">
        <f t="shared" si="31"/>
        <v>3.5</v>
      </c>
    </row>
    <row r="2050" spans="1:15" x14ac:dyDescent="0.25">
      <c r="A2050" s="13" t="s">
        <v>2062</v>
      </c>
      <c r="B2050" s="13" t="s">
        <v>2194</v>
      </c>
      <c r="C2050" s="13" t="s">
        <v>2202</v>
      </c>
      <c r="D2050" s="13" t="s">
        <v>2206</v>
      </c>
      <c r="E2050" s="13" t="s">
        <v>2213</v>
      </c>
      <c r="F2050" s="13" t="s">
        <v>2222</v>
      </c>
      <c r="G2050" s="13">
        <v>90.97</v>
      </c>
      <c r="H2050" s="13">
        <v>10.8</v>
      </c>
      <c r="I2050" s="13">
        <v>81.150000000000006</v>
      </c>
      <c r="J2050" s="24">
        <v>45875</v>
      </c>
      <c r="K2050" s="13">
        <v>33</v>
      </c>
      <c r="L2050" s="13">
        <v>2.2000000000000002</v>
      </c>
      <c r="M2050" s="13" t="b">
        <v>1</v>
      </c>
      <c r="N2050" s="13" t="s">
        <v>2227</v>
      </c>
      <c r="O2050" s="13">
        <f t="shared" si="31"/>
        <v>2.2000000000000002</v>
      </c>
    </row>
    <row r="2051" spans="1:15" x14ac:dyDescent="0.25">
      <c r="A2051" s="13" t="s">
        <v>2063</v>
      </c>
      <c r="B2051" s="13" t="s">
        <v>2195</v>
      </c>
      <c r="C2051" s="13" t="s">
        <v>2199</v>
      </c>
      <c r="D2051" s="13" t="s">
        <v>2205</v>
      </c>
      <c r="E2051" s="13" t="s">
        <v>2209</v>
      </c>
      <c r="F2051" s="13" t="s">
        <v>2221</v>
      </c>
      <c r="G2051" s="13">
        <v>122.41</v>
      </c>
      <c r="H2051" s="13">
        <v>48.2</v>
      </c>
      <c r="I2051" s="13">
        <v>63.41</v>
      </c>
      <c r="J2051" s="24">
        <v>45875</v>
      </c>
      <c r="K2051" s="13">
        <v>49</v>
      </c>
      <c r="L2051" s="13">
        <v>4.5</v>
      </c>
      <c r="M2051" s="13" t="b">
        <v>0</v>
      </c>
      <c r="O2051" s="13">
        <f t="shared" ref="O2051:O2114" si="32">IF(L2051="",AVERAGEIFS($L$2:$L$2177,$B$2:$B$2177,B2051,$C$2:$C$2177,C2051),L2051)</f>
        <v>4.5</v>
      </c>
    </row>
    <row r="2052" spans="1:15" x14ac:dyDescent="0.25">
      <c r="A2052" s="13" t="s">
        <v>2064</v>
      </c>
      <c r="B2052" s="13" t="s">
        <v>2193</v>
      </c>
      <c r="C2052" s="13" t="s">
        <v>2198</v>
      </c>
      <c r="D2052" s="13" t="s">
        <v>2205</v>
      </c>
      <c r="E2052" s="13" t="s">
        <v>2211</v>
      </c>
      <c r="F2052" s="13" t="s">
        <v>2218</v>
      </c>
      <c r="G2052" s="13">
        <v>198.22</v>
      </c>
      <c r="H2052" s="13">
        <v>0</v>
      </c>
      <c r="I2052" s="13">
        <v>198.22</v>
      </c>
      <c r="J2052" s="24">
        <v>45875</v>
      </c>
      <c r="K2052" s="13">
        <v>12</v>
      </c>
      <c r="M2052" s="13" t="b">
        <v>0</v>
      </c>
      <c r="O2052" s="13">
        <f t="shared" si="32"/>
        <v>3.1936170212765949</v>
      </c>
    </row>
    <row r="2053" spans="1:15" x14ac:dyDescent="0.25">
      <c r="A2053" s="13" t="s">
        <v>2065</v>
      </c>
      <c r="B2053" s="13" t="s">
        <v>2193</v>
      </c>
      <c r="C2053" s="13" t="s">
        <v>2196</v>
      </c>
      <c r="D2053" s="13" t="s">
        <v>2205</v>
      </c>
      <c r="E2053" s="13" t="s">
        <v>2213</v>
      </c>
      <c r="F2053" s="13" t="s">
        <v>2221</v>
      </c>
      <c r="G2053" s="13">
        <v>129.56</v>
      </c>
      <c r="H2053" s="13">
        <v>20.8</v>
      </c>
      <c r="I2053" s="13">
        <v>102.61</v>
      </c>
      <c r="J2053" s="24">
        <v>45875</v>
      </c>
      <c r="K2053" s="13">
        <v>3</v>
      </c>
      <c r="L2053" s="13">
        <v>2.9</v>
      </c>
      <c r="M2053" s="13" t="b">
        <v>0</v>
      </c>
      <c r="O2053" s="13">
        <f t="shared" si="32"/>
        <v>2.9</v>
      </c>
    </row>
    <row r="2054" spans="1:15" x14ac:dyDescent="0.25">
      <c r="A2054" s="13" t="s">
        <v>2066</v>
      </c>
      <c r="B2054" s="13" t="s">
        <v>2192</v>
      </c>
      <c r="C2054" s="13" t="s">
        <v>2196</v>
      </c>
      <c r="D2054" s="13" t="s">
        <v>2207</v>
      </c>
      <c r="F2054" s="13" t="s">
        <v>2215</v>
      </c>
      <c r="G2054" s="13">
        <v>49.31</v>
      </c>
      <c r="H2054" s="13">
        <v>0</v>
      </c>
      <c r="I2054" s="13">
        <v>49.31</v>
      </c>
      <c r="J2054" s="24">
        <v>45875</v>
      </c>
      <c r="K2054" s="13">
        <v>49</v>
      </c>
      <c r="L2054" s="13">
        <v>3.4</v>
      </c>
      <c r="M2054" s="13" t="b">
        <v>0</v>
      </c>
      <c r="O2054" s="13">
        <f t="shared" si="32"/>
        <v>3.4</v>
      </c>
    </row>
    <row r="2055" spans="1:15" x14ac:dyDescent="0.25">
      <c r="A2055" s="13" t="s">
        <v>2067</v>
      </c>
      <c r="B2055" s="13" t="s">
        <v>2190</v>
      </c>
      <c r="C2055" s="13" t="s">
        <v>2197</v>
      </c>
      <c r="D2055" s="13" t="s">
        <v>2207</v>
      </c>
      <c r="E2055" s="13" t="s">
        <v>2210</v>
      </c>
      <c r="F2055" s="13" t="s">
        <v>2215</v>
      </c>
      <c r="G2055" s="13">
        <v>206.94</v>
      </c>
      <c r="H2055" s="13">
        <v>0</v>
      </c>
      <c r="I2055" s="13">
        <v>206.94</v>
      </c>
      <c r="J2055" s="24">
        <v>45875</v>
      </c>
      <c r="K2055" s="13">
        <v>43</v>
      </c>
      <c r="L2055" s="13">
        <v>3.3</v>
      </c>
      <c r="M2055" s="13" t="b">
        <v>0</v>
      </c>
      <c r="O2055" s="13">
        <f t="shared" si="32"/>
        <v>3.3</v>
      </c>
    </row>
    <row r="2056" spans="1:15" x14ac:dyDescent="0.25">
      <c r="A2056" s="13" t="s">
        <v>2068</v>
      </c>
      <c r="B2056" s="13" t="s">
        <v>2192</v>
      </c>
      <c r="C2056" s="13" t="s">
        <v>2198</v>
      </c>
      <c r="D2056" s="13" t="s">
        <v>2207</v>
      </c>
      <c r="F2056" s="13" t="s">
        <v>2216</v>
      </c>
      <c r="G2056" s="13">
        <v>36.93</v>
      </c>
      <c r="H2056" s="13">
        <v>0</v>
      </c>
      <c r="I2056" s="13">
        <v>36.93</v>
      </c>
      <c r="J2056" s="24">
        <v>45875</v>
      </c>
      <c r="K2056" s="13">
        <v>18</v>
      </c>
      <c r="M2056" s="13" t="b">
        <v>0</v>
      </c>
      <c r="O2056" s="13">
        <f t="shared" si="32"/>
        <v>2.8694444444444449</v>
      </c>
    </row>
    <row r="2057" spans="1:15" x14ac:dyDescent="0.25">
      <c r="A2057" s="13" t="s">
        <v>2069</v>
      </c>
      <c r="B2057" s="13" t="s">
        <v>2192</v>
      </c>
      <c r="C2057" s="13" t="s">
        <v>2197</v>
      </c>
      <c r="D2057" s="13" t="s">
        <v>2207</v>
      </c>
      <c r="F2057" s="13" t="s">
        <v>2220</v>
      </c>
      <c r="G2057" s="13">
        <v>21.85</v>
      </c>
      <c r="H2057" s="13">
        <v>12</v>
      </c>
      <c r="I2057" s="13">
        <v>19.23</v>
      </c>
      <c r="J2057" s="24">
        <v>45875</v>
      </c>
      <c r="K2057" s="13">
        <v>18</v>
      </c>
      <c r="L2057" s="13">
        <v>4.8</v>
      </c>
      <c r="M2057" s="13" t="b">
        <v>0</v>
      </c>
      <c r="O2057" s="13">
        <f t="shared" si="32"/>
        <v>4.8</v>
      </c>
    </row>
    <row r="2058" spans="1:15" x14ac:dyDescent="0.25">
      <c r="A2058" s="13" t="s">
        <v>2070</v>
      </c>
      <c r="B2058" s="13" t="s">
        <v>2193</v>
      </c>
      <c r="C2058" s="13" t="s">
        <v>2198</v>
      </c>
      <c r="D2058" s="13" t="s">
        <v>2205</v>
      </c>
      <c r="E2058" s="13" t="s">
        <v>2210</v>
      </c>
      <c r="F2058" s="13" t="s">
        <v>2224</v>
      </c>
      <c r="G2058" s="13">
        <v>174.65</v>
      </c>
      <c r="H2058" s="13">
        <v>43.8</v>
      </c>
      <c r="I2058" s="13">
        <v>98.15</v>
      </c>
      <c r="J2058" s="24">
        <v>45875</v>
      </c>
      <c r="K2058" s="13">
        <v>28</v>
      </c>
      <c r="L2058" s="13">
        <v>3.3</v>
      </c>
      <c r="M2058" s="13" t="b">
        <v>0</v>
      </c>
      <c r="O2058" s="13">
        <f t="shared" si="32"/>
        <v>3.3</v>
      </c>
    </row>
    <row r="2059" spans="1:15" x14ac:dyDescent="0.25">
      <c r="A2059" s="13" t="s">
        <v>2071</v>
      </c>
      <c r="B2059" s="13" t="s">
        <v>2192</v>
      </c>
      <c r="C2059" s="13" t="s">
        <v>2199</v>
      </c>
      <c r="D2059" s="13" t="s">
        <v>2204</v>
      </c>
      <c r="F2059" s="13" t="s">
        <v>2215</v>
      </c>
      <c r="G2059" s="13">
        <v>19.96</v>
      </c>
      <c r="H2059" s="13">
        <v>0</v>
      </c>
      <c r="I2059" s="13">
        <v>19.96</v>
      </c>
      <c r="J2059" s="24">
        <v>45827</v>
      </c>
      <c r="K2059" s="13">
        <v>16</v>
      </c>
      <c r="L2059" s="13">
        <v>1.4</v>
      </c>
      <c r="M2059" s="13" t="b">
        <v>0</v>
      </c>
      <c r="O2059" s="13">
        <f t="shared" si="32"/>
        <v>1.4</v>
      </c>
    </row>
    <row r="2060" spans="1:15" x14ac:dyDescent="0.25">
      <c r="A2060" s="13" t="s">
        <v>2072</v>
      </c>
      <c r="B2060" s="13" t="s">
        <v>2191</v>
      </c>
      <c r="C2060" s="13" t="s">
        <v>2200</v>
      </c>
      <c r="D2060" s="13" t="s">
        <v>2206</v>
      </c>
      <c r="E2060" s="13" t="s">
        <v>2213</v>
      </c>
      <c r="F2060" s="13" t="s">
        <v>2220</v>
      </c>
      <c r="G2060" s="13">
        <v>90.46</v>
      </c>
      <c r="H2060" s="13">
        <v>54.1</v>
      </c>
      <c r="I2060" s="13">
        <v>41.52</v>
      </c>
      <c r="J2060" s="24">
        <v>45875</v>
      </c>
      <c r="K2060" s="13">
        <v>15</v>
      </c>
      <c r="L2060" s="13">
        <v>2.5</v>
      </c>
      <c r="M2060" s="13" t="b">
        <v>0</v>
      </c>
      <c r="O2060" s="13">
        <f t="shared" si="32"/>
        <v>2.5</v>
      </c>
    </row>
    <row r="2061" spans="1:15" x14ac:dyDescent="0.25">
      <c r="A2061" s="13" t="s">
        <v>2073</v>
      </c>
      <c r="B2061" s="13" t="s">
        <v>2193</v>
      </c>
      <c r="C2061" s="13" t="s">
        <v>2200</v>
      </c>
      <c r="D2061" s="13" t="s">
        <v>2206</v>
      </c>
      <c r="E2061" s="13" t="s">
        <v>2209</v>
      </c>
      <c r="F2061" s="13" t="s">
        <v>2219</v>
      </c>
      <c r="G2061" s="13">
        <v>189.24</v>
      </c>
      <c r="H2061" s="13">
        <v>0</v>
      </c>
      <c r="I2061" s="13">
        <v>189.24</v>
      </c>
      <c r="J2061" s="24">
        <v>45875</v>
      </c>
      <c r="K2061" s="13">
        <v>25</v>
      </c>
      <c r="L2061" s="13">
        <v>3.6</v>
      </c>
      <c r="M2061" s="13" t="b">
        <v>1</v>
      </c>
      <c r="N2061" s="13" t="s">
        <v>2225</v>
      </c>
      <c r="O2061" s="13">
        <f t="shared" si="32"/>
        <v>3.6</v>
      </c>
    </row>
    <row r="2062" spans="1:15" x14ac:dyDescent="0.25">
      <c r="A2062" s="13" t="s">
        <v>2074</v>
      </c>
      <c r="B2062" s="13" t="s">
        <v>2190</v>
      </c>
      <c r="C2062" s="13" t="s">
        <v>2198</v>
      </c>
      <c r="D2062" s="13" t="s">
        <v>2207</v>
      </c>
      <c r="E2062" s="13" t="s">
        <v>2211</v>
      </c>
      <c r="F2062" s="13" t="s">
        <v>2216</v>
      </c>
      <c r="G2062" s="13">
        <v>231.24</v>
      </c>
      <c r="H2062" s="13">
        <v>44.6</v>
      </c>
      <c r="I2062" s="13">
        <v>128.11000000000001</v>
      </c>
      <c r="J2062" s="24">
        <v>45875</v>
      </c>
      <c r="K2062" s="13">
        <v>15</v>
      </c>
      <c r="L2062" s="13">
        <v>3.7</v>
      </c>
      <c r="M2062" s="13" t="b">
        <v>0</v>
      </c>
      <c r="O2062" s="13">
        <f t="shared" si="32"/>
        <v>3.7</v>
      </c>
    </row>
    <row r="2063" spans="1:15" x14ac:dyDescent="0.25">
      <c r="A2063" s="13" t="s">
        <v>2075</v>
      </c>
      <c r="B2063" s="13" t="s">
        <v>2192</v>
      </c>
      <c r="C2063" s="13" t="s">
        <v>2199</v>
      </c>
      <c r="D2063" s="13" t="s">
        <v>2206</v>
      </c>
      <c r="F2063" s="13" t="s">
        <v>2221</v>
      </c>
      <c r="G2063" s="13">
        <v>66.48</v>
      </c>
      <c r="H2063" s="13">
        <v>0</v>
      </c>
      <c r="I2063" s="13">
        <v>66.48</v>
      </c>
      <c r="J2063" s="24">
        <v>45875</v>
      </c>
      <c r="K2063" s="13">
        <v>38</v>
      </c>
      <c r="L2063" s="13">
        <v>1.4</v>
      </c>
      <c r="M2063" s="13" t="b">
        <v>0</v>
      </c>
      <c r="O2063" s="13">
        <f t="shared" si="32"/>
        <v>1.4</v>
      </c>
    </row>
    <row r="2064" spans="1:15" x14ac:dyDescent="0.25">
      <c r="A2064" s="13" t="s">
        <v>2076</v>
      </c>
      <c r="B2064" s="13" t="s">
        <v>2192</v>
      </c>
      <c r="C2064" s="13" t="s">
        <v>2200</v>
      </c>
      <c r="D2064" s="13" t="s">
        <v>2206</v>
      </c>
      <c r="F2064" s="13" t="s">
        <v>2221</v>
      </c>
      <c r="G2064" s="13">
        <v>37.270000000000003</v>
      </c>
      <c r="H2064" s="13">
        <v>0</v>
      </c>
      <c r="I2064" s="13">
        <v>37.270000000000003</v>
      </c>
      <c r="J2064" s="24">
        <v>45875</v>
      </c>
      <c r="K2064" s="13">
        <v>15</v>
      </c>
      <c r="L2064" s="13">
        <v>3.8</v>
      </c>
      <c r="M2064" s="13" t="b">
        <v>0</v>
      </c>
      <c r="O2064" s="13">
        <f t="shared" si="32"/>
        <v>3.8</v>
      </c>
    </row>
    <row r="2065" spans="1:15" x14ac:dyDescent="0.25">
      <c r="A2065" s="13" t="s">
        <v>2077</v>
      </c>
      <c r="B2065" s="13" t="s">
        <v>2193</v>
      </c>
      <c r="C2065" s="13" t="s">
        <v>2197</v>
      </c>
      <c r="D2065" s="13" t="s">
        <v>2204</v>
      </c>
      <c r="E2065" s="13" t="s">
        <v>2209</v>
      </c>
      <c r="F2065" s="13" t="s">
        <v>2224</v>
      </c>
      <c r="G2065" s="13">
        <v>178.05</v>
      </c>
      <c r="H2065" s="13">
        <v>0</v>
      </c>
      <c r="I2065" s="13">
        <v>178.05</v>
      </c>
      <c r="J2065" s="24">
        <v>45724</v>
      </c>
      <c r="K2065" s="13">
        <v>24</v>
      </c>
      <c r="M2065" s="13" t="b">
        <v>0</v>
      </c>
      <c r="O2065" s="13">
        <f t="shared" si="32"/>
        <v>2.8205128205128198</v>
      </c>
    </row>
    <row r="2066" spans="1:15" x14ac:dyDescent="0.25">
      <c r="A2066" s="13" t="s">
        <v>2078</v>
      </c>
      <c r="B2066" s="13" t="s">
        <v>2191</v>
      </c>
      <c r="C2066" s="13" t="s">
        <v>2203</v>
      </c>
      <c r="D2066" s="13" t="s">
        <v>2204</v>
      </c>
      <c r="E2066" s="13" t="s">
        <v>2212</v>
      </c>
      <c r="F2066" s="13" t="s">
        <v>2215</v>
      </c>
      <c r="G2066" s="13">
        <v>73.760000000000005</v>
      </c>
      <c r="H2066" s="13">
        <v>0</v>
      </c>
      <c r="I2066" s="13">
        <v>73.760000000000005</v>
      </c>
      <c r="J2066" s="24">
        <v>45523</v>
      </c>
      <c r="K2066" s="13">
        <v>25</v>
      </c>
      <c r="L2066" s="13">
        <v>1.3</v>
      </c>
      <c r="M2066" s="13" t="b">
        <v>0</v>
      </c>
      <c r="O2066" s="13">
        <f t="shared" si="32"/>
        <v>1.3</v>
      </c>
    </row>
    <row r="2067" spans="1:15" x14ac:dyDescent="0.25">
      <c r="A2067" s="13" t="s">
        <v>2079</v>
      </c>
      <c r="B2067" s="13" t="s">
        <v>2194</v>
      </c>
      <c r="C2067" s="13" t="s">
        <v>2196</v>
      </c>
      <c r="D2067" s="13" t="s">
        <v>2205</v>
      </c>
      <c r="E2067" s="13" t="s">
        <v>2208</v>
      </c>
      <c r="F2067" s="13" t="s">
        <v>2215</v>
      </c>
      <c r="G2067" s="13">
        <v>36.229999999999997</v>
      </c>
      <c r="H2067" s="13">
        <v>0</v>
      </c>
      <c r="I2067" s="13">
        <v>36.229999999999997</v>
      </c>
      <c r="J2067" s="24">
        <v>45875</v>
      </c>
      <c r="K2067" s="13">
        <v>49</v>
      </c>
      <c r="M2067" s="13" t="b">
        <v>0</v>
      </c>
      <c r="O2067" s="13">
        <f t="shared" si="32"/>
        <v>2.9210526315789478</v>
      </c>
    </row>
    <row r="2068" spans="1:15" x14ac:dyDescent="0.25">
      <c r="A2068" s="13" t="s">
        <v>2080</v>
      </c>
      <c r="B2068" s="13" t="s">
        <v>2194</v>
      </c>
      <c r="C2068" s="13" t="s">
        <v>2200</v>
      </c>
      <c r="D2068" s="13" t="s">
        <v>2204</v>
      </c>
      <c r="E2068" s="13" t="s">
        <v>2210</v>
      </c>
      <c r="F2068" s="13" t="s">
        <v>2223</v>
      </c>
      <c r="G2068" s="13">
        <v>48.89</v>
      </c>
      <c r="H2068" s="13">
        <v>0</v>
      </c>
      <c r="I2068" s="13">
        <v>48.89</v>
      </c>
      <c r="J2068" s="24">
        <v>45636</v>
      </c>
      <c r="K2068" s="13">
        <v>9</v>
      </c>
      <c r="L2068" s="13">
        <v>3.1</v>
      </c>
      <c r="M2068" s="13" t="b">
        <v>0</v>
      </c>
      <c r="O2068" s="13">
        <f t="shared" si="32"/>
        <v>3.1</v>
      </c>
    </row>
    <row r="2069" spans="1:15" x14ac:dyDescent="0.25">
      <c r="A2069" s="13" t="s">
        <v>2081</v>
      </c>
      <c r="B2069" s="13" t="s">
        <v>2191</v>
      </c>
      <c r="C2069" s="13" t="s">
        <v>2200</v>
      </c>
      <c r="D2069" s="13" t="s">
        <v>2205</v>
      </c>
      <c r="E2069" s="13" t="s">
        <v>2208</v>
      </c>
      <c r="F2069" s="13" t="s">
        <v>2215</v>
      </c>
      <c r="G2069" s="13">
        <v>94.15</v>
      </c>
      <c r="H2069" s="13">
        <v>31</v>
      </c>
      <c r="I2069" s="13">
        <v>64.959999999999994</v>
      </c>
      <c r="J2069" s="24">
        <v>45875</v>
      </c>
      <c r="K2069" s="13">
        <v>25</v>
      </c>
      <c r="M2069" s="13" t="b">
        <v>0</v>
      </c>
      <c r="O2069" s="13">
        <f t="shared" si="32"/>
        <v>2.9657142857142857</v>
      </c>
    </row>
    <row r="2070" spans="1:15" x14ac:dyDescent="0.25">
      <c r="A2070" s="13" t="s">
        <v>2082</v>
      </c>
      <c r="B2070" s="13" t="s">
        <v>2192</v>
      </c>
      <c r="C2070" s="13" t="s">
        <v>2203</v>
      </c>
      <c r="D2070" s="13" t="s">
        <v>2207</v>
      </c>
      <c r="F2070" s="13" t="s">
        <v>2224</v>
      </c>
      <c r="G2070" s="13">
        <v>27.7</v>
      </c>
      <c r="H2070" s="13">
        <v>0</v>
      </c>
      <c r="I2070" s="13">
        <v>27.7</v>
      </c>
      <c r="J2070" s="24">
        <v>45875</v>
      </c>
      <c r="K2070" s="13">
        <v>27</v>
      </c>
      <c r="L2070" s="13">
        <v>4.8</v>
      </c>
      <c r="M2070" s="13" t="b">
        <v>0</v>
      </c>
      <c r="O2070" s="13">
        <f t="shared" si="32"/>
        <v>4.8</v>
      </c>
    </row>
    <row r="2071" spans="1:15" x14ac:dyDescent="0.25">
      <c r="A2071" s="13" t="s">
        <v>2083</v>
      </c>
      <c r="B2071" s="13" t="s">
        <v>2193</v>
      </c>
      <c r="C2071" s="13" t="s">
        <v>2200</v>
      </c>
      <c r="D2071" s="13" t="s">
        <v>2204</v>
      </c>
      <c r="E2071" s="13" t="s">
        <v>2211</v>
      </c>
      <c r="F2071" s="13" t="s">
        <v>2218</v>
      </c>
      <c r="G2071" s="13">
        <v>122.55</v>
      </c>
      <c r="H2071" s="13">
        <v>11.2</v>
      </c>
      <c r="I2071" s="13">
        <v>108.82</v>
      </c>
      <c r="J2071" s="24">
        <v>45567</v>
      </c>
      <c r="K2071" s="13">
        <v>23</v>
      </c>
      <c r="M2071" s="13" t="b">
        <v>0</v>
      </c>
      <c r="O2071" s="13">
        <f t="shared" si="32"/>
        <v>3.3021276595744684</v>
      </c>
    </row>
    <row r="2072" spans="1:15" x14ac:dyDescent="0.25">
      <c r="A2072" s="13" t="s">
        <v>2084</v>
      </c>
      <c r="B2072" s="13" t="s">
        <v>2195</v>
      </c>
      <c r="C2072" s="13" t="s">
        <v>2199</v>
      </c>
      <c r="D2072" s="13" t="s">
        <v>2204</v>
      </c>
      <c r="E2072" s="13" t="s">
        <v>2208</v>
      </c>
      <c r="F2072" s="13" t="s">
        <v>2215</v>
      </c>
      <c r="G2072" s="13">
        <v>173.77</v>
      </c>
      <c r="H2072" s="13">
        <v>17</v>
      </c>
      <c r="I2072" s="13">
        <v>144.22999999999999</v>
      </c>
      <c r="J2072" s="24">
        <v>45616</v>
      </c>
      <c r="K2072" s="13">
        <v>5</v>
      </c>
      <c r="L2072" s="13">
        <v>1.9</v>
      </c>
      <c r="M2072" s="13" t="b">
        <v>0</v>
      </c>
      <c r="O2072" s="13">
        <f t="shared" si="32"/>
        <v>1.9</v>
      </c>
    </row>
    <row r="2073" spans="1:15" x14ac:dyDescent="0.25">
      <c r="A2073" s="13" t="s">
        <v>2085</v>
      </c>
      <c r="B2073" s="13" t="s">
        <v>2192</v>
      </c>
      <c r="C2073" s="13" t="s">
        <v>2197</v>
      </c>
      <c r="D2073" s="13" t="s">
        <v>2207</v>
      </c>
      <c r="F2073" s="13" t="s">
        <v>2215</v>
      </c>
      <c r="G2073" s="13">
        <v>77.45</v>
      </c>
      <c r="H2073" s="13">
        <v>0</v>
      </c>
      <c r="I2073" s="13">
        <v>77.45</v>
      </c>
      <c r="J2073" s="24">
        <v>45875</v>
      </c>
      <c r="K2073" s="13">
        <v>0</v>
      </c>
      <c r="L2073" s="13">
        <v>3.1</v>
      </c>
      <c r="M2073" s="13" t="b">
        <v>0</v>
      </c>
      <c r="O2073" s="13">
        <f t="shared" si="32"/>
        <v>3.1</v>
      </c>
    </row>
    <row r="2074" spans="1:15" x14ac:dyDescent="0.25">
      <c r="A2074" s="13" t="s">
        <v>2086</v>
      </c>
      <c r="B2074" s="13" t="s">
        <v>2194</v>
      </c>
      <c r="C2074" s="13" t="s">
        <v>2197</v>
      </c>
      <c r="D2074" s="13" t="s">
        <v>2205</v>
      </c>
      <c r="E2074" s="13" t="s">
        <v>2213</v>
      </c>
      <c r="F2074" s="13" t="s">
        <v>2216</v>
      </c>
      <c r="G2074" s="13">
        <v>34.159999999999997</v>
      </c>
      <c r="H2074" s="13">
        <v>0</v>
      </c>
      <c r="I2074" s="13">
        <v>34.159999999999997</v>
      </c>
      <c r="J2074" s="24">
        <v>45875</v>
      </c>
      <c r="K2074" s="13">
        <v>37</v>
      </c>
      <c r="L2074" s="13">
        <v>1.3</v>
      </c>
      <c r="M2074" s="13" t="b">
        <v>0</v>
      </c>
      <c r="O2074" s="13">
        <f t="shared" si="32"/>
        <v>1.3</v>
      </c>
    </row>
    <row r="2075" spans="1:15" x14ac:dyDescent="0.25">
      <c r="A2075" s="13" t="s">
        <v>2087</v>
      </c>
      <c r="B2075" s="13" t="s">
        <v>2192</v>
      </c>
      <c r="C2075" s="13" t="s">
        <v>2203</v>
      </c>
      <c r="D2075" s="13" t="s">
        <v>2207</v>
      </c>
      <c r="F2075" s="13" t="s">
        <v>2217</v>
      </c>
      <c r="G2075" s="13">
        <v>71.3</v>
      </c>
      <c r="H2075" s="13">
        <v>0</v>
      </c>
      <c r="I2075" s="13">
        <v>71.3</v>
      </c>
      <c r="J2075" s="24">
        <v>45875</v>
      </c>
      <c r="K2075" s="13">
        <v>21</v>
      </c>
      <c r="L2075" s="13">
        <v>1.6</v>
      </c>
      <c r="M2075" s="13" t="b">
        <v>0</v>
      </c>
      <c r="O2075" s="13">
        <f t="shared" si="32"/>
        <v>1.6</v>
      </c>
    </row>
    <row r="2076" spans="1:15" x14ac:dyDescent="0.25">
      <c r="A2076" s="13" t="s">
        <v>2088</v>
      </c>
      <c r="B2076" s="13" t="s">
        <v>2191</v>
      </c>
      <c r="C2076" s="13" t="s">
        <v>2200</v>
      </c>
      <c r="D2076" s="13" t="s">
        <v>2207</v>
      </c>
      <c r="E2076" s="13" t="s">
        <v>2213</v>
      </c>
      <c r="F2076" s="13" t="s">
        <v>2224</v>
      </c>
      <c r="G2076" s="13">
        <v>63.67</v>
      </c>
      <c r="H2076" s="13">
        <v>0</v>
      </c>
      <c r="I2076" s="13">
        <v>63.67</v>
      </c>
      <c r="J2076" s="24">
        <v>45875</v>
      </c>
      <c r="K2076" s="13">
        <v>18</v>
      </c>
      <c r="L2076" s="13">
        <v>1.6</v>
      </c>
      <c r="M2076" s="13" t="b">
        <v>0</v>
      </c>
      <c r="O2076" s="13">
        <f t="shared" si="32"/>
        <v>1.6</v>
      </c>
    </row>
    <row r="2077" spans="1:15" x14ac:dyDescent="0.25">
      <c r="A2077" s="13" t="s">
        <v>2089</v>
      </c>
      <c r="B2077" s="13" t="s">
        <v>2190</v>
      </c>
      <c r="C2077" s="13" t="s">
        <v>2203</v>
      </c>
      <c r="D2077" s="13" t="s">
        <v>2206</v>
      </c>
      <c r="E2077" s="13" t="s">
        <v>2210</v>
      </c>
      <c r="F2077" s="13" t="s">
        <v>2218</v>
      </c>
      <c r="G2077" s="13">
        <v>249.98</v>
      </c>
      <c r="H2077" s="13">
        <v>0</v>
      </c>
      <c r="I2077" s="13">
        <v>249.98</v>
      </c>
      <c r="J2077" s="24">
        <v>45875</v>
      </c>
      <c r="K2077" s="13">
        <v>46</v>
      </c>
      <c r="L2077" s="13">
        <v>3.6</v>
      </c>
      <c r="M2077" s="13" t="b">
        <v>0</v>
      </c>
      <c r="O2077" s="13">
        <f t="shared" si="32"/>
        <v>3.6</v>
      </c>
    </row>
    <row r="2078" spans="1:15" x14ac:dyDescent="0.25">
      <c r="A2078" s="13" t="s">
        <v>2090</v>
      </c>
      <c r="B2078" s="13" t="s">
        <v>2190</v>
      </c>
      <c r="C2078" s="13" t="s">
        <v>2201</v>
      </c>
      <c r="D2078" s="13" t="s">
        <v>2204</v>
      </c>
      <c r="E2078" s="13" t="s">
        <v>2208</v>
      </c>
      <c r="F2078" s="13" t="s">
        <v>2220</v>
      </c>
      <c r="G2078" s="13">
        <v>103.92</v>
      </c>
      <c r="H2078" s="13">
        <v>0</v>
      </c>
      <c r="I2078" s="13">
        <v>103.92</v>
      </c>
      <c r="J2078" s="24">
        <v>45589</v>
      </c>
      <c r="K2078" s="13">
        <v>5</v>
      </c>
      <c r="M2078" s="13" t="b">
        <v>0</v>
      </c>
      <c r="O2078" s="13">
        <f t="shared" si="32"/>
        <v>3.0305555555555546</v>
      </c>
    </row>
    <row r="2079" spans="1:15" x14ac:dyDescent="0.25">
      <c r="A2079" s="13" t="s">
        <v>2091</v>
      </c>
      <c r="B2079" s="13" t="s">
        <v>2193</v>
      </c>
      <c r="C2079" s="13" t="s">
        <v>2197</v>
      </c>
      <c r="D2079" s="13" t="s">
        <v>2207</v>
      </c>
      <c r="E2079" s="13" t="s">
        <v>2208</v>
      </c>
      <c r="F2079" s="13" t="s">
        <v>2216</v>
      </c>
      <c r="G2079" s="13">
        <v>116.76</v>
      </c>
      <c r="H2079" s="13">
        <v>0</v>
      </c>
      <c r="I2079" s="13">
        <v>116.76</v>
      </c>
      <c r="J2079" s="24">
        <v>45875</v>
      </c>
      <c r="K2079" s="13">
        <v>13</v>
      </c>
      <c r="M2079" s="13" t="b">
        <v>0</v>
      </c>
      <c r="O2079" s="13">
        <f t="shared" si="32"/>
        <v>2.8205128205128198</v>
      </c>
    </row>
    <row r="2080" spans="1:15" x14ac:dyDescent="0.25">
      <c r="A2080" s="13" t="s">
        <v>2092</v>
      </c>
      <c r="B2080" s="13" t="s">
        <v>2193</v>
      </c>
      <c r="C2080" s="13" t="s">
        <v>2202</v>
      </c>
      <c r="D2080" s="13" t="s">
        <v>2205</v>
      </c>
      <c r="E2080" s="13" t="s">
        <v>2211</v>
      </c>
      <c r="F2080" s="13" t="s">
        <v>2217</v>
      </c>
      <c r="G2080" s="13">
        <v>102.61</v>
      </c>
      <c r="H2080" s="13">
        <v>0</v>
      </c>
      <c r="I2080" s="13">
        <v>102.61</v>
      </c>
      <c r="J2080" s="24">
        <v>45875</v>
      </c>
      <c r="K2080" s="13">
        <v>47</v>
      </c>
      <c r="L2080" s="13">
        <v>3.5</v>
      </c>
      <c r="M2080" s="13" t="b">
        <v>0</v>
      </c>
      <c r="O2080" s="13">
        <f t="shared" si="32"/>
        <v>3.5</v>
      </c>
    </row>
    <row r="2081" spans="1:15" x14ac:dyDescent="0.25">
      <c r="A2081" s="13" t="s">
        <v>2093</v>
      </c>
      <c r="B2081" s="13" t="s">
        <v>2192</v>
      </c>
      <c r="C2081" s="13" t="s">
        <v>2201</v>
      </c>
      <c r="D2081" s="13" t="s">
        <v>2204</v>
      </c>
      <c r="F2081" s="13" t="s">
        <v>2215</v>
      </c>
      <c r="G2081" s="13">
        <v>43.48</v>
      </c>
      <c r="H2081" s="13">
        <v>0</v>
      </c>
      <c r="I2081" s="13">
        <v>43.48</v>
      </c>
      <c r="J2081" s="24">
        <v>45527</v>
      </c>
      <c r="K2081" s="13">
        <v>11</v>
      </c>
      <c r="L2081" s="13">
        <v>4.7</v>
      </c>
      <c r="M2081" s="13" t="b">
        <v>0</v>
      </c>
      <c r="O2081" s="13">
        <f t="shared" si="32"/>
        <v>4.7</v>
      </c>
    </row>
    <row r="2082" spans="1:15" x14ac:dyDescent="0.25">
      <c r="A2082" s="13" t="s">
        <v>2094</v>
      </c>
      <c r="B2082" s="13" t="s">
        <v>2192</v>
      </c>
      <c r="C2082" s="13" t="s">
        <v>2203</v>
      </c>
      <c r="D2082" s="13" t="s">
        <v>2205</v>
      </c>
      <c r="F2082" s="13" t="s">
        <v>2215</v>
      </c>
      <c r="G2082" s="13">
        <v>39.9</v>
      </c>
      <c r="H2082" s="13">
        <v>0</v>
      </c>
      <c r="I2082" s="13">
        <v>39.9</v>
      </c>
      <c r="J2082" s="24">
        <v>45875</v>
      </c>
      <c r="K2082" s="13">
        <v>6</v>
      </c>
      <c r="L2082" s="13">
        <v>2.4</v>
      </c>
      <c r="M2082" s="13" t="b">
        <v>1</v>
      </c>
      <c r="N2082" s="13" t="s">
        <v>2227</v>
      </c>
      <c r="O2082" s="13">
        <f t="shared" si="32"/>
        <v>2.4</v>
      </c>
    </row>
    <row r="2083" spans="1:15" x14ac:dyDescent="0.25">
      <c r="A2083" s="13" t="s">
        <v>2095</v>
      </c>
      <c r="B2083" s="13" t="s">
        <v>2194</v>
      </c>
      <c r="C2083" s="13" t="s">
        <v>2196</v>
      </c>
      <c r="D2083" s="13" t="s">
        <v>2204</v>
      </c>
      <c r="E2083" s="13" t="s">
        <v>2210</v>
      </c>
      <c r="F2083" s="13" t="s">
        <v>2215</v>
      </c>
      <c r="G2083" s="13">
        <v>86</v>
      </c>
      <c r="H2083" s="13">
        <v>36.700000000000003</v>
      </c>
      <c r="I2083" s="13">
        <v>54.44</v>
      </c>
      <c r="J2083" s="24">
        <v>45770</v>
      </c>
      <c r="K2083" s="13">
        <v>18</v>
      </c>
      <c r="L2083" s="13">
        <v>2.4</v>
      </c>
      <c r="M2083" s="13" t="b">
        <v>1</v>
      </c>
      <c r="N2083" s="13" t="s">
        <v>2226</v>
      </c>
      <c r="O2083" s="13">
        <f t="shared" si="32"/>
        <v>2.4</v>
      </c>
    </row>
    <row r="2084" spans="1:15" x14ac:dyDescent="0.25">
      <c r="A2084" s="13" t="s">
        <v>2096</v>
      </c>
      <c r="B2084" s="13" t="s">
        <v>2193</v>
      </c>
      <c r="C2084" s="13" t="s">
        <v>2202</v>
      </c>
      <c r="D2084" s="13" t="s">
        <v>2207</v>
      </c>
      <c r="E2084" s="13" t="s">
        <v>2211</v>
      </c>
      <c r="F2084" s="13" t="s">
        <v>2219</v>
      </c>
      <c r="G2084" s="13">
        <v>154.47999999999999</v>
      </c>
      <c r="H2084" s="13">
        <v>58.5</v>
      </c>
      <c r="I2084" s="13">
        <v>64.11</v>
      </c>
      <c r="J2084" s="24">
        <v>45875</v>
      </c>
      <c r="K2084" s="13">
        <v>19</v>
      </c>
      <c r="L2084" s="13">
        <v>3.2</v>
      </c>
      <c r="M2084" s="13" t="b">
        <v>0</v>
      </c>
      <c r="O2084" s="13">
        <f t="shared" si="32"/>
        <v>3.2</v>
      </c>
    </row>
    <row r="2085" spans="1:15" x14ac:dyDescent="0.25">
      <c r="A2085" s="13" t="s">
        <v>2097</v>
      </c>
      <c r="B2085" s="13" t="s">
        <v>2195</v>
      </c>
      <c r="C2085" s="13" t="s">
        <v>2202</v>
      </c>
      <c r="D2085" s="13" t="s">
        <v>2207</v>
      </c>
      <c r="E2085" s="13" t="s">
        <v>2210</v>
      </c>
      <c r="F2085" s="13" t="s">
        <v>2214</v>
      </c>
      <c r="G2085" s="13">
        <v>141.97</v>
      </c>
      <c r="H2085" s="13">
        <v>35.299999999999997</v>
      </c>
      <c r="I2085" s="13">
        <v>91.85</v>
      </c>
      <c r="J2085" s="24">
        <v>45875</v>
      </c>
      <c r="K2085" s="13">
        <v>12</v>
      </c>
      <c r="L2085" s="13">
        <v>2.6</v>
      </c>
      <c r="M2085" s="13" t="b">
        <v>0</v>
      </c>
      <c r="O2085" s="13">
        <f t="shared" si="32"/>
        <v>2.6</v>
      </c>
    </row>
    <row r="2086" spans="1:15" x14ac:dyDescent="0.25">
      <c r="A2086" s="13" t="s">
        <v>2098</v>
      </c>
      <c r="B2086" s="13" t="s">
        <v>2190</v>
      </c>
      <c r="C2086" s="13" t="s">
        <v>2202</v>
      </c>
      <c r="D2086" s="13" t="s">
        <v>2204</v>
      </c>
      <c r="E2086" s="13" t="s">
        <v>2212</v>
      </c>
      <c r="F2086" s="13" t="s">
        <v>2214</v>
      </c>
      <c r="G2086" s="13">
        <v>119.36</v>
      </c>
      <c r="H2086" s="13">
        <v>0</v>
      </c>
      <c r="I2086" s="13">
        <v>119.36</v>
      </c>
      <c r="J2086" s="24">
        <v>45840</v>
      </c>
      <c r="K2086" s="13">
        <v>30</v>
      </c>
      <c r="L2086" s="13">
        <v>2.7</v>
      </c>
      <c r="M2086" s="13" t="b">
        <v>1</v>
      </c>
      <c r="N2086" s="13" t="s">
        <v>2226</v>
      </c>
      <c r="O2086" s="13">
        <f t="shared" si="32"/>
        <v>2.7</v>
      </c>
    </row>
    <row r="2087" spans="1:15" x14ac:dyDescent="0.25">
      <c r="A2087" s="13" t="s">
        <v>2099</v>
      </c>
      <c r="B2087" s="13" t="s">
        <v>2192</v>
      </c>
      <c r="C2087" s="13" t="s">
        <v>2203</v>
      </c>
      <c r="D2087" s="13" t="s">
        <v>2207</v>
      </c>
      <c r="F2087" s="13" t="s">
        <v>2222</v>
      </c>
      <c r="G2087" s="13">
        <v>15.71</v>
      </c>
      <c r="H2087" s="13">
        <v>47.6</v>
      </c>
      <c r="I2087" s="13">
        <v>8.23</v>
      </c>
      <c r="J2087" s="24">
        <v>45875</v>
      </c>
      <c r="K2087" s="13">
        <v>42</v>
      </c>
      <c r="L2087" s="13">
        <v>2</v>
      </c>
      <c r="M2087" s="13" t="b">
        <v>0</v>
      </c>
      <c r="O2087" s="13">
        <f t="shared" si="32"/>
        <v>2</v>
      </c>
    </row>
    <row r="2088" spans="1:15" x14ac:dyDescent="0.25">
      <c r="A2088" s="13" t="s">
        <v>2100</v>
      </c>
      <c r="B2088" s="13" t="s">
        <v>2193</v>
      </c>
      <c r="C2088" s="13" t="s">
        <v>2199</v>
      </c>
      <c r="D2088" s="13" t="s">
        <v>2205</v>
      </c>
      <c r="E2088" s="13" t="s">
        <v>2213</v>
      </c>
      <c r="F2088" s="13" t="s">
        <v>2216</v>
      </c>
      <c r="G2088" s="13">
        <v>89.12</v>
      </c>
      <c r="H2088" s="13">
        <v>0</v>
      </c>
      <c r="I2088" s="13">
        <v>89.12</v>
      </c>
      <c r="J2088" s="24">
        <v>45875</v>
      </c>
      <c r="K2088" s="13">
        <v>27</v>
      </c>
      <c r="M2088" s="13" t="b">
        <v>1</v>
      </c>
      <c r="N2088" s="13" t="s">
        <v>2227</v>
      </c>
      <c r="O2088" s="13">
        <f t="shared" si="32"/>
        <v>2.9804347826086954</v>
      </c>
    </row>
    <row r="2089" spans="1:15" x14ac:dyDescent="0.25">
      <c r="A2089" s="13" t="s">
        <v>2101</v>
      </c>
      <c r="B2089" s="13" t="s">
        <v>2194</v>
      </c>
      <c r="C2089" s="13" t="s">
        <v>2200</v>
      </c>
      <c r="D2089" s="13" t="s">
        <v>2206</v>
      </c>
      <c r="E2089" s="13" t="s">
        <v>2210</v>
      </c>
      <c r="F2089" s="13" t="s">
        <v>2219</v>
      </c>
      <c r="G2089" s="13">
        <v>30.43</v>
      </c>
      <c r="H2089" s="13">
        <v>0</v>
      </c>
      <c r="I2089" s="13">
        <v>30.43</v>
      </c>
      <c r="J2089" s="24">
        <v>45875</v>
      </c>
      <c r="K2089" s="13">
        <v>32</v>
      </c>
      <c r="L2089" s="13">
        <v>3.1</v>
      </c>
      <c r="M2089" s="13" t="b">
        <v>0</v>
      </c>
      <c r="O2089" s="13">
        <f t="shared" si="32"/>
        <v>3.1</v>
      </c>
    </row>
    <row r="2090" spans="1:15" x14ac:dyDescent="0.25">
      <c r="A2090" s="13" t="s">
        <v>2102</v>
      </c>
      <c r="B2090" s="13" t="s">
        <v>2195</v>
      </c>
      <c r="C2090" s="13" t="s">
        <v>2203</v>
      </c>
      <c r="D2090" s="13" t="s">
        <v>2205</v>
      </c>
      <c r="E2090" s="13" t="s">
        <v>2212</v>
      </c>
      <c r="F2090" s="13" t="s">
        <v>2215</v>
      </c>
      <c r="G2090" s="13">
        <v>115.4</v>
      </c>
      <c r="H2090" s="13">
        <v>0</v>
      </c>
      <c r="I2090" s="13">
        <v>115.4</v>
      </c>
      <c r="J2090" s="24">
        <v>45875</v>
      </c>
      <c r="K2090" s="13">
        <v>7</v>
      </c>
      <c r="L2090" s="13">
        <v>4.5</v>
      </c>
      <c r="M2090" s="13" t="b">
        <v>0</v>
      </c>
      <c r="O2090" s="13">
        <f t="shared" si="32"/>
        <v>4.5</v>
      </c>
    </row>
    <row r="2091" spans="1:15" x14ac:dyDescent="0.25">
      <c r="A2091" s="13" t="s">
        <v>2103</v>
      </c>
      <c r="B2091" s="13" t="s">
        <v>2190</v>
      </c>
      <c r="C2091" s="13" t="s">
        <v>2202</v>
      </c>
      <c r="D2091" s="13" t="s">
        <v>2205</v>
      </c>
      <c r="E2091" s="13" t="s">
        <v>2210</v>
      </c>
      <c r="F2091" s="13" t="s">
        <v>2214</v>
      </c>
      <c r="G2091" s="13">
        <v>155.19999999999999</v>
      </c>
      <c r="H2091" s="13">
        <v>0</v>
      </c>
      <c r="I2091" s="13">
        <v>155.19999999999999</v>
      </c>
      <c r="J2091" s="24">
        <v>45875</v>
      </c>
      <c r="K2091" s="13">
        <v>5</v>
      </c>
      <c r="L2091" s="13">
        <v>4.8</v>
      </c>
      <c r="M2091" s="13" t="b">
        <v>0</v>
      </c>
      <c r="O2091" s="13">
        <f t="shared" si="32"/>
        <v>4.8</v>
      </c>
    </row>
    <row r="2092" spans="1:15" x14ac:dyDescent="0.25">
      <c r="A2092" s="13" t="s">
        <v>2104</v>
      </c>
      <c r="B2092" s="13" t="s">
        <v>2194</v>
      </c>
      <c r="C2092" s="13" t="s">
        <v>2203</v>
      </c>
      <c r="D2092" s="13" t="s">
        <v>2206</v>
      </c>
      <c r="E2092" s="13" t="s">
        <v>2209</v>
      </c>
      <c r="F2092" s="13" t="s">
        <v>2218</v>
      </c>
      <c r="G2092" s="13">
        <v>104.83</v>
      </c>
      <c r="H2092" s="13">
        <v>0</v>
      </c>
      <c r="I2092" s="13">
        <v>104.83</v>
      </c>
      <c r="J2092" s="24">
        <v>45875</v>
      </c>
      <c r="K2092" s="13">
        <v>26</v>
      </c>
      <c r="L2092" s="13">
        <v>4</v>
      </c>
      <c r="M2092" s="13" t="b">
        <v>0</v>
      </c>
      <c r="O2092" s="13">
        <f t="shared" si="32"/>
        <v>4</v>
      </c>
    </row>
    <row r="2093" spans="1:15" x14ac:dyDescent="0.25">
      <c r="A2093" s="13" t="s">
        <v>2105</v>
      </c>
      <c r="B2093" s="13" t="s">
        <v>2192</v>
      </c>
      <c r="C2093" s="13" t="s">
        <v>2202</v>
      </c>
      <c r="D2093" s="13" t="s">
        <v>2207</v>
      </c>
      <c r="F2093" s="13" t="s">
        <v>2218</v>
      </c>
      <c r="G2093" s="13">
        <v>41.62</v>
      </c>
      <c r="H2093" s="13">
        <v>0</v>
      </c>
      <c r="I2093" s="13">
        <v>41.62</v>
      </c>
      <c r="J2093" s="24">
        <v>45875</v>
      </c>
      <c r="K2093" s="13">
        <v>33</v>
      </c>
      <c r="M2093" s="13" t="b">
        <v>0</v>
      </c>
      <c r="O2093" s="13">
        <f t="shared" si="32"/>
        <v>3.2720930232558145</v>
      </c>
    </row>
    <row r="2094" spans="1:15" x14ac:dyDescent="0.25">
      <c r="A2094" s="13" t="s">
        <v>2106</v>
      </c>
      <c r="B2094" s="13" t="s">
        <v>2194</v>
      </c>
      <c r="C2094" s="13" t="s">
        <v>2201</v>
      </c>
      <c r="D2094" s="13" t="s">
        <v>2204</v>
      </c>
      <c r="E2094" s="13" t="s">
        <v>2213</v>
      </c>
      <c r="F2094" s="13" t="s">
        <v>2221</v>
      </c>
      <c r="G2094" s="13">
        <v>94.92</v>
      </c>
      <c r="H2094" s="13">
        <v>0</v>
      </c>
      <c r="I2094" s="13">
        <v>94.92</v>
      </c>
      <c r="J2094" s="24">
        <v>45564</v>
      </c>
      <c r="K2094" s="13">
        <v>20</v>
      </c>
      <c r="L2094" s="13">
        <v>2.2999999999999998</v>
      </c>
      <c r="M2094" s="13" t="b">
        <v>0</v>
      </c>
      <c r="O2094" s="13">
        <f t="shared" si="32"/>
        <v>2.2999999999999998</v>
      </c>
    </row>
    <row r="2095" spans="1:15" x14ac:dyDescent="0.25">
      <c r="A2095" s="13" t="s">
        <v>2107</v>
      </c>
      <c r="B2095" s="13" t="s">
        <v>2194</v>
      </c>
      <c r="C2095" s="13" t="s">
        <v>2199</v>
      </c>
      <c r="D2095" s="13" t="s">
        <v>2206</v>
      </c>
      <c r="E2095" s="13" t="s">
        <v>2211</v>
      </c>
      <c r="F2095" s="13" t="s">
        <v>2214</v>
      </c>
      <c r="G2095" s="13">
        <v>107.92</v>
      </c>
      <c r="H2095" s="13">
        <v>22.2</v>
      </c>
      <c r="I2095" s="13">
        <v>83.96</v>
      </c>
      <c r="J2095" s="24">
        <v>45875</v>
      </c>
      <c r="K2095" s="13">
        <v>35</v>
      </c>
      <c r="L2095" s="13">
        <v>3.7</v>
      </c>
      <c r="M2095" s="13" t="b">
        <v>0</v>
      </c>
      <c r="O2095" s="13">
        <f t="shared" si="32"/>
        <v>3.7</v>
      </c>
    </row>
    <row r="2096" spans="1:15" x14ac:dyDescent="0.25">
      <c r="A2096" s="13" t="s">
        <v>2108</v>
      </c>
      <c r="B2096" s="13" t="s">
        <v>2192</v>
      </c>
      <c r="C2096" s="13" t="s">
        <v>2203</v>
      </c>
      <c r="D2096" s="13" t="s">
        <v>2207</v>
      </c>
      <c r="F2096" s="13" t="s">
        <v>2220</v>
      </c>
      <c r="G2096" s="13">
        <v>45.52</v>
      </c>
      <c r="H2096" s="13">
        <v>0</v>
      </c>
      <c r="I2096" s="13">
        <v>45.52</v>
      </c>
      <c r="J2096" s="24">
        <v>45875</v>
      </c>
      <c r="K2096" s="13">
        <v>41</v>
      </c>
      <c r="L2096" s="13">
        <v>1.6</v>
      </c>
      <c r="M2096" s="13" t="b">
        <v>0</v>
      </c>
      <c r="O2096" s="13">
        <f t="shared" si="32"/>
        <v>1.6</v>
      </c>
    </row>
    <row r="2097" spans="1:15" x14ac:dyDescent="0.25">
      <c r="A2097" s="13" t="s">
        <v>2109</v>
      </c>
      <c r="B2097" s="13" t="s">
        <v>2194</v>
      </c>
      <c r="C2097" s="13" t="s">
        <v>2202</v>
      </c>
      <c r="D2097" s="13" t="s">
        <v>2205</v>
      </c>
      <c r="E2097" s="13" t="s">
        <v>2213</v>
      </c>
      <c r="F2097" s="13" t="s">
        <v>2220</v>
      </c>
      <c r="G2097" s="13">
        <v>112.1</v>
      </c>
      <c r="H2097" s="13">
        <v>30.7</v>
      </c>
      <c r="I2097" s="13">
        <v>77.69</v>
      </c>
      <c r="J2097" s="24">
        <v>45875</v>
      </c>
      <c r="K2097" s="13">
        <v>10</v>
      </c>
      <c r="L2097" s="13">
        <v>1</v>
      </c>
      <c r="M2097" s="13" t="b">
        <v>0</v>
      </c>
      <c r="O2097" s="13">
        <f t="shared" si="32"/>
        <v>1</v>
      </c>
    </row>
    <row r="2098" spans="1:15" x14ac:dyDescent="0.25">
      <c r="A2098" s="13" t="s">
        <v>2110</v>
      </c>
      <c r="B2098" s="13" t="s">
        <v>2193</v>
      </c>
      <c r="C2098" s="13" t="s">
        <v>2197</v>
      </c>
      <c r="D2098" s="13" t="s">
        <v>2204</v>
      </c>
      <c r="E2098" s="13" t="s">
        <v>2209</v>
      </c>
      <c r="F2098" s="13" t="s">
        <v>2223</v>
      </c>
      <c r="G2098" s="13">
        <v>103.9</v>
      </c>
      <c r="H2098" s="13">
        <v>0</v>
      </c>
      <c r="I2098" s="13">
        <v>103.9</v>
      </c>
      <c r="J2098" s="24">
        <v>45861</v>
      </c>
      <c r="K2098" s="13">
        <v>27</v>
      </c>
      <c r="L2098" s="13">
        <v>2.1</v>
      </c>
      <c r="M2098" s="13" t="b">
        <v>0</v>
      </c>
      <c r="O2098" s="13">
        <f t="shared" si="32"/>
        <v>2.1</v>
      </c>
    </row>
    <row r="2099" spans="1:15" x14ac:dyDescent="0.25">
      <c r="A2099" s="13" t="s">
        <v>2111</v>
      </c>
      <c r="B2099" s="13" t="s">
        <v>2190</v>
      </c>
      <c r="C2099" s="13" t="s">
        <v>2198</v>
      </c>
      <c r="D2099" s="13" t="s">
        <v>2205</v>
      </c>
      <c r="E2099" s="13" t="s">
        <v>2209</v>
      </c>
      <c r="F2099" s="13" t="s">
        <v>2215</v>
      </c>
      <c r="G2099" s="13">
        <v>168.02</v>
      </c>
      <c r="H2099" s="13">
        <v>0</v>
      </c>
      <c r="I2099" s="13">
        <v>168.02</v>
      </c>
      <c r="J2099" s="24">
        <v>45875</v>
      </c>
      <c r="K2099" s="13">
        <v>30</v>
      </c>
      <c r="L2099" s="13">
        <v>1.6</v>
      </c>
      <c r="M2099" s="13" t="b">
        <v>1</v>
      </c>
      <c r="N2099" s="13" t="s">
        <v>2226</v>
      </c>
      <c r="O2099" s="13">
        <f t="shared" si="32"/>
        <v>1.6</v>
      </c>
    </row>
    <row r="2100" spans="1:15" x14ac:dyDescent="0.25">
      <c r="A2100" s="13" t="s">
        <v>2112</v>
      </c>
      <c r="B2100" s="13" t="s">
        <v>2193</v>
      </c>
      <c r="C2100" s="13" t="s">
        <v>2199</v>
      </c>
      <c r="D2100" s="13" t="s">
        <v>2206</v>
      </c>
      <c r="E2100" s="13" t="s">
        <v>2213</v>
      </c>
      <c r="F2100" s="13" t="s">
        <v>2224</v>
      </c>
      <c r="G2100" s="13">
        <v>80.41</v>
      </c>
      <c r="H2100" s="13">
        <v>0</v>
      </c>
      <c r="I2100" s="13">
        <v>80.41</v>
      </c>
      <c r="J2100" s="24">
        <v>45875</v>
      </c>
      <c r="K2100" s="13">
        <v>46</v>
      </c>
      <c r="L2100" s="13">
        <v>2.8</v>
      </c>
      <c r="M2100" s="13" t="b">
        <v>0</v>
      </c>
      <c r="O2100" s="13">
        <f t="shared" si="32"/>
        <v>2.8</v>
      </c>
    </row>
    <row r="2101" spans="1:15" x14ac:dyDescent="0.25">
      <c r="A2101" s="13" t="s">
        <v>2113</v>
      </c>
      <c r="B2101" s="13" t="s">
        <v>2194</v>
      </c>
      <c r="C2101" s="13" t="s">
        <v>2203</v>
      </c>
      <c r="D2101" s="13" t="s">
        <v>2204</v>
      </c>
      <c r="E2101" s="13" t="s">
        <v>2208</v>
      </c>
      <c r="F2101" s="13" t="s">
        <v>2220</v>
      </c>
      <c r="G2101" s="13">
        <v>102.76</v>
      </c>
      <c r="H2101" s="13">
        <v>0</v>
      </c>
      <c r="I2101" s="13">
        <v>102.76</v>
      </c>
      <c r="J2101" s="24">
        <v>45612</v>
      </c>
      <c r="K2101" s="13">
        <v>35</v>
      </c>
      <c r="L2101" s="13">
        <v>2.2000000000000002</v>
      </c>
      <c r="M2101" s="13" t="b">
        <v>0</v>
      </c>
      <c r="O2101" s="13">
        <f t="shared" si="32"/>
        <v>2.2000000000000002</v>
      </c>
    </row>
    <row r="2102" spans="1:15" x14ac:dyDescent="0.25">
      <c r="A2102" s="13" t="s">
        <v>2114</v>
      </c>
      <c r="B2102" s="13" t="s">
        <v>2191</v>
      </c>
      <c r="C2102" s="13" t="s">
        <v>2203</v>
      </c>
      <c r="D2102" s="13" t="s">
        <v>2206</v>
      </c>
      <c r="E2102" s="13" t="s">
        <v>2211</v>
      </c>
      <c r="F2102" s="13" t="s">
        <v>2216</v>
      </c>
      <c r="G2102" s="13">
        <v>81.2</v>
      </c>
      <c r="H2102" s="13">
        <v>0</v>
      </c>
      <c r="I2102" s="13">
        <v>81.2</v>
      </c>
      <c r="J2102" s="24">
        <v>45875</v>
      </c>
      <c r="K2102" s="13">
        <v>27</v>
      </c>
      <c r="L2102" s="13">
        <v>1.7</v>
      </c>
      <c r="M2102" s="13" t="b">
        <v>0</v>
      </c>
      <c r="O2102" s="13">
        <f t="shared" si="32"/>
        <v>1.7</v>
      </c>
    </row>
    <row r="2103" spans="1:15" x14ac:dyDescent="0.25">
      <c r="A2103" s="13" t="s">
        <v>2115</v>
      </c>
      <c r="B2103" s="13" t="s">
        <v>2192</v>
      </c>
      <c r="C2103" s="13" t="s">
        <v>2197</v>
      </c>
      <c r="D2103" s="13" t="s">
        <v>2206</v>
      </c>
      <c r="F2103" s="13" t="s">
        <v>2218</v>
      </c>
      <c r="G2103" s="13">
        <v>68.95</v>
      </c>
      <c r="H2103" s="13">
        <v>0</v>
      </c>
      <c r="I2103" s="13">
        <v>68.95</v>
      </c>
      <c r="J2103" s="24">
        <v>45875</v>
      </c>
      <c r="K2103" s="13">
        <v>47</v>
      </c>
      <c r="L2103" s="13">
        <v>3.6</v>
      </c>
      <c r="M2103" s="13" t="b">
        <v>0</v>
      </c>
      <c r="O2103" s="13">
        <f t="shared" si="32"/>
        <v>3.6</v>
      </c>
    </row>
    <row r="2104" spans="1:15" x14ac:dyDescent="0.25">
      <c r="A2104" s="13" t="s">
        <v>2116</v>
      </c>
      <c r="B2104" s="13" t="s">
        <v>2194</v>
      </c>
      <c r="C2104" s="13" t="s">
        <v>2196</v>
      </c>
      <c r="D2104" s="13" t="s">
        <v>2207</v>
      </c>
      <c r="E2104" s="13" t="s">
        <v>2212</v>
      </c>
      <c r="F2104" s="13" t="s">
        <v>2223</v>
      </c>
      <c r="G2104" s="13">
        <v>43.04</v>
      </c>
      <c r="H2104" s="13">
        <v>0</v>
      </c>
      <c r="I2104" s="13">
        <v>43.04</v>
      </c>
      <c r="J2104" s="24">
        <v>45875</v>
      </c>
      <c r="K2104" s="13">
        <v>26</v>
      </c>
      <c r="L2104" s="13">
        <v>4.8</v>
      </c>
      <c r="M2104" s="13" t="b">
        <v>1</v>
      </c>
      <c r="N2104" s="13" t="s">
        <v>2230</v>
      </c>
      <c r="O2104" s="13">
        <f t="shared" si="32"/>
        <v>4.8</v>
      </c>
    </row>
    <row r="2105" spans="1:15" x14ac:dyDescent="0.25">
      <c r="A2105" s="13" t="s">
        <v>2117</v>
      </c>
      <c r="B2105" s="13" t="s">
        <v>2191</v>
      </c>
      <c r="C2105" s="13" t="s">
        <v>2196</v>
      </c>
      <c r="D2105" s="13" t="s">
        <v>2204</v>
      </c>
      <c r="E2105" s="13" t="s">
        <v>2212</v>
      </c>
      <c r="F2105" s="13" t="s">
        <v>2221</v>
      </c>
      <c r="G2105" s="13">
        <v>81.819999999999993</v>
      </c>
      <c r="H2105" s="13">
        <v>0</v>
      </c>
      <c r="I2105" s="13">
        <v>81.819999999999993</v>
      </c>
      <c r="J2105" s="24">
        <v>45786</v>
      </c>
      <c r="K2105" s="13">
        <v>1</v>
      </c>
      <c r="L2105" s="13">
        <v>3.5</v>
      </c>
      <c r="M2105" s="13" t="b">
        <v>0</v>
      </c>
      <c r="O2105" s="13">
        <f t="shared" si="32"/>
        <v>3.5</v>
      </c>
    </row>
    <row r="2106" spans="1:15" x14ac:dyDescent="0.25">
      <c r="A2106" s="13" t="s">
        <v>2118</v>
      </c>
      <c r="B2106" s="13" t="s">
        <v>2192</v>
      </c>
      <c r="C2106" s="13" t="s">
        <v>2199</v>
      </c>
      <c r="D2106" s="13" t="s">
        <v>2207</v>
      </c>
      <c r="F2106" s="13" t="s">
        <v>2219</v>
      </c>
      <c r="G2106" s="13">
        <v>53.7</v>
      </c>
      <c r="H2106" s="13">
        <v>0</v>
      </c>
      <c r="I2106" s="13">
        <v>53.7</v>
      </c>
      <c r="J2106" s="24">
        <v>45875</v>
      </c>
      <c r="K2106" s="13">
        <v>16</v>
      </c>
      <c r="L2106" s="13">
        <v>1.4</v>
      </c>
      <c r="M2106" s="13" t="b">
        <v>1</v>
      </c>
      <c r="N2106" s="13" t="s">
        <v>2227</v>
      </c>
      <c r="O2106" s="13">
        <f t="shared" si="32"/>
        <v>1.4</v>
      </c>
    </row>
    <row r="2107" spans="1:15" x14ac:dyDescent="0.25">
      <c r="A2107" s="13" t="s">
        <v>2119</v>
      </c>
      <c r="B2107" s="13" t="s">
        <v>2191</v>
      </c>
      <c r="C2107" s="13" t="s">
        <v>2199</v>
      </c>
      <c r="D2107" s="13" t="s">
        <v>2207</v>
      </c>
      <c r="E2107" s="13" t="s">
        <v>2209</v>
      </c>
      <c r="F2107" s="13" t="s">
        <v>2214</v>
      </c>
      <c r="G2107" s="13">
        <v>100.11</v>
      </c>
      <c r="H2107" s="13">
        <v>0</v>
      </c>
      <c r="I2107" s="13">
        <v>100.11</v>
      </c>
      <c r="J2107" s="24">
        <v>45875</v>
      </c>
      <c r="K2107" s="13">
        <v>41</v>
      </c>
      <c r="L2107" s="13">
        <v>4.7</v>
      </c>
      <c r="M2107" s="13" t="b">
        <v>0</v>
      </c>
      <c r="O2107" s="13">
        <f t="shared" si="32"/>
        <v>4.7</v>
      </c>
    </row>
    <row r="2108" spans="1:15" x14ac:dyDescent="0.25">
      <c r="A2108" s="13" t="s">
        <v>2120</v>
      </c>
      <c r="B2108" s="13" t="s">
        <v>2192</v>
      </c>
      <c r="C2108" s="13" t="s">
        <v>2201</v>
      </c>
      <c r="D2108" s="13" t="s">
        <v>2205</v>
      </c>
      <c r="F2108" s="13" t="s">
        <v>2218</v>
      </c>
      <c r="G2108" s="13">
        <v>24.08</v>
      </c>
      <c r="H2108" s="13">
        <v>38.5</v>
      </c>
      <c r="I2108" s="13">
        <v>14.81</v>
      </c>
      <c r="J2108" s="24">
        <v>45875</v>
      </c>
      <c r="K2108" s="13">
        <v>43</v>
      </c>
      <c r="L2108" s="13">
        <v>4.0999999999999996</v>
      </c>
      <c r="M2108" s="13" t="b">
        <v>0</v>
      </c>
      <c r="O2108" s="13">
        <f t="shared" si="32"/>
        <v>4.0999999999999996</v>
      </c>
    </row>
    <row r="2109" spans="1:15" x14ac:dyDescent="0.25">
      <c r="A2109" s="13" t="s">
        <v>2121</v>
      </c>
      <c r="B2109" s="13" t="s">
        <v>2192</v>
      </c>
      <c r="C2109" s="13" t="s">
        <v>2201</v>
      </c>
      <c r="D2109" s="13" t="s">
        <v>2204</v>
      </c>
      <c r="F2109" s="13" t="s">
        <v>2214</v>
      </c>
      <c r="G2109" s="13">
        <v>74.77</v>
      </c>
      <c r="H2109" s="13">
        <v>0</v>
      </c>
      <c r="I2109" s="13">
        <v>74.77</v>
      </c>
      <c r="J2109" s="24">
        <v>45734</v>
      </c>
      <c r="K2109" s="13">
        <v>26</v>
      </c>
      <c r="L2109" s="13">
        <v>2.9</v>
      </c>
      <c r="M2109" s="13" t="b">
        <v>0</v>
      </c>
      <c r="O2109" s="13">
        <f t="shared" si="32"/>
        <v>2.9</v>
      </c>
    </row>
    <row r="2110" spans="1:15" x14ac:dyDescent="0.25">
      <c r="A2110" s="13" t="s">
        <v>2122</v>
      </c>
      <c r="B2110" s="13" t="s">
        <v>2195</v>
      </c>
      <c r="C2110" s="13" t="s">
        <v>2200</v>
      </c>
      <c r="D2110" s="13" t="s">
        <v>2204</v>
      </c>
      <c r="E2110" s="13" t="s">
        <v>2208</v>
      </c>
      <c r="F2110" s="13" t="s">
        <v>2222</v>
      </c>
      <c r="G2110" s="13">
        <v>105.98</v>
      </c>
      <c r="H2110" s="13">
        <v>0</v>
      </c>
      <c r="I2110" s="13">
        <v>105.98</v>
      </c>
      <c r="J2110" s="24">
        <v>45567</v>
      </c>
      <c r="K2110" s="13">
        <v>32</v>
      </c>
      <c r="L2110" s="13">
        <v>2.5</v>
      </c>
      <c r="M2110" s="13" t="b">
        <v>1</v>
      </c>
      <c r="N2110" s="13" t="s">
        <v>2226</v>
      </c>
      <c r="O2110" s="13">
        <f t="shared" si="32"/>
        <v>2.5</v>
      </c>
    </row>
    <row r="2111" spans="1:15" x14ac:dyDescent="0.25">
      <c r="A2111" s="13" t="s">
        <v>2123</v>
      </c>
      <c r="B2111" s="13" t="s">
        <v>2193</v>
      </c>
      <c r="C2111" s="13" t="s">
        <v>2196</v>
      </c>
      <c r="D2111" s="13" t="s">
        <v>2207</v>
      </c>
      <c r="E2111" s="13" t="s">
        <v>2209</v>
      </c>
      <c r="F2111" s="13" t="s">
        <v>2217</v>
      </c>
      <c r="G2111" s="13">
        <v>81.650000000000006</v>
      </c>
      <c r="H2111" s="13">
        <v>7.7</v>
      </c>
      <c r="I2111" s="13">
        <v>75.36</v>
      </c>
      <c r="J2111" s="24">
        <v>45875</v>
      </c>
      <c r="K2111" s="13">
        <v>23</v>
      </c>
      <c r="L2111" s="13">
        <v>2.6</v>
      </c>
      <c r="M2111" s="13" t="b">
        <v>0</v>
      </c>
      <c r="O2111" s="13">
        <f t="shared" si="32"/>
        <v>2.6</v>
      </c>
    </row>
    <row r="2112" spans="1:15" x14ac:dyDescent="0.25">
      <c r="A2112" s="13" t="s">
        <v>2124</v>
      </c>
      <c r="B2112" s="13" t="s">
        <v>2193</v>
      </c>
      <c r="C2112" s="13" t="s">
        <v>2203</v>
      </c>
      <c r="D2112" s="13" t="s">
        <v>2206</v>
      </c>
      <c r="E2112" s="13" t="s">
        <v>2210</v>
      </c>
      <c r="F2112" s="13" t="s">
        <v>2216</v>
      </c>
      <c r="G2112" s="13">
        <v>92.66</v>
      </c>
      <c r="H2112" s="13">
        <v>8.3000000000000007</v>
      </c>
      <c r="I2112" s="13">
        <v>84.97</v>
      </c>
      <c r="J2112" s="24">
        <v>45875</v>
      </c>
      <c r="K2112" s="13">
        <v>5</v>
      </c>
      <c r="L2112" s="13">
        <v>3.3</v>
      </c>
      <c r="M2112" s="13" t="b">
        <v>0</v>
      </c>
      <c r="O2112" s="13">
        <f t="shared" si="32"/>
        <v>3.3</v>
      </c>
    </row>
    <row r="2113" spans="1:15" x14ac:dyDescent="0.25">
      <c r="A2113" s="13" t="s">
        <v>2125</v>
      </c>
      <c r="B2113" s="13" t="s">
        <v>2192</v>
      </c>
      <c r="C2113" s="13" t="s">
        <v>2199</v>
      </c>
      <c r="D2113" s="13" t="s">
        <v>2207</v>
      </c>
      <c r="F2113" s="13" t="s">
        <v>2224</v>
      </c>
      <c r="G2113" s="13">
        <v>41.04</v>
      </c>
      <c r="H2113" s="13">
        <v>0</v>
      </c>
      <c r="I2113" s="13">
        <v>41.04</v>
      </c>
      <c r="J2113" s="24">
        <v>45875</v>
      </c>
      <c r="K2113" s="13">
        <v>43</v>
      </c>
      <c r="M2113" s="13" t="b">
        <v>0</v>
      </c>
      <c r="O2113" s="13">
        <f t="shared" si="32"/>
        <v>2.5131578947368416</v>
      </c>
    </row>
    <row r="2114" spans="1:15" x14ac:dyDescent="0.25">
      <c r="A2114" s="13" t="s">
        <v>2126</v>
      </c>
      <c r="B2114" s="13" t="s">
        <v>2190</v>
      </c>
      <c r="C2114" s="13" t="s">
        <v>2203</v>
      </c>
      <c r="D2114" s="13" t="s">
        <v>2206</v>
      </c>
      <c r="E2114" s="13" t="s">
        <v>2213</v>
      </c>
      <c r="F2114" s="13" t="s">
        <v>2215</v>
      </c>
      <c r="G2114" s="13">
        <v>169.98</v>
      </c>
      <c r="H2114" s="13">
        <v>5.8</v>
      </c>
      <c r="I2114" s="13">
        <v>160.12</v>
      </c>
      <c r="J2114" s="24">
        <v>45875</v>
      </c>
      <c r="K2114" s="13">
        <v>12</v>
      </c>
      <c r="L2114" s="13">
        <v>2.1</v>
      </c>
      <c r="M2114" s="13" t="b">
        <v>0</v>
      </c>
      <c r="O2114" s="13">
        <f t="shared" si="32"/>
        <v>2.1</v>
      </c>
    </row>
    <row r="2115" spans="1:15" x14ac:dyDescent="0.25">
      <c r="A2115" s="13" t="s">
        <v>2127</v>
      </c>
      <c r="B2115" s="13" t="s">
        <v>2192</v>
      </c>
      <c r="C2115" s="13" t="s">
        <v>2199</v>
      </c>
      <c r="D2115" s="13" t="s">
        <v>2205</v>
      </c>
      <c r="F2115" s="13" t="s">
        <v>2214</v>
      </c>
      <c r="G2115" s="13">
        <v>66.12</v>
      </c>
      <c r="H2115" s="13">
        <v>51</v>
      </c>
      <c r="I2115" s="13">
        <v>32.4</v>
      </c>
      <c r="J2115" s="24">
        <v>45875</v>
      </c>
      <c r="K2115" s="13">
        <v>17</v>
      </c>
      <c r="L2115" s="13">
        <v>2.2000000000000002</v>
      </c>
      <c r="M2115" s="13" t="b">
        <v>0</v>
      </c>
      <c r="O2115" s="13">
        <f t="shared" ref="O2115:O2177" si="33">IF(L2115="",AVERAGEIFS($L$2:$L$2177,$B$2:$B$2177,B2115,$C$2:$C$2177,C2115),L2115)</f>
        <v>2.2000000000000002</v>
      </c>
    </row>
    <row r="2116" spans="1:15" x14ac:dyDescent="0.25">
      <c r="A2116" s="13" t="s">
        <v>2128</v>
      </c>
      <c r="B2116" s="13" t="s">
        <v>2195</v>
      </c>
      <c r="C2116" s="13" t="s">
        <v>2198</v>
      </c>
      <c r="D2116" s="13" t="s">
        <v>2204</v>
      </c>
      <c r="E2116" s="13" t="s">
        <v>2210</v>
      </c>
      <c r="F2116" s="13" t="s">
        <v>2223</v>
      </c>
      <c r="G2116" s="13">
        <v>139.87</v>
      </c>
      <c r="H2116" s="13">
        <v>14.5</v>
      </c>
      <c r="I2116" s="13">
        <v>119.59</v>
      </c>
      <c r="J2116" s="24">
        <v>45548</v>
      </c>
      <c r="K2116" s="13">
        <v>13</v>
      </c>
      <c r="L2116" s="13">
        <v>1.3</v>
      </c>
      <c r="M2116" s="13" t="b">
        <v>0</v>
      </c>
      <c r="O2116" s="13">
        <f t="shared" si="33"/>
        <v>1.3</v>
      </c>
    </row>
    <row r="2117" spans="1:15" x14ac:dyDescent="0.25">
      <c r="A2117" s="13" t="s">
        <v>2129</v>
      </c>
      <c r="B2117" s="13" t="s">
        <v>2192</v>
      </c>
      <c r="C2117" s="13" t="s">
        <v>2196</v>
      </c>
      <c r="D2117" s="13" t="s">
        <v>2205</v>
      </c>
      <c r="F2117" s="13" t="s">
        <v>2215</v>
      </c>
      <c r="G2117" s="13">
        <v>70.23</v>
      </c>
      <c r="H2117" s="13">
        <v>49.9</v>
      </c>
      <c r="I2117" s="13">
        <v>35.19</v>
      </c>
      <c r="J2117" s="24">
        <v>45875</v>
      </c>
      <c r="K2117" s="13">
        <v>0</v>
      </c>
      <c r="L2117" s="13">
        <v>4.5999999999999996</v>
      </c>
      <c r="M2117" s="13" t="b">
        <v>1</v>
      </c>
      <c r="N2117" s="13" t="s">
        <v>2227</v>
      </c>
      <c r="O2117" s="13">
        <f t="shared" si="33"/>
        <v>4.5999999999999996</v>
      </c>
    </row>
    <row r="2118" spans="1:15" x14ac:dyDescent="0.25">
      <c r="A2118" s="13" t="s">
        <v>2130</v>
      </c>
      <c r="B2118" s="13" t="s">
        <v>2193</v>
      </c>
      <c r="C2118" s="13" t="s">
        <v>2196</v>
      </c>
      <c r="D2118" s="13" t="s">
        <v>2205</v>
      </c>
      <c r="E2118" s="13" t="s">
        <v>2208</v>
      </c>
      <c r="F2118" s="13" t="s">
        <v>2219</v>
      </c>
      <c r="G2118" s="13">
        <v>129.9</v>
      </c>
      <c r="H2118" s="13">
        <v>39.9</v>
      </c>
      <c r="I2118" s="13">
        <v>78.069999999999993</v>
      </c>
      <c r="J2118" s="24">
        <v>45875</v>
      </c>
      <c r="K2118" s="13">
        <v>28</v>
      </c>
      <c r="L2118" s="13">
        <v>1.3</v>
      </c>
      <c r="M2118" s="13" t="b">
        <v>0</v>
      </c>
      <c r="O2118" s="13">
        <f t="shared" si="33"/>
        <v>1.3</v>
      </c>
    </row>
    <row r="2119" spans="1:15" x14ac:dyDescent="0.25">
      <c r="A2119" s="13" t="s">
        <v>2131</v>
      </c>
      <c r="B2119" s="13" t="s">
        <v>2194</v>
      </c>
      <c r="C2119" s="13" t="s">
        <v>2196</v>
      </c>
      <c r="D2119" s="13" t="s">
        <v>2204</v>
      </c>
      <c r="E2119" s="13" t="s">
        <v>2209</v>
      </c>
      <c r="F2119" s="13" t="s">
        <v>2221</v>
      </c>
      <c r="G2119" s="13">
        <v>75.78</v>
      </c>
      <c r="H2119" s="13">
        <v>0</v>
      </c>
      <c r="I2119" s="13">
        <v>75.78</v>
      </c>
      <c r="J2119" s="24">
        <v>45685</v>
      </c>
      <c r="K2119" s="13">
        <v>12</v>
      </c>
      <c r="L2119" s="13">
        <v>3.6</v>
      </c>
      <c r="M2119" s="13" t="b">
        <v>0</v>
      </c>
      <c r="O2119" s="13">
        <f t="shared" si="33"/>
        <v>3.6</v>
      </c>
    </row>
    <row r="2120" spans="1:15" x14ac:dyDescent="0.25">
      <c r="A2120" s="13" t="s">
        <v>2132</v>
      </c>
      <c r="B2120" s="13" t="s">
        <v>2194</v>
      </c>
      <c r="C2120" s="13" t="s">
        <v>2200</v>
      </c>
      <c r="D2120" s="13" t="s">
        <v>2205</v>
      </c>
      <c r="E2120" s="13" t="s">
        <v>2213</v>
      </c>
      <c r="F2120" s="13" t="s">
        <v>2221</v>
      </c>
      <c r="G2120" s="13">
        <v>93.41</v>
      </c>
      <c r="H2120" s="13">
        <v>0</v>
      </c>
      <c r="I2120" s="13">
        <v>93.41</v>
      </c>
      <c r="J2120" s="24">
        <v>45875</v>
      </c>
      <c r="K2120" s="13">
        <v>4</v>
      </c>
      <c r="L2120" s="13">
        <v>3.2</v>
      </c>
      <c r="M2120" s="13" t="b">
        <v>1</v>
      </c>
      <c r="N2120" s="13" t="s">
        <v>2226</v>
      </c>
      <c r="O2120" s="13">
        <f t="shared" si="33"/>
        <v>3.2</v>
      </c>
    </row>
    <row r="2121" spans="1:15" x14ac:dyDescent="0.25">
      <c r="A2121" s="13" t="s">
        <v>2133</v>
      </c>
      <c r="B2121" s="13" t="s">
        <v>2191</v>
      </c>
      <c r="C2121" s="13" t="s">
        <v>2198</v>
      </c>
      <c r="D2121" s="13" t="s">
        <v>2204</v>
      </c>
      <c r="E2121" s="13" t="s">
        <v>2209</v>
      </c>
      <c r="F2121" s="13" t="s">
        <v>2214</v>
      </c>
      <c r="G2121" s="13">
        <v>66.900000000000006</v>
      </c>
      <c r="H2121" s="13">
        <v>0</v>
      </c>
      <c r="I2121" s="13">
        <v>66.900000000000006</v>
      </c>
      <c r="J2121" s="24">
        <v>45784</v>
      </c>
      <c r="K2121" s="13">
        <v>1</v>
      </c>
      <c r="L2121" s="13">
        <v>2.8</v>
      </c>
      <c r="M2121" s="13" t="b">
        <v>0</v>
      </c>
      <c r="O2121" s="13">
        <f t="shared" si="33"/>
        <v>2.8</v>
      </c>
    </row>
    <row r="2122" spans="1:15" x14ac:dyDescent="0.25">
      <c r="A2122" s="13" t="s">
        <v>2134</v>
      </c>
      <c r="B2122" s="13" t="s">
        <v>2191</v>
      </c>
      <c r="C2122" s="13" t="s">
        <v>2199</v>
      </c>
      <c r="D2122" s="13" t="s">
        <v>2206</v>
      </c>
      <c r="E2122" s="13" t="s">
        <v>2209</v>
      </c>
      <c r="F2122" s="13" t="s">
        <v>2220</v>
      </c>
      <c r="G2122" s="13">
        <v>110.45</v>
      </c>
      <c r="H2122" s="13">
        <v>6.6</v>
      </c>
      <c r="I2122" s="13">
        <v>103.16</v>
      </c>
      <c r="J2122" s="24">
        <v>45875</v>
      </c>
      <c r="K2122" s="13">
        <v>6</v>
      </c>
      <c r="M2122" s="13" t="b">
        <v>0</v>
      </c>
      <c r="O2122" s="13">
        <f t="shared" si="33"/>
        <v>2.9742857142857138</v>
      </c>
    </row>
    <row r="2123" spans="1:15" x14ac:dyDescent="0.25">
      <c r="A2123" s="13" t="s">
        <v>2135</v>
      </c>
      <c r="B2123" s="13" t="s">
        <v>2194</v>
      </c>
      <c r="C2123" s="13" t="s">
        <v>2196</v>
      </c>
      <c r="D2123" s="13" t="s">
        <v>2206</v>
      </c>
      <c r="E2123" s="13" t="s">
        <v>2209</v>
      </c>
      <c r="F2123" s="13" t="s">
        <v>2218</v>
      </c>
      <c r="G2123" s="13">
        <v>52.73</v>
      </c>
      <c r="H2123" s="13">
        <v>0</v>
      </c>
      <c r="I2123" s="13">
        <v>52.73</v>
      </c>
      <c r="J2123" s="24">
        <v>45875</v>
      </c>
      <c r="K2123" s="13">
        <v>10</v>
      </c>
      <c r="L2123" s="13">
        <v>4.5</v>
      </c>
      <c r="M2123" s="13" t="b">
        <v>0</v>
      </c>
      <c r="O2123" s="13">
        <f t="shared" si="33"/>
        <v>4.5</v>
      </c>
    </row>
    <row r="2124" spans="1:15" x14ac:dyDescent="0.25">
      <c r="A2124" s="13" t="s">
        <v>2136</v>
      </c>
      <c r="B2124" s="13" t="s">
        <v>2190</v>
      </c>
      <c r="C2124" s="13" t="s">
        <v>2201</v>
      </c>
      <c r="D2124" s="13" t="s">
        <v>2206</v>
      </c>
      <c r="E2124" s="13" t="s">
        <v>2209</v>
      </c>
      <c r="F2124" s="13" t="s">
        <v>2219</v>
      </c>
      <c r="G2124" s="13">
        <v>89.13</v>
      </c>
      <c r="H2124" s="13">
        <v>0</v>
      </c>
      <c r="I2124" s="13">
        <v>89.13</v>
      </c>
      <c r="J2124" s="24">
        <v>45875</v>
      </c>
      <c r="K2124" s="13">
        <v>17</v>
      </c>
      <c r="L2124" s="13">
        <v>4.0999999999999996</v>
      </c>
      <c r="M2124" s="13" t="b">
        <v>0</v>
      </c>
      <c r="O2124" s="13">
        <f t="shared" si="33"/>
        <v>4.0999999999999996</v>
      </c>
    </row>
    <row r="2125" spans="1:15" x14ac:dyDescent="0.25">
      <c r="A2125" s="13" t="s">
        <v>2137</v>
      </c>
      <c r="B2125" s="13" t="s">
        <v>2190</v>
      </c>
      <c r="C2125" s="13" t="s">
        <v>2198</v>
      </c>
      <c r="D2125" s="13" t="s">
        <v>2207</v>
      </c>
      <c r="E2125" s="13" t="s">
        <v>2209</v>
      </c>
      <c r="F2125" s="13" t="s">
        <v>2220</v>
      </c>
      <c r="G2125" s="13">
        <v>171.78</v>
      </c>
      <c r="H2125" s="13">
        <v>44.1</v>
      </c>
      <c r="I2125" s="13">
        <v>96.03</v>
      </c>
      <c r="J2125" s="24">
        <v>45875</v>
      </c>
      <c r="K2125" s="13">
        <v>25</v>
      </c>
      <c r="M2125" s="13" t="b">
        <v>1</v>
      </c>
      <c r="N2125" s="13" t="s">
        <v>2225</v>
      </c>
      <c r="O2125" s="13">
        <f t="shared" si="33"/>
        <v>3.0177777777777774</v>
      </c>
    </row>
    <row r="2126" spans="1:15" x14ac:dyDescent="0.25">
      <c r="A2126" s="13" t="s">
        <v>2138</v>
      </c>
      <c r="B2126" s="13" t="s">
        <v>2193</v>
      </c>
      <c r="C2126" s="13" t="s">
        <v>2202</v>
      </c>
      <c r="D2126" s="13" t="s">
        <v>2205</v>
      </c>
      <c r="E2126" s="13" t="s">
        <v>2213</v>
      </c>
      <c r="F2126" s="13" t="s">
        <v>2215</v>
      </c>
      <c r="G2126" s="13">
        <v>129</v>
      </c>
      <c r="H2126" s="13">
        <v>0</v>
      </c>
      <c r="I2126" s="13">
        <v>129</v>
      </c>
      <c r="J2126" s="24">
        <v>45875</v>
      </c>
      <c r="K2126" s="13">
        <v>13</v>
      </c>
      <c r="L2126" s="13">
        <v>3.8</v>
      </c>
      <c r="M2126" s="13" t="b">
        <v>1</v>
      </c>
      <c r="N2126" s="13" t="s">
        <v>2229</v>
      </c>
      <c r="O2126" s="13">
        <f t="shared" si="33"/>
        <v>3.8</v>
      </c>
    </row>
    <row r="2127" spans="1:15" x14ac:dyDescent="0.25">
      <c r="A2127" s="13" t="s">
        <v>2139</v>
      </c>
      <c r="B2127" s="13" t="s">
        <v>2193</v>
      </c>
      <c r="C2127" s="13" t="s">
        <v>2196</v>
      </c>
      <c r="D2127" s="13" t="s">
        <v>2207</v>
      </c>
      <c r="E2127" s="13" t="s">
        <v>2212</v>
      </c>
      <c r="F2127" s="13" t="s">
        <v>2224</v>
      </c>
      <c r="G2127" s="13">
        <v>160.59</v>
      </c>
      <c r="H2127" s="13">
        <v>0</v>
      </c>
      <c r="I2127" s="13">
        <v>160.59</v>
      </c>
      <c r="J2127" s="24">
        <v>45875</v>
      </c>
      <c r="K2127" s="13">
        <v>8</v>
      </c>
      <c r="L2127" s="13">
        <v>2.9</v>
      </c>
      <c r="M2127" s="13" t="b">
        <v>0</v>
      </c>
      <c r="O2127" s="13">
        <f t="shared" si="33"/>
        <v>2.9</v>
      </c>
    </row>
    <row r="2128" spans="1:15" x14ac:dyDescent="0.25">
      <c r="A2128" s="13" t="s">
        <v>2140</v>
      </c>
      <c r="B2128" s="13" t="s">
        <v>2191</v>
      </c>
      <c r="C2128" s="13" t="s">
        <v>2198</v>
      </c>
      <c r="D2128" s="13" t="s">
        <v>2207</v>
      </c>
      <c r="E2128" s="13" t="s">
        <v>2209</v>
      </c>
      <c r="F2128" s="13" t="s">
        <v>2214</v>
      </c>
      <c r="G2128" s="13">
        <v>56.38</v>
      </c>
      <c r="H2128" s="13">
        <v>0</v>
      </c>
      <c r="I2128" s="13">
        <v>56.38</v>
      </c>
      <c r="J2128" s="24">
        <v>45875</v>
      </c>
      <c r="K2128" s="13">
        <v>9</v>
      </c>
      <c r="M2128" s="13" t="b">
        <v>0</v>
      </c>
      <c r="O2128" s="13">
        <f t="shared" si="33"/>
        <v>2.953125</v>
      </c>
    </row>
    <row r="2129" spans="1:15" x14ac:dyDescent="0.25">
      <c r="A2129" s="13" t="s">
        <v>2141</v>
      </c>
      <c r="B2129" s="13" t="s">
        <v>2190</v>
      </c>
      <c r="C2129" s="13" t="s">
        <v>2202</v>
      </c>
      <c r="D2129" s="13" t="s">
        <v>2205</v>
      </c>
      <c r="E2129" s="13" t="s">
        <v>2209</v>
      </c>
      <c r="F2129" s="13" t="s">
        <v>2220</v>
      </c>
      <c r="G2129" s="13">
        <v>109.2</v>
      </c>
      <c r="H2129" s="13">
        <v>26.6</v>
      </c>
      <c r="I2129" s="13">
        <v>80.150000000000006</v>
      </c>
      <c r="J2129" s="24">
        <v>45875</v>
      </c>
      <c r="K2129" s="13">
        <v>21</v>
      </c>
      <c r="L2129" s="13">
        <v>3.9</v>
      </c>
      <c r="M2129" s="13" t="b">
        <v>1</v>
      </c>
      <c r="N2129" s="13" t="s">
        <v>2228</v>
      </c>
      <c r="O2129" s="13">
        <f t="shared" si="33"/>
        <v>3.9</v>
      </c>
    </row>
    <row r="2130" spans="1:15" x14ac:dyDescent="0.25">
      <c r="A2130" s="13" t="s">
        <v>2142</v>
      </c>
      <c r="B2130" s="13" t="s">
        <v>2192</v>
      </c>
      <c r="C2130" s="13" t="s">
        <v>2197</v>
      </c>
      <c r="D2130" s="13" t="s">
        <v>2204</v>
      </c>
      <c r="F2130" s="13" t="s">
        <v>2215</v>
      </c>
      <c r="G2130" s="13">
        <v>21.43</v>
      </c>
      <c r="H2130" s="13">
        <v>0</v>
      </c>
      <c r="I2130" s="13">
        <v>21.43</v>
      </c>
      <c r="J2130" s="24">
        <v>45691</v>
      </c>
      <c r="K2130" s="13">
        <v>38</v>
      </c>
      <c r="L2130" s="13">
        <v>1.9</v>
      </c>
      <c r="M2130" s="13" t="b">
        <v>0</v>
      </c>
      <c r="O2130" s="13">
        <f t="shared" si="33"/>
        <v>1.9</v>
      </c>
    </row>
    <row r="2131" spans="1:15" x14ac:dyDescent="0.25">
      <c r="A2131" s="13" t="s">
        <v>2143</v>
      </c>
      <c r="B2131" s="13" t="s">
        <v>2193</v>
      </c>
      <c r="C2131" s="13" t="s">
        <v>2200</v>
      </c>
      <c r="D2131" s="13" t="s">
        <v>2205</v>
      </c>
      <c r="E2131" s="13" t="s">
        <v>2213</v>
      </c>
      <c r="F2131" s="13" t="s">
        <v>2223</v>
      </c>
      <c r="G2131" s="13">
        <v>87.11</v>
      </c>
      <c r="H2131" s="13">
        <v>0</v>
      </c>
      <c r="I2131" s="13">
        <v>87.11</v>
      </c>
      <c r="J2131" s="24">
        <v>45875</v>
      </c>
      <c r="K2131" s="13">
        <v>36</v>
      </c>
      <c r="L2131" s="13">
        <v>2.2999999999999998</v>
      </c>
      <c r="M2131" s="13" t="b">
        <v>0</v>
      </c>
      <c r="O2131" s="13">
        <f t="shared" si="33"/>
        <v>2.2999999999999998</v>
      </c>
    </row>
    <row r="2132" spans="1:15" x14ac:dyDescent="0.25">
      <c r="A2132" s="13" t="s">
        <v>2144</v>
      </c>
      <c r="B2132" s="13" t="s">
        <v>2192</v>
      </c>
      <c r="C2132" s="13" t="s">
        <v>2203</v>
      </c>
      <c r="D2132" s="13" t="s">
        <v>2206</v>
      </c>
      <c r="F2132" s="13" t="s">
        <v>2222</v>
      </c>
      <c r="G2132" s="13">
        <v>36.29</v>
      </c>
      <c r="H2132" s="13">
        <v>0</v>
      </c>
      <c r="I2132" s="13">
        <v>36.29</v>
      </c>
      <c r="J2132" s="24">
        <v>45875</v>
      </c>
      <c r="K2132" s="13">
        <v>47</v>
      </c>
      <c r="L2132" s="13">
        <v>2.8</v>
      </c>
      <c r="M2132" s="13" t="b">
        <v>0</v>
      </c>
      <c r="O2132" s="13">
        <f t="shared" si="33"/>
        <v>2.8</v>
      </c>
    </row>
    <row r="2133" spans="1:15" x14ac:dyDescent="0.25">
      <c r="A2133" s="13" t="s">
        <v>2145</v>
      </c>
      <c r="B2133" s="13" t="s">
        <v>2195</v>
      </c>
      <c r="C2133" s="13" t="s">
        <v>2200</v>
      </c>
      <c r="D2133" s="13" t="s">
        <v>2204</v>
      </c>
      <c r="E2133" s="13" t="s">
        <v>2213</v>
      </c>
      <c r="F2133" s="13" t="s">
        <v>2220</v>
      </c>
      <c r="G2133" s="13">
        <v>105.59</v>
      </c>
      <c r="H2133" s="13">
        <v>0</v>
      </c>
      <c r="I2133" s="13">
        <v>105.59</v>
      </c>
      <c r="J2133" s="24">
        <v>45835</v>
      </c>
      <c r="K2133" s="13">
        <v>37</v>
      </c>
      <c r="L2133" s="13">
        <v>4.7</v>
      </c>
      <c r="M2133" s="13" t="b">
        <v>0</v>
      </c>
      <c r="O2133" s="13">
        <f t="shared" si="33"/>
        <v>4.7</v>
      </c>
    </row>
    <row r="2134" spans="1:15" x14ac:dyDescent="0.25">
      <c r="A2134" s="13" t="s">
        <v>2146</v>
      </c>
      <c r="B2134" s="13" t="s">
        <v>2195</v>
      </c>
      <c r="C2134" s="13" t="s">
        <v>2196</v>
      </c>
      <c r="D2134" s="13" t="s">
        <v>2206</v>
      </c>
      <c r="E2134" s="13" t="s">
        <v>2210</v>
      </c>
      <c r="F2134" s="13" t="s">
        <v>2216</v>
      </c>
      <c r="G2134" s="13">
        <v>93.5</v>
      </c>
      <c r="H2134" s="13">
        <v>0</v>
      </c>
      <c r="I2134" s="13">
        <v>93.5</v>
      </c>
      <c r="J2134" s="24">
        <v>45875</v>
      </c>
      <c r="K2134" s="13">
        <v>4</v>
      </c>
      <c r="L2134" s="13">
        <v>3.7</v>
      </c>
      <c r="M2134" s="13" t="b">
        <v>0</v>
      </c>
      <c r="O2134" s="13">
        <f t="shared" si="33"/>
        <v>3.7</v>
      </c>
    </row>
    <row r="2135" spans="1:15" x14ac:dyDescent="0.25">
      <c r="A2135" s="13" t="s">
        <v>2147</v>
      </c>
      <c r="B2135" s="13" t="s">
        <v>2192</v>
      </c>
      <c r="C2135" s="13" t="s">
        <v>2201</v>
      </c>
      <c r="D2135" s="13" t="s">
        <v>2205</v>
      </c>
      <c r="F2135" s="13" t="s">
        <v>2216</v>
      </c>
      <c r="G2135" s="13">
        <v>41.72</v>
      </c>
      <c r="H2135" s="13">
        <v>9.5</v>
      </c>
      <c r="I2135" s="13">
        <v>37.76</v>
      </c>
      <c r="J2135" s="24">
        <v>45875</v>
      </c>
      <c r="K2135" s="13">
        <v>9</v>
      </c>
      <c r="L2135" s="13">
        <v>3.9</v>
      </c>
      <c r="M2135" s="13" t="b">
        <v>0</v>
      </c>
      <c r="O2135" s="13">
        <f t="shared" si="33"/>
        <v>3.9</v>
      </c>
    </row>
    <row r="2136" spans="1:15" x14ac:dyDescent="0.25">
      <c r="A2136" s="13" t="s">
        <v>2148</v>
      </c>
      <c r="B2136" s="13" t="s">
        <v>2192</v>
      </c>
      <c r="C2136" s="13" t="s">
        <v>2199</v>
      </c>
      <c r="D2136" s="13" t="s">
        <v>2207</v>
      </c>
      <c r="F2136" s="13" t="s">
        <v>2214</v>
      </c>
      <c r="G2136" s="13">
        <v>74.540000000000006</v>
      </c>
      <c r="H2136" s="13">
        <v>58.1</v>
      </c>
      <c r="I2136" s="13">
        <v>31.23</v>
      </c>
      <c r="J2136" s="24">
        <v>45875</v>
      </c>
      <c r="K2136" s="13">
        <v>35</v>
      </c>
      <c r="L2136" s="13">
        <v>4.8</v>
      </c>
      <c r="M2136" s="13" t="b">
        <v>0</v>
      </c>
      <c r="O2136" s="13">
        <f t="shared" si="33"/>
        <v>4.8</v>
      </c>
    </row>
    <row r="2137" spans="1:15" x14ac:dyDescent="0.25">
      <c r="A2137" s="13" t="s">
        <v>2149</v>
      </c>
      <c r="B2137" s="13" t="s">
        <v>2195</v>
      </c>
      <c r="C2137" s="13" t="s">
        <v>2197</v>
      </c>
      <c r="D2137" s="13" t="s">
        <v>2204</v>
      </c>
      <c r="F2137" s="13" t="s">
        <v>2219</v>
      </c>
      <c r="G2137" s="13">
        <v>85.49</v>
      </c>
      <c r="H2137" s="13">
        <v>0</v>
      </c>
      <c r="I2137" s="13">
        <v>85.49</v>
      </c>
      <c r="J2137" s="24">
        <v>45642</v>
      </c>
      <c r="K2137" s="13">
        <v>0</v>
      </c>
      <c r="L2137" s="13">
        <v>3.7</v>
      </c>
      <c r="M2137" s="13" t="b">
        <v>0</v>
      </c>
      <c r="O2137" s="13">
        <f t="shared" si="33"/>
        <v>3.7</v>
      </c>
    </row>
    <row r="2138" spans="1:15" x14ac:dyDescent="0.25">
      <c r="A2138" s="13" t="s">
        <v>2150</v>
      </c>
      <c r="B2138" s="13" t="s">
        <v>2195</v>
      </c>
      <c r="C2138" s="13" t="s">
        <v>2196</v>
      </c>
      <c r="D2138" s="13" t="s">
        <v>2207</v>
      </c>
      <c r="E2138" s="13" t="s">
        <v>2213</v>
      </c>
      <c r="F2138" s="13" t="s">
        <v>2220</v>
      </c>
      <c r="G2138" s="13">
        <v>131.05000000000001</v>
      </c>
      <c r="H2138" s="13">
        <v>0</v>
      </c>
      <c r="I2138" s="13">
        <v>131.05000000000001</v>
      </c>
      <c r="J2138" s="24">
        <v>45875</v>
      </c>
      <c r="K2138" s="13">
        <v>23</v>
      </c>
      <c r="L2138" s="13">
        <v>4.9000000000000004</v>
      </c>
      <c r="M2138" s="13" t="b">
        <v>0</v>
      </c>
      <c r="O2138" s="13">
        <f t="shared" si="33"/>
        <v>4.9000000000000004</v>
      </c>
    </row>
    <row r="2139" spans="1:15" x14ac:dyDescent="0.25">
      <c r="A2139" s="13" t="s">
        <v>2151</v>
      </c>
      <c r="B2139" s="13" t="s">
        <v>2194</v>
      </c>
      <c r="C2139" s="13" t="s">
        <v>2203</v>
      </c>
      <c r="D2139" s="13" t="s">
        <v>2207</v>
      </c>
      <c r="E2139" s="13" t="s">
        <v>2208</v>
      </c>
      <c r="F2139" s="13" t="s">
        <v>2215</v>
      </c>
      <c r="G2139" s="13">
        <v>63.5</v>
      </c>
      <c r="H2139" s="13">
        <v>0</v>
      </c>
      <c r="I2139" s="13">
        <v>63.5</v>
      </c>
      <c r="J2139" s="24">
        <v>45875</v>
      </c>
      <c r="K2139" s="13">
        <v>17</v>
      </c>
      <c r="L2139" s="13">
        <v>2.6</v>
      </c>
      <c r="M2139" s="13" t="b">
        <v>0</v>
      </c>
      <c r="O2139" s="13">
        <f t="shared" si="33"/>
        <v>2.6</v>
      </c>
    </row>
    <row r="2140" spans="1:15" x14ac:dyDescent="0.25">
      <c r="A2140" s="13" t="s">
        <v>2152</v>
      </c>
      <c r="B2140" s="13" t="s">
        <v>2191</v>
      </c>
      <c r="C2140" s="13" t="s">
        <v>2197</v>
      </c>
      <c r="D2140" s="13" t="s">
        <v>2206</v>
      </c>
      <c r="E2140" s="13" t="s">
        <v>2213</v>
      </c>
      <c r="F2140" s="13" t="s">
        <v>2221</v>
      </c>
      <c r="G2140" s="13">
        <v>75.540000000000006</v>
      </c>
      <c r="H2140" s="13">
        <v>0</v>
      </c>
      <c r="I2140" s="13">
        <v>75.540000000000006</v>
      </c>
      <c r="J2140" s="24">
        <v>45875</v>
      </c>
      <c r="K2140" s="13">
        <v>7</v>
      </c>
      <c r="L2140" s="13">
        <v>3.3</v>
      </c>
      <c r="M2140" s="13" t="b">
        <v>0</v>
      </c>
      <c r="O2140" s="13">
        <f t="shared" si="33"/>
        <v>3.3</v>
      </c>
    </row>
    <row r="2141" spans="1:15" x14ac:dyDescent="0.25">
      <c r="A2141" s="13" t="s">
        <v>2153</v>
      </c>
      <c r="B2141" s="13" t="s">
        <v>2191</v>
      </c>
      <c r="C2141" s="13" t="s">
        <v>2199</v>
      </c>
      <c r="D2141" s="13" t="s">
        <v>2206</v>
      </c>
      <c r="E2141" s="13" t="s">
        <v>2211</v>
      </c>
      <c r="F2141" s="13" t="s">
        <v>2221</v>
      </c>
      <c r="G2141" s="13">
        <v>110.77</v>
      </c>
      <c r="H2141" s="13">
        <v>0</v>
      </c>
      <c r="I2141" s="13">
        <v>110.77</v>
      </c>
      <c r="J2141" s="24">
        <v>45875</v>
      </c>
      <c r="K2141" s="13">
        <v>48</v>
      </c>
      <c r="L2141" s="13">
        <v>2.6</v>
      </c>
      <c r="M2141" s="13" t="b">
        <v>0</v>
      </c>
      <c r="O2141" s="13">
        <f t="shared" si="33"/>
        <v>2.6</v>
      </c>
    </row>
    <row r="2142" spans="1:15" x14ac:dyDescent="0.25">
      <c r="A2142" s="13" t="s">
        <v>2154</v>
      </c>
      <c r="B2142" s="13" t="s">
        <v>2193</v>
      </c>
      <c r="C2142" s="13" t="s">
        <v>2199</v>
      </c>
      <c r="D2142" s="13" t="s">
        <v>2207</v>
      </c>
      <c r="E2142" s="13" t="s">
        <v>2213</v>
      </c>
      <c r="F2142" s="13" t="s">
        <v>2217</v>
      </c>
      <c r="G2142" s="13">
        <v>190.71</v>
      </c>
      <c r="H2142" s="13">
        <v>6.3</v>
      </c>
      <c r="I2142" s="13">
        <v>178.7</v>
      </c>
      <c r="J2142" s="24">
        <v>45875</v>
      </c>
      <c r="K2142" s="13">
        <v>1</v>
      </c>
      <c r="L2142" s="13">
        <v>2</v>
      </c>
      <c r="M2142" s="13" t="b">
        <v>0</v>
      </c>
      <c r="O2142" s="13">
        <f t="shared" si="33"/>
        <v>2</v>
      </c>
    </row>
    <row r="2143" spans="1:15" x14ac:dyDescent="0.25">
      <c r="A2143" s="13" t="s">
        <v>2155</v>
      </c>
      <c r="B2143" s="13" t="s">
        <v>2191</v>
      </c>
      <c r="C2143" s="13" t="s">
        <v>2199</v>
      </c>
      <c r="D2143" s="13" t="s">
        <v>2206</v>
      </c>
      <c r="E2143" s="13" t="s">
        <v>2209</v>
      </c>
      <c r="F2143" s="13" t="s">
        <v>2217</v>
      </c>
      <c r="G2143" s="13">
        <v>100.56</v>
      </c>
      <c r="H2143" s="13">
        <v>17.3</v>
      </c>
      <c r="I2143" s="13">
        <v>83.16</v>
      </c>
      <c r="J2143" s="24">
        <v>45875</v>
      </c>
      <c r="K2143" s="13">
        <v>21</v>
      </c>
      <c r="L2143" s="13">
        <v>3.6</v>
      </c>
      <c r="M2143" s="13" t="b">
        <v>0</v>
      </c>
      <c r="O2143" s="13">
        <f t="shared" si="33"/>
        <v>3.6</v>
      </c>
    </row>
    <row r="2144" spans="1:15" x14ac:dyDescent="0.25">
      <c r="A2144" s="13" t="s">
        <v>2156</v>
      </c>
      <c r="B2144" s="13" t="s">
        <v>2190</v>
      </c>
      <c r="C2144" s="13" t="s">
        <v>2203</v>
      </c>
      <c r="D2144" s="13" t="s">
        <v>2207</v>
      </c>
      <c r="E2144" s="13" t="s">
        <v>2211</v>
      </c>
      <c r="F2144" s="13" t="s">
        <v>2215</v>
      </c>
      <c r="G2144" s="13">
        <v>221.59</v>
      </c>
      <c r="H2144" s="13">
        <v>8.6</v>
      </c>
      <c r="I2144" s="13">
        <v>202.53</v>
      </c>
      <c r="J2144" s="24">
        <v>45875</v>
      </c>
      <c r="K2144" s="13">
        <v>5</v>
      </c>
      <c r="M2144" s="13" t="b">
        <v>0</v>
      </c>
      <c r="O2144" s="13">
        <f t="shared" si="33"/>
        <v>2.9718749999999998</v>
      </c>
    </row>
    <row r="2145" spans="1:15" x14ac:dyDescent="0.25">
      <c r="A2145" s="13" t="s">
        <v>2157</v>
      </c>
      <c r="B2145" s="13" t="s">
        <v>2194</v>
      </c>
      <c r="C2145" s="13" t="s">
        <v>2202</v>
      </c>
      <c r="D2145" s="13" t="s">
        <v>2207</v>
      </c>
      <c r="E2145" s="13" t="s">
        <v>2209</v>
      </c>
      <c r="F2145" s="13" t="s">
        <v>2221</v>
      </c>
      <c r="G2145" s="13">
        <v>55.21</v>
      </c>
      <c r="H2145" s="13">
        <v>0</v>
      </c>
      <c r="I2145" s="13">
        <v>55.21</v>
      </c>
      <c r="J2145" s="24">
        <v>45875</v>
      </c>
      <c r="K2145" s="13">
        <v>21</v>
      </c>
      <c r="L2145" s="13">
        <v>1.8</v>
      </c>
      <c r="M2145" s="13" t="b">
        <v>1</v>
      </c>
      <c r="N2145" s="13" t="s">
        <v>2230</v>
      </c>
      <c r="O2145" s="13">
        <f t="shared" si="33"/>
        <v>1.8</v>
      </c>
    </row>
    <row r="2146" spans="1:15" x14ac:dyDescent="0.25">
      <c r="A2146" s="13" t="s">
        <v>2158</v>
      </c>
      <c r="B2146" s="13" t="s">
        <v>2192</v>
      </c>
      <c r="C2146" s="13" t="s">
        <v>2197</v>
      </c>
      <c r="D2146" s="13" t="s">
        <v>2206</v>
      </c>
      <c r="F2146" s="13" t="s">
        <v>2216</v>
      </c>
      <c r="G2146" s="13">
        <v>17.87</v>
      </c>
      <c r="H2146" s="13">
        <v>0</v>
      </c>
      <c r="I2146" s="13">
        <v>17.87</v>
      </c>
      <c r="J2146" s="24">
        <v>45875</v>
      </c>
      <c r="K2146" s="13">
        <v>47</v>
      </c>
      <c r="M2146" s="13" t="b">
        <v>0</v>
      </c>
      <c r="O2146" s="13">
        <f t="shared" si="33"/>
        <v>3.1288461538461547</v>
      </c>
    </row>
    <row r="2147" spans="1:15" x14ac:dyDescent="0.25">
      <c r="A2147" s="13" t="s">
        <v>2159</v>
      </c>
      <c r="B2147" s="13" t="s">
        <v>2194</v>
      </c>
      <c r="C2147" s="13" t="s">
        <v>2197</v>
      </c>
      <c r="D2147" s="13" t="s">
        <v>2207</v>
      </c>
      <c r="E2147" s="13" t="s">
        <v>2212</v>
      </c>
      <c r="F2147" s="13" t="s">
        <v>2215</v>
      </c>
      <c r="G2147" s="13">
        <v>56.57</v>
      </c>
      <c r="H2147" s="13">
        <v>0</v>
      </c>
      <c r="I2147" s="13">
        <v>56.57</v>
      </c>
      <c r="J2147" s="24">
        <v>45875</v>
      </c>
      <c r="K2147" s="13">
        <v>43</v>
      </c>
      <c r="L2147" s="13">
        <v>4.4000000000000004</v>
      </c>
      <c r="M2147" s="13" t="b">
        <v>1</v>
      </c>
      <c r="N2147" s="13" t="s">
        <v>2226</v>
      </c>
      <c r="O2147" s="13">
        <f t="shared" si="33"/>
        <v>4.4000000000000004</v>
      </c>
    </row>
    <row r="2148" spans="1:15" x14ac:dyDescent="0.25">
      <c r="A2148" s="13" t="s">
        <v>2160</v>
      </c>
      <c r="B2148" s="13" t="s">
        <v>2192</v>
      </c>
      <c r="C2148" s="13" t="s">
        <v>2202</v>
      </c>
      <c r="D2148" s="13" t="s">
        <v>2204</v>
      </c>
      <c r="F2148" s="13" t="s">
        <v>2223</v>
      </c>
      <c r="G2148" s="13">
        <v>47.74</v>
      </c>
      <c r="H2148" s="13">
        <v>0</v>
      </c>
      <c r="I2148" s="13">
        <v>47.74</v>
      </c>
      <c r="J2148" s="24">
        <v>45651</v>
      </c>
      <c r="K2148" s="13">
        <v>17</v>
      </c>
      <c r="L2148" s="13">
        <v>2.9</v>
      </c>
      <c r="M2148" s="13" t="b">
        <v>0</v>
      </c>
      <c r="O2148" s="13">
        <f t="shared" si="33"/>
        <v>2.9</v>
      </c>
    </row>
    <row r="2149" spans="1:15" x14ac:dyDescent="0.25">
      <c r="A2149" s="13" t="s">
        <v>2161</v>
      </c>
      <c r="B2149" s="13" t="s">
        <v>2195</v>
      </c>
      <c r="C2149" s="13" t="s">
        <v>2198</v>
      </c>
      <c r="D2149" s="13" t="s">
        <v>2206</v>
      </c>
      <c r="E2149" s="13" t="s">
        <v>2213</v>
      </c>
      <c r="F2149" s="13" t="s">
        <v>2222</v>
      </c>
      <c r="G2149" s="13">
        <v>152.88</v>
      </c>
      <c r="H2149" s="13">
        <v>8.9</v>
      </c>
      <c r="I2149" s="13">
        <v>139.27000000000001</v>
      </c>
      <c r="J2149" s="24">
        <v>45875</v>
      </c>
      <c r="K2149" s="13">
        <v>19</v>
      </c>
      <c r="L2149" s="13">
        <v>2.2000000000000002</v>
      </c>
      <c r="M2149" s="13" t="b">
        <v>0</v>
      </c>
      <c r="O2149" s="13">
        <f t="shared" si="33"/>
        <v>2.2000000000000002</v>
      </c>
    </row>
    <row r="2150" spans="1:15" x14ac:dyDescent="0.25">
      <c r="A2150" s="13" t="s">
        <v>2162</v>
      </c>
      <c r="B2150" s="13" t="s">
        <v>2190</v>
      </c>
      <c r="C2150" s="13" t="s">
        <v>2198</v>
      </c>
      <c r="D2150" s="13" t="s">
        <v>2205</v>
      </c>
      <c r="E2150" s="13" t="s">
        <v>2213</v>
      </c>
      <c r="F2150" s="13" t="s">
        <v>2221</v>
      </c>
      <c r="G2150" s="13">
        <v>199.61</v>
      </c>
      <c r="H2150" s="13">
        <v>37.700000000000003</v>
      </c>
      <c r="I2150" s="13">
        <v>124.36</v>
      </c>
      <c r="J2150" s="24">
        <v>45875</v>
      </c>
      <c r="K2150" s="13">
        <v>6</v>
      </c>
      <c r="M2150" s="13" t="b">
        <v>0</v>
      </c>
      <c r="O2150" s="13">
        <f t="shared" si="33"/>
        <v>3.0177777777777774</v>
      </c>
    </row>
    <row r="2151" spans="1:15" x14ac:dyDescent="0.25">
      <c r="A2151" s="13" t="s">
        <v>2163</v>
      </c>
      <c r="B2151" s="13" t="s">
        <v>2192</v>
      </c>
      <c r="C2151" s="13" t="s">
        <v>2202</v>
      </c>
      <c r="D2151" s="13" t="s">
        <v>2207</v>
      </c>
      <c r="F2151" s="13" t="s">
        <v>2218</v>
      </c>
      <c r="G2151" s="13">
        <v>57.25</v>
      </c>
      <c r="H2151" s="13">
        <v>0</v>
      </c>
      <c r="I2151" s="13">
        <v>57.25</v>
      </c>
      <c r="J2151" s="24">
        <v>45875</v>
      </c>
      <c r="K2151" s="13">
        <v>22</v>
      </c>
      <c r="L2151" s="13">
        <v>5</v>
      </c>
      <c r="M2151" s="13" t="b">
        <v>0</v>
      </c>
      <c r="O2151" s="13">
        <f t="shared" si="33"/>
        <v>5</v>
      </c>
    </row>
    <row r="2152" spans="1:15" x14ac:dyDescent="0.25">
      <c r="A2152" s="13" t="s">
        <v>2164</v>
      </c>
      <c r="B2152" s="13" t="s">
        <v>2195</v>
      </c>
      <c r="C2152" s="13" t="s">
        <v>2200</v>
      </c>
      <c r="D2152" s="13" t="s">
        <v>2206</v>
      </c>
      <c r="E2152" s="13" t="s">
        <v>2208</v>
      </c>
      <c r="F2152" s="13" t="s">
        <v>2219</v>
      </c>
      <c r="G2152" s="13">
        <v>134.41</v>
      </c>
      <c r="H2152" s="13">
        <v>55.3</v>
      </c>
      <c r="I2152" s="13">
        <v>60.08</v>
      </c>
      <c r="J2152" s="24">
        <v>45875</v>
      </c>
      <c r="K2152" s="13">
        <v>12</v>
      </c>
      <c r="L2152" s="13">
        <v>3.2</v>
      </c>
      <c r="M2152" s="13" t="b">
        <v>0</v>
      </c>
      <c r="O2152" s="13">
        <f t="shared" si="33"/>
        <v>3.2</v>
      </c>
    </row>
    <row r="2153" spans="1:15" x14ac:dyDescent="0.25">
      <c r="A2153" s="13" t="s">
        <v>2165</v>
      </c>
      <c r="B2153" s="13" t="s">
        <v>2194</v>
      </c>
      <c r="C2153" s="13" t="s">
        <v>2201</v>
      </c>
      <c r="D2153" s="13" t="s">
        <v>2206</v>
      </c>
      <c r="E2153" s="13" t="s">
        <v>2210</v>
      </c>
      <c r="F2153" s="13" t="s">
        <v>2224</v>
      </c>
      <c r="G2153" s="13">
        <v>111.43</v>
      </c>
      <c r="H2153" s="13">
        <v>43.5</v>
      </c>
      <c r="I2153" s="13">
        <v>62.96</v>
      </c>
      <c r="J2153" s="24">
        <v>45875</v>
      </c>
      <c r="K2153" s="13">
        <v>22</v>
      </c>
      <c r="L2153" s="13">
        <v>4.8</v>
      </c>
      <c r="M2153" s="13" t="b">
        <v>0</v>
      </c>
      <c r="O2153" s="13">
        <f t="shared" si="33"/>
        <v>4.8</v>
      </c>
    </row>
    <row r="2154" spans="1:15" x14ac:dyDescent="0.25">
      <c r="A2154" s="13" t="s">
        <v>2166</v>
      </c>
      <c r="B2154" s="13" t="s">
        <v>2192</v>
      </c>
      <c r="C2154" s="13" t="s">
        <v>2197</v>
      </c>
      <c r="D2154" s="13" t="s">
        <v>2204</v>
      </c>
      <c r="F2154" s="13" t="s">
        <v>2224</v>
      </c>
      <c r="G2154" s="13">
        <v>15.36</v>
      </c>
      <c r="H2154" s="13">
        <v>36.799999999999997</v>
      </c>
      <c r="I2154" s="13">
        <v>9.7100000000000009</v>
      </c>
      <c r="J2154" s="24">
        <v>45776</v>
      </c>
      <c r="K2154" s="13">
        <v>46</v>
      </c>
      <c r="L2154" s="13">
        <v>2.2999999999999998</v>
      </c>
      <c r="M2154" s="13" t="b">
        <v>0</v>
      </c>
      <c r="O2154" s="13">
        <f t="shared" si="33"/>
        <v>2.2999999999999998</v>
      </c>
    </row>
    <row r="2155" spans="1:15" x14ac:dyDescent="0.25">
      <c r="A2155" s="13" t="s">
        <v>2167</v>
      </c>
      <c r="B2155" s="13" t="s">
        <v>2191</v>
      </c>
      <c r="C2155" s="13" t="s">
        <v>2202</v>
      </c>
      <c r="D2155" s="13" t="s">
        <v>2206</v>
      </c>
      <c r="E2155" s="13" t="s">
        <v>2208</v>
      </c>
      <c r="F2155" s="13" t="s">
        <v>2216</v>
      </c>
      <c r="G2155" s="13">
        <v>100.03</v>
      </c>
      <c r="H2155" s="13">
        <v>51.8</v>
      </c>
      <c r="I2155" s="13">
        <v>48.21</v>
      </c>
      <c r="J2155" s="24">
        <v>45875</v>
      </c>
      <c r="K2155" s="13">
        <v>43</v>
      </c>
      <c r="L2155" s="13">
        <v>5</v>
      </c>
      <c r="M2155" s="13" t="b">
        <v>0</v>
      </c>
      <c r="O2155" s="13">
        <f t="shared" si="33"/>
        <v>5</v>
      </c>
    </row>
    <row r="2156" spans="1:15" x14ac:dyDescent="0.25">
      <c r="A2156" s="13" t="s">
        <v>2168</v>
      </c>
      <c r="B2156" s="13" t="s">
        <v>2193</v>
      </c>
      <c r="C2156" s="13" t="s">
        <v>2197</v>
      </c>
      <c r="D2156" s="13" t="s">
        <v>2207</v>
      </c>
      <c r="E2156" s="13" t="s">
        <v>2210</v>
      </c>
      <c r="F2156" s="13" t="s">
        <v>2216</v>
      </c>
      <c r="G2156" s="13">
        <v>173.75</v>
      </c>
      <c r="H2156" s="13">
        <v>19.2</v>
      </c>
      <c r="I2156" s="13">
        <v>140.38999999999999</v>
      </c>
      <c r="J2156" s="24">
        <v>45875</v>
      </c>
      <c r="K2156" s="13">
        <v>38</v>
      </c>
      <c r="M2156" s="13" t="b">
        <v>0</v>
      </c>
      <c r="O2156" s="13">
        <f t="shared" si="33"/>
        <v>2.8205128205128198</v>
      </c>
    </row>
    <row r="2157" spans="1:15" x14ac:dyDescent="0.25">
      <c r="A2157" s="13" t="s">
        <v>2169</v>
      </c>
      <c r="B2157" s="13" t="s">
        <v>2194</v>
      </c>
      <c r="C2157" s="13" t="s">
        <v>2202</v>
      </c>
      <c r="D2157" s="13" t="s">
        <v>2205</v>
      </c>
      <c r="E2157" s="13" t="s">
        <v>2208</v>
      </c>
      <c r="F2157" s="13" t="s">
        <v>2220</v>
      </c>
      <c r="G2157" s="13">
        <v>37.979999999999997</v>
      </c>
      <c r="H2157" s="13">
        <v>15.2</v>
      </c>
      <c r="I2157" s="13">
        <v>32.21</v>
      </c>
      <c r="J2157" s="24">
        <v>45875</v>
      </c>
      <c r="K2157" s="13">
        <v>25</v>
      </c>
      <c r="L2157" s="13">
        <v>3.6</v>
      </c>
      <c r="M2157" s="13" t="b">
        <v>0</v>
      </c>
      <c r="O2157" s="13">
        <f t="shared" si="33"/>
        <v>3.6</v>
      </c>
    </row>
    <row r="2158" spans="1:15" x14ac:dyDescent="0.25">
      <c r="A2158" s="13" t="s">
        <v>2170</v>
      </c>
      <c r="B2158" s="13" t="s">
        <v>2195</v>
      </c>
      <c r="C2158" s="13" t="s">
        <v>2203</v>
      </c>
      <c r="D2158" s="13" t="s">
        <v>2207</v>
      </c>
      <c r="E2158" s="13" t="s">
        <v>2213</v>
      </c>
      <c r="F2158" s="13" t="s">
        <v>2216</v>
      </c>
      <c r="G2158" s="13">
        <v>154.11000000000001</v>
      </c>
      <c r="H2158" s="13">
        <v>0</v>
      </c>
      <c r="I2158" s="13">
        <v>154.11000000000001</v>
      </c>
      <c r="J2158" s="24">
        <v>45875</v>
      </c>
      <c r="K2158" s="13">
        <v>50</v>
      </c>
      <c r="L2158" s="13">
        <v>3.1</v>
      </c>
      <c r="M2158" s="13" t="b">
        <v>0</v>
      </c>
      <c r="O2158" s="13">
        <f t="shared" si="33"/>
        <v>3.1</v>
      </c>
    </row>
    <row r="2159" spans="1:15" x14ac:dyDescent="0.25">
      <c r="A2159" s="13" t="s">
        <v>2171</v>
      </c>
      <c r="B2159" s="13" t="s">
        <v>2192</v>
      </c>
      <c r="C2159" s="13" t="s">
        <v>2201</v>
      </c>
      <c r="D2159" s="13" t="s">
        <v>2204</v>
      </c>
      <c r="F2159" s="13" t="s">
        <v>2223</v>
      </c>
      <c r="G2159" s="13">
        <v>69.8</v>
      </c>
      <c r="H2159" s="13">
        <v>46.9</v>
      </c>
      <c r="I2159" s="13">
        <v>37.06</v>
      </c>
      <c r="J2159" s="24">
        <v>45586</v>
      </c>
      <c r="K2159" s="13">
        <v>26</v>
      </c>
      <c r="L2159" s="13">
        <v>3.8</v>
      </c>
      <c r="M2159" s="13" t="b">
        <v>0</v>
      </c>
      <c r="O2159" s="13">
        <f t="shared" si="33"/>
        <v>3.8</v>
      </c>
    </row>
    <row r="2160" spans="1:15" x14ac:dyDescent="0.25">
      <c r="A2160" s="13" t="s">
        <v>2172</v>
      </c>
      <c r="B2160" s="13" t="s">
        <v>2195</v>
      </c>
      <c r="C2160" s="13" t="s">
        <v>2202</v>
      </c>
      <c r="D2160" s="13" t="s">
        <v>2205</v>
      </c>
      <c r="E2160" s="13" t="s">
        <v>2211</v>
      </c>
      <c r="F2160" s="13" t="s">
        <v>2218</v>
      </c>
      <c r="G2160" s="13">
        <v>171.16</v>
      </c>
      <c r="H2160" s="13">
        <v>0</v>
      </c>
      <c r="I2160" s="13">
        <v>171.16</v>
      </c>
      <c r="J2160" s="24">
        <v>45875</v>
      </c>
      <c r="K2160" s="13">
        <v>26</v>
      </c>
      <c r="L2160" s="13">
        <v>4.3</v>
      </c>
      <c r="M2160" s="13" t="b">
        <v>0</v>
      </c>
      <c r="O2160" s="13">
        <f t="shared" si="33"/>
        <v>4.3</v>
      </c>
    </row>
    <row r="2161" spans="1:15" x14ac:dyDescent="0.25">
      <c r="A2161" s="13" t="s">
        <v>2173</v>
      </c>
      <c r="B2161" s="13" t="s">
        <v>2190</v>
      </c>
      <c r="C2161" s="13" t="s">
        <v>2196</v>
      </c>
      <c r="D2161" s="13" t="s">
        <v>2207</v>
      </c>
      <c r="E2161" s="13" t="s">
        <v>2211</v>
      </c>
      <c r="F2161" s="13" t="s">
        <v>2217</v>
      </c>
      <c r="G2161" s="13">
        <v>118.57</v>
      </c>
      <c r="H2161" s="13">
        <v>0</v>
      </c>
      <c r="I2161" s="13">
        <v>118.57</v>
      </c>
      <c r="J2161" s="24">
        <v>45875</v>
      </c>
      <c r="K2161" s="13">
        <v>6</v>
      </c>
      <c r="L2161" s="13">
        <v>1.4</v>
      </c>
      <c r="M2161" s="13" t="b">
        <v>1</v>
      </c>
      <c r="N2161" s="13" t="s">
        <v>2228</v>
      </c>
      <c r="O2161" s="13">
        <f t="shared" si="33"/>
        <v>1.4</v>
      </c>
    </row>
    <row r="2162" spans="1:15" x14ac:dyDescent="0.25">
      <c r="A2162" s="13" t="s">
        <v>2174</v>
      </c>
      <c r="B2162" s="13" t="s">
        <v>2195</v>
      </c>
      <c r="C2162" s="13" t="s">
        <v>2199</v>
      </c>
      <c r="D2162" s="13" t="s">
        <v>2205</v>
      </c>
      <c r="E2162" s="13" t="s">
        <v>2211</v>
      </c>
      <c r="F2162" s="13" t="s">
        <v>2215</v>
      </c>
      <c r="G2162" s="13">
        <v>118.46</v>
      </c>
      <c r="H2162" s="13">
        <v>0</v>
      </c>
      <c r="I2162" s="13">
        <v>118.46</v>
      </c>
      <c r="J2162" s="24">
        <v>45875</v>
      </c>
      <c r="K2162" s="13">
        <v>40</v>
      </c>
      <c r="L2162" s="13">
        <v>2.2999999999999998</v>
      </c>
      <c r="M2162" s="13" t="b">
        <v>0</v>
      </c>
      <c r="O2162" s="13">
        <f t="shared" si="33"/>
        <v>2.2999999999999998</v>
      </c>
    </row>
    <row r="2163" spans="1:15" x14ac:dyDescent="0.25">
      <c r="A2163" s="13" t="s">
        <v>2175</v>
      </c>
      <c r="B2163" s="13" t="s">
        <v>2193</v>
      </c>
      <c r="C2163" s="13" t="s">
        <v>2196</v>
      </c>
      <c r="D2163" s="13" t="s">
        <v>2207</v>
      </c>
      <c r="E2163" s="13" t="s">
        <v>2209</v>
      </c>
      <c r="F2163" s="13" t="s">
        <v>2220</v>
      </c>
      <c r="G2163" s="13">
        <v>122.7</v>
      </c>
      <c r="H2163" s="13">
        <v>0</v>
      </c>
      <c r="I2163" s="13">
        <v>122.7</v>
      </c>
      <c r="J2163" s="24">
        <v>45875</v>
      </c>
      <c r="K2163" s="13">
        <v>9</v>
      </c>
      <c r="M2163" s="13" t="b">
        <v>0</v>
      </c>
      <c r="O2163" s="13">
        <f t="shared" si="33"/>
        <v>2.9153846153846157</v>
      </c>
    </row>
    <row r="2164" spans="1:15" x14ac:dyDescent="0.25">
      <c r="A2164" s="13" t="s">
        <v>2176</v>
      </c>
      <c r="B2164" s="13" t="s">
        <v>2192</v>
      </c>
      <c r="C2164" s="13" t="s">
        <v>2202</v>
      </c>
      <c r="D2164" s="13" t="s">
        <v>2204</v>
      </c>
      <c r="F2164" s="13" t="s">
        <v>2216</v>
      </c>
      <c r="G2164" s="13">
        <v>68.2</v>
      </c>
      <c r="H2164" s="13">
        <v>0</v>
      </c>
      <c r="I2164" s="13">
        <v>68.2</v>
      </c>
      <c r="J2164" s="24">
        <v>45752</v>
      </c>
      <c r="K2164" s="13">
        <v>2</v>
      </c>
      <c r="L2164" s="13">
        <v>3.8</v>
      </c>
      <c r="M2164" s="13" t="b">
        <v>0</v>
      </c>
      <c r="O2164" s="13">
        <f t="shared" si="33"/>
        <v>3.8</v>
      </c>
    </row>
    <row r="2165" spans="1:15" x14ac:dyDescent="0.25">
      <c r="A2165" s="13" t="s">
        <v>2177</v>
      </c>
      <c r="B2165" s="13" t="s">
        <v>2193</v>
      </c>
      <c r="C2165" s="13" t="s">
        <v>2200</v>
      </c>
      <c r="D2165" s="13" t="s">
        <v>2204</v>
      </c>
      <c r="E2165" s="13" t="s">
        <v>2208</v>
      </c>
      <c r="F2165" s="13" t="s">
        <v>2217</v>
      </c>
      <c r="G2165" s="13">
        <v>178.56</v>
      </c>
      <c r="H2165" s="13">
        <v>0</v>
      </c>
      <c r="I2165" s="13">
        <v>178.56</v>
      </c>
      <c r="J2165" s="24">
        <v>45732</v>
      </c>
      <c r="K2165" s="13">
        <v>46</v>
      </c>
      <c r="L2165" s="13">
        <v>2.6</v>
      </c>
      <c r="M2165" s="13" t="b">
        <v>0</v>
      </c>
      <c r="O2165" s="13">
        <f t="shared" si="33"/>
        <v>2.6</v>
      </c>
    </row>
    <row r="2166" spans="1:15" x14ac:dyDescent="0.25">
      <c r="A2166" s="13" t="s">
        <v>2178</v>
      </c>
      <c r="B2166" s="13" t="s">
        <v>2192</v>
      </c>
      <c r="C2166" s="13" t="s">
        <v>2197</v>
      </c>
      <c r="D2166" s="13" t="s">
        <v>2207</v>
      </c>
      <c r="F2166" s="13" t="s">
        <v>2220</v>
      </c>
      <c r="G2166" s="13">
        <v>30.46</v>
      </c>
      <c r="H2166" s="13">
        <v>31.4</v>
      </c>
      <c r="I2166" s="13">
        <v>20.9</v>
      </c>
      <c r="J2166" s="24">
        <v>45875</v>
      </c>
      <c r="K2166" s="13">
        <v>40</v>
      </c>
      <c r="L2166" s="13">
        <v>2.4</v>
      </c>
      <c r="M2166" s="13" t="b">
        <v>0</v>
      </c>
      <c r="O2166" s="13">
        <f t="shared" si="33"/>
        <v>2.4</v>
      </c>
    </row>
    <row r="2167" spans="1:15" x14ac:dyDescent="0.25">
      <c r="A2167" s="13" t="s">
        <v>2179</v>
      </c>
      <c r="B2167" s="13" t="s">
        <v>2192</v>
      </c>
      <c r="C2167" s="13" t="s">
        <v>2198</v>
      </c>
      <c r="D2167" s="13" t="s">
        <v>2207</v>
      </c>
      <c r="F2167" s="13" t="s">
        <v>2216</v>
      </c>
      <c r="G2167" s="13">
        <v>76.08</v>
      </c>
      <c r="H2167" s="13">
        <v>0</v>
      </c>
      <c r="I2167" s="13">
        <v>76.08</v>
      </c>
      <c r="J2167" s="24">
        <v>45875</v>
      </c>
      <c r="K2167" s="13">
        <v>6</v>
      </c>
      <c r="L2167" s="13">
        <v>4.9000000000000004</v>
      </c>
      <c r="M2167" s="13" t="b">
        <v>0</v>
      </c>
      <c r="O2167" s="13">
        <f t="shared" si="33"/>
        <v>4.9000000000000004</v>
      </c>
    </row>
    <row r="2168" spans="1:15" x14ac:dyDescent="0.25">
      <c r="A2168" s="13" t="s">
        <v>2180</v>
      </c>
      <c r="B2168" s="13" t="s">
        <v>2193</v>
      </c>
      <c r="C2168" s="13" t="s">
        <v>2198</v>
      </c>
      <c r="D2168" s="13" t="s">
        <v>2205</v>
      </c>
      <c r="E2168" s="13" t="s">
        <v>2213</v>
      </c>
      <c r="F2168" s="13" t="s">
        <v>2224</v>
      </c>
      <c r="G2168" s="13">
        <v>116.15</v>
      </c>
      <c r="H2168" s="13">
        <v>16.5</v>
      </c>
      <c r="I2168" s="13">
        <v>96.99</v>
      </c>
      <c r="J2168" s="24">
        <v>45875</v>
      </c>
      <c r="K2168" s="13">
        <v>11</v>
      </c>
      <c r="L2168" s="13">
        <v>3</v>
      </c>
      <c r="M2168" s="13" t="b">
        <v>0</v>
      </c>
      <c r="O2168" s="13">
        <f t="shared" si="33"/>
        <v>3</v>
      </c>
    </row>
    <row r="2169" spans="1:15" x14ac:dyDescent="0.25">
      <c r="A2169" s="13" t="s">
        <v>2181</v>
      </c>
      <c r="B2169" s="13" t="s">
        <v>2193</v>
      </c>
      <c r="C2169" s="13" t="s">
        <v>2200</v>
      </c>
      <c r="D2169" s="13" t="s">
        <v>2205</v>
      </c>
      <c r="E2169" s="13" t="s">
        <v>2212</v>
      </c>
      <c r="F2169" s="13" t="s">
        <v>2217</v>
      </c>
      <c r="G2169" s="13">
        <v>98.22</v>
      </c>
      <c r="H2169" s="13">
        <v>0</v>
      </c>
      <c r="I2169" s="13">
        <v>98.22</v>
      </c>
      <c r="J2169" s="24">
        <v>45875</v>
      </c>
      <c r="K2169" s="13">
        <v>27</v>
      </c>
      <c r="L2169" s="13">
        <v>3.3</v>
      </c>
      <c r="M2169" s="13" t="b">
        <v>0</v>
      </c>
      <c r="O2169" s="13">
        <f t="shared" si="33"/>
        <v>3.3</v>
      </c>
    </row>
    <row r="2170" spans="1:15" x14ac:dyDescent="0.25">
      <c r="A2170" s="13" t="s">
        <v>2182</v>
      </c>
      <c r="B2170" s="13" t="s">
        <v>2193</v>
      </c>
      <c r="C2170" s="13" t="s">
        <v>2201</v>
      </c>
      <c r="D2170" s="13" t="s">
        <v>2205</v>
      </c>
      <c r="F2170" s="13" t="s">
        <v>2221</v>
      </c>
      <c r="G2170" s="13">
        <v>66.58</v>
      </c>
      <c r="H2170" s="13">
        <v>0</v>
      </c>
      <c r="I2170" s="13">
        <v>66.58</v>
      </c>
      <c r="J2170" s="24">
        <v>45875</v>
      </c>
      <c r="K2170" s="13">
        <v>45</v>
      </c>
      <c r="L2170" s="13">
        <v>3.4</v>
      </c>
      <c r="M2170" s="13" t="b">
        <v>0</v>
      </c>
      <c r="O2170" s="13">
        <f t="shared" si="33"/>
        <v>3.4</v>
      </c>
    </row>
    <row r="2171" spans="1:15" x14ac:dyDescent="0.25">
      <c r="A2171" s="13" t="s">
        <v>2183</v>
      </c>
      <c r="B2171" s="13" t="s">
        <v>2192</v>
      </c>
      <c r="C2171" s="13" t="s">
        <v>2197</v>
      </c>
      <c r="D2171" s="13" t="s">
        <v>2204</v>
      </c>
      <c r="F2171" s="13" t="s">
        <v>2221</v>
      </c>
      <c r="G2171" s="13">
        <v>69.22</v>
      </c>
      <c r="H2171" s="13">
        <v>0</v>
      </c>
      <c r="I2171" s="13">
        <v>69.22</v>
      </c>
      <c r="J2171" s="24">
        <v>45540</v>
      </c>
      <c r="K2171" s="13">
        <v>42</v>
      </c>
      <c r="L2171" s="13">
        <v>3.8</v>
      </c>
      <c r="M2171" s="13" t="b">
        <v>0</v>
      </c>
      <c r="O2171" s="13">
        <f t="shared" si="33"/>
        <v>3.8</v>
      </c>
    </row>
    <row r="2172" spans="1:15" x14ac:dyDescent="0.25">
      <c r="A2172" s="13" t="s">
        <v>2184</v>
      </c>
      <c r="B2172" s="13" t="s">
        <v>2191</v>
      </c>
      <c r="C2172" s="13" t="s">
        <v>2197</v>
      </c>
      <c r="D2172" s="13" t="s">
        <v>2205</v>
      </c>
      <c r="E2172" s="13" t="s">
        <v>2208</v>
      </c>
      <c r="F2172" s="13" t="s">
        <v>2216</v>
      </c>
      <c r="G2172" s="13">
        <v>85.01</v>
      </c>
      <c r="H2172" s="13">
        <v>0</v>
      </c>
      <c r="I2172" s="13">
        <v>85.01</v>
      </c>
      <c r="J2172" s="24">
        <v>45875</v>
      </c>
      <c r="K2172" s="13">
        <v>39</v>
      </c>
      <c r="L2172" s="13">
        <v>4.3</v>
      </c>
      <c r="M2172" s="13" t="b">
        <v>0</v>
      </c>
      <c r="O2172" s="13">
        <f t="shared" si="33"/>
        <v>4.3</v>
      </c>
    </row>
    <row r="2173" spans="1:15" x14ac:dyDescent="0.25">
      <c r="A2173" s="13" t="s">
        <v>2185</v>
      </c>
      <c r="B2173" s="13" t="s">
        <v>2191</v>
      </c>
      <c r="C2173" s="13" t="s">
        <v>2199</v>
      </c>
      <c r="D2173" s="13" t="s">
        <v>2207</v>
      </c>
      <c r="E2173" s="13" t="s">
        <v>2208</v>
      </c>
      <c r="F2173" s="13" t="s">
        <v>2216</v>
      </c>
      <c r="G2173" s="13">
        <v>31.41</v>
      </c>
      <c r="H2173" s="13">
        <v>0</v>
      </c>
      <c r="I2173" s="13">
        <v>31.41</v>
      </c>
      <c r="J2173" s="24">
        <v>45875</v>
      </c>
      <c r="K2173" s="13">
        <v>10</v>
      </c>
      <c r="L2173" s="13">
        <v>2.1</v>
      </c>
      <c r="M2173" s="13" t="b">
        <v>0</v>
      </c>
      <c r="O2173" s="13">
        <f t="shared" si="33"/>
        <v>2.1</v>
      </c>
    </row>
    <row r="2174" spans="1:15" x14ac:dyDescent="0.25">
      <c r="A2174" s="13" t="s">
        <v>2186</v>
      </c>
      <c r="B2174" s="13" t="s">
        <v>2195</v>
      </c>
      <c r="C2174" s="13" t="s">
        <v>2198</v>
      </c>
      <c r="D2174" s="13" t="s">
        <v>2205</v>
      </c>
      <c r="E2174" s="13" t="s">
        <v>2209</v>
      </c>
      <c r="F2174" s="13" t="s">
        <v>2224</v>
      </c>
      <c r="G2174" s="13">
        <v>50.58</v>
      </c>
      <c r="H2174" s="13">
        <v>0</v>
      </c>
      <c r="I2174" s="13">
        <v>50.58</v>
      </c>
      <c r="J2174" s="24">
        <v>45875</v>
      </c>
      <c r="K2174" s="13">
        <v>1</v>
      </c>
      <c r="L2174" s="13">
        <v>3.1</v>
      </c>
      <c r="M2174" s="13" t="b">
        <v>1</v>
      </c>
      <c r="N2174" s="13" t="s">
        <v>2229</v>
      </c>
      <c r="O2174" s="13">
        <f t="shared" si="33"/>
        <v>3.1</v>
      </c>
    </row>
    <row r="2175" spans="1:15" x14ac:dyDescent="0.25">
      <c r="A2175" s="13" t="s">
        <v>2187</v>
      </c>
      <c r="B2175" s="13" t="s">
        <v>2192</v>
      </c>
      <c r="C2175" s="13" t="s">
        <v>2198</v>
      </c>
      <c r="D2175" s="13" t="s">
        <v>2205</v>
      </c>
      <c r="F2175" s="13" t="s">
        <v>2221</v>
      </c>
      <c r="G2175" s="13">
        <v>79.37</v>
      </c>
      <c r="H2175" s="13">
        <v>54.8</v>
      </c>
      <c r="I2175" s="13">
        <v>35.880000000000003</v>
      </c>
      <c r="J2175" s="24">
        <v>45875</v>
      </c>
      <c r="K2175" s="13">
        <v>40</v>
      </c>
      <c r="L2175" s="13">
        <v>2.6</v>
      </c>
      <c r="M2175" s="13" t="b">
        <v>0</v>
      </c>
      <c r="O2175" s="13">
        <f t="shared" si="33"/>
        <v>2.6</v>
      </c>
    </row>
    <row r="2176" spans="1:15" x14ac:dyDescent="0.25">
      <c r="A2176" s="13" t="s">
        <v>2188</v>
      </c>
      <c r="B2176" s="13" t="s">
        <v>2194</v>
      </c>
      <c r="C2176" s="13" t="s">
        <v>2201</v>
      </c>
      <c r="D2176" s="13" t="s">
        <v>2207</v>
      </c>
      <c r="E2176" s="13" t="s">
        <v>2208</v>
      </c>
      <c r="F2176" s="13" t="s">
        <v>2215</v>
      </c>
      <c r="G2176" s="13">
        <v>105.52</v>
      </c>
      <c r="H2176" s="13">
        <v>0</v>
      </c>
      <c r="I2176" s="13">
        <v>105.52</v>
      </c>
      <c r="J2176" s="24">
        <v>45875</v>
      </c>
      <c r="K2176" s="13">
        <v>20</v>
      </c>
      <c r="L2176" s="13">
        <v>4.9000000000000004</v>
      </c>
      <c r="M2176" s="13" t="b">
        <v>1</v>
      </c>
      <c r="N2176" s="13" t="s">
        <v>2226</v>
      </c>
      <c r="O2176" s="13">
        <f t="shared" si="33"/>
        <v>4.9000000000000004</v>
      </c>
    </row>
    <row r="2177" spans="1:15" x14ac:dyDescent="0.25">
      <c r="A2177" s="13" t="s">
        <v>2189</v>
      </c>
      <c r="B2177" s="13" t="s">
        <v>2193</v>
      </c>
      <c r="C2177" s="13" t="s">
        <v>2201</v>
      </c>
      <c r="D2177" s="13" t="s">
        <v>2207</v>
      </c>
      <c r="E2177" s="13" t="s">
        <v>2211</v>
      </c>
      <c r="F2177" s="13" t="s">
        <v>2217</v>
      </c>
      <c r="G2177" s="13">
        <v>154.02000000000001</v>
      </c>
      <c r="H2177" s="13">
        <v>0</v>
      </c>
      <c r="I2177" s="13">
        <v>154.02000000000001</v>
      </c>
      <c r="J2177" s="24">
        <v>45875</v>
      </c>
      <c r="K2177" s="13">
        <v>23</v>
      </c>
      <c r="L2177" s="13">
        <v>1.3</v>
      </c>
      <c r="M2177" s="13" t="b">
        <v>0</v>
      </c>
      <c r="O2177" s="13">
        <f t="shared" si="33"/>
        <v>1.3</v>
      </c>
    </row>
  </sheetData>
  <sheetProtection password="C6E1" sheet="1" objects="1" scenarios="1" selectLockedCells="1" selectUnlockedCells="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77"/>
  <sheetViews>
    <sheetView zoomScale="85" zoomScaleNormal="85" workbookViewId="0">
      <selection sqref="A1:R2177"/>
    </sheetView>
  </sheetViews>
  <sheetFormatPr defaultRowHeight="15" x14ac:dyDescent="0.25"/>
  <cols>
    <col min="1" max="1" width="12.625" style="13" customWidth="1"/>
    <col min="2" max="2" width="10.625" style="13" customWidth="1"/>
    <col min="3" max="3" width="9" style="13"/>
    <col min="4" max="4" width="9.25" style="13" customWidth="1"/>
    <col min="5" max="6" width="9" style="13"/>
    <col min="7" max="7" width="15.25" style="13" customWidth="1"/>
    <col min="8" max="8" width="23.5" style="13" customWidth="1"/>
    <col min="9" max="9" width="14.875" style="13" customWidth="1"/>
    <col min="10" max="11" width="16" style="13" customWidth="1"/>
    <col min="12" max="12" width="20.75" style="13" customWidth="1"/>
    <col min="13" max="13" width="13.375" style="13" customWidth="1"/>
    <col min="14" max="14" width="15.625" style="13" customWidth="1"/>
    <col min="15" max="15" width="15.875" style="13" customWidth="1"/>
    <col min="16" max="16" width="15.375" style="13" customWidth="1"/>
    <col min="17" max="17" width="17.5" style="13" customWidth="1"/>
    <col min="18" max="18" width="24.5" style="13" customWidth="1"/>
    <col min="19" max="16384" width="9" style="13"/>
  </cols>
  <sheetData>
    <row r="1" spans="1:18" x14ac:dyDescent="0.25">
      <c r="A1" s="22" t="s">
        <v>0</v>
      </c>
      <c r="B1" s="22" t="s">
        <v>1</v>
      </c>
      <c r="C1" s="22" t="s">
        <v>2</v>
      </c>
      <c r="D1" s="22" t="s">
        <v>3</v>
      </c>
      <c r="E1" s="22" t="s">
        <v>4</v>
      </c>
      <c r="F1" s="22" t="s">
        <v>5</v>
      </c>
      <c r="G1" s="22" t="s">
        <v>6</v>
      </c>
      <c r="H1" s="22" t="s">
        <v>7</v>
      </c>
      <c r="I1" s="22" t="s">
        <v>8</v>
      </c>
      <c r="J1" s="22" t="s">
        <v>9</v>
      </c>
      <c r="K1" s="22" t="s">
        <v>10</v>
      </c>
      <c r="L1" s="22" t="s">
        <v>2231</v>
      </c>
      <c r="M1" s="22" t="s">
        <v>12</v>
      </c>
      <c r="N1" s="22" t="s">
        <v>13</v>
      </c>
      <c r="O1" s="23" t="s">
        <v>2265</v>
      </c>
      <c r="P1" s="23" t="s">
        <v>2279</v>
      </c>
      <c r="Q1" s="23" t="s">
        <v>2287</v>
      </c>
      <c r="R1" s="23" t="s">
        <v>2304</v>
      </c>
    </row>
    <row r="2" spans="1:18" x14ac:dyDescent="0.25">
      <c r="A2" s="13" t="s">
        <v>14</v>
      </c>
      <c r="B2" s="13" t="s">
        <v>2190</v>
      </c>
      <c r="C2" s="13" t="s">
        <v>2196</v>
      </c>
      <c r="D2" s="13" t="s">
        <v>2204</v>
      </c>
      <c r="E2" s="13" t="s">
        <v>2208</v>
      </c>
      <c r="F2" s="13" t="s">
        <v>2214</v>
      </c>
      <c r="G2" s="13">
        <v>196.01</v>
      </c>
      <c r="H2" s="13">
        <v>0</v>
      </c>
      <c r="I2" s="13">
        <v>196.01</v>
      </c>
      <c r="J2" s="24">
        <v>45843</v>
      </c>
      <c r="K2" s="13">
        <v>37</v>
      </c>
      <c r="L2" s="44">
        <v>3</v>
      </c>
      <c r="M2" s="13" t="b">
        <v>0</v>
      </c>
      <c r="O2" s="25">
        <f>DATE(2025,9,2)-J2</f>
        <v>59</v>
      </c>
      <c r="P2" s="13">
        <f>H2*K2</f>
        <v>0</v>
      </c>
      <c r="Q2" s="13" t="str">
        <f>IF(M2=FALSE,"",1)</f>
        <v/>
      </c>
      <c r="R2" s="13" t="str">
        <f>IF(H2=0,"Non diskon","Diskon")</f>
        <v>Non diskon</v>
      </c>
    </row>
    <row r="3" spans="1:18" x14ac:dyDescent="0.25">
      <c r="A3" s="13" t="s">
        <v>15</v>
      </c>
      <c r="B3" s="13" t="s">
        <v>2191</v>
      </c>
      <c r="C3" s="13" t="s">
        <v>2197</v>
      </c>
      <c r="D3" s="13" t="s">
        <v>2205</v>
      </c>
      <c r="E3" s="13" t="s">
        <v>2209</v>
      </c>
      <c r="F3" s="13" t="s">
        <v>2215</v>
      </c>
      <c r="G3" s="13">
        <v>119.64</v>
      </c>
      <c r="H3" s="13">
        <v>0</v>
      </c>
      <c r="I3" s="13">
        <v>119.64</v>
      </c>
      <c r="J3" s="24">
        <v>45875</v>
      </c>
      <c r="K3" s="13">
        <v>2</v>
      </c>
      <c r="L3" s="44">
        <v>2.5</v>
      </c>
      <c r="M3" s="13" t="b">
        <v>0</v>
      </c>
      <c r="O3" s="25">
        <f t="shared" ref="O3:O66" si="0">DATE(2025,9,2)-J3</f>
        <v>27</v>
      </c>
      <c r="P3" s="13">
        <f t="shared" ref="P3:P66" si="1">H3*K3</f>
        <v>0</v>
      </c>
      <c r="Q3" s="13" t="str">
        <f t="shared" ref="Q3:Q66" si="2">IF(M3=FALSE,"",1)</f>
        <v/>
      </c>
      <c r="R3" s="13" t="str">
        <f t="shared" ref="R3:R66" si="3">IF(H3=0,"Non diskon","Diskon")</f>
        <v>Non diskon</v>
      </c>
    </row>
    <row r="4" spans="1:18" x14ac:dyDescent="0.25">
      <c r="A4" s="13" t="s">
        <v>16</v>
      </c>
      <c r="B4" s="13" t="s">
        <v>2192</v>
      </c>
      <c r="C4" s="13" t="s">
        <v>2197</v>
      </c>
      <c r="D4" s="13" t="s">
        <v>2205</v>
      </c>
      <c r="F4" s="13" t="s">
        <v>2216</v>
      </c>
      <c r="G4" s="13">
        <v>33.799999999999997</v>
      </c>
      <c r="H4" s="13">
        <v>0</v>
      </c>
      <c r="I4" s="13">
        <v>33.799999999999997</v>
      </c>
      <c r="J4" s="24">
        <v>45875</v>
      </c>
      <c r="K4" s="13">
        <v>22</v>
      </c>
      <c r="L4" s="44">
        <v>4.3</v>
      </c>
      <c r="M4" s="13" t="b">
        <v>0</v>
      </c>
      <c r="O4" s="25">
        <f t="shared" si="0"/>
        <v>27</v>
      </c>
      <c r="P4" s="13">
        <f t="shared" si="1"/>
        <v>0</v>
      </c>
      <c r="Q4" s="13" t="str">
        <f t="shared" si="2"/>
        <v/>
      </c>
      <c r="R4" s="13" t="str">
        <f t="shared" si="3"/>
        <v>Non diskon</v>
      </c>
    </row>
    <row r="5" spans="1:18" x14ac:dyDescent="0.25">
      <c r="A5" s="13" t="s">
        <v>17</v>
      </c>
      <c r="B5" s="13" t="s">
        <v>2193</v>
      </c>
      <c r="C5" s="13" t="s">
        <v>2197</v>
      </c>
      <c r="D5" s="13" t="s">
        <v>2204</v>
      </c>
      <c r="E5" s="13" t="s">
        <v>2208</v>
      </c>
      <c r="F5" s="13" t="s">
        <v>2216</v>
      </c>
      <c r="G5" s="13">
        <v>75.36</v>
      </c>
      <c r="H5" s="13">
        <v>0</v>
      </c>
      <c r="I5" s="13">
        <v>75.36</v>
      </c>
      <c r="J5" s="24">
        <v>45845</v>
      </c>
      <c r="K5" s="13">
        <v>48</v>
      </c>
      <c r="L5" s="44">
        <v>2.6</v>
      </c>
      <c r="M5" s="13" t="b">
        <v>0</v>
      </c>
      <c r="O5" s="25">
        <f t="shared" si="0"/>
        <v>57</v>
      </c>
      <c r="P5" s="13">
        <f t="shared" si="1"/>
        <v>0</v>
      </c>
      <c r="Q5" s="13" t="str">
        <f t="shared" si="2"/>
        <v/>
      </c>
      <c r="R5" s="13" t="str">
        <f t="shared" si="3"/>
        <v>Non diskon</v>
      </c>
    </row>
    <row r="6" spans="1:18" x14ac:dyDescent="0.25">
      <c r="A6" s="13" t="s">
        <v>18</v>
      </c>
      <c r="B6" s="13" t="s">
        <v>2191</v>
      </c>
      <c r="C6" s="13" t="s">
        <v>2198</v>
      </c>
      <c r="D6" s="13" t="s">
        <v>2205</v>
      </c>
      <c r="E6" s="13" t="s">
        <v>2208</v>
      </c>
      <c r="F6" s="13" t="s">
        <v>2216</v>
      </c>
      <c r="G6" s="13">
        <v>105.02</v>
      </c>
      <c r="H6" s="13">
        <v>0</v>
      </c>
      <c r="I6" s="13">
        <v>105.02</v>
      </c>
      <c r="J6" s="24">
        <v>45875</v>
      </c>
      <c r="K6" s="13">
        <v>10</v>
      </c>
      <c r="L6" s="44">
        <v>2.953125</v>
      </c>
      <c r="M6" s="13" t="b">
        <v>0</v>
      </c>
      <c r="O6" s="25">
        <f t="shared" si="0"/>
        <v>27</v>
      </c>
      <c r="P6" s="13">
        <f t="shared" si="1"/>
        <v>0</v>
      </c>
      <c r="Q6" s="13" t="str">
        <f t="shared" si="2"/>
        <v/>
      </c>
      <c r="R6" s="13" t="str">
        <f t="shared" si="3"/>
        <v>Non diskon</v>
      </c>
    </row>
    <row r="7" spans="1:18" x14ac:dyDescent="0.25">
      <c r="A7" s="13" t="s">
        <v>19</v>
      </c>
      <c r="B7" s="13" t="s">
        <v>2192</v>
      </c>
      <c r="C7" s="13" t="s">
        <v>2196</v>
      </c>
      <c r="D7" s="13" t="s">
        <v>2206</v>
      </c>
      <c r="F7" s="13" t="s">
        <v>2217</v>
      </c>
      <c r="G7" s="13">
        <v>35.03</v>
      </c>
      <c r="H7" s="13">
        <v>35.4</v>
      </c>
      <c r="I7" s="13">
        <v>22.63</v>
      </c>
      <c r="J7" s="24">
        <v>45875</v>
      </c>
      <c r="K7" s="13">
        <v>38</v>
      </c>
      <c r="L7" s="44">
        <v>2.9</v>
      </c>
      <c r="M7" s="13" t="b">
        <v>1</v>
      </c>
      <c r="N7" s="13" t="s">
        <v>2225</v>
      </c>
      <c r="O7" s="25">
        <f t="shared" si="0"/>
        <v>27</v>
      </c>
      <c r="P7" s="13">
        <f t="shared" si="1"/>
        <v>1345.2</v>
      </c>
      <c r="Q7" s="13">
        <f t="shared" si="2"/>
        <v>1</v>
      </c>
      <c r="R7" s="13" t="str">
        <f t="shared" si="3"/>
        <v>Diskon</v>
      </c>
    </row>
    <row r="8" spans="1:18" x14ac:dyDescent="0.25">
      <c r="A8" s="13" t="s">
        <v>20</v>
      </c>
      <c r="B8" s="13" t="s">
        <v>2194</v>
      </c>
      <c r="C8" s="13" t="s">
        <v>2196</v>
      </c>
      <c r="D8" s="13" t="s">
        <v>2204</v>
      </c>
      <c r="E8" s="13" t="s">
        <v>2210</v>
      </c>
      <c r="F8" s="13" t="s">
        <v>2218</v>
      </c>
      <c r="G8" s="13">
        <v>53.83</v>
      </c>
      <c r="H8" s="13">
        <v>54.5</v>
      </c>
      <c r="I8" s="13">
        <v>24.49</v>
      </c>
      <c r="J8" s="24">
        <v>45594</v>
      </c>
      <c r="K8" s="13">
        <v>38</v>
      </c>
      <c r="L8" s="44">
        <v>2.6</v>
      </c>
      <c r="M8" s="13" t="b">
        <v>0</v>
      </c>
      <c r="O8" s="25">
        <f t="shared" si="0"/>
        <v>308</v>
      </c>
      <c r="P8" s="13">
        <f t="shared" si="1"/>
        <v>2071</v>
      </c>
      <c r="Q8" s="13" t="str">
        <f t="shared" si="2"/>
        <v/>
      </c>
      <c r="R8" s="13" t="str">
        <f t="shared" si="3"/>
        <v>Diskon</v>
      </c>
    </row>
    <row r="9" spans="1:18" x14ac:dyDescent="0.25">
      <c r="A9" s="13" t="s">
        <v>21</v>
      </c>
      <c r="B9" s="13" t="s">
        <v>2195</v>
      </c>
      <c r="C9" s="13" t="s">
        <v>2199</v>
      </c>
      <c r="D9" s="13" t="s">
        <v>2205</v>
      </c>
      <c r="E9" s="13" t="s">
        <v>2208</v>
      </c>
      <c r="F9" s="13" t="s">
        <v>2219</v>
      </c>
      <c r="G9" s="13">
        <v>91.55</v>
      </c>
      <c r="H9" s="13">
        <v>22.1</v>
      </c>
      <c r="I9" s="13">
        <v>71.319999999999993</v>
      </c>
      <c r="J9" s="24">
        <v>45875</v>
      </c>
      <c r="K9" s="13">
        <v>47</v>
      </c>
      <c r="L9" s="44">
        <v>1.6</v>
      </c>
      <c r="M9" s="13" t="b">
        <v>0</v>
      </c>
      <c r="O9" s="25">
        <f t="shared" si="0"/>
        <v>27</v>
      </c>
      <c r="P9" s="13">
        <f t="shared" si="1"/>
        <v>1038.7</v>
      </c>
      <c r="Q9" s="13" t="str">
        <f t="shared" si="2"/>
        <v/>
      </c>
      <c r="R9" s="13" t="str">
        <f t="shared" si="3"/>
        <v>Diskon</v>
      </c>
    </row>
    <row r="10" spans="1:18" x14ac:dyDescent="0.25">
      <c r="A10" s="13" t="s">
        <v>22</v>
      </c>
      <c r="B10" s="13" t="s">
        <v>2190</v>
      </c>
      <c r="C10" s="13" t="s">
        <v>2197</v>
      </c>
      <c r="D10" s="13" t="s">
        <v>2204</v>
      </c>
      <c r="E10" s="13" t="s">
        <v>2208</v>
      </c>
      <c r="F10" s="13" t="s">
        <v>2220</v>
      </c>
      <c r="G10" s="13">
        <v>227.73</v>
      </c>
      <c r="H10" s="13">
        <v>12.8</v>
      </c>
      <c r="I10" s="13">
        <v>198.58</v>
      </c>
      <c r="J10" s="24">
        <v>45740</v>
      </c>
      <c r="K10" s="13">
        <v>14</v>
      </c>
      <c r="L10" s="44">
        <v>3.15</v>
      </c>
      <c r="M10" s="13" t="b">
        <v>0</v>
      </c>
      <c r="O10" s="25">
        <f t="shared" si="0"/>
        <v>162</v>
      </c>
      <c r="P10" s="13">
        <f t="shared" si="1"/>
        <v>179.20000000000002</v>
      </c>
      <c r="Q10" s="13" t="str">
        <f t="shared" si="2"/>
        <v/>
      </c>
      <c r="R10" s="13" t="str">
        <f t="shared" si="3"/>
        <v>Diskon</v>
      </c>
    </row>
    <row r="11" spans="1:18" x14ac:dyDescent="0.25">
      <c r="A11" s="13" t="s">
        <v>23</v>
      </c>
      <c r="B11" s="13" t="s">
        <v>2190</v>
      </c>
      <c r="C11" s="13" t="s">
        <v>2200</v>
      </c>
      <c r="D11" s="13" t="s">
        <v>2206</v>
      </c>
      <c r="E11" s="13" t="s">
        <v>2211</v>
      </c>
      <c r="F11" s="13" t="s">
        <v>2215</v>
      </c>
      <c r="G11" s="13">
        <v>248.41</v>
      </c>
      <c r="H11" s="13">
        <v>10.9</v>
      </c>
      <c r="I11" s="13">
        <v>221.33</v>
      </c>
      <c r="J11" s="24">
        <v>45875</v>
      </c>
      <c r="K11" s="13">
        <v>37</v>
      </c>
      <c r="L11" s="44">
        <v>2.9228571428571426</v>
      </c>
      <c r="M11" s="13" t="b">
        <v>0</v>
      </c>
      <c r="O11" s="25">
        <f t="shared" si="0"/>
        <v>27</v>
      </c>
      <c r="P11" s="13">
        <f t="shared" si="1"/>
        <v>403.3</v>
      </c>
      <c r="Q11" s="13" t="str">
        <f t="shared" si="2"/>
        <v/>
      </c>
      <c r="R11" s="13" t="str">
        <f t="shared" si="3"/>
        <v>Diskon</v>
      </c>
    </row>
    <row r="12" spans="1:18" x14ac:dyDescent="0.25">
      <c r="A12" s="13" t="s">
        <v>24</v>
      </c>
      <c r="B12" s="13" t="s">
        <v>2191</v>
      </c>
      <c r="C12" s="13" t="s">
        <v>2199</v>
      </c>
      <c r="D12" s="13" t="s">
        <v>2204</v>
      </c>
      <c r="E12" s="13" t="s">
        <v>2209</v>
      </c>
      <c r="F12" s="13" t="s">
        <v>2216</v>
      </c>
      <c r="G12" s="13">
        <v>116.84</v>
      </c>
      <c r="H12" s="13">
        <v>0</v>
      </c>
      <c r="I12" s="13">
        <v>116.84</v>
      </c>
      <c r="J12" s="24">
        <v>45772</v>
      </c>
      <c r="K12" s="13">
        <v>3</v>
      </c>
      <c r="L12" s="44">
        <v>4.4000000000000004</v>
      </c>
      <c r="M12" s="13" t="b">
        <v>0</v>
      </c>
      <c r="O12" s="25">
        <f t="shared" si="0"/>
        <v>130</v>
      </c>
      <c r="P12" s="13">
        <f t="shared" si="1"/>
        <v>0</v>
      </c>
      <c r="Q12" s="13" t="str">
        <f t="shared" si="2"/>
        <v/>
      </c>
      <c r="R12" s="13" t="str">
        <f t="shared" si="3"/>
        <v>Non diskon</v>
      </c>
    </row>
    <row r="13" spans="1:18" x14ac:dyDescent="0.25">
      <c r="A13" s="13" t="s">
        <v>25</v>
      </c>
      <c r="B13" s="13" t="s">
        <v>2193</v>
      </c>
      <c r="C13" s="13" t="s">
        <v>2197</v>
      </c>
      <c r="D13" s="13" t="s">
        <v>2205</v>
      </c>
      <c r="E13" s="13" t="s">
        <v>2210</v>
      </c>
      <c r="F13" s="13" t="s">
        <v>2219</v>
      </c>
      <c r="G13" s="13">
        <v>146.97999999999999</v>
      </c>
      <c r="H13" s="13">
        <v>0</v>
      </c>
      <c r="I13" s="13">
        <v>146.97999999999999</v>
      </c>
      <c r="J13" s="24">
        <v>45875</v>
      </c>
      <c r="K13" s="13">
        <v>2</v>
      </c>
      <c r="L13" s="44">
        <v>3.4</v>
      </c>
      <c r="M13" s="13" t="b">
        <v>0</v>
      </c>
      <c r="O13" s="25">
        <f>DATE(2025,9,2)-J13</f>
        <v>27</v>
      </c>
      <c r="P13" s="13">
        <f t="shared" si="1"/>
        <v>0</v>
      </c>
      <c r="Q13" s="13" t="str">
        <f t="shared" si="2"/>
        <v/>
      </c>
      <c r="R13" s="13" t="str">
        <f t="shared" si="3"/>
        <v>Non diskon</v>
      </c>
    </row>
    <row r="14" spans="1:18" x14ac:dyDescent="0.25">
      <c r="A14" s="13" t="s">
        <v>26</v>
      </c>
      <c r="B14" s="13" t="s">
        <v>2194</v>
      </c>
      <c r="C14" s="13" t="s">
        <v>2201</v>
      </c>
      <c r="D14" s="13" t="s">
        <v>2204</v>
      </c>
      <c r="E14" s="13" t="s">
        <v>2210</v>
      </c>
      <c r="F14" s="13" t="s">
        <v>2217</v>
      </c>
      <c r="G14" s="13">
        <v>37.51</v>
      </c>
      <c r="H14" s="13">
        <v>0</v>
      </c>
      <c r="I14" s="13">
        <v>37.51</v>
      </c>
      <c r="J14" s="24">
        <v>45661</v>
      </c>
      <c r="K14" s="13">
        <v>43</v>
      </c>
      <c r="L14" s="44">
        <v>3.0575757575757576</v>
      </c>
      <c r="M14" s="13" t="b">
        <v>0</v>
      </c>
      <c r="O14" s="25">
        <f t="shared" si="0"/>
        <v>241</v>
      </c>
      <c r="P14" s="13">
        <f t="shared" si="1"/>
        <v>0</v>
      </c>
      <c r="Q14" s="13" t="str">
        <f t="shared" si="2"/>
        <v/>
      </c>
      <c r="R14" s="13" t="str">
        <f t="shared" si="3"/>
        <v>Non diskon</v>
      </c>
    </row>
    <row r="15" spans="1:18" x14ac:dyDescent="0.25">
      <c r="A15" s="13" t="s">
        <v>27</v>
      </c>
      <c r="B15" s="13" t="s">
        <v>2195</v>
      </c>
      <c r="C15" s="13" t="s">
        <v>2197</v>
      </c>
      <c r="D15" s="13" t="s">
        <v>2206</v>
      </c>
      <c r="E15" s="13" t="s">
        <v>2212</v>
      </c>
      <c r="F15" s="13" t="s">
        <v>2221</v>
      </c>
      <c r="G15" s="13">
        <v>48.15</v>
      </c>
      <c r="H15" s="13">
        <v>0</v>
      </c>
      <c r="I15" s="13">
        <v>48.15</v>
      </c>
      <c r="J15" s="24">
        <v>45875</v>
      </c>
      <c r="K15" s="13">
        <v>39</v>
      </c>
      <c r="L15" s="44">
        <v>1.6</v>
      </c>
      <c r="M15" s="13" t="b">
        <v>0</v>
      </c>
      <c r="O15" s="25">
        <f t="shared" si="0"/>
        <v>27</v>
      </c>
      <c r="P15" s="13">
        <f t="shared" si="1"/>
        <v>0</v>
      </c>
      <c r="Q15" s="13" t="str">
        <f t="shared" si="2"/>
        <v/>
      </c>
      <c r="R15" s="13" t="str">
        <f t="shared" si="3"/>
        <v>Non diskon</v>
      </c>
    </row>
    <row r="16" spans="1:18" x14ac:dyDescent="0.25">
      <c r="A16" s="13" t="s">
        <v>28</v>
      </c>
      <c r="B16" s="13" t="s">
        <v>2191</v>
      </c>
      <c r="C16" s="13" t="s">
        <v>2199</v>
      </c>
      <c r="D16" s="13" t="s">
        <v>2205</v>
      </c>
      <c r="E16" s="13" t="s">
        <v>2213</v>
      </c>
      <c r="F16" s="13" t="s">
        <v>2221</v>
      </c>
      <c r="G16" s="13">
        <v>79.66</v>
      </c>
      <c r="H16" s="13">
        <v>0</v>
      </c>
      <c r="I16" s="13">
        <v>79.66</v>
      </c>
      <c r="J16" s="24">
        <v>45875</v>
      </c>
      <c r="K16" s="13">
        <v>7</v>
      </c>
      <c r="L16" s="44">
        <v>1.7</v>
      </c>
      <c r="M16" s="13" t="b">
        <v>0</v>
      </c>
      <c r="O16" s="25">
        <f t="shared" si="0"/>
        <v>27</v>
      </c>
      <c r="P16" s="13">
        <f t="shared" si="1"/>
        <v>0</v>
      </c>
      <c r="Q16" s="13" t="str">
        <f t="shared" si="2"/>
        <v/>
      </c>
      <c r="R16" s="13" t="str">
        <f t="shared" si="3"/>
        <v>Non diskon</v>
      </c>
    </row>
    <row r="17" spans="1:18" x14ac:dyDescent="0.25">
      <c r="A17" s="13" t="s">
        <v>29</v>
      </c>
      <c r="B17" s="13" t="s">
        <v>2192</v>
      </c>
      <c r="C17" s="13" t="s">
        <v>2199</v>
      </c>
      <c r="D17" s="13" t="s">
        <v>2205</v>
      </c>
      <c r="F17" s="13" t="s">
        <v>2220</v>
      </c>
      <c r="G17" s="13">
        <v>67.569999999999993</v>
      </c>
      <c r="H17" s="13">
        <v>0</v>
      </c>
      <c r="I17" s="13">
        <v>67.569999999999993</v>
      </c>
      <c r="J17" s="24">
        <v>45875</v>
      </c>
      <c r="K17" s="13">
        <v>17</v>
      </c>
      <c r="L17" s="44">
        <v>2.4</v>
      </c>
      <c r="M17" s="13" t="b">
        <v>0</v>
      </c>
      <c r="O17" s="25">
        <f t="shared" si="0"/>
        <v>27</v>
      </c>
      <c r="P17" s="13">
        <f t="shared" si="1"/>
        <v>0</v>
      </c>
      <c r="Q17" s="13" t="str">
        <f t="shared" si="2"/>
        <v/>
      </c>
      <c r="R17" s="13" t="str">
        <f t="shared" si="3"/>
        <v>Non diskon</v>
      </c>
    </row>
    <row r="18" spans="1:18" x14ac:dyDescent="0.25">
      <c r="A18" s="13" t="s">
        <v>30</v>
      </c>
      <c r="B18" s="13" t="s">
        <v>2193</v>
      </c>
      <c r="C18" s="13" t="s">
        <v>2202</v>
      </c>
      <c r="D18" s="13" t="s">
        <v>2207</v>
      </c>
      <c r="E18" s="13" t="s">
        <v>2210</v>
      </c>
      <c r="F18" s="13" t="s">
        <v>2221</v>
      </c>
      <c r="G18" s="13">
        <v>123.53</v>
      </c>
      <c r="H18" s="13">
        <v>0</v>
      </c>
      <c r="I18" s="13">
        <v>123.53</v>
      </c>
      <c r="J18" s="24">
        <v>45875</v>
      </c>
      <c r="K18" s="13">
        <v>14</v>
      </c>
      <c r="L18" s="44">
        <v>4.5999999999999996</v>
      </c>
      <c r="M18" s="13" t="b">
        <v>0</v>
      </c>
      <c r="O18" s="25">
        <f t="shared" si="0"/>
        <v>27</v>
      </c>
      <c r="P18" s="13">
        <f t="shared" si="1"/>
        <v>0</v>
      </c>
      <c r="Q18" s="13" t="str">
        <f t="shared" si="2"/>
        <v/>
      </c>
      <c r="R18" s="13" t="str">
        <f t="shared" si="3"/>
        <v>Non diskon</v>
      </c>
    </row>
    <row r="19" spans="1:18" x14ac:dyDescent="0.25">
      <c r="A19" s="13" t="s">
        <v>31</v>
      </c>
      <c r="B19" s="13" t="s">
        <v>2191</v>
      </c>
      <c r="C19" s="13" t="s">
        <v>2201</v>
      </c>
      <c r="D19" s="13" t="s">
        <v>2205</v>
      </c>
      <c r="E19" s="13" t="s">
        <v>2209</v>
      </c>
      <c r="F19" s="13" t="s">
        <v>2222</v>
      </c>
      <c r="G19" s="13">
        <v>102.35</v>
      </c>
      <c r="H19" s="13">
        <v>0</v>
      </c>
      <c r="I19" s="13">
        <v>102.35</v>
      </c>
      <c r="J19" s="24">
        <v>45875</v>
      </c>
      <c r="K19" s="13">
        <v>14</v>
      </c>
      <c r="L19" s="44">
        <v>3.5</v>
      </c>
      <c r="M19" s="13" t="b">
        <v>0</v>
      </c>
      <c r="O19" s="25">
        <f t="shared" si="0"/>
        <v>27</v>
      </c>
      <c r="P19" s="13">
        <f t="shared" si="1"/>
        <v>0</v>
      </c>
      <c r="Q19" s="13" t="str">
        <f t="shared" si="2"/>
        <v/>
      </c>
      <c r="R19" s="13" t="str">
        <f t="shared" si="3"/>
        <v>Non diskon</v>
      </c>
    </row>
    <row r="20" spans="1:18" x14ac:dyDescent="0.25">
      <c r="A20" s="13" t="s">
        <v>32</v>
      </c>
      <c r="B20" s="13" t="s">
        <v>2190</v>
      </c>
      <c r="C20" s="13" t="s">
        <v>2199</v>
      </c>
      <c r="D20" s="13" t="s">
        <v>2207</v>
      </c>
      <c r="E20" s="13" t="s">
        <v>2213</v>
      </c>
      <c r="F20" s="13" t="s">
        <v>2223</v>
      </c>
      <c r="G20" s="13">
        <v>137.94999999999999</v>
      </c>
      <c r="H20" s="13">
        <v>58.5</v>
      </c>
      <c r="I20" s="13">
        <v>57.25</v>
      </c>
      <c r="J20" s="24">
        <v>45875</v>
      </c>
      <c r="K20" s="13">
        <v>16</v>
      </c>
      <c r="L20" s="44">
        <v>4.0999999999999996</v>
      </c>
      <c r="M20" s="13" t="b">
        <v>0</v>
      </c>
      <c r="O20" s="25">
        <f t="shared" si="0"/>
        <v>27</v>
      </c>
      <c r="P20" s="13">
        <f t="shared" si="1"/>
        <v>936</v>
      </c>
      <c r="Q20" s="13" t="str">
        <f t="shared" si="2"/>
        <v/>
      </c>
      <c r="R20" s="13" t="str">
        <f t="shared" si="3"/>
        <v>Diskon</v>
      </c>
    </row>
    <row r="21" spans="1:18" x14ac:dyDescent="0.25">
      <c r="A21" s="13" t="s">
        <v>33</v>
      </c>
      <c r="B21" s="13" t="s">
        <v>2190</v>
      </c>
      <c r="C21" s="13" t="s">
        <v>2198</v>
      </c>
      <c r="D21" s="13" t="s">
        <v>2207</v>
      </c>
      <c r="E21" s="13" t="s">
        <v>2211</v>
      </c>
      <c r="F21" s="13" t="s">
        <v>2218</v>
      </c>
      <c r="G21" s="13">
        <v>142.59</v>
      </c>
      <c r="H21" s="13">
        <v>0</v>
      </c>
      <c r="I21" s="13">
        <v>142.59</v>
      </c>
      <c r="J21" s="24">
        <v>45875</v>
      </c>
      <c r="K21" s="13">
        <v>1</v>
      </c>
      <c r="L21" s="44">
        <v>3.7</v>
      </c>
      <c r="M21" s="13" t="b">
        <v>0</v>
      </c>
      <c r="O21" s="25">
        <f t="shared" si="0"/>
        <v>27</v>
      </c>
      <c r="P21" s="13">
        <f t="shared" si="1"/>
        <v>0</v>
      </c>
      <c r="Q21" s="13" t="str">
        <f t="shared" si="2"/>
        <v/>
      </c>
      <c r="R21" s="13" t="str">
        <f t="shared" si="3"/>
        <v>Non diskon</v>
      </c>
    </row>
    <row r="22" spans="1:18" x14ac:dyDescent="0.25">
      <c r="A22" s="13" t="s">
        <v>34</v>
      </c>
      <c r="B22" s="13" t="s">
        <v>2194</v>
      </c>
      <c r="C22" s="13" t="s">
        <v>2199</v>
      </c>
      <c r="D22" s="13" t="s">
        <v>2206</v>
      </c>
      <c r="E22" s="13" t="s">
        <v>2209</v>
      </c>
      <c r="F22" s="13" t="s">
        <v>2221</v>
      </c>
      <c r="G22" s="13">
        <v>33.33</v>
      </c>
      <c r="H22" s="13">
        <v>21.8</v>
      </c>
      <c r="I22" s="13">
        <v>26.06</v>
      </c>
      <c r="J22" s="24">
        <v>45875</v>
      </c>
      <c r="K22" s="13">
        <v>42</v>
      </c>
      <c r="L22" s="44">
        <v>2.8142857142857149</v>
      </c>
      <c r="M22" s="13" t="b">
        <v>0</v>
      </c>
      <c r="O22" s="25">
        <f t="shared" si="0"/>
        <v>27</v>
      </c>
      <c r="P22" s="13">
        <f t="shared" si="1"/>
        <v>915.6</v>
      </c>
      <c r="Q22" s="13" t="str">
        <f t="shared" si="2"/>
        <v/>
      </c>
      <c r="R22" s="13" t="str">
        <f t="shared" si="3"/>
        <v>Diskon</v>
      </c>
    </row>
    <row r="23" spans="1:18" x14ac:dyDescent="0.25">
      <c r="A23" s="13" t="s">
        <v>35</v>
      </c>
      <c r="B23" s="13" t="s">
        <v>2192</v>
      </c>
      <c r="C23" s="13" t="s">
        <v>2196</v>
      </c>
      <c r="D23" s="13" t="s">
        <v>2204</v>
      </c>
      <c r="F23" s="13" t="s">
        <v>2224</v>
      </c>
      <c r="G23" s="13">
        <v>62.3</v>
      </c>
      <c r="H23" s="13">
        <v>0</v>
      </c>
      <c r="I23" s="13">
        <v>62.3</v>
      </c>
      <c r="J23" s="24">
        <v>45559</v>
      </c>
      <c r="K23" s="13">
        <v>10</v>
      </c>
      <c r="L23" s="44">
        <v>2.5</v>
      </c>
      <c r="M23" s="13" t="b">
        <v>0</v>
      </c>
      <c r="O23" s="25">
        <f t="shared" si="0"/>
        <v>343</v>
      </c>
      <c r="P23" s="13">
        <f t="shared" si="1"/>
        <v>0</v>
      </c>
      <c r="Q23" s="13" t="str">
        <f t="shared" si="2"/>
        <v/>
      </c>
      <c r="R23" s="13" t="str">
        <f t="shared" si="3"/>
        <v>Non diskon</v>
      </c>
    </row>
    <row r="24" spans="1:18" x14ac:dyDescent="0.25">
      <c r="A24" s="13" t="s">
        <v>36</v>
      </c>
      <c r="B24" s="13" t="s">
        <v>2192</v>
      </c>
      <c r="C24" s="13" t="s">
        <v>2196</v>
      </c>
      <c r="D24" s="13" t="s">
        <v>2205</v>
      </c>
      <c r="F24" s="13" t="s">
        <v>2215</v>
      </c>
      <c r="G24" s="13">
        <v>38.479999999999997</v>
      </c>
      <c r="H24" s="13">
        <v>0</v>
      </c>
      <c r="I24" s="13">
        <v>38.479999999999997</v>
      </c>
      <c r="J24" s="24">
        <v>45875</v>
      </c>
      <c r="K24" s="13">
        <v>46</v>
      </c>
      <c r="L24" s="44">
        <v>1.2</v>
      </c>
      <c r="M24" s="13" t="b">
        <v>0</v>
      </c>
      <c r="O24" s="25">
        <f t="shared" si="0"/>
        <v>27</v>
      </c>
      <c r="P24" s="13">
        <f t="shared" si="1"/>
        <v>0</v>
      </c>
      <c r="Q24" s="13" t="str">
        <f t="shared" si="2"/>
        <v/>
      </c>
      <c r="R24" s="13" t="str">
        <f t="shared" si="3"/>
        <v>Non diskon</v>
      </c>
    </row>
    <row r="25" spans="1:18" x14ac:dyDescent="0.25">
      <c r="A25" s="13" t="s">
        <v>37</v>
      </c>
      <c r="B25" s="13" t="s">
        <v>2195</v>
      </c>
      <c r="C25" s="13" t="s">
        <v>2198</v>
      </c>
      <c r="D25" s="13" t="s">
        <v>2207</v>
      </c>
      <c r="E25" s="13" t="s">
        <v>2208</v>
      </c>
      <c r="F25" s="13" t="s">
        <v>2220</v>
      </c>
      <c r="G25" s="13">
        <v>91.36</v>
      </c>
      <c r="H25" s="13">
        <v>0</v>
      </c>
      <c r="I25" s="13">
        <v>91.36</v>
      </c>
      <c r="J25" s="24">
        <v>45875</v>
      </c>
      <c r="K25" s="13">
        <v>37</v>
      </c>
      <c r="L25" s="44">
        <v>1.2</v>
      </c>
      <c r="M25" s="13" t="b">
        <v>1</v>
      </c>
      <c r="N25" s="13" t="s">
        <v>2226</v>
      </c>
      <c r="O25" s="25">
        <f t="shared" si="0"/>
        <v>27</v>
      </c>
      <c r="P25" s="13">
        <f t="shared" si="1"/>
        <v>0</v>
      </c>
      <c r="Q25" s="13">
        <f t="shared" si="2"/>
        <v>1</v>
      </c>
      <c r="R25" s="13" t="str">
        <f t="shared" si="3"/>
        <v>Non diskon</v>
      </c>
    </row>
    <row r="26" spans="1:18" x14ac:dyDescent="0.25">
      <c r="A26" s="13" t="s">
        <v>38</v>
      </c>
      <c r="B26" s="13" t="s">
        <v>2191</v>
      </c>
      <c r="C26" s="13" t="s">
        <v>2203</v>
      </c>
      <c r="D26" s="13" t="s">
        <v>2206</v>
      </c>
      <c r="E26" s="13" t="s">
        <v>2212</v>
      </c>
      <c r="F26" s="13" t="s">
        <v>2219</v>
      </c>
      <c r="G26" s="13">
        <v>80.47</v>
      </c>
      <c r="H26" s="13">
        <v>29.1</v>
      </c>
      <c r="I26" s="13">
        <v>57.05</v>
      </c>
      <c r="J26" s="24">
        <v>45875</v>
      </c>
      <c r="K26" s="13">
        <v>38</v>
      </c>
      <c r="L26" s="44">
        <v>3.6</v>
      </c>
      <c r="M26" s="13" t="b">
        <v>0</v>
      </c>
      <c r="O26" s="25">
        <f t="shared" si="0"/>
        <v>27</v>
      </c>
      <c r="P26" s="13">
        <f t="shared" si="1"/>
        <v>1105.8</v>
      </c>
      <c r="Q26" s="13" t="str">
        <f t="shared" si="2"/>
        <v/>
      </c>
      <c r="R26" s="13" t="str">
        <f t="shared" si="3"/>
        <v>Diskon</v>
      </c>
    </row>
    <row r="27" spans="1:18" x14ac:dyDescent="0.25">
      <c r="A27" s="13" t="s">
        <v>39</v>
      </c>
      <c r="B27" s="13" t="s">
        <v>2194</v>
      </c>
      <c r="C27" s="13" t="s">
        <v>2197</v>
      </c>
      <c r="D27" s="13" t="s">
        <v>2204</v>
      </c>
      <c r="E27" s="13" t="s">
        <v>2213</v>
      </c>
      <c r="F27" s="13" t="s">
        <v>2214</v>
      </c>
      <c r="G27" s="13">
        <v>40.89</v>
      </c>
      <c r="H27" s="13">
        <v>34</v>
      </c>
      <c r="I27" s="13">
        <v>26.99</v>
      </c>
      <c r="J27" s="24">
        <v>45819</v>
      </c>
      <c r="K27" s="13">
        <v>16</v>
      </c>
      <c r="L27" s="44">
        <v>3.7</v>
      </c>
      <c r="M27" s="13" t="b">
        <v>0</v>
      </c>
      <c r="O27" s="25">
        <f t="shared" si="0"/>
        <v>83</v>
      </c>
      <c r="P27" s="13">
        <f t="shared" si="1"/>
        <v>544</v>
      </c>
      <c r="Q27" s="13" t="str">
        <f t="shared" si="2"/>
        <v/>
      </c>
      <c r="R27" s="13" t="str">
        <f t="shared" si="3"/>
        <v>Diskon</v>
      </c>
    </row>
    <row r="28" spans="1:18" x14ac:dyDescent="0.25">
      <c r="A28" s="13" t="s">
        <v>40</v>
      </c>
      <c r="B28" s="13" t="s">
        <v>2194</v>
      </c>
      <c r="C28" s="13" t="s">
        <v>2198</v>
      </c>
      <c r="D28" s="13" t="s">
        <v>2207</v>
      </c>
      <c r="E28" s="13" t="s">
        <v>2209</v>
      </c>
      <c r="F28" s="13" t="s">
        <v>2214</v>
      </c>
      <c r="G28" s="13">
        <v>47.04</v>
      </c>
      <c r="H28" s="13">
        <v>36</v>
      </c>
      <c r="I28" s="13">
        <v>30.11</v>
      </c>
      <c r="J28" s="24">
        <v>45875</v>
      </c>
      <c r="K28" s="13">
        <v>25</v>
      </c>
      <c r="L28" s="44">
        <v>1.1000000000000001</v>
      </c>
      <c r="M28" s="13" t="b">
        <v>1</v>
      </c>
      <c r="N28" s="13" t="s">
        <v>2227</v>
      </c>
      <c r="O28" s="25">
        <f t="shared" si="0"/>
        <v>27</v>
      </c>
      <c r="P28" s="13">
        <f t="shared" si="1"/>
        <v>900</v>
      </c>
      <c r="Q28" s="13">
        <f t="shared" si="2"/>
        <v>1</v>
      </c>
      <c r="R28" s="13" t="str">
        <f t="shared" si="3"/>
        <v>Diskon</v>
      </c>
    </row>
    <row r="29" spans="1:18" x14ac:dyDescent="0.25">
      <c r="A29" s="13" t="s">
        <v>41</v>
      </c>
      <c r="B29" s="13" t="s">
        <v>2194</v>
      </c>
      <c r="C29" s="13" t="s">
        <v>2202</v>
      </c>
      <c r="D29" s="13" t="s">
        <v>2207</v>
      </c>
      <c r="E29" s="13" t="s">
        <v>2213</v>
      </c>
      <c r="F29" s="13" t="s">
        <v>2219</v>
      </c>
      <c r="G29" s="13">
        <v>53.37</v>
      </c>
      <c r="H29" s="13">
        <v>0</v>
      </c>
      <c r="I29" s="13">
        <v>53.37</v>
      </c>
      <c r="J29" s="24">
        <v>45875</v>
      </c>
      <c r="K29" s="13">
        <v>28</v>
      </c>
      <c r="L29" s="44">
        <v>3.8</v>
      </c>
      <c r="M29" s="13" t="b">
        <v>0</v>
      </c>
      <c r="O29" s="25">
        <f t="shared" si="0"/>
        <v>27</v>
      </c>
      <c r="P29" s="13">
        <f t="shared" si="1"/>
        <v>0</v>
      </c>
      <c r="Q29" s="13" t="str">
        <f t="shared" si="2"/>
        <v/>
      </c>
      <c r="R29" s="13" t="str">
        <f t="shared" si="3"/>
        <v>Non diskon</v>
      </c>
    </row>
    <row r="30" spans="1:18" x14ac:dyDescent="0.25">
      <c r="A30" s="13" t="s">
        <v>42</v>
      </c>
      <c r="B30" s="13" t="s">
        <v>2195</v>
      </c>
      <c r="C30" s="13" t="s">
        <v>2201</v>
      </c>
      <c r="D30" s="13" t="s">
        <v>2207</v>
      </c>
      <c r="E30" s="13" t="s">
        <v>2209</v>
      </c>
      <c r="F30" s="13" t="s">
        <v>2217</v>
      </c>
      <c r="G30" s="13">
        <v>114.35</v>
      </c>
      <c r="H30" s="13">
        <v>0</v>
      </c>
      <c r="I30" s="13">
        <v>114.35</v>
      </c>
      <c r="J30" s="24">
        <v>45875</v>
      </c>
      <c r="K30" s="13">
        <v>6</v>
      </c>
      <c r="L30" s="44">
        <v>1.2</v>
      </c>
      <c r="M30" s="13" t="b">
        <v>0</v>
      </c>
      <c r="O30" s="25">
        <f t="shared" si="0"/>
        <v>27</v>
      </c>
      <c r="P30" s="13">
        <f t="shared" si="1"/>
        <v>0</v>
      </c>
      <c r="Q30" s="13" t="str">
        <f t="shared" si="2"/>
        <v/>
      </c>
      <c r="R30" s="13" t="str">
        <f t="shared" si="3"/>
        <v>Non diskon</v>
      </c>
    </row>
    <row r="31" spans="1:18" x14ac:dyDescent="0.25">
      <c r="A31" s="13" t="s">
        <v>43</v>
      </c>
      <c r="B31" s="13" t="s">
        <v>2193</v>
      </c>
      <c r="C31" s="13" t="s">
        <v>2202</v>
      </c>
      <c r="D31" s="13" t="s">
        <v>2204</v>
      </c>
      <c r="E31" s="13" t="s">
        <v>2208</v>
      </c>
      <c r="F31" s="13" t="s">
        <v>2214</v>
      </c>
      <c r="G31" s="13">
        <v>77.63</v>
      </c>
      <c r="H31" s="13">
        <v>0</v>
      </c>
      <c r="I31" s="13">
        <v>77.63</v>
      </c>
      <c r="J31" s="24">
        <v>45589</v>
      </c>
      <c r="K31" s="13">
        <v>1</v>
      </c>
      <c r="L31" s="44">
        <v>2.9083333333333328</v>
      </c>
      <c r="M31" s="13" t="b">
        <v>0</v>
      </c>
      <c r="O31" s="25">
        <f t="shared" si="0"/>
        <v>313</v>
      </c>
      <c r="P31" s="13">
        <f t="shared" si="1"/>
        <v>0</v>
      </c>
      <c r="Q31" s="13" t="str">
        <f t="shared" si="2"/>
        <v/>
      </c>
      <c r="R31" s="13" t="str">
        <f t="shared" si="3"/>
        <v>Non diskon</v>
      </c>
    </row>
    <row r="32" spans="1:18" x14ac:dyDescent="0.25">
      <c r="A32" s="13" t="s">
        <v>44</v>
      </c>
      <c r="B32" s="13" t="s">
        <v>2193</v>
      </c>
      <c r="C32" s="13" t="s">
        <v>2197</v>
      </c>
      <c r="D32" s="13" t="s">
        <v>2207</v>
      </c>
      <c r="E32" s="13" t="s">
        <v>2210</v>
      </c>
      <c r="F32" s="13" t="s">
        <v>2214</v>
      </c>
      <c r="G32" s="13">
        <v>71.290000000000006</v>
      </c>
      <c r="H32" s="13">
        <v>0</v>
      </c>
      <c r="I32" s="13">
        <v>71.290000000000006</v>
      </c>
      <c r="J32" s="24">
        <v>45875</v>
      </c>
      <c r="K32" s="13">
        <v>37</v>
      </c>
      <c r="L32" s="44">
        <v>4.0999999999999996</v>
      </c>
      <c r="M32" s="13" t="b">
        <v>1</v>
      </c>
      <c r="N32" s="13" t="s">
        <v>2228</v>
      </c>
      <c r="O32" s="25">
        <f t="shared" si="0"/>
        <v>27</v>
      </c>
      <c r="P32" s="13">
        <f t="shared" si="1"/>
        <v>0</v>
      </c>
      <c r="Q32" s="13">
        <f t="shared" si="2"/>
        <v>1</v>
      </c>
      <c r="R32" s="13" t="str">
        <f t="shared" si="3"/>
        <v>Non diskon</v>
      </c>
    </row>
    <row r="33" spans="1:18" x14ac:dyDescent="0.25">
      <c r="A33" s="13" t="s">
        <v>45</v>
      </c>
      <c r="B33" s="13" t="s">
        <v>2191</v>
      </c>
      <c r="C33" s="13" t="s">
        <v>2202</v>
      </c>
      <c r="D33" s="13" t="s">
        <v>2204</v>
      </c>
      <c r="E33" s="13" t="s">
        <v>2209</v>
      </c>
      <c r="F33" s="13" t="s">
        <v>2223</v>
      </c>
      <c r="G33" s="13">
        <v>37.43</v>
      </c>
      <c r="H33" s="13">
        <v>24.4</v>
      </c>
      <c r="I33" s="13">
        <v>28.3</v>
      </c>
      <c r="J33" s="24">
        <v>45763</v>
      </c>
      <c r="K33" s="13">
        <v>5</v>
      </c>
      <c r="L33" s="44">
        <v>2.9074999999999998</v>
      </c>
      <c r="M33" s="13" t="b">
        <v>0</v>
      </c>
      <c r="O33" s="25">
        <f t="shared" si="0"/>
        <v>139</v>
      </c>
      <c r="P33" s="13">
        <f t="shared" si="1"/>
        <v>122</v>
      </c>
      <c r="Q33" s="13" t="str">
        <f t="shared" si="2"/>
        <v/>
      </c>
      <c r="R33" s="13" t="str">
        <f t="shared" si="3"/>
        <v>Diskon</v>
      </c>
    </row>
    <row r="34" spans="1:18" x14ac:dyDescent="0.25">
      <c r="A34" s="13" t="s">
        <v>46</v>
      </c>
      <c r="B34" s="13" t="s">
        <v>2193</v>
      </c>
      <c r="C34" s="13" t="s">
        <v>2196</v>
      </c>
      <c r="D34" s="13" t="s">
        <v>2204</v>
      </c>
      <c r="E34" s="13" t="s">
        <v>2208</v>
      </c>
      <c r="F34" s="13" t="s">
        <v>2223</v>
      </c>
      <c r="G34" s="13">
        <v>143.78</v>
      </c>
      <c r="H34" s="13">
        <v>0</v>
      </c>
      <c r="I34" s="13">
        <v>143.78</v>
      </c>
      <c r="J34" s="24">
        <v>45581</v>
      </c>
      <c r="K34" s="13">
        <v>43</v>
      </c>
      <c r="L34" s="44">
        <v>1.1000000000000001</v>
      </c>
      <c r="M34" s="13" t="b">
        <v>0</v>
      </c>
      <c r="O34" s="25">
        <f t="shared" si="0"/>
        <v>321</v>
      </c>
      <c r="P34" s="13">
        <f t="shared" si="1"/>
        <v>0</v>
      </c>
      <c r="Q34" s="13" t="str">
        <f t="shared" si="2"/>
        <v/>
      </c>
      <c r="R34" s="13" t="str">
        <f t="shared" si="3"/>
        <v>Non diskon</v>
      </c>
    </row>
    <row r="35" spans="1:18" x14ac:dyDescent="0.25">
      <c r="A35" s="13" t="s">
        <v>47</v>
      </c>
      <c r="B35" s="13" t="s">
        <v>2191</v>
      </c>
      <c r="C35" s="13" t="s">
        <v>2198</v>
      </c>
      <c r="D35" s="13" t="s">
        <v>2207</v>
      </c>
      <c r="E35" s="13" t="s">
        <v>2208</v>
      </c>
      <c r="F35" s="13" t="s">
        <v>2218</v>
      </c>
      <c r="G35" s="13">
        <v>88.23</v>
      </c>
      <c r="H35" s="13">
        <v>0</v>
      </c>
      <c r="I35" s="13">
        <v>88.23</v>
      </c>
      <c r="J35" s="24">
        <v>45875</v>
      </c>
      <c r="K35" s="13">
        <v>44</v>
      </c>
      <c r="L35" s="44">
        <v>1.6</v>
      </c>
      <c r="M35" s="13" t="b">
        <v>0</v>
      </c>
      <c r="O35" s="25">
        <f t="shared" si="0"/>
        <v>27</v>
      </c>
      <c r="P35" s="13">
        <f t="shared" si="1"/>
        <v>0</v>
      </c>
      <c r="Q35" s="13" t="str">
        <f t="shared" si="2"/>
        <v/>
      </c>
      <c r="R35" s="13" t="str">
        <f t="shared" si="3"/>
        <v>Non diskon</v>
      </c>
    </row>
    <row r="36" spans="1:18" x14ac:dyDescent="0.25">
      <c r="A36" s="13" t="s">
        <v>48</v>
      </c>
      <c r="B36" s="13" t="s">
        <v>2192</v>
      </c>
      <c r="C36" s="13" t="s">
        <v>2203</v>
      </c>
      <c r="D36" s="13" t="s">
        <v>2206</v>
      </c>
      <c r="F36" s="13" t="s">
        <v>2222</v>
      </c>
      <c r="G36" s="13">
        <v>58.57</v>
      </c>
      <c r="H36" s="13">
        <v>0</v>
      </c>
      <c r="I36" s="13">
        <v>58.57</v>
      </c>
      <c r="J36" s="24">
        <v>45875</v>
      </c>
      <c r="K36" s="13">
        <v>38</v>
      </c>
      <c r="L36" s="44">
        <v>1.5</v>
      </c>
      <c r="M36" s="13" t="b">
        <v>0</v>
      </c>
      <c r="O36" s="25">
        <f t="shared" si="0"/>
        <v>27</v>
      </c>
      <c r="P36" s="13">
        <f t="shared" si="1"/>
        <v>0</v>
      </c>
      <c r="Q36" s="13" t="str">
        <f t="shared" si="2"/>
        <v/>
      </c>
      <c r="R36" s="13" t="str">
        <f t="shared" si="3"/>
        <v>Non diskon</v>
      </c>
    </row>
    <row r="37" spans="1:18" x14ac:dyDescent="0.25">
      <c r="A37" s="13" t="s">
        <v>49</v>
      </c>
      <c r="B37" s="13" t="s">
        <v>2191</v>
      </c>
      <c r="C37" s="13" t="s">
        <v>2197</v>
      </c>
      <c r="D37" s="13" t="s">
        <v>2205</v>
      </c>
      <c r="E37" s="13" t="s">
        <v>2211</v>
      </c>
      <c r="F37" s="13" t="s">
        <v>2217</v>
      </c>
      <c r="G37" s="13">
        <v>119.7</v>
      </c>
      <c r="H37" s="13">
        <v>5.7</v>
      </c>
      <c r="I37" s="13">
        <v>112.88</v>
      </c>
      <c r="J37" s="24">
        <v>45875</v>
      </c>
      <c r="K37" s="13">
        <v>37</v>
      </c>
      <c r="L37" s="44">
        <v>4.9000000000000004</v>
      </c>
      <c r="M37" s="13" t="b">
        <v>0</v>
      </c>
      <c r="O37" s="25">
        <f t="shared" si="0"/>
        <v>27</v>
      </c>
      <c r="P37" s="13">
        <f t="shared" si="1"/>
        <v>210.9</v>
      </c>
      <c r="Q37" s="13" t="str">
        <f t="shared" si="2"/>
        <v/>
      </c>
      <c r="R37" s="13" t="str">
        <f t="shared" si="3"/>
        <v>Diskon</v>
      </c>
    </row>
    <row r="38" spans="1:18" x14ac:dyDescent="0.25">
      <c r="A38" s="13" t="s">
        <v>50</v>
      </c>
      <c r="B38" s="13" t="s">
        <v>2194</v>
      </c>
      <c r="C38" s="13" t="s">
        <v>2198</v>
      </c>
      <c r="D38" s="13" t="s">
        <v>2206</v>
      </c>
      <c r="E38" s="13" t="s">
        <v>2211</v>
      </c>
      <c r="F38" s="13" t="s">
        <v>2220</v>
      </c>
      <c r="G38" s="13">
        <v>97.06</v>
      </c>
      <c r="H38" s="13">
        <v>47.8</v>
      </c>
      <c r="I38" s="13">
        <v>50.67</v>
      </c>
      <c r="J38" s="24">
        <v>45875</v>
      </c>
      <c r="K38" s="13">
        <v>31</v>
      </c>
      <c r="L38" s="44">
        <v>4.0999999999999996</v>
      </c>
      <c r="M38" s="13" t="b">
        <v>0</v>
      </c>
      <c r="O38" s="25">
        <f t="shared" si="0"/>
        <v>27</v>
      </c>
      <c r="P38" s="13">
        <f t="shared" si="1"/>
        <v>1481.8</v>
      </c>
      <c r="Q38" s="13" t="str">
        <f t="shared" si="2"/>
        <v/>
      </c>
      <c r="R38" s="13" t="str">
        <f t="shared" si="3"/>
        <v>Diskon</v>
      </c>
    </row>
    <row r="39" spans="1:18" x14ac:dyDescent="0.25">
      <c r="A39" s="13" t="s">
        <v>51</v>
      </c>
      <c r="B39" s="13" t="s">
        <v>2195</v>
      </c>
      <c r="C39" s="13" t="s">
        <v>2198</v>
      </c>
      <c r="D39" s="13" t="s">
        <v>2207</v>
      </c>
      <c r="E39" s="13" t="s">
        <v>2209</v>
      </c>
      <c r="F39" s="13" t="s">
        <v>2217</v>
      </c>
      <c r="G39" s="13">
        <v>110.09</v>
      </c>
      <c r="H39" s="13">
        <v>0</v>
      </c>
      <c r="I39" s="13">
        <v>110.09</v>
      </c>
      <c r="J39" s="24">
        <v>45875</v>
      </c>
      <c r="K39" s="13">
        <v>32</v>
      </c>
      <c r="L39" s="44">
        <v>3.4</v>
      </c>
      <c r="M39" s="13" t="b">
        <v>0</v>
      </c>
      <c r="O39" s="25">
        <f t="shared" si="0"/>
        <v>27</v>
      </c>
      <c r="P39" s="13">
        <f t="shared" si="1"/>
        <v>0</v>
      </c>
      <c r="Q39" s="13" t="str">
        <f t="shared" si="2"/>
        <v/>
      </c>
      <c r="R39" s="13" t="str">
        <f t="shared" si="3"/>
        <v>Non diskon</v>
      </c>
    </row>
    <row r="40" spans="1:18" x14ac:dyDescent="0.25">
      <c r="A40" s="13" t="s">
        <v>52</v>
      </c>
      <c r="B40" s="13" t="s">
        <v>2193</v>
      </c>
      <c r="C40" s="13" t="s">
        <v>2196</v>
      </c>
      <c r="D40" s="13" t="s">
        <v>2205</v>
      </c>
      <c r="E40" s="13" t="s">
        <v>2212</v>
      </c>
      <c r="F40" s="13" t="s">
        <v>2220</v>
      </c>
      <c r="G40" s="13">
        <v>198.42</v>
      </c>
      <c r="H40" s="13">
        <v>14.2</v>
      </c>
      <c r="I40" s="13">
        <v>170.24</v>
      </c>
      <c r="J40" s="24">
        <v>45875</v>
      </c>
      <c r="K40" s="13">
        <v>10</v>
      </c>
      <c r="L40" s="44">
        <v>2.9153846153846157</v>
      </c>
      <c r="M40" s="13" t="b">
        <v>0</v>
      </c>
      <c r="O40" s="25">
        <f t="shared" si="0"/>
        <v>27</v>
      </c>
      <c r="P40" s="13">
        <f t="shared" si="1"/>
        <v>142</v>
      </c>
      <c r="Q40" s="13" t="str">
        <f t="shared" si="2"/>
        <v/>
      </c>
      <c r="R40" s="13" t="str">
        <f t="shared" si="3"/>
        <v>Diskon</v>
      </c>
    </row>
    <row r="41" spans="1:18" x14ac:dyDescent="0.25">
      <c r="A41" s="13" t="s">
        <v>53</v>
      </c>
      <c r="B41" s="13" t="s">
        <v>2194</v>
      </c>
      <c r="C41" s="13" t="s">
        <v>2198</v>
      </c>
      <c r="D41" s="13" t="s">
        <v>2205</v>
      </c>
      <c r="F41" s="13" t="s">
        <v>2223</v>
      </c>
      <c r="G41" s="13">
        <v>101.72</v>
      </c>
      <c r="H41" s="13">
        <v>0</v>
      </c>
      <c r="I41" s="13">
        <v>101.72</v>
      </c>
      <c r="J41" s="24">
        <v>45875</v>
      </c>
      <c r="K41" s="13">
        <v>40</v>
      </c>
      <c r="L41" s="44">
        <v>3.0384615384615379</v>
      </c>
      <c r="M41" s="13" t="b">
        <v>0</v>
      </c>
      <c r="O41" s="25">
        <f t="shared" si="0"/>
        <v>27</v>
      </c>
      <c r="P41" s="13">
        <f t="shared" si="1"/>
        <v>0</v>
      </c>
      <c r="Q41" s="13" t="str">
        <f t="shared" si="2"/>
        <v/>
      </c>
      <c r="R41" s="13" t="str">
        <f t="shared" si="3"/>
        <v>Non diskon</v>
      </c>
    </row>
    <row r="42" spans="1:18" x14ac:dyDescent="0.25">
      <c r="A42" s="13" t="s">
        <v>54</v>
      </c>
      <c r="B42" s="13" t="s">
        <v>2191</v>
      </c>
      <c r="C42" s="13" t="s">
        <v>2197</v>
      </c>
      <c r="D42" s="13" t="s">
        <v>2207</v>
      </c>
      <c r="E42" s="13" t="s">
        <v>2210</v>
      </c>
      <c r="F42" s="13" t="s">
        <v>2217</v>
      </c>
      <c r="G42" s="13">
        <v>117.86</v>
      </c>
      <c r="H42" s="13">
        <v>0</v>
      </c>
      <c r="I42" s="13">
        <v>117.86</v>
      </c>
      <c r="J42" s="24">
        <v>45875</v>
      </c>
      <c r="K42" s="13">
        <v>6</v>
      </c>
      <c r="L42" s="44">
        <v>3.34</v>
      </c>
      <c r="M42" s="13" t="b">
        <v>0</v>
      </c>
      <c r="O42" s="25">
        <f t="shared" si="0"/>
        <v>27</v>
      </c>
      <c r="P42" s="13">
        <f t="shared" si="1"/>
        <v>0</v>
      </c>
      <c r="Q42" s="13" t="str">
        <f t="shared" si="2"/>
        <v/>
      </c>
      <c r="R42" s="13" t="str">
        <f t="shared" si="3"/>
        <v>Non diskon</v>
      </c>
    </row>
    <row r="43" spans="1:18" x14ac:dyDescent="0.25">
      <c r="A43" s="13" t="s">
        <v>55</v>
      </c>
      <c r="B43" s="13" t="s">
        <v>2191</v>
      </c>
      <c r="C43" s="13" t="s">
        <v>2201</v>
      </c>
      <c r="D43" s="13" t="s">
        <v>2207</v>
      </c>
      <c r="E43" s="13" t="s">
        <v>2213</v>
      </c>
      <c r="F43" s="13" t="s">
        <v>2220</v>
      </c>
      <c r="G43" s="13">
        <v>78.86</v>
      </c>
      <c r="H43" s="13">
        <v>0</v>
      </c>
      <c r="I43" s="13">
        <v>78.86</v>
      </c>
      <c r="J43" s="24">
        <v>45875</v>
      </c>
      <c r="K43" s="13">
        <v>22</v>
      </c>
      <c r="L43" s="44">
        <v>4.3</v>
      </c>
      <c r="M43" s="13" t="b">
        <v>0</v>
      </c>
      <c r="O43" s="25">
        <f t="shared" si="0"/>
        <v>27</v>
      </c>
      <c r="P43" s="13">
        <f t="shared" si="1"/>
        <v>0</v>
      </c>
      <c r="Q43" s="13" t="str">
        <f t="shared" si="2"/>
        <v/>
      </c>
      <c r="R43" s="13" t="str">
        <f t="shared" si="3"/>
        <v>Non diskon</v>
      </c>
    </row>
    <row r="44" spans="1:18" x14ac:dyDescent="0.25">
      <c r="A44" s="13" t="s">
        <v>56</v>
      </c>
      <c r="B44" s="13" t="s">
        <v>2190</v>
      </c>
      <c r="C44" s="13" t="s">
        <v>2196</v>
      </c>
      <c r="D44" s="13" t="s">
        <v>2205</v>
      </c>
      <c r="E44" s="13" t="s">
        <v>2212</v>
      </c>
      <c r="F44" s="13" t="s">
        <v>2222</v>
      </c>
      <c r="G44" s="13">
        <v>216.16</v>
      </c>
      <c r="H44" s="13">
        <v>51.4</v>
      </c>
      <c r="I44" s="13">
        <v>105.05</v>
      </c>
      <c r="J44" s="24">
        <v>45875</v>
      </c>
      <c r="K44" s="13">
        <v>36</v>
      </c>
      <c r="L44" s="44">
        <v>4</v>
      </c>
      <c r="M44" s="13" t="b">
        <v>0</v>
      </c>
      <c r="O44" s="25">
        <f t="shared" si="0"/>
        <v>27</v>
      </c>
      <c r="P44" s="13">
        <f t="shared" si="1"/>
        <v>1850.3999999999999</v>
      </c>
      <c r="Q44" s="13" t="str">
        <f t="shared" si="2"/>
        <v/>
      </c>
      <c r="R44" s="13" t="str">
        <f t="shared" si="3"/>
        <v>Diskon</v>
      </c>
    </row>
    <row r="45" spans="1:18" x14ac:dyDescent="0.25">
      <c r="A45" s="13" t="s">
        <v>57</v>
      </c>
      <c r="B45" s="13" t="s">
        <v>2193</v>
      </c>
      <c r="C45" s="13" t="s">
        <v>2196</v>
      </c>
      <c r="D45" s="13" t="s">
        <v>2204</v>
      </c>
      <c r="E45" s="13" t="s">
        <v>2208</v>
      </c>
      <c r="F45" s="13" t="s">
        <v>2215</v>
      </c>
      <c r="G45" s="13">
        <v>129.85</v>
      </c>
      <c r="H45" s="13">
        <v>0</v>
      </c>
      <c r="I45" s="13">
        <v>129.85</v>
      </c>
      <c r="J45" s="24">
        <v>45772</v>
      </c>
      <c r="K45" s="13">
        <v>36</v>
      </c>
      <c r="L45" s="44">
        <v>3.3</v>
      </c>
      <c r="M45" s="13" t="b">
        <v>0</v>
      </c>
      <c r="O45" s="25">
        <f t="shared" si="0"/>
        <v>130</v>
      </c>
      <c r="P45" s="13">
        <f t="shared" si="1"/>
        <v>0</v>
      </c>
      <c r="Q45" s="13" t="str">
        <f t="shared" si="2"/>
        <v/>
      </c>
      <c r="R45" s="13" t="str">
        <f t="shared" si="3"/>
        <v>Non diskon</v>
      </c>
    </row>
    <row r="46" spans="1:18" x14ac:dyDescent="0.25">
      <c r="A46" s="13" t="s">
        <v>58</v>
      </c>
      <c r="B46" s="13" t="s">
        <v>2191</v>
      </c>
      <c r="C46" s="13" t="s">
        <v>2198</v>
      </c>
      <c r="D46" s="13" t="s">
        <v>2205</v>
      </c>
      <c r="E46" s="13" t="s">
        <v>2211</v>
      </c>
      <c r="F46" s="13" t="s">
        <v>2220</v>
      </c>
      <c r="G46" s="13">
        <v>111.3</v>
      </c>
      <c r="H46" s="13">
        <v>0</v>
      </c>
      <c r="I46" s="13">
        <v>111.3</v>
      </c>
      <c r="J46" s="24">
        <v>45875</v>
      </c>
      <c r="K46" s="13">
        <v>11</v>
      </c>
      <c r="L46" s="44">
        <v>1.7</v>
      </c>
      <c r="M46" s="13" t="b">
        <v>0</v>
      </c>
      <c r="O46" s="25">
        <f t="shared" si="0"/>
        <v>27</v>
      </c>
      <c r="P46" s="13">
        <f t="shared" si="1"/>
        <v>0</v>
      </c>
      <c r="Q46" s="13" t="str">
        <f t="shared" si="2"/>
        <v/>
      </c>
      <c r="R46" s="13" t="str">
        <f t="shared" si="3"/>
        <v>Non diskon</v>
      </c>
    </row>
    <row r="47" spans="1:18" x14ac:dyDescent="0.25">
      <c r="A47" s="13" t="s">
        <v>59</v>
      </c>
      <c r="B47" s="13" t="s">
        <v>2195</v>
      </c>
      <c r="C47" s="13" t="s">
        <v>2197</v>
      </c>
      <c r="D47" s="13" t="s">
        <v>2207</v>
      </c>
      <c r="E47" s="13" t="s">
        <v>2208</v>
      </c>
      <c r="F47" s="13" t="s">
        <v>2224</v>
      </c>
      <c r="G47" s="13">
        <v>73.650000000000006</v>
      </c>
      <c r="H47" s="13">
        <v>0</v>
      </c>
      <c r="I47" s="13">
        <v>73.650000000000006</v>
      </c>
      <c r="J47" s="24">
        <v>45875</v>
      </c>
      <c r="K47" s="13">
        <v>33</v>
      </c>
      <c r="L47" s="44">
        <v>3.6</v>
      </c>
      <c r="M47" s="13" t="b">
        <v>0</v>
      </c>
      <c r="O47" s="25">
        <f t="shared" si="0"/>
        <v>27</v>
      </c>
      <c r="P47" s="13">
        <f t="shared" si="1"/>
        <v>0</v>
      </c>
      <c r="Q47" s="13" t="str">
        <f t="shared" si="2"/>
        <v/>
      </c>
      <c r="R47" s="13" t="str">
        <f t="shared" si="3"/>
        <v>Non diskon</v>
      </c>
    </row>
    <row r="48" spans="1:18" x14ac:dyDescent="0.25">
      <c r="A48" s="13" t="s">
        <v>60</v>
      </c>
      <c r="B48" s="13" t="s">
        <v>2193</v>
      </c>
      <c r="C48" s="13" t="s">
        <v>2199</v>
      </c>
      <c r="D48" s="13" t="s">
        <v>2207</v>
      </c>
      <c r="E48" s="13" t="s">
        <v>2209</v>
      </c>
      <c r="F48" s="13" t="s">
        <v>2215</v>
      </c>
      <c r="G48" s="13">
        <v>147.13</v>
      </c>
      <c r="H48" s="13">
        <v>30.3</v>
      </c>
      <c r="I48" s="13">
        <v>102.55</v>
      </c>
      <c r="J48" s="24">
        <v>45875</v>
      </c>
      <c r="K48" s="13">
        <v>13</v>
      </c>
      <c r="L48" s="44">
        <v>4.4000000000000004</v>
      </c>
      <c r="M48" s="13" t="b">
        <v>0</v>
      </c>
      <c r="O48" s="25">
        <f t="shared" si="0"/>
        <v>27</v>
      </c>
      <c r="P48" s="13">
        <f t="shared" si="1"/>
        <v>393.90000000000003</v>
      </c>
      <c r="Q48" s="13" t="str">
        <f t="shared" si="2"/>
        <v/>
      </c>
      <c r="R48" s="13" t="str">
        <f t="shared" si="3"/>
        <v>Diskon</v>
      </c>
    </row>
    <row r="49" spans="1:18" x14ac:dyDescent="0.25">
      <c r="A49" s="13" t="s">
        <v>61</v>
      </c>
      <c r="B49" s="13" t="s">
        <v>2192</v>
      </c>
      <c r="C49" s="13" t="s">
        <v>2201</v>
      </c>
      <c r="D49" s="13" t="s">
        <v>2205</v>
      </c>
      <c r="F49" s="13" t="s">
        <v>2220</v>
      </c>
      <c r="G49" s="13">
        <v>44.6</v>
      </c>
      <c r="H49" s="13">
        <v>53.9</v>
      </c>
      <c r="I49" s="13">
        <v>20.56</v>
      </c>
      <c r="J49" s="24">
        <v>45875</v>
      </c>
      <c r="K49" s="13">
        <v>42</v>
      </c>
      <c r="L49" s="44">
        <v>2.4</v>
      </c>
      <c r="M49" s="13" t="b">
        <v>0</v>
      </c>
      <c r="O49" s="25">
        <f t="shared" si="0"/>
        <v>27</v>
      </c>
      <c r="P49" s="13">
        <f t="shared" si="1"/>
        <v>2263.7999999999997</v>
      </c>
      <c r="Q49" s="13" t="str">
        <f t="shared" si="2"/>
        <v/>
      </c>
      <c r="R49" s="13" t="str">
        <f t="shared" si="3"/>
        <v>Diskon</v>
      </c>
    </row>
    <row r="50" spans="1:18" x14ac:dyDescent="0.25">
      <c r="A50" s="13" t="s">
        <v>62</v>
      </c>
      <c r="B50" s="13" t="s">
        <v>2194</v>
      </c>
      <c r="C50" s="13" t="s">
        <v>2203</v>
      </c>
      <c r="D50" s="13" t="s">
        <v>2207</v>
      </c>
      <c r="E50" s="13" t="s">
        <v>2208</v>
      </c>
      <c r="F50" s="13" t="s">
        <v>2217</v>
      </c>
      <c r="G50" s="13">
        <v>101.8</v>
      </c>
      <c r="H50" s="13">
        <v>0</v>
      </c>
      <c r="I50" s="13">
        <v>101.8</v>
      </c>
      <c r="J50" s="24">
        <v>45875</v>
      </c>
      <c r="K50" s="13">
        <v>7</v>
      </c>
      <c r="L50" s="44">
        <v>2.8</v>
      </c>
      <c r="M50" s="13" t="b">
        <v>0</v>
      </c>
      <c r="O50" s="25">
        <f t="shared" si="0"/>
        <v>27</v>
      </c>
      <c r="P50" s="13">
        <f t="shared" si="1"/>
        <v>0</v>
      </c>
      <c r="Q50" s="13" t="str">
        <f t="shared" si="2"/>
        <v/>
      </c>
      <c r="R50" s="13" t="str">
        <f t="shared" si="3"/>
        <v>Non diskon</v>
      </c>
    </row>
    <row r="51" spans="1:18" x14ac:dyDescent="0.25">
      <c r="A51" s="13" t="s">
        <v>63</v>
      </c>
      <c r="B51" s="13" t="s">
        <v>2192</v>
      </c>
      <c r="C51" s="13" t="s">
        <v>2198</v>
      </c>
      <c r="D51" s="13" t="s">
        <v>2207</v>
      </c>
      <c r="F51" s="13" t="s">
        <v>2224</v>
      </c>
      <c r="G51" s="13">
        <v>16.52</v>
      </c>
      <c r="H51" s="13">
        <v>55.9</v>
      </c>
      <c r="I51" s="13">
        <v>7.29</v>
      </c>
      <c r="J51" s="24">
        <v>45875</v>
      </c>
      <c r="K51" s="13">
        <v>43</v>
      </c>
      <c r="L51" s="44">
        <v>2.8694444444444449</v>
      </c>
      <c r="M51" s="13" t="b">
        <v>0</v>
      </c>
      <c r="O51" s="25">
        <f t="shared" si="0"/>
        <v>27</v>
      </c>
      <c r="P51" s="13">
        <f t="shared" si="1"/>
        <v>2403.6999999999998</v>
      </c>
      <c r="Q51" s="13" t="str">
        <f t="shared" si="2"/>
        <v/>
      </c>
      <c r="R51" s="13" t="str">
        <f t="shared" si="3"/>
        <v>Diskon</v>
      </c>
    </row>
    <row r="52" spans="1:18" x14ac:dyDescent="0.25">
      <c r="A52" s="13" t="s">
        <v>64</v>
      </c>
      <c r="B52" s="13" t="s">
        <v>2194</v>
      </c>
      <c r="C52" s="13" t="s">
        <v>2200</v>
      </c>
      <c r="D52" s="13" t="s">
        <v>2206</v>
      </c>
      <c r="E52" s="13" t="s">
        <v>2213</v>
      </c>
      <c r="F52" s="13" t="s">
        <v>2221</v>
      </c>
      <c r="G52" s="13">
        <v>50.91</v>
      </c>
      <c r="H52" s="13">
        <v>0</v>
      </c>
      <c r="I52" s="13">
        <v>50.91</v>
      </c>
      <c r="J52" s="24">
        <v>45875</v>
      </c>
      <c r="K52" s="13">
        <v>3</v>
      </c>
      <c r="L52" s="44">
        <v>1.8</v>
      </c>
      <c r="M52" s="13" t="b">
        <v>0</v>
      </c>
      <c r="O52" s="25">
        <f t="shared" si="0"/>
        <v>27</v>
      </c>
      <c r="P52" s="13">
        <f t="shared" si="1"/>
        <v>0</v>
      </c>
      <c r="Q52" s="13" t="str">
        <f t="shared" si="2"/>
        <v/>
      </c>
      <c r="R52" s="13" t="str">
        <f t="shared" si="3"/>
        <v>Non diskon</v>
      </c>
    </row>
    <row r="53" spans="1:18" x14ac:dyDescent="0.25">
      <c r="A53" s="13" t="s">
        <v>65</v>
      </c>
      <c r="B53" s="13" t="s">
        <v>2190</v>
      </c>
      <c r="C53" s="13" t="s">
        <v>2203</v>
      </c>
      <c r="D53" s="13" t="s">
        <v>2204</v>
      </c>
      <c r="E53" s="13" t="s">
        <v>2210</v>
      </c>
      <c r="F53" s="13" t="s">
        <v>2217</v>
      </c>
      <c r="G53" s="13">
        <v>222.26</v>
      </c>
      <c r="H53" s="13">
        <v>0</v>
      </c>
      <c r="I53" s="13">
        <v>222.26</v>
      </c>
      <c r="J53" s="24">
        <v>45780</v>
      </c>
      <c r="K53" s="13">
        <v>50</v>
      </c>
      <c r="L53" s="44">
        <v>4.5</v>
      </c>
      <c r="M53" s="13" t="b">
        <v>0</v>
      </c>
      <c r="O53" s="25">
        <f t="shared" si="0"/>
        <v>122</v>
      </c>
      <c r="P53" s="13">
        <f t="shared" si="1"/>
        <v>0</v>
      </c>
      <c r="Q53" s="13" t="str">
        <f t="shared" si="2"/>
        <v/>
      </c>
      <c r="R53" s="13" t="str">
        <f t="shared" si="3"/>
        <v>Non diskon</v>
      </c>
    </row>
    <row r="54" spans="1:18" x14ac:dyDescent="0.25">
      <c r="A54" s="13" t="s">
        <v>66</v>
      </c>
      <c r="B54" s="13" t="s">
        <v>2193</v>
      </c>
      <c r="C54" s="13" t="s">
        <v>2202</v>
      </c>
      <c r="D54" s="13" t="s">
        <v>2207</v>
      </c>
      <c r="E54" s="13" t="s">
        <v>2210</v>
      </c>
      <c r="F54" s="13" t="s">
        <v>2222</v>
      </c>
      <c r="G54" s="13">
        <v>104.14</v>
      </c>
      <c r="H54" s="13">
        <v>57.1</v>
      </c>
      <c r="I54" s="13">
        <v>44.68</v>
      </c>
      <c r="J54" s="24">
        <v>45875</v>
      </c>
      <c r="K54" s="13">
        <v>14</v>
      </c>
      <c r="L54" s="44">
        <v>1.8</v>
      </c>
      <c r="M54" s="13" t="b">
        <v>0</v>
      </c>
      <c r="O54" s="25">
        <f t="shared" si="0"/>
        <v>27</v>
      </c>
      <c r="P54" s="13">
        <f t="shared" si="1"/>
        <v>799.4</v>
      </c>
      <c r="Q54" s="13" t="str">
        <f t="shared" si="2"/>
        <v/>
      </c>
      <c r="R54" s="13" t="str">
        <f t="shared" si="3"/>
        <v>Diskon</v>
      </c>
    </row>
    <row r="55" spans="1:18" x14ac:dyDescent="0.25">
      <c r="A55" s="13" t="s">
        <v>67</v>
      </c>
      <c r="B55" s="13" t="s">
        <v>2190</v>
      </c>
      <c r="C55" s="13" t="s">
        <v>2196</v>
      </c>
      <c r="D55" s="13" t="s">
        <v>2204</v>
      </c>
      <c r="E55" s="13" t="s">
        <v>2210</v>
      </c>
      <c r="F55" s="13" t="s">
        <v>2217</v>
      </c>
      <c r="G55" s="13">
        <v>166.76</v>
      </c>
      <c r="H55" s="13">
        <v>0</v>
      </c>
      <c r="I55" s="13">
        <v>166.76</v>
      </c>
      <c r="J55" s="24">
        <v>45820</v>
      </c>
      <c r="K55" s="13">
        <v>21</v>
      </c>
      <c r="L55" s="44">
        <v>4.2</v>
      </c>
      <c r="M55" s="13" t="b">
        <v>0</v>
      </c>
      <c r="O55" s="25">
        <f t="shared" si="0"/>
        <v>82</v>
      </c>
      <c r="P55" s="13">
        <f t="shared" si="1"/>
        <v>0</v>
      </c>
      <c r="Q55" s="13" t="str">
        <f t="shared" si="2"/>
        <v/>
      </c>
      <c r="R55" s="13" t="str">
        <f t="shared" si="3"/>
        <v>Non diskon</v>
      </c>
    </row>
    <row r="56" spans="1:18" x14ac:dyDescent="0.25">
      <c r="A56" s="13" t="s">
        <v>68</v>
      </c>
      <c r="B56" s="13" t="s">
        <v>2192</v>
      </c>
      <c r="C56" s="13" t="s">
        <v>2198</v>
      </c>
      <c r="D56" s="13" t="s">
        <v>2206</v>
      </c>
      <c r="F56" s="13" t="s">
        <v>2216</v>
      </c>
      <c r="G56" s="13">
        <v>44.13</v>
      </c>
      <c r="H56" s="13">
        <v>50.9</v>
      </c>
      <c r="I56" s="13">
        <v>21.67</v>
      </c>
      <c r="J56" s="24">
        <v>45875</v>
      </c>
      <c r="K56" s="13">
        <v>21</v>
      </c>
      <c r="L56" s="44">
        <v>3</v>
      </c>
      <c r="M56" s="13" t="b">
        <v>0</v>
      </c>
      <c r="O56" s="25">
        <f t="shared" si="0"/>
        <v>27</v>
      </c>
      <c r="P56" s="13">
        <f t="shared" si="1"/>
        <v>1068.8999999999999</v>
      </c>
      <c r="Q56" s="13" t="str">
        <f t="shared" si="2"/>
        <v/>
      </c>
      <c r="R56" s="13" t="str">
        <f t="shared" si="3"/>
        <v>Diskon</v>
      </c>
    </row>
    <row r="57" spans="1:18" x14ac:dyDescent="0.25">
      <c r="A57" s="13" t="s">
        <v>69</v>
      </c>
      <c r="B57" s="13" t="s">
        <v>2190</v>
      </c>
      <c r="C57" s="13" t="s">
        <v>2202</v>
      </c>
      <c r="D57" s="13" t="s">
        <v>2207</v>
      </c>
      <c r="E57" s="13" t="s">
        <v>2210</v>
      </c>
      <c r="F57" s="13" t="s">
        <v>2220</v>
      </c>
      <c r="G57" s="13">
        <v>121.29</v>
      </c>
      <c r="H57" s="13">
        <v>15.2</v>
      </c>
      <c r="I57" s="13">
        <v>102.85</v>
      </c>
      <c r="J57" s="24">
        <v>45875</v>
      </c>
      <c r="K57" s="13">
        <v>42</v>
      </c>
      <c r="L57" s="44">
        <v>2.9034482758620692</v>
      </c>
      <c r="M57" s="13" t="b">
        <v>0</v>
      </c>
      <c r="O57" s="25">
        <f t="shared" si="0"/>
        <v>27</v>
      </c>
      <c r="P57" s="13">
        <f t="shared" si="1"/>
        <v>638.4</v>
      </c>
      <c r="Q57" s="13" t="str">
        <f t="shared" si="2"/>
        <v/>
      </c>
      <c r="R57" s="13" t="str">
        <f t="shared" si="3"/>
        <v>Diskon</v>
      </c>
    </row>
    <row r="58" spans="1:18" x14ac:dyDescent="0.25">
      <c r="A58" s="13" t="s">
        <v>70</v>
      </c>
      <c r="B58" s="13" t="s">
        <v>2191</v>
      </c>
      <c r="C58" s="13" t="s">
        <v>2200</v>
      </c>
      <c r="D58" s="13" t="s">
        <v>2204</v>
      </c>
      <c r="E58" s="13" t="s">
        <v>2210</v>
      </c>
      <c r="F58" s="13" t="s">
        <v>2221</v>
      </c>
      <c r="G58" s="13">
        <v>73.709999999999994</v>
      </c>
      <c r="H58" s="13">
        <v>0</v>
      </c>
      <c r="I58" s="13">
        <v>73.709999999999994</v>
      </c>
      <c r="J58" s="24">
        <v>45848</v>
      </c>
      <c r="K58" s="13">
        <v>35</v>
      </c>
      <c r="L58" s="44">
        <v>3.9</v>
      </c>
      <c r="M58" s="13" t="b">
        <v>1</v>
      </c>
      <c r="N58" s="13" t="s">
        <v>2228</v>
      </c>
      <c r="O58" s="25">
        <f t="shared" si="0"/>
        <v>54</v>
      </c>
      <c r="P58" s="13">
        <f t="shared" si="1"/>
        <v>0</v>
      </c>
      <c r="Q58" s="13">
        <f t="shared" si="2"/>
        <v>1</v>
      </c>
      <c r="R58" s="13" t="str">
        <f t="shared" si="3"/>
        <v>Non diskon</v>
      </c>
    </row>
    <row r="59" spans="1:18" x14ac:dyDescent="0.25">
      <c r="A59" s="13" t="s">
        <v>71</v>
      </c>
      <c r="B59" s="13" t="s">
        <v>2194</v>
      </c>
      <c r="C59" s="13" t="s">
        <v>2196</v>
      </c>
      <c r="D59" s="13" t="s">
        <v>2204</v>
      </c>
      <c r="E59" s="13" t="s">
        <v>2208</v>
      </c>
      <c r="F59" s="13" t="s">
        <v>2224</v>
      </c>
      <c r="G59" s="13">
        <v>84.07</v>
      </c>
      <c r="H59" s="13">
        <v>26.3</v>
      </c>
      <c r="I59" s="13">
        <v>61.96</v>
      </c>
      <c r="J59" s="24">
        <v>45590</v>
      </c>
      <c r="K59" s="13">
        <v>19</v>
      </c>
      <c r="L59" s="44">
        <v>2.2999999999999998</v>
      </c>
      <c r="M59" s="13" t="b">
        <v>1</v>
      </c>
      <c r="N59" s="13" t="s">
        <v>2226</v>
      </c>
      <c r="O59" s="25">
        <f t="shared" si="0"/>
        <v>312</v>
      </c>
      <c r="P59" s="13">
        <f t="shared" si="1"/>
        <v>499.7</v>
      </c>
      <c r="Q59" s="13">
        <f t="shared" si="2"/>
        <v>1</v>
      </c>
      <c r="R59" s="13" t="str">
        <f t="shared" si="3"/>
        <v>Diskon</v>
      </c>
    </row>
    <row r="60" spans="1:18" x14ac:dyDescent="0.25">
      <c r="A60" s="13" t="s">
        <v>72</v>
      </c>
      <c r="B60" s="13" t="s">
        <v>2191</v>
      </c>
      <c r="C60" s="13" t="s">
        <v>2199</v>
      </c>
      <c r="D60" s="13" t="s">
        <v>2207</v>
      </c>
      <c r="E60" s="13" t="s">
        <v>2212</v>
      </c>
      <c r="F60" s="13" t="s">
        <v>2216</v>
      </c>
      <c r="G60" s="13">
        <v>28.59</v>
      </c>
      <c r="H60" s="13">
        <v>0</v>
      </c>
      <c r="I60" s="13">
        <v>28.59</v>
      </c>
      <c r="J60" s="24">
        <v>45875</v>
      </c>
      <c r="K60" s="13">
        <v>39</v>
      </c>
      <c r="L60" s="44">
        <v>1.4</v>
      </c>
      <c r="M60" s="13" t="b">
        <v>0</v>
      </c>
      <c r="O60" s="25">
        <f t="shared" si="0"/>
        <v>27</v>
      </c>
      <c r="P60" s="13">
        <f t="shared" si="1"/>
        <v>0</v>
      </c>
      <c r="Q60" s="13" t="str">
        <f t="shared" si="2"/>
        <v/>
      </c>
      <c r="R60" s="13" t="str">
        <f t="shared" si="3"/>
        <v>Non diskon</v>
      </c>
    </row>
    <row r="61" spans="1:18" x14ac:dyDescent="0.25">
      <c r="A61" s="13" t="s">
        <v>73</v>
      </c>
      <c r="B61" s="13" t="s">
        <v>2193</v>
      </c>
      <c r="C61" s="13" t="s">
        <v>2199</v>
      </c>
      <c r="D61" s="13" t="s">
        <v>2205</v>
      </c>
      <c r="E61" s="13" t="s">
        <v>2211</v>
      </c>
      <c r="F61" s="13" t="s">
        <v>2219</v>
      </c>
      <c r="G61" s="13">
        <v>166.49</v>
      </c>
      <c r="H61" s="13">
        <v>2.6</v>
      </c>
      <c r="I61" s="13">
        <v>162.16</v>
      </c>
      <c r="J61" s="24">
        <v>45875</v>
      </c>
      <c r="K61" s="13">
        <v>27</v>
      </c>
      <c r="L61" s="44">
        <v>2.9804347826086954</v>
      </c>
      <c r="M61" s="13" t="b">
        <v>0</v>
      </c>
      <c r="O61" s="25">
        <f t="shared" si="0"/>
        <v>27</v>
      </c>
      <c r="P61" s="13">
        <f t="shared" si="1"/>
        <v>70.2</v>
      </c>
      <c r="Q61" s="13" t="str">
        <f t="shared" si="2"/>
        <v/>
      </c>
      <c r="R61" s="13" t="str">
        <f t="shared" si="3"/>
        <v>Diskon</v>
      </c>
    </row>
    <row r="62" spans="1:18" x14ac:dyDescent="0.25">
      <c r="A62" s="13" t="s">
        <v>74</v>
      </c>
      <c r="B62" s="13" t="s">
        <v>2193</v>
      </c>
      <c r="C62" s="13" t="s">
        <v>2201</v>
      </c>
      <c r="D62" s="13" t="s">
        <v>2207</v>
      </c>
      <c r="E62" s="13" t="s">
        <v>2213</v>
      </c>
      <c r="F62" s="13" t="s">
        <v>2217</v>
      </c>
      <c r="G62" s="13">
        <v>145.94999999999999</v>
      </c>
      <c r="H62" s="13">
        <v>6.6</v>
      </c>
      <c r="I62" s="13">
        <v>136.32</v>
      </c>
      <c r="J62" s="24">
        <v>45875</v>
      </c>
      <c r="K62" s="13">
        <v>15</v>
      </c>
      <c r="L62" s="44">
        <v>4</v>
      </c>
      <c r="M62" s="13" t="b">
        <v>0</v>
      </c>
      <c r="O62" s="25">
        <f t="shared" si="0"/>
        <v>27</v>
      </c>
      <c r="P62" s="13">
        <f t="shared" si="1"/>
        <v>99</v>
      </c>
      <c r="Q62" s="13" t="str">
        <f t="shared" si="2"/>
        <v/>
      </c>
      <c r="R62" s="13" t="str">
        <f t="shared" si="3"/>
        <v>Diskon</v>
      </c>
    </row>
    <row r="63" spans="1:18" x14ac:dyDescent="0.25">
      <c r="A63" s="13" t="s">
        <v>75</v>
      </c>
      <c r="B63" s="13" t="s">
        <v>2190</v>
      </c>
      <c r="C63" s="13" t="s">
        <v>2202</v>
      </c>
      <c r="D63" s="13" t="s">
        <v>2206</v>
      </c>
      <c r="E63" s="13" t="s">
        <v>2213</v>
      </c>
      <c r="F63" s="13" t="s">
        <v>2223</v>
      </c>
      <c r="G63" s="13">
        <v>218.42</v>
      </c>
      <c r="H63" s="13">
        <v>0</v>
      </c>
      <c r="I63" s="13">
        <v>218.42</v>
      </c>
      <c r="J63" s="24">
        <v>45875</v>
      </c>
      <c r="K63" s="13">
        <v>33</v>
      </c>
      <c r="L63" s="44">
        <v>4.4000000000000004</v>
      </c>
      <c r="M63" s="13" t="b">
        <v>1</v>
      </c>
      <c r="N63" s="13" t="s">
        <v>2229</v>
      </c>
      <c r="O63" s="25">
        <f t="shared" si="0"/>
        <v>27</v>
      </c>
      <c r="P63" s="13">
        <f t="shared" si="1"/>
        <v>0</v>
      </c>
      <c r="Q63" s="13">
        <f t="shared" si="2"/>
        <v>1</v>
      </c>
      <c r="R63" s="13" t="str">
        <f t="shared" si="3"/>
        <v>Non diskon</v>
      </c>
    </row>
    <row r="64" spans="1:18" x14ac:dyDescent="0.25">
      <c r="A64" s="13" t="s">
        <v>76</v>
      </c>
      <c r="B64" s="13" t="s">
        <v>2192</v>
      </c>
      <c r="C64" s="13" t="s">
        <v>2203</v>
      </c>
      <c r="D64" s="13" t="s">
        <v>2205</v>
      </c>
      <c r="F64" s="13" t="s">
        <v>2217</v>
      </c>
      <c r="G64" s="13">
        <v>46.17</v>
      </c>
      <c r="H64" s="13">
        <v>1.1000000000000001</v>
      </c>
      <c r="I64" s="13">
        <v>45.66</v>
      </c>
      <c r="J64" s="24">
        <v>45875</v>
      </c>
      <c r="K64" s="13">
        <v>30</v>
      </c>
      <c r="L64" s="44">
        <v>1.9</v>
      </c>
      <c r="M64" s="13" t="b">
        <v>0</v>
      </c>
      <c r="O64" s="25">
        <f t="shared" si="0"/>
        <v>27</v>
      </c>
      <c r="P64" s="13">
        <f t="shared" si="1"/>
        <v>33</v>
      </c>
      <c r="Q64" s="13" t="str">
        <f t="shared" si="2"/>
        <v/>
      </c>
      <c r="R64" s="13" t="str">
        <f t="shared" si="3"/>
        <v>Diskon</v>
      </c>
    </row>
    <row r="65" spans="1:18" x14ac:dyDescent="0.25">
      <c r="A65" s="13" t="s">
        <v>77</v>
      </c>
      <c r="B65" s="13" t="s">
        <v>2193</v>
      </c>
      <c r="C65" s="13" t="s">
        <v>2200</v>
      </c>
      <c r="D65" s="13" t="s">
        <v>2207</v>
      </c>
      <c r="F65" s="13" t="s">
        <v>2220</v>
      </c>
      <c r="G65" s="13">
        <v>106.18</v>
      </c>
      <c r="H65" s="13">
        <v>18</v>
      </c>
      <c r="I65" s="13">
        <v>87.07</v>
      </c>
      <c r="J65" s="24">
        <v>45875</v>
      </c>
      <c r="K65" s="13">
        <v>11</v>
      </c>
      <c r="L65" s="44">
        <v>4.5</v>
      </c>
      <c r="M65" s="13" t="b">
        <v>0</v>
      </c>
      <c r="O65" s="25">
        <f t="shared" si="0"/>
        <v>27</v>
      </c>
      <c r="P65" s="13">
        <f t="shared" si="1"/>
        <v>198</v>
      </c>
      <c r="Q65" s="13" t="str">
        <f t="shared" si="2"/>
        <v/>
      </c>
      <c r="R65" s="13" t="str">
        <f t="shared" si="3"/>
        <v>Diskon</v>
      </c>
    </row>
    <row r="66" spans="1:18" x14ac:dyDescent="0.25">
      <c r="A66" s="13" t="s">
        <v>78</v>
      </c>
      <c r="B66" s="13" t="s">
        <v>2191</v>
      </c>
      <c r="C66" s="13" t="s">
        <v>2196</v>
      </c>
      <c r="D66" s="13" t="s">
        <v>2205</v>
      </c>
      <c r="E66" s="13" t="s">
        <v>2212</v>
      </c>
      <c r="F66" s="13" t="s">
        <v>2218</v>
      </c>
      <c r="G66" s="13">
        <v>93.33</v>
      </c>
      <c r="H66" s="13">
        <v>2.4</v>
      </c>
      <c r="I66" s="13">
        <v>91.09</v>
      </c>
      <c r="J66" s="24">
        <v>45875</v>
      </c>
      <c r="K66" s="13">
        <v>20</v>
      </c>
      <c r="L66" s="44">
        <v>4.2</v>
      </c>
      <c r="M66" s="13" t="b">
        <v>0</v>
      </c>
      <c r="O66" s="25">
        <f t="shared" si="0"/>
        <v>27</v>
      </c>
      <c r="P66" s="13">
        <f t="shared" si="1"/>
        <v>48</v>
      </c>
      <c r="Q66" s="13" t="str">
        <f t="shared" si="2"/>
        <v/>
      </c>
      <c r="R66" s="13" t="str">
        <f t="shared" si="3"/>
        <v>Diskon</v>
      </c>
    </row>
    <row r="67" spans="1:18" x14ac:dyDescent="0.25">
      <c r="A67" s="13" t="s">
        <v>79</v>
      </c>
      <c r="B67" s="13" t="s">
        <v>2194</v>
      </c>
      <c r="C67" s="13" t="s">
        <v>2199</v>
      </c>
      <c r="D67" s="13" t="s">
        <v>2204</v>
      </c>
      <c r="E67" s="13" t="s">
        <v>2212</v>
      </c>
      <c r="F67" s="13" t="s">
        <v>2217</v>
      </c>
      <c r="G67" s="13">
        <v>86.54</v>
      </c>
      <c r="H67" s="13">
        <v>21.7</v>
      </c>
      <c r="I67" s="13">
        <v>67.760000000000005</v>
      </c>
      <c r="J67" s="24">
        <v>45809</v>
      </c>
      <c r="K67" s="13">
        <v>21</v>
      </c>
      <c r="L67" s="44">
        <v>3.6</v>
      </c>
      <c r="M67" s="13" t="b">
        <v>1</v>
      </c>
      <c r="N67" s="13" t="s">
        <v>2229</v>
      </c>
      <c r="O67" s="25">
        <f t="shared" ref="O67:O130" si="4">DATE(2025,9,2)-J67</f>
        <v>93</v>
      </c>
      <c r="P67" s="13">
        <f t="shared" ref="P67:P130" si="5">H67*K67</f>
        <v>455.7</v>
      </c>
      <c r="Q67" s="13">
        <f t="shared" ref="Q67:Q130" si="6">IF(M67=FALSE,"",1)</f>
        <v>1</v>
      </c>
      <c r="R67" s="13" t="str">
        <f t="shared" ref="R67:R130" si="7">IF(H67=0,"Non diskon","Diskon")</f>
        <v>Diskon</v>
      </c>
    </row>
    <row r="68" spans="1:18" x14ac:dyDescent="0.25">
      <c r="A68" s="13" t="s">
        <v>80</v>
      </c>
      <c r="B68" s="13" t="s">
        <v>2192</v>
      </c>
      <c r="C68" s="13" t="s">
        <v>2201</v>
      </c>
      <c r="D68" s="13" t="s">
        <v>2207</v>
      </c>
      <c r="F68" s="13" t="s">
        <v>2220</v>
      </c>
      <c r="G68" s="13">
        <v>55.57</v>
      </c>
      <c r="H68" s="13">
        <v>0</v>
      </c>
      <c r="I68" s="13">
        <v>55.57</v>
      </c>
      <c r="J68" s="24">
        <v>45875</v>
      </c>
      <c r="K68" s="13">
        <v>44</v>
      </c>
      <c r="L68" s="44">
        <v>3.8</v>
      </c>
      <c r="M68" s="13" t="b">
        <v>0</v>
      </c>
      <c r="O68" s="25">
        <f t="shared" si="4"/>
        <v>27</v>
      </c>
      <c r="P68" s="13">
        <f t="shared" si="5"/>
        <v>0</v>
      </c>
      <c r="Q68" s="13" t="str">
        <f t="shared" si="6"/>
        <v/>
      </c>
      <c r="R68" s="13" t="str">
        <f t="shared" si="7"/>
        <v>Non diskon</v>
      </c>
    </row>
    <row r="69" spans="1:18" x14ac:dyDescent="0.25">
      <c r="A69" s="13" t="s">
        <v>81</v>
      </c>
      <c r="B69" s="13" t="s">
        <v>2191</v>
      </c>
      <c r="C69" s="13" t="s">
        <v>2203</v>
      </c>
      <c r="D69" s="13" t="s">
        <v>2204</v>
      </c>
      <c r="E69" s="13" t="s">
        <v>2208</v>
      </c>
      <c r="F69" s="13" t="s">
        <v>2216</v>
      </c>
      <c r="G69" s="13">
        <v>76.5</v>
      </c>
      <c r="H69" s="13">
        <v>0</v>
      </c>
      <c r="I69" s="13">
        <v>76.5</v>
      </c>
      <c r="J69" s="24">
        <v>45683</v>
      </c>
      <c r="K69" s="13">
        <v>17</v>
      </c>
      <c r="L69" s="44">
        <v>4.5999999999999996</v>
      </c>
      <c r="M69" s="13" t="b">
        <v>0</v>
      </c>
      <c r="O69" s="25">
        <f t="shared" si="4"/>
        <v>219</v>
      </c>
      <c r="P69" s="13">
        <f t="shared" si="5"/>
        <v>0</v>
      </c>
      <c r="Q69" s="13" t="str">
        <f t="shared" si="6"/>
        <v/>
      </c>
      <c r="R69" s="13" t="str">
        <f t="shared" si="7"/>
        <v>Non diskon</v>
      </c>
    </row>
    <row r="70" spans="1:18" x14ac:dyDescent="0.25">
      <c r="A70" s="13" t="s">
        <v>82</v>
      </c>
      <c r="B70" s="13" t="s">
        <v>2195</v>
      </c>
      <c r="C70" s="13" t="s">
        <v>2203</v>
      </c>
      <c r="D70" s="13" t="s">
        <v>2204</v>
      </c>
      <c r="E70" s="13" t="s">
        <v>2212</v>
      </c>
      <c r="F70" s="13" t="s">
        <v>2220</v>
      </c>
      <c r="G70" s="13">
        <v>137.19</v>
      </c>
      <c r="H70" s="13">
        <v>9.5</v>
      </c>
      <c r="I70" s="13">
        <v>124.16</v>
      </c>
      <c r="J70" s="24">
        <v>45748</v>
      </c>
      <c r="K70" s="13">
        <v>17</v>
      </c>
      <c r="L70" s="44">
        <v>2.9636363636363638</v>
      </c>
      <c r="M70" s="13" t="b">
        <v>0</v>
      </c>
      <c r="O70" s="25">
        <f t="shared" si="4"/>
        <v>154</v>
      </c>
      <c r="P70" s="13">
        <f t="shared" si="5"/>
        <v>161.5</v>
      </c>
      <c r="Q70" s="13" t="str">
        <f t="shared" si="6"/>
        <v/>
      </c>
      <c r="R70" s="13" t="str">
        <f t="shared" si="7"/>
        <v>Diskon</v>
      </c>
    </row>
    <row r="71" spans="1:18" x14ac:dyDescent="0.25">
      <c r="A71" s="13" t="s">
        <v>83</v>
      </c>
      <c r="B71" s="13" t="s">
        <v>2191</v>
      </c>
      <c r="C71" s="13" t="s">
        <v>2196</v>
      </c>
      <c r="D71" s="13" t="s">
        <v>2207</v>
      </c>
      <c r="E71" s="13" t="s">
        <v>2208</v>
      </c>
      <c r="F71" s="13" t="s">
        <v>2223</v>
      </c>
      <c r="G71" s="13">
        <v>48.92</v>
      </c>
      <c r="H71" s="13">
        <v>19.8</v>
      </c>
      <c r="I71" s="13">
        <v>39.229999999999997</v>
      </c>
      <c r="J71" s="24">
        <v>45875</v>
      </c>
      <c r="K71" s="13">
        <v>17</v>
      </c>
      <c r="L71" s="44">
        <v>2.6</v>
      </c>
      <c r="M71" s="13" t="b">
        <v>0</v>
      </c>
      <c r="O71" s="25">
        <f t="shared" si="4"/>
        <v>27</v>
      </c>
      <c r="P71" s="13">
        <f t="shared" si="5"/>
        <v>336.6</v>
      </c>
      <c r="Q71" s="13" t="str">
        <f t="shared" si="6"/>
        <v/>
      </c>
      <c r="R71" s="13" t="str">
        <f t="shared" si="7"/>
        <v>Diskon</v>
      </c>
    </row>
    <row r="72" spans="1:18" x14ac:dyDescent="0.25">
      <c r="A72" s="13" t="s">
        <v>84</v>
      </c>
      <c r="B72" s="13" t="s">
        <v>2193</v>
      </c>
      <c r="C72" s="13" t="s">
        <v>2201</v>
      </c>
      <c r="D72" s="13" t="s">
        <v>2205</v>
      </c>
      <c r="E72" s="13" t="s">
        <v>2208</v>
      </c>
      <c r="F72" s="13" t="s">
        <v>2217</v>
      </c>
      <c r="G72" s="13">
        <v>69.819999999999993</v>
      </c>
      <c r="H72" s="13">
        <v>0</v>
      </c>
      <c r="I72" s="13">
        <v>69.819999999999993</v>
      </c>
      <c r="J72" s="24">
        <v>45875</v>
      </c>
      <c r="K72" s="13">
        <v>46</v>
      </c>
      <c r="L72" s="44">
        <v>3.0068965517241386</v>
      </c>
      <c r="M72" s="13" t="b">
        <v>1</v>
      </c>
      <c r="N72" s="13" t="s">
        <v>2230</v>
      </c>
      <c r="O72" s="25">
        <f t="shared" si="4"/>
        <v>27</v>
      </c>
      <c r="P72" s="13">
        <f t="shared" si="5"/>
        <v>0</v>
      </c>
      <c r="Q72" s="13">
        <f t="shared" si="6"/>
        <v>1</v>
      </c>
      <c r="R72" s="13" t="str">
        <f t="shared" si="7"/>
        <v>Non diskon</v>
      </c>
    </row>
    <row r="73" spans="1:18" x14ac:dyDescent="0.25">
      <c r="A73" s="13" t="s">
        <v>85</v>
      </c>
      <c r="B73" s="13" t="s">
        <v>2190</v>
      </c>
      <c r="C73" s="13" t="s">
        <v>2199</v>
      </c>
      <c r="D73" s="13" t="s">
        <v>2207</v>
      </c>
      <c r="E73" s="13" t="s">
        <v>2211</v>
      </c>
      <c r="F73" s="13" t="s">
        <v>2214</v>
      </c>
      <c r="G73" s="13">
        <v>199.39</v>
      </c>
      <c r="H73" s="13">
        <v>7.4</v>
      </c>
      <c r="I73" s="13">
        <v>184.64</v>
      </c>
      <c r="J73" s="24">
        <v>45875</v>
      </c>
      <c r="K73" s="13">
        <v>49</v>
      </c>
      <c r="L73" s="44">
        <v>2.4137931034482762</v>
      </c>
      <c r="M73" s="13" t="b">
        <v>0</v>
      </c>
      <c r="O73" s="25">
        <f t="shared" si="4"/>
        <v>27</v>
      </c>
      <c r="P73" s="13">
        <f t="shared" si="5"/>
        <v>362.6</v>
      </c>
      <c r="Q73" s="13" t="str">
        <f t="shared" si="6"/>
        <v/>
      </c>
      <c r="R73" s="13" t="str">
        <f t="shared" si="7"/>
        <v>Diskon</v>
      </c>
    </row>
    <row r="74" spans="1:18" x14ac:dyDescent="0.25">
      <c r="A74" s="13" t="s">
        <v>86</v>
      </c>
      <c r="B74" s="13" t="s">
        <v>2190</v>
      </c>
      <c r="C74" s="13" t="s">
        <v>2198</v>
      </c>
      <c r="D74" s="13" t="s">
        <v>2207</v>
      </c>
      <c r="E74" s="13" t="s">
        <v>2213</v>
      </c>
      <c r="F74" s="13" t="s">
        <v>2217</v>
      </c>
      <c r="G74" s="13">
        <v>222.09</v>
      </c>
      <c r="H74" s="13">
        <v>55.2</v>
      </c>
      <c r="I74" s="13">
        <v>99.5</v>
      </c>
      <c r="J74" s="24">
        <v>45875</v>
      </c>
      <c r="K74" s="13">
        <v>21</v>
      </c>
      <c r="L74" s="44">
        <v>4.5</v>
      </c>
      <c r="M74" s="13" t="b">
        <v>0</v>
      </c>
      <c r="O74" s="25">
        <f t="shared" si="4"/>
        <v>27</v>
      </c>
      <c r="P74" s="13">
        <f t="shared" si="5"/>
        <v>1159.2</v>
      </c>
      <c r="Q74" s="13" t="str">
        <f t="shared" si="6"/>
        <v/>
      </c>
      <c r="R74" s="13" t="str">
        <f t="shared" si="7"/>
        <v>Diskon</v>
      </c>
    </row>
    <row r="75" spans="1:18" x14ac:dyDescent="0.25">
      <c r="A75" s="13" t="s">
        <v>87</v>
      </c>
      <c r="B75" s="13" t="s">
        <v>2191</v>
      </c>
      <c r="C75" s="13" t="s">
        <v>2199</v>
      </c>
      <c r="D75" s="13" t="s">
        <v>2206</v>
      </c>
      <c r="E75" s="13" t="s">
        <v>2212</v>
      </c>
      <c r="F75" s="13" t="s">
        <v>2214</v>
      </c>
      <c r="G75" s="13">
        <v>112.86</v>
      </c>
      <c r="H75" s="13">
        <v>0</v>
      </c>
      <c r="I75" s="13">
        <v>112.86</v>
      </c>
      <c r="J75" s="24">
        <v>45875</v>
      </c>
      <c r="K75" s="13">
        <v>8</v>
      </c>
      <c r="L75" s="44">
        <v>2.9</v>
      </c>
      <c r="M75" s="13" t="b">
        <v>0</v>
      </c>
      <c r="O75" s="25">
        <f t="shared" si="4"/>
        <v>27</v>
      </c>
      <c r="P75" s="13">
        <f t="shared" si="5"/>
        <v>0</v>
      </c>
      <c r="Q75" s="13" t="str">
        <f t="shared" si="6"/>
        <v/>
      </c>
      <c r="R75" s="13" t="str">
        <f t="shared" si="7"/>
        <v>Non diskon</v>
      </c>
    </row>
    <row r="76" spans="1:18" x14ac:dyDescent="0.25">
      <c r="A76" s="13" t="s">
        <v>88</v>
      </c>
      <c r="B76" s="13" t="s">
        <v>2195</v>
      </c>
      <c r="C76" s="13" t="s">
        <v>2199</v>
      </c>
      <c r="D76" s="13" t="s">
        <v>2204</v>
      </c>
      <c r="E76" s="13" t="s">
        <v>2212</v>
      </c>
      <c r="F76" s="13" t="s">
        <v>2220</v>
      </c>
      <c r="G76" s="13">
        <v>100.96</v>
      </c>
      <c r="H76" s="13">
        <v>0</v>
      </c>
      <c r="I76" s="13">
        <v>100.96</v>
      </c>
      <c r="J76" s="24">
        <v>45787</v>
      </c>
      <c r="K76" s="13">
        <v>32</v>
      </c>
      <c r="L76" s="44">
        <v>3.3</v>
      </c>
      <c r="M76" s="13" t="b">
        <v>0</v>
      </c>
      <c r="O76" s="25">
        <f t="shared" si="4"/>
        <v>115</v>
      </c>
      <c r="P76" s="13">
        <f t="shared" si="5"/>
        <v>0</v>
      </c>
      <c r="Q76" s="13" t="str">
        <f t="shared" si="6"/>
        <v/>
      </c>
      <c r="R76" s="13" t="str">
        <f t="shared" si="7"/>
        <v>Non diskon</v>
      </c>
    </row>
    <row r="77" spans="1:18" x14ac:dyDescent="0.25">
      <c r="A77" s="13" t="s">
        <v>89</v>
      </c>
      <c r="B77" s="13" t="s">
        <v>2190</v>
      </c>
      <c r="C77" s="13" t="s">
        <v>2202</v>
      </c>
      <c r="D77" s="13" t="s">
        <v>2204</v>
      </c>
      <c r="E77" s="13" t="s">
        <v>2208</v>
      </c>
      <c r="F77" s="13" t="s">
        <v>2220</v>
      </c>
      <c r="G77" s="13">
        <v>243.56</v>
      </c>
      <c r="H77" s="13">
        <v>48</v>
      </c>
      <c r="I77" s="13">
        <v>126.65</v>
      </c>
      <c r="J77" s="24">
        <v>45579</v>
      </c>
      <c r="K77" s="13">
        <v>22</v>
      </c>
      <c r="L77" s="44">
        <v>4.4000000000000004</v>
      </c>
      <c r="M77" s="13" t="b">
        <v>1</v>
      </c>
      <c r="N77" s="13" t="s">
        <v>2229</v>
      </c>
      <c r="O77" s="25">
        <f t="shared" si="4"/>
        <v>323</v>
      </c>
      <c r="P77" s="13">
        <f t="shared" si="5"/>
        <v>1056</v>
      </c>
      <c r="Q77" s="13">
        <f t="shared" si="6"/>
        <v>1</v>
      </c>
      <c r="R77" s="13" t="str">
        <f t="shared" si="7"/>
        <v>Diskon</v>
      </c>
    </row>
    <row r="78" spans="1:18" x14ac:dyDescent="0.25">
      <c r="A78" s="13" t="s">
        <v>90</v>
      </c>
      <c r="B78" s="13" t="s">
        <v>2195</v>
      </c>
      <c r="C78" s="13" t="s">
        <v>2199</v>
      </c>
      <c r="D78" s="13" t="s">
        <v>2204</v>
      </c>
      <c r="E78" s="13" t="s">
        <v>2211</v>
      </c>
      <c r="F78" s="13" t="s">
        <v>2214</v>
      </c>
      <c r="G78" s="13">
        <v>153.32</v>
      </c>
      <c r="H78" s="13">
        <v>0</v>
      </c>
      <c r="I78" s="13">
        <v>153.32</v>
      </c>
      <c r="J78" s="24">
        <v>45548</v>
      </c>
      <c r="K78" s="13">
        <v>43</v>
      </c>
      <c r="L78" s="44">
        <v>2.9</v>
      </c>
      <c r="M78" s="13" t="b">
        <v>0</v>
      </c>
      <c r="O78" s="25">
        <f t="shared" si="4"/>
        <v>354</v>
      </c>
      <c r="P78" s="13">
        <f t="shared" si="5"/>
        <v>0</v>
      </c>
      <c r="Q78" s="13" t="str">
        <f t="shared" si="6"/>
        <v/>
      </c>
      <c r="R78" s="13" t="str">
        <f t="shared" si="7"/>
        <v>Non diskon</v>
      </c>
    </row>
    <row r="79" spans="1:18" x14ac:dyDescent="0.25">
      <c r="A79" s="13" t="s">
        <v>91</v>
      </c>
      <c r="B79" s="13" t="s">
        <v>2192</v>
      </c>
      <c r="C79" s="13" t="s">
        <v>2197</v>
      </c>
      <c r="D79" s="13" t="s">
        <v>2206</v>
      </c>
      <c r="F79" s="13" t="s">
        <v>2223</v>
      </c>
      <c r="G79" s="13">
        <v>42.95</v>
      </c>
      <c r="H79" s="13">
        <v>22.5</v>
      </c>
      <c r="I79" s="13">
        <v>33.29</v>
      </c>
      <c r="J79" s="24">
        <v>45875</v>
      </c>
      <c r="K79" s="13">
        <v>7</v>
      </c>
      <c r="L79" s="44">
        <v>1.9</v>
      </c>
      <c r="M79" s="13" t="b">
        <v>1</v>
      </c>
      <c r="N79" s="13" t="s">
        <v>2226</v>
      </c>
      <c r="O79" s="25">
        <f t="shared" si="4"/>
        <v>27</v>
      </c>
      <c r="P79" s="13">
        <f t="shared" si="5"/>
        <v>157.5</v>
      </c>
      <c r="Q79" s="13">
        <f t="shared" si="6"/>
        <v>1</v>
      </c>
      <c r="R79" s="13" t="str">
        <f t="shared" si="7"/>
        <v>Diskon</v>
      </c>
    </row>
    <row r="80" spans="1:18" x14ac:dyDescent="0.25">
      <c r="A80" s="13" t="s">
        <v>92</v>
      </c>
      <c r="B80" s="13" t="s">
        <v>2191</v>
      </c>
      <c r="C80" s="13" t="s">
        <v>2200</v>
      </c>
      <c r="D80" s="13" t="s">
        <v>2207</v>
      </c>
      <c r="E80" s="13" t="s">
        <v>2210</v>
      </c>
      <c r="F80" s="13" t="s">
        <v>2220</v>
      </c>
      <c r="G80" s="13">
        <v>30.79</v>
      </c>
      <c r="H80" s="13">
        <v>0</v>
      </c>
      <c r="I80" s="13">
        <v>30.79</v>
      </c>
      <c r="J80" s="24">
        <v>45875</v>
      </c>
      <c r="K80" s="13">
        <v>36</v>
      </c>
      <c r="L80" s="44">
        <v>3.4</v>
      </c>
      <c r="M80" s="13" t="b">
        <v>0</v>
      </c>
      <c r="O80" s="25">
        <f t="shared" si="4"/>
        <v>27</v>
      </c>
      <c r="P80" s="13">
        <f t="shared" si="5"/>
        <v>0</v>
      </c>
      <c r="Q80" s="13" t="str">
        <f t="shared" si="6"/>
        <v/>
      </c>
      <c r="R80" s="13" t="str">
        <f t="shared" si="7"/>
        <v>Non diskon</v>
      </c>
    </row>
    <row r="81" spans="1:18" x14ac:dyDescent="0.25">
      <c r="A81" s="13" t="s">
        <v>93</v>
      </c>
      <c r="B81" s="13" t="s">
        <v>2192</v>
      </c>
      <c r="C81" s="13" t="s">
        <v>2197</v>
      </c>
      <c r="D81" s="13" t="s">
        <v>2206</v>
      </c>
      <c r="F81" s="13" t="s">
        <v>2224</v>
      </c>
      <c r="G81" s="13">
        <v>59.85</v>
      </c>
      <c r="H81" s="13">
        <v>0</v>
      </c>
      <c r="I81" s="13">
        <v>59.85</v>
      </c>
      <c r="J81" s="24">
        <v>45875</v>
      </c>
      <c r="K81" s="13">
        <v>38</v>
      </c>
      <c r="L81" s="44">
        <v>4</v>
      </c>
      <c r="M81" s="13" t="b">
        <v>0</v>
      </c>
      <c r="O81" s="25">
        <f t="shared" si="4"/>
        <v>27</v>
      </c>
      <c r="P81" s="13">
        <f t="shared" si="5"/>
        <v>0</v>
      </c>
      <c r="Q81" s="13" t="str">
        <f t="shared" si="6"/>
        <v/>
      </c>
      <c r="R81" s="13" t="str">
        <f t="shared" si="7"/>
        <v>Non diskon</v>
      </c>
    </row>
    <row r="82" spans="1:18" x14ac:dyDescent="0.25">
      <c r="A82" s="13" t="s">
        <v>94</v>
      </c>
      <c r="B82" s="13" t="s">
        <v>2191</v>
      </c>
      <c r="C82" s="13" t="s">
        <v>2198</v>
      </c>
      <c r="D82" s="13" t="s">
        <v>2204</v>
      </c>
      <c r="E82" s="13" t="s">
        <v>2210</v>
      </c>
      <c r="F82" s="13" t="s">
        <v>2222</v>
      </c>
      <c r="G82" s="13">
        <v>78.16</v>
      </c>
      <c r="H82" s="13">
        <v>19.100000000000001</v>
      </c>
      <c r="I82" s="13">
        <v>63.23</v>
      </c>
      <c r="J82" s="24">
        <v>45863</v>
      </c>
      <c r="K82" s="13">
        <v>23</v>
      </c>
      <c r="L82" s="44">
        <v>2.953125</v>
      </c>
      <c r="M82" s="13" t="b">
        <v>0</v>
      </c>
      <c r="O82" s="25">
        <f t="shared" si="4"/>
        <v>39</v>
      </c>
      <c r="P82" s="13">
        <f t="shared" si="5"/>
        <v>439.3</v>
      </c>
      <c r="Q82" s="13" t="str">
        <f t="shared" si="6"/>
        <v/>
      </c>
      <c r="R82" s="13" t="str">
        <f t="shared" si="7"/>
        <v>Diskon</v>
      </c>
    </row>
    <row r="83" spans="1:18" x14ac:dyDescent="0.25">
      <c r="A83" s="13" t="s">
        <v>95</v>
      </c>
      <c r="B83" s="13" t="s">
        <v>2191</v>
      </c>
      <c r="C83" s="13" t="s">
        <v>2201</v>
      </c>
      <c r="D83" s="13" t="s">
        <v>2206</v>
      </c>
      <c r="E83" s="13" t="s">
        <v>2213</v>
      </c>
      <c r="F83" s="13" t="s">
        <v>2217</v>
      </c>
      <c r="G83" s="13">
        <v>113.17</v>
      </c>
      <c r="H83" s="13">
        <v>19.100000000000001</v>
      </c>
      <c r="I83" s="13">
        <v>91.55</v>
      </c>
      <c r="J83" s="24">
        <v>45875</v>
      </c>
      <c r="K83" s="13">
        <v>15</v>
      </c>
      <c r="L83" s="44">
        <v>4.9000000000000004</v>
      </c>
      <c r="M83" s="13" t="b">
        <v>0</v>
      </c>
      <c r="O83" s="25">
        <f t="shared" si="4"/>
        <v>27</v>
      </c>
      <c r="P83" s="13">
        <f t="shared" si="5"/>
        <v>286.5</v>
      </c>
      <c r="Q83" s="13" t="str">
        <f t="shared" si="6"/>
        <v/>
      </c>
      <c r="R83" s="13" t="str">
        <f t="shared" si="7"/>
        <v>Diskon</v>
      </c>
    </row>
    <row r="84" spans="1:18" x14ac:dyDescent="0.25">
      <c r="A84" s="13" t="s">
        <v>96</v>
      </c>
      <c r="B84" s="13" t="s">
        <v>2195</v>
      </c>
      <c r="C84" s="13" t="s">
        <v>2201</v>
      </c>
      <c r="D84" s="13" t="s">
        <v>2205</v>
      </c>
      <c r="E84" s="13" t="s">
        <v>2210</v>
      </c>
      <c r="F84" s="13" t="s">
        <v>2219</v>
      </c>
      <c r="G84" s="13">
        <v>174.13</v>
      </c>
      <c r="H84" s="13">
        <v>0</v>
      </c>
      <c r="I84" s="13">
        <v>174.13</v>
      </c>
      <c r="J84" s="24">
        <v>45875</v>
      </c>
      <c r="K84" s="13">
        <v>34</v>
      </c>
      <c r="L84" s="44">
        <v>3.7</v>
      </c>
      <c r="M84" s="13" t="b">
        <v>0</v>
      </c>
      <c r="O84" s="25">
        <f t="shared" si="4"/>
        <v>27</v>
      </c>
      <c r="P84" s="13">
        <f t="shared" si="5"/>
        <v>0</v>
      </c>
      <c r="Q84" s="13" t="str">
        <f t="shared" si="6"/>
        <v/>
      </c>
      <c r="R84" s="13" t="str">
        <f t="shared" si="7"/>
        <v>Non diskon</v>
      </c>
    </row>
    <row r="85" spans="1:18" x14ac:dyDescent="0.25">
      <c r="A85" s="13" t="s">
        <v>97</v>
      </c>
      <c r="B85" s="13" t="s">
        <v>2193</v>
      </c>
      <c r="C85" s="13" t="s">
        <v>2196</v>
      </c>
      <c r="D85" s="13" t="s">
        <v>2207</v>
      </c>
      <c r="E85" s="13" t="s">
        <v>2212</v>
      </c>
      <c r="F85" s="13" t="s">
        <v>2223</v>
      </c>
      <c r="G85" s="13">
        <v>191.96</v>
      </c>
      <c r="H85" s="13">
        <v>0</v>
      </c>
      <c r="I85" s="13">
        <v>191.96</v>
      </c>
      <c r="J85" s="24">
        <v>45875</v>
      </c>
      <c r="K85" s="13">
        <v>50</v>
      </c>
      <c r="L85" s="44">
        <v>2.9153846153846157</v>
      </c>
      <c r="M85" s="13" t="b">
        <v>0</v>
      </c>
      <c r="O85" s="25">
        <f t="shared" si="4"/>
        <v>27</v>
      </c>
      <c r="P85" s="13">
        <f t="shared" si="5"/>
        <v>0</v>
      </c>
      <c r="Q85" s="13" t="str">
        <f t="shared" si="6"/>
        <v/>
      </c>
      <c r="R85" s="13" t="str">
        <f t="shared" si="7"/>
        <v>Non diskon</v>
      </c>
    </row>
    <row r="86" spans="1:18" x14ac:dyDescent="0.25">
      <c r="A86" s="13" t="s">
        <v>98</v>
      </c>
      <c r="B86" s="13" t="s">
        <v>2190</v>
      </c>
      <c r="C86" s="13" t="s">
        <v>2201</v>
      </c>
      <c r="D86" s="13" t="s">
        <v>2204</v>
      </c>
      <c r="E86" s="13" t="s">
        <v>2208</v>
      </c>
      <c r="F86" s="13" t="s">
        <v>2221</v>
      </c>
      <c r="G86" s="13">
        <v>222.55</v>
      </c>
      <c r="H86" s="13">
        <v>22.6</v>
      </c>
      <c r="I86" s="13">
        <v>172.25</v>
      </c>
      <c r="J86" s="24">
        <v>45698</v>
      </c>
      <c r="K86" s="13">
        <v>50</v>
      </c>
      <c r="L86" s="44">
        <v>3.0305555555555546</v>
      </c>
      <c r="M86" s="13" t="b">
        <v>0</v>
      </c>
      <c r="O86" s="25">
        <f t="shared" si="4"/>
        <v>204</v>
      </c>
      <c r="P86" s="13">
        <f t="shared" si="5"/>
        <v>1130</v>
      </c>
      <c r="Q86" s="13" t="str">
        <f t="shared" si="6"/>
        <v/>
      </c>
      <c r="R86" s="13" t="str">
        <f t="shared" si="7"/>
        <v>Diskon</v>
      </c>
    </row>
    <row r="87" spans="1:18" x14ac:dyDescent="0.25">
      <c r="A87" s="13" t="s">
        <v>99</v>
      </c>
      <c r="B87" s="13" t="s">
        <v>2194</v>
      </c>
      <c r="C87" s="13" t="s">
        <v>2203</v>
      </c>
      <c r="D87" s="13" t="s">
        <v>2205</v>
      </c>
      <c r="E87" s="13" t="s">
        <v>2212</v>
      </c>
      <c r="F87" s="13" t="s">
        <v>2216</v>
      </c>
      <c r="G87" s="13">
        <v>37.85</v>
      </c>
      <c r="H87" s="13">
        <v>11.9</v>
      </c>
      <c r="I87" s="13">
        <v>33.35</v>
      </c>
      <c r="J87" s="24">
        <v>45875</v>
      </c>
      <c r="K87" s="13">
        <v>45</v>
      </c>
      <c r="L87" s="44">
        <v>3.4</v>
      </c>
      <c r="M87" s="13" t="b">
        <v>1</v>
      </c>
      <c r="N87" s="13" t="s">
        <v>2229</v>
      </c>
      <c r="O87" s="25">
        <f t="shared" si="4"/>
        <v>27</v>
      </c>
      <c r="P87" s="13">
        <f t="shared" si="5"/>
        <v>535.5</v>
      </c>
      <c r="Q87" s="13">
        <f t="shared" si="6"/>
        <v>1</v>
      </c>
      <c r="R87" s="13" t="str">
        <f t="shared" si="7"/>
        <v>Diskon</v>
      </c>
    </row>
    <row r="88" spans="1:18" x14ac:dyDescent="0.25">
      <c r="A88" s="13" t="s">
        <v>100</v>
      </c>
      <c r="B88" s="13" t="s">
        <v>2190</v>
      </c>
      <c r="C88" s="13" t="s">
        <v>2197</v>
      </c>
      <c r="D88" s="13" t="s">
        <v>2207</v>
      </c>
      <c r="E88" s="13" t="s">
        <v>2213</v>
      </c>
      <c r="F88" s="13" t="s">
        <v>2218</v>
      </c>
      <c r="G88" s="13">
        <v>241.09</v>
      </c>
      <c r="H88" s="13">
        <v>0</v>
      </c>
      <c r="I88" s="13">
        <v>241.09</v>
      </c>
      <c r="J88" s="24">
        <v>45875</v>
      </c>
      <c r="K88" s="13">
        <v>26</v>
      </c>
      <c r="L88" s="44">
        <v>3.15</v>
      </c>
      <c r="M88" s="13" t="b">
        <v>0</v>
      </c>
      <c r="O88" s="25">
        <f t="shared" si="4"/>
        <v>27</v>
      </c>
      <c r="P88" s="13">
        <f t="shared" si="5"/>
        <v>0</v>
      </c>
      <c r="Q88" s="13" t="str">
        <f t="shared" si="6"/>
        <v/>
      </c>
      <c r="R88" s="13" t="str">
        <f t="shared" si="7"/>
        <v>Non diskon</v>
      </c>
    </row>
    <row r="89" spans="1:18" x14ac:dyDescent="0.25">
      <c r="A89" s="13" t="s">
        <v>101</v>
      </c>
      <c r="B89" s="13" t="s">
        <v>2195</v>
      </c>
      <c r="C89" s="13" t="s">
        <v>2198</v>
      </c>
      <c r="D89" s="13" t="s">
        <v>2204</v>
      </c>
      <c r="E89" s="13" t="s">
        <v>2210</v>
      </c>
      <c r="F89" s="13" t="s">
        <v>2222</v>
      </c>
      <c r="G89" s="13">
        <v>136.97</v>
      </c>
      <c r="H89" s="13">
        <v>0</v>
      </c>
      <c r="I89" s="13">
        <v>136.97</v>
      </c>
      <c r="J89" s="24">
        <v>45590</v>
      </c>
      <c r="K89" s="13">
        <v>17</v>
      </c>
      <c r="L89" s="44">
        <v>4.4000000000000004</v>
      </c>
      <c r="M89" s="13" t="b">
        <v>1</v>
      </c>
      <c r="N89" s="13" t="s">
        <v>2228</v>
      </c>
      <c r="O89" s="25">
        <f t="shared" si="4"/>
        <v>312</v>
      </c>
      <c r="P89" s="13">
        <f t="shared" si="5"/>
        <v>0</v>
      </c>
      <c r="Q89" s="13">
        <f t="shared" si="6"/>
        <v>1</v>
      </c>
      <c r="R89" s="13" t="str">
        <f t="shared" si="7"/>
        <v>Non diskon</v>
      </c>
    </row>
    <row r="90" spans="1:18" x14ac:dyDescent="0.25">
      <c r="A90" s="13" t="s">
        <v>102</v>
      </c>
      <c r="B90" s="13" t="s">
        <v>2193</v>
      </c>
      <c r="C90" s="13" t="s">
        <v>2200</v>
      </c>
      <c r="D90" s="13" t="s">
        <v>2204</v>
      </c>
      <c r="E90" s="13" t="s">
        <v>2213</v>
      </c>
      <c r="F90" s="13" t="s">
        <v>2219</v>
      </c>
      <c r="G90" s="13">
        <v>113.79</v>
      </c>
      <c r="H90" s="13">
        <v>55.3</v>
      </c>
      <c r="I90" s="13">
        <v>50.86</v>
      </c>
      <c r="J90" s="24">
        <v>45655</v>
      </c>
      <c r="K90" s="13">
        <v>47</v>
      </c>
      <c r="L90" s="44">
        <v>4.0999999999999996</v>
      </c>
      <c r="M90" s="13" t="b">
        <v>0</v>
      </c>
      <c r="O90" s="25">
        <f t="shared" si="4"/>
        <v>247</v>
      </c>
      <c r="P90" s="13">
        <f t="shared" si="5"/>
        <v>2599.1</v>
      </c>
      <c r="Q90" s="13" t="str">
        <f t="shared" si="6"/>
        <v/>
      </c>
      <c r="R90" s="13" t="str">
        <f t="shared" si="7"/>
        <v>Diskon</v>
      </c>
    </row>
    <row r="91" spans="1:18" x14ac:dyDescent="0.25">
      <c r="A91" s="13" t="s">
        <v>103</v>
      </c>
      <c r="B91" s="13" t="s">
        <v>2194</v>
      </c>
      <c r="C91" s="13" t="s">
        <v>2200</v>
      </c>
      <c r="D91" s="13" t="s">
        <v>2207</v>
      </c>
      <c r="E91" s="13" t="s">
        <v>2211</v>
      </c>
      <c r="F91" s="13" t="s">
        <v>2217</v>
      </c>
      <c r="G91" s="13">
        <v>93.23</v>
      </c>
      <c r="H91" s="13">
        <v>40</v>
      </c>
      <c r="I91" s="13">
        <v>55.94</v>
      </c>
      <c r="J91" s="24">
        <v>45875</v>
      </c>
      <c r="K91" s="13">
        <v>46</v>
      </c>
      <c r="L91" s="44">
        <v>1.9</v>
      </c>
      <c r="M91" s="13" t="b">
        <v>0</v>
      </c>
      <c r="O91" s="25">
        <f t="shared" si="4"/>
        <v>27</v>
      </c>
      <c r="P91" s="13">
        <f t="shared" si="5"/>
        <v>1840</v>
      </c>
      <c r="Q91" s="13" t="str">
        <f t="shared" si="6"/>
        <v/>
      </c>
      <c r="R91" s="13" t="str">
        <f t="shared" si="7"/>
        <v>Diskon</v>
      </c>
    </row>
    <row r="92" spans="1:18" x14ac:dyDescent="0.25">
      <c r="A92" s="13" t="s">
        <v>104</v>
      </c>
      <c r="B92" s="13" t="s">
        <v>2193</v>
      </c>
      <c r="C92" s="13" t="s">
        <v>2197</v>
      </c>
      <c r="D92" s="13" t="s">
        <v>2204</v>
      </c>
      <c r="E92" s="13" t="s">
        <v>2210</v>
      </c>
      <c r="F92" s="13" t="s">
        <v>2222</v>
      </c>
      <c r="G92" s="13">
        <v>106.24</v>
      </c>
      <c r="H92" s="13">
        <v>6.4</v>
      </c>
      <c r="I92" s="13">
        <v>99.44</v>
      </c>
      <c r="J92" s="24">
        <v>45544</v>
      </c>
      <c r="K92" s="13">
        <v>50</v>
      </c>
      <c r="L92" s="44">
        <v>1.5</v>
      </c>
      <c r="M92" s="13" t="b">
        <v>0</v>
      </c>
      <c r="O92" s="25">
        <f t="shared" si="4"/>
        <v>358</v>
      </c>
      <c r="P92" s="13">
        <f t="shared" si="5"/>
        <v>320</v>
      </c>
      <c r="Q92" s="13" t="str">
        <f t="shared" si="6"/>
        <v/>
      </c>
      <c r="R92" s="13" t="str">
        <f t="shared" si="7"/>
        <v>Diskon</v>
      </c>
    </row>
    <row r="93" spans="1:18" x14ac:dyDescent="0.25">
      <c r="A93" s="13" t="s">
        <v>105</v>
      </c>
      <c r="B93" s="13" t="s">
        <v>2192</v>
      </c>
      <c r="C93" s="13" t="s">
        <v>2196</v>
      </c>
      <c r="D93" s="13" t="s">
        <v>2205</v>
      </c>
      <c r="F93" s="13" t="s">
        <v>2224</v>
      </c>
      <c r="G93" s="13">
        <v>30.95</v>
      </c>
      <c r="H93" s="13">
        <v>0</v>
      </c>
      <c r="I93" s="13">
        <v>30.95</v>
      </c>
      <c r="J93" s="24">
        <v>45875</v>
      </c>
      <c r="K93" s="13">
        <v>27</v>
      </c>
      <c r="L93" s="44">
        <v>3.1</v>
      </c>
      <c r="M93" s="13" t="b">
        <v>1</v>
      </c>
      <c r="N93" s="13" t="s">
        <v>2229</v>
      </c>
      <c r="O93" s="25">
        <f t="shared" si="4"/>
        <v>27</v>
      </c>
      <c r="P93" s="13">
        <f t="shared" si="5"/>
        <v>0</v>
      </c>
      <c r="Q93" s="13">
        <f t="shared" si="6"/>
        <v>1</v>
      </c>
      <c r="R93" s="13" t="str">
        <f t="shared" si="7"/>
        <v>Non diskon</v>
      </c>
    </row>
    <row r="94" spans="1:18" x14ac:dyDescent="0.25">
      <c r="A94" s="13" t="s">
        <v>106</v>
      </c>
      <c r="B94" s="13" t="s">
        <v>2193</v>
      </c>
      <c r="C94" s="13" t="s">
        <v>2196</v>
      </c>
      <c r="D94" s="13" t="s">
        <v>2207</v>
      </c>
      <c r="E94" s="13" t="s">
        <v>2210</v>
      </c>
      <c r="F94" s="13" t="s">
        <v>2216</v>
      </c>
      <c r="G94" s="13">
        <v>76.92</v>
      </c>
      <c r="H94" s="13">
        <v>49.5</v>
      </c>
      <c r="I94" s="13">
        <v>38.840000000000003</v>
      </c>
      <c r="J94" s="24">
        <v>45875</v>
      </c>
      <c r="K94" s="13">
        <v>7</v>
      </c>
      <c r="L94" s="44">
        <v>1.1000000000000001</v>
      </c>
      <c r="M94" s="13" t="b">
        <v>0</v>
      </c>
      <c r="O94" s="25">
        <f t="shared" si="4"/>
        <v>27</v>
      </c>
      <c r="P94" s="13">
        <f t="shared" si="5"/>
        <v>346.5</v>
      </c>
      <c r="Q94" s="13" t="str">
        <f t="shared" si="6"/>
        <v/>
      </c>
      <c r="R94" s="13" t="str">
        <f t="shared" si="7"/>
        <v>Diskon</v>
      </c>
    </row>
    <row r="95" spans="1:18" x14ac:dyDescent="0.25">
      <c r="A95" s="13" t="s">
        <v>107</v>
      </c>
      <c r="B95" s="13" t="s">
        <v>2194</v>
      </c>
      <c r="C95" s="13" t="s">
        <v>2200</v>
      </c>
      <c r="D95" s="13" t="s">
        <v>2206</v>
      </c>
      <c r="E95" s="13" t="s">
        <v>2212</v>
      </c>
      <c r="F95" s="13" t="s">
        <v>2221</v>
      </c>
      <c r="G95" s="13">
        <v>80.64</v>
      </c>
      <c r="H95" s="13">
        <v>0</v>
      </c>
      <c r="I95" s="13">
        <v>80.64</v>
      </c>
      <c r="J95" s="24">
        <v>45875</v>
      </c>
      <c r="K95" s="13">
        <v>26</v>
      </c>
      <c r="L95" s="44">
        <v>3.0659090909090896</v>
      </c>
      <c r="M95" s="13" t="b">
        <v>0</v>
      </c>
      <c r="O95" s="25">
        <f t="shared" si="4"/>
        <v>27</v>
      </c>
      <c r="P95" s="13">
        <f t="shared" si="5"/>
        <v>0</v>
      </c>
      <c r="Q95" s="13" t="str">
        <f t="shared" si="6"/>
        <v/>
      </c>
      <c r="R95" s="13" t="str">
        <f t="shared" si="7"/>
        <v>Non diskon</v>
      </c>
    </row>
    <row r="96" spans="1:18" x14ac:dyDescent="0.25">
      <c r="A96" s="13" t="s">
        <v>108</v>
      </c>
      <c r="B96" s="13" t="s">
        <v>2194</v>
      </c>
      <c r="C96" s="13" t="s">
        <v>2196</v>
      </c>
      <c r="D96" s="13" t="s">
        <v>2206</v>
      </c>
      <c r="E96" s="13" t="s">
        <v>2212</v>
      </c>
      <c r="F96" s="13" t="s">
        <v>2221</v>
      </c>
      <c r="G96" s="13">
        <v>32.46</v>
      </c>
      <c r="H96" s="13">
        <v>52.4</v>
      </c>
      <c r="I96" s="13">
        <v>15.45</v>
      </c>
      <c r="J96" s="24">
        <v>45875</v>
      </c>
      <c r="K96" s="13">
        <v>14</v>
      </c>
      <c r="L96" s="44">
        <v>3.9</v>
      </c>
      <c r="M96" s="13" t="b">
        <v>0</v>
      </c>
      <c r="O96" s="25">
        <f t="shared" si="4"/>
        <v>27</v>
      </c>
      <c r="P96" s="13">
        <f t="shared" si="5"/>
        <v>733.6</v>
      </c>
      <c r="Q96" s="13" t="str">
        <f t="shared" si="6"/>
        <v/>
      </c>
      <c r="R96" s="13" t="str">
        <f t="shared" si="7"/>
        <v>Diskon</v>
      </c>
    </row>
    <row r="97" spans="1:18" x14ac:dyDescent="0.25">
      <c r="A97" s="13" t="s">
        <v>109</v>
      </c>
      <c r="B97" s="13" t="s">
        <v>2192</v>
      </c>
      <c r="C97" s="13" t="s">
        <v>2202</v>
      </c>
      <c r="D97" s="13" t="s">
        <v>2207</v>
      </c>
      <c r="F97" s="13" t="s">
        <v>2216</v>
      </c>
      <c r="G97" s="13">
        <v>54.79</v>
      </c>
      <c r="H97" s="13">
        <v>0</v>
      </c>
      <c r="I97" s="13">
        <v>54.79</v>
      </c>
      <c r="J97" s="24">
        <v>45875</v>
      </c>
      <c r="K97" s="13">
        <v>12</v>
      </c>
      <c r="L97" s="44">
        <v>4.5</v>
      </c>
      <c r="M97" s="13" t="b">
        <v>0</v>
      </c>
      <c r="O97" s="25">
        <f t="shared" si="4"/>
        <v>27</v>
      </c>
      <c r="P97" s="13">
        <f t="shared" si="5"/>
        <v>0</v>
      </c>
      <c r="Q97" s="13" t="str">
        <f t="shared" si="6"/>
        <v/>
      </c>
      <c r="R97" s="13" t="str">
        <f t="shared" si="7"/>
        <v>Non diskon</v>
      </c>
    </row>
    <row r="98" spans="1:18" x14ac:dyDescent="0.25">
      <c r="A98" s="13" t="s">
        <v>110</v>
      </c>
      <c r="B98" s="13" t="s">
        <v>2194</v>
      </c>
      <c r="C98" s="13" t="s">
        <v>2200</v>
      </c>
      <c r="D98" s="13" t="s">
        <v>2205</v>
      </c>
      <c r="E98" s="13" t="s">
        <v>2213</v>
      </c>
      <c r="F98" s="13" t="s">
        <v>2215</v>
      </c>
      <c r="G98" s="13">
        <v>71.14</v>
      </c>
      <c r="H98" s="13">
        <v>56.4</v>
      </c>
      <c r="I98" s="13">
        <v>31.02</v>
      </c>
      <c r="J98" s="24">
        <v>45875</v>
      </c>
      <c r="K98" s="13">
        <v>12</v>
      </c>
      <c r="L98" s="44">
        <v>3.4</v>
      </c>
      <c r="M98" s="13" t="b">
        <v>0</v>
      </c>
      <c r="O98" s="25">
        <f t="shared" si="4"/>
        <v>27</v>
      </c>
      <c r="P98" s="13">
        <f t="shared" si="5"/>
        <v>676.8</v>
      </c>
      <c r="Q98" s="13" t="str">
        <f t="shared" si="6"/>
        <v/>
      </c>
      <c r="R98" s="13" t="str">
        <f t="shared" si="7"/>
        <v>Diskon</v>
      </c>
    </row>
    <row r="99" spans="1:18" x14ac:dyDescent="0.25">
      <c r="A99" s="13" t="s">
        <v>111</v>
      </c>
      <c r="B99" s="13" t="s">
        <v>2194</v>
      </c>
      <c r="C99" s="13" t="s">
        <v>2201</v>
      </c>
      <c r="D99" s="13" t="s">
        <v>2207</v>
      </c>
      <c r="E99" s="13" t="s">
        <v>2211</v>
      </c>
      <c r="F99" s="13" t="s">
        <v>2222</v>
      </c>
      <c r="G99" s="13">
        <v>57.85</v>
      </c>
      <c r="H99" s="13">
        <v>0</v>
      </c>
      <c r="I99" s="13">
        <v>57.85</v>
      </c>
      <c r="J99" s="24">
        <v>45875</v>
      </c>
      <c r="K99" s="13">
        <v>36</v>
      </c>
      <c r="L99" s="44">
        <v>3.5</v>
      </c>
      <c r="M99" s="13" t="b">
        <v>0</v>
      </c>
      <c r="O99" s="25">
        <f t="shared" si="4"/>
        <v>27</v>
      </c>
      <c r="P99" s="13">
        <f t="shared" si="5"/>
        <v>0</v>
      </c>
      <c r="Q99" s="13" t="str">
        <f t="shared" si="6"/>
        <v/>
      </c>
      <c r="R99" s="13" t="str">
        <f t="shared" si="7"/>
        <v>Non diskon</v>
      </c>
    </row>
    <row r="100" spans="1:18" x14ac:dyDescent="0.25">
      <c r="A100" s="13" t="s">
        <v>112</v>
      </c>
      <c r="B100" s="13" t="s">
        <v>2194</v>
      </c>
      <c r="C100" s="13" t="s">
        <v>2196</v>
      </c>
      <c r="D100" s="13" t="s">
        <v>2207</v>
      </c>
      <c r="E100" s="13" t="s">
        <v>2212</v>
      </c>
      <c r="F100" s="13" t="s">
        <v>2220</v>
      </c>
      <c r="G100" s="13">
        <v>33.369999999999997</v>
      </c>
      <c r="H100" s="13">
        <v>3</v>
      </c>
      <c r="I100" s="13">
        <v>32.369999999999997</v>
      </c>
      <c r="J100" s="24">
        <v>45875</v>
      </c>
      <c r="K100" s="13">
        <v>40</v>
      </c>
      <c r="L100" s="44">
        <v>1.3</v>
      </c>
      <c r="M100" s="13" t="b">
        <v>0</v>
      </c>
      <c r="O100" s="25">
        <f t="shared" si="4"/>
        <v>27</v>
      </c>
      <c r="P100" s="13">
        <f t="shared" si="5"/>
        <v>120</v>
      </c>
      <c r="Q100" s="13" t="str">
        <f t="shared" si="6"/>
        <v/>
      </c>
      <c r="R100" s="13" t="str">
        <f t="shared" si="7"/>
        <v>Diskon</v>
      </c>
    </row>
    <row r="101" spans="1:18" x14ac:dyDescent="0.25">
      <c r="A101" s="13" t="s">
        <v>113</v>
      </c>
      <c r="B101" s="13" t="s">
        <v>2191</v>
      </c>
      <c r="C101" s="13" t="s">
        <v>2202</v>
      </c>
      <c r="D101" s="13" t="s">
        <v>2207</v>
      </c>
      <c r="E101" s="13" t="s">
        <v>2209</v>
      </c>
      <c r="F101" s="13" t="s">
        <v>2216</v>
      </c>
      <c r="G101" s="13">
        <v>91.83</v>
      </c>
      <c r="H101" s="13">
        <v>0</v>
      </c>
      <c r="I101" s="13">
        <v>91.83</v>
      </c>
      <c r="J101" s="24">
        <v>45875</v>
      </c>
      <c r="K101" s="13">
        <v>39</v>
      </c>
      <c r="L101" s="44">
        <v>4.9000000000000004</v>
      </c>
      <c r="M101" s="13" t="b">
        <v>0</v>
      </c>
      <c r="O101" s="25">
        <f t="shared" si="4"/>
        <v>27</v>
      </c>
      <c r="P101" s="13">
        <f t="shared" si="5"/>
        <v>0</v>
      </c>
      <c r="Q101" s="13" t="str">
        <f t="shared" si="6"/>
        <v/>
      </c>
      <c r="R101" s="13" t="str">
        <f t="shared" si="7"/>
        <v>Non diskon</v>
      </c>
    </row>
    <row r="102" spans="1:18" x14ac:dyDescent="0.25">
      <c r="A102" s="13" t="s">
        <v>114</v>
      </c>
      <c r="B102" s="13" t="s">
        <v>2194</v>
      </c>
      <c r="C102" s="13" t="s">
        <v>2196</v>
      </c>
      <c r="D102" s="13" t="s">
        <v>2206</v>
      </c>
      <c r="E102" s="13" t="s">
        <v>2209</v>
      </c>
      <c r="F102" s="13" t="s">
        <v>2217</v>
      </c>
      <c r="G102" s="13">
        <v>60.12</v>
      </c>
      <c r="H102" s="13">
        <v>19.5</v>
      </c>
      <c r="I102" s="13">
        <v>48.4</v>
      </c>
      <c r="J102" s="24">
        <v>45875</v>
      </c>
      <c r="K102" s="13">
        <v>42</v>
      </c>
      <c r="L102" s="44">
        <v>1</v>
      </c>
      <c r="M102" s="13" t="b">
        <v>0</v>
      </c>
      <c r="O102" s="25">
        <f t="shared" si="4"/>
        <v>27</v>
      </c>
      <c r="P102" s="13">
        <f t="shared" si="5"/>
        <v>819</v>
      </c>
      <c r="Q102" s="13" t="str">
        <f t="shared" si="6"/>
        <v/>
      </c>
      <c r="R102" s="13" t="str">
        <f t="shared" si="7"/>
        <v>Diskon</v>
      </c>
    </row>
    <row r="103" spans="1:18" x14ac:dyDescent="0.25">
      <c r="A103" s="13" t="s">
        <v>115</v>
      </c>
      <c r="B103" s="13" t="s">
        <v>2195</v>
      </c>
      <c r="C103" s="13" t="s">
        <v>2198</v>
      </c>
      <c r="D103" s="13" t="s">
        <v>2205</v>
      </c>
      <c r="E103" s="13" t="s">
        <v>2210</v>
      </c>
      <c r="F103" s="13" t="s">
        <v>2217</v>
      </c>
      <c r="G103" s="13">
        <v>163.5</v>
      </c>
      <c r="H103" s="13">
        <v>0</v>
      </c>
      <c r="I103" s="13">
        <v>163.5</v>
      </c>
      <c r="J103" s="24">
        <v>45875</v>
      </c>
      <c r="K103" s="13">
        <v>34</v>
      </c>
      <c r="L103" s="44">
        <v>4.9000000000000004</v>
      </c>
      <c r="M103" s="13" t="b">
        <v>0</v>
      </c>
      <c r="O103" s="25">
        <f t="shared" si="4"/>
        <v>27</v>
      </c>
      <c r="P103" s="13">
        <f t="shared" si="5"/>
        <v>0</v>
      </c>
      <c r="Q103" s="13" t="str">
        <f t="shared" si="6"/>
        <v/>
      </c>
      <c r="R103" s="13" t="str">
        <f t="shared" si="7"/>
        <v>Non diskon</v>
      </c>
    </row>
    <row r="104" spans="1:18" x14ac:dyDescent="0.25">
      <c r="A104" s="13" t="s">
        <v>116</v>
      </c>
      <c r="B104" s="13" t="s">
        <v>2195</v>
      </c>
      <c r="C104" s="13" t="s">
        <v>2197</v>
      </c>
      <c r="D104" s="13" t="s">
        <v>2204</v>
      </c>
      <c r="E104" s="13" t="s">
        <v>2210</v>
      </c>
      <c r="F104" s="13" t="s">
        <v>2221</v>
      </c>
      <c r="G104" s="13">
        <v>126.37</v>
      </c>
      <c r="H104" s="13">
        <v>0</v>
      </c>
      <c r="I104" s="13">
        <v>126.37</v>
      </c>
      <c r="J104" s="24">
        <v>45604</v>
      </c>
      <c r="K104" s="13">
        <v>25</v>
      </c>
      <c r="L104" s="44">
        <v>1.8</v>
      </c>
      <c r="M104" s="13" t="b">
        <v>0</v>
      </c>
      <c r="O104" s="25">
        <f t="shared" si="4"/>
        <v>298</v>
      </c>
      <c r="P104" s="13">
        <f t="shared" si="5"/>
        <v>0</v>
      </c>
      <c r="Q104" s="13" t="str">
        <f t="shared" si="6"/>
        <v/>
      </c>
      <c r="R104" s="13" t="str">
        <f t="shared" si="7"/>
        <v>Non diskon</v>
      </c>
    </row>
    <row r="105" spans="1:18" x14ac:dyDescent="0.25">
      <c r="A105" s="13" t="s">
        <v>117</v>
      </c>
      <c r="B105" s="13" t="s">
        <v>2194</v>
      </c>
      <c r="C105" s="13" t="s">
        <v>2197</v>
      </c>
      <c r="D105" s="13" t="s">
        <v>2205</v>
      </c>
      <c r="E105" s="13" t="s">
        <v>2209</v>
      </c>
      <c r="F105" s="13" t="s">
        <v>2222</v>
      </c>
      <c r="G105" s="13">
        <v>50.01</v>
      </c>
      <c r="H105" s="13">
        <v>58.2</v>
      </c>
      <c r="I105" s="13">
        <v>20.9</v>
      </c>
      <c r="J105" s="24">
        <v>45875</v>
      </c>
      <c r="K105" s="13">
        <v>32</v>
      </c>
      <c r="L105" s="44">
        <v>4.8</v>
      </c>
      <c r="M105" s="13" t="b">
        <v>0</v>
      </c>
      <c r="O105" s="25">
        <f t="shared" si="4"/>
        <v>27</v>
      </c>
      <c r="P105" s="13">
        <f t="shared" si="5"/>
        <v>1862.4</v>
      </c>
      <c r="Q105" s="13" t="str">
        <f t="shared" si="6"/>
        <v/>
      </c>
      <c r="R105" s="13" t="str">
        <f t="shared" si="7"/>
        <v>Diskon</v>
      </c>
    </row>
    <row r="106" spans="1:18" x14ac:dyDescent="0.25">
      <c r="A106" s="13" t="s">
        <v>118</v>
      </c>
      <c r="B106" s="13" t="s">
        <v>2193</v>
      </c>
      <c r="C106" s="13" t="s">
        <v>2200</v>
      </c>
      <c r="D106" s="13" t="s">
        <v>2205</v>
      </c>
      <c r="E106" s="13" t="s">
        <v>2210</v>
      </c>
      <c r="F106" s="13" t="s">
        <v>2214</v>
      </c>
      <c r="G106" s="13">
        <v>84.31</v>
      </c>
      <c r="H106" s="13">
        <v>0</v>
      </c>
      <c r="I106" s="13">
        <v>84.31</v>
      </c>
      <c r="J106" s="24">
        <v>45875</v>
      </c>
      <c r="K106" s="13">
        <v>10</v>
      </c>
      <c r="L106" s="44">
        <v>3.9</v>
      </c>
      <c r="M106" s="13" t="b">
        <v>0</v>
      </c>
      <c r="O106" s="25">
        <f t="shared" si="4"/>
        <v>27</v>
      </c>
      <c r="P106" s="13">
        <f t="shared" si="5"/>
        <v>0</v>
      </c>
      <c r="Q106" s="13" t="str">
        <f t="shared" si="6"/>
        <v/>
      </c>
      <c r="R106" s="13" t="str">
        <f t="shared" si="7"/>
        <v>Non diskon</v>
      </c>
    </row>
    <row r="107" spans="1:18" x14ac:dyDescent="0.25">
      <c r="A107" s="13" t="s">
        <v>119</v>
      </c>
      <c r="B107" s="13" t="s">
        <v>2194</v>
      </c>
      <c r="C107" s="13" t="s">
        <v>2198</v>
      </c>
      <c r="D107" s="13" t="s">
        <v>2204</v>
      </c>
      <c r="E107" s="13" t="s">
        <v>2208</v>
      </c>
      <c r="F107" s="13" t="s">
        <v>2221</v>
      </c>
      <c r="G107" s="13">
        <v>100.98</v>
      </c>
      <c r="H107" s="13">
        <v>0</v>
      </c>
      <c r="I107" s="13">
        <v>100.98</v>
      </c>
      <c r="J107" s="24">
        <v>45825</v>
      </c>
      <c r="K107" s="13">
        <v>21</v>
      </c>
      <c r="L107" s="44">
        <v>2.8</v>
      </c>
      <c r="M107" s="13" t="b">
        <v>0</v>
      </c>
      <c r="O107" s="25">
        <f t="shared" si="4"/>
        <v>77</v>
      </c>
      <c r="P107" s="13">
        <f t="shared" si="5"/>
        <v>0</v>
      </c>
      <c r="Q107" s="13" t="str">
        <f t="shared" si="6"/>
        <v/>
      </c>
      <c r="R107" s="13" t="str">
        <f t="shared" si="7"/>
        <v>Non diskon</v>
      </c>
    </row>
    <row r="108" spans="1:18" x14ac:dyDescent="0.25">
      <c r="A108" s="13" t="s">
        <v>120</v>
      </c>
      <c r="B108" s="13" t="s">
        <v>2194</v>
      </c>
      <c r="C108" s="13" t="s">
        <v>2198</v>
      </c>
      <c r="D108" s="13" t="s">
        <v>2207</v>
      </c>
      <c r="E108" s="13" t="s">
        <v>2213</v>
      </c>
      <c r="F108" s="13" t="s">
        <v>2221</v>
      </c>
      <c r="G108" s="13">
        <v>38.020000000000003</v>
      </c>
      <c r="H108" s="13">
        <v>0</v>
      </c>
      <c r="I108" s="13">
        <v>38.020000000000003</v>
      </c>
      <c r="J108" s="24">
        <v>45875</v>
      </c>
      <c r="K108" s="13">
        <v>44</v>
      </c>
      <c r="L108" s="44">
        <v>4.7</v>
      </c>
      <c r="M108" s="13" t="b">
        <v>0</v>
      </c>
      <c r="O108" s="25">
        <f t="shared" si="4"/>
        <v>27</v>
      </c>
      <c r="P108" s="13">
        <f t="shared" si="5"/>
        <v>0</v>
      </c>
      <c r="Q108" s="13" t="str">
        <f t="shared" si="6"/>
        <v/>
      </c>
      <c r="R108" s="13" t="str">
        <f t="shared" si="7"/>
        <v>Non diskon</v>
      </c>
    </row>
    <row r="109" spans="1:18" x14ac:dyDescent="0.25">
      <c r="A109" s="13" t="s">
        <v>121</v>
      </c>
      <c r="B109" s="13" t="s">
        <v>2194</v>
      </c>
      <c r="C109" s="13" t="s">
        <v>2200</v>
      </c>
      <c r="D109" s="13" t="s">
        <v>2206</v>
      </c>
      <c r="E109" s="13" t="s">
        <v>2208</v>
      </c>
      <c r="F109" s="13" t="s">
        <v>2219</v>
      </c>
      <c r="G109" s="13">
        <v>63.85</v>
      </c>
      <c r="H109" s="13">
        <v>0</v>
      </c>
      <c r="I109" s="13">
        <v>63.85</v>
      </c>
      <c r="J109" s="24">
        <v>45875</v>
      </c>
      <c r="K109" s="13">
        <v>41</v>
      </c>
      <c r="L109" s="44">
        <v>3.0659090909090896</v>
      </c>
      <c r="M109" s="13" t="b">
        <v>0</v>
      </c>
      <c r="O109" s="25">
        <f t="shared" si="4"/>
        <v>27</v>
      </c>
      <c r="P109" s="13">
        <f t="shared" si="5"/>
        <v>0</v>
      </c>
      <c r="Q109" s="13" t="str">
        <f t="shared" si="6"/>
        <v/>
      </c>
      <c r="R109" s="13" t="str">
        <f t="shared" si="7"/>
        <v>Non diskon</v>
      </c>
    </row>
    <row r="110" spans="1:18" x14ac:dyDescent="0.25">
      <c r="A110" s="13" t="s">
        <v>122</v>
      </c>
      <c r="B110" s="13" t="s">
        <v>2193</v>
      </c>
      <c r="C110" s="13" t="s">
        <v>2200</v>
      </c>
      <c r="D110" s="13" t="s">
        <v>2206</v>
      </c>
      <c r="E110" s="13" t="s">
        <v>2212</v>
      </c>
      <c r="F110" s="13" t="s">
        <v>2222</v>
      </c>
      <c r="G110" s="13">
        <v>183.15</v>
      </c>
      <c r="H110" s="13">
        <v>0</v>
      </c>
      <c r="I110" s="13">
        <v>183.15</v>
      </c>
      <c r="J110" s="24">
        <v>45875</v>
      </c>
      <c r="K110" s="13">
        <v>23</v>
      </c>
      <c r="L110" s="44">
        <v>4.0999999999999996</v>
      </c>
      <c r="M110" s="13" t="b">
        <v>0</v>
      </c>
      <c r="O110" s="25">
        <f t="shared" si="4"/>
        <v>27</v>
      </c>
      <c r="P110" s="13">
        <f t="shared" si="5"/>
        <v>0</v>
      </c>
      <c r="Q110" s="13" t="str">
        <f t="shared" si="6"/>
        <v/>
      </c>
      <c r="R110" s="13" t="str">
        <f t="shared" si="7"/>
        <v>Non diskon</v>
      </c>
    </row>
    <row r="111" spans="1:18" x14ac:dyDescent="0.25">
      <c r="A111" s="13" t="s">
        <v>123</v>
      </c>
      <c r="B111" s="13" t="s">
        <v>2195</v>
      </c>
      <c r="C111" s="13" t="s">
        <v>2196</v>
      </c>
      <c r="D111" s="13" t="s">
        <v>2205</v>
      </c>
      <c r="E111" s="13" t="s">
        <v>2210</v>
      </c>
      <c r="F111" s="13" t="s">
        <v>2218</v>
      </c>
      <c r="G111" s="13">
        <v>91</v>
      </c>
      <c r="H111" s="13">
        <v>59.5</v>
      </c>
      <c r="I111" s="13">
        <v>36.86</v>
      </c>
      <c r="J111" s="24">
        <v>45875</v>
      </c>
      <c r="K111" s="13">
        <v>5</v>
      </c>
      <c r="L111" s="44">
        <v>3.9</v>
      </c>
      <c r="M111" s="13" t="b">
        <v>0</v>
      </c>
      <c r="O111" s="25">
        <f t="shared" si="4"/>
        <v>27</v>
      </c>
      <c r="P111" s="13">
        <f t="shared" si="5"/>
        <v>297.5</v>
      </c>
      <c r="Q111" s="13" t="str">
        <f t="shared" si="6"/>
        <v/>
      </c>
      <c r="R111" s="13" t="str">
        <f t="shared" si="7"/>
        <v>Diskon</v>
      </c>
    </row>
    <row r="112" spans="1:18" x14ac:dyDescent="0.25">
      <c r="A112" s="13" t="s">
        <v>124</v>
      </c>
      <c r="B112" s="13" t="s">
        <v>2190</v>
      </c>
      <c r="C112" s="13" t="s">
        <v>2197</v>
      </c>
      <c r="D112" s="13" t="s">
        <v>2204</v>
      </c>
      <c r="E112" s="13" t="s">
        <v>2209</v>
      </c>
      <c r="F112" s="13" t="s">
        <v>2216</v>
      </c>
      <c r="G112" s="13">
        <v>92.83</v>
      </c>
      <c r="H112" s="13">
        <v>0</v>
      </c>
      <c r="I112" s="13">
        <v>92.83</v>
      </c>
      <c r="J112" s="24">
        <v>45858</v>
      </c>
      <c r="K112" s="13">
        <v>9</v>
      </c>
      <c r="L112" s="44">
        <v>1.2</v>
      </c>
      <c r="M112" s="13" t="b">
        <v>0</v>
      </c>
      <c r="O112" s="25">
        <f t="shared" si="4"/>
        <v>44</v>
      </c>
      <c r="P112" s="13">
        <f t="shared" si="5"/>
        <v>0</v>
      </c>
      <c r="Q112" s="13" t="str">
        <f t="shared" si="6"/>
        <v/>
      </c>
      <c r="R112" s="13" t="str">
        <f t="shared" si="7"/>
        <v>Non diskon</v>
      </c>
    </row>
    <row r="113" spans="1:18" x14ac:dyDescent="0.25">
      <c r="A113" s="13" t="s">
        <v>125</v>
      </c>
      <c r="B113" s="13" t="s">
        <v>2192</v>
      </c>
      <c r="C113" s="13" t="s">
        <v>2198</v>
      </c>
      <c r="D113" s="13" t="s">
        <v>2205</v>
      </c>
      <c r="F113" s="13" t="s">
        <v>2224</v>
      </c>
      <c r="G113" s="13">
        <v>34.450000000000003</v>
      </c>
      <c r="H113" s="13">
        <v>0</v>
      </c>
      <c r="I113" s="13">
        <v>34.450000000000003</v>
      </c>
      <c r="J113" s="24">
        <v>45875</v>
      </c>
      <c r="K113" s="13">
        <v>4</v>
      </c>
      <c r="L113" s="44">
        <v>4.5</v>
      </c>
      <c r="M113" s="13" t="b">
        <v>0</v>
      </c>
      <c r="O113" s="25">
        <f t="shared" si="4"/>
        <v>27</v>
      </c>
      <c r="P113" s="13">
        <f t="shared" si="5"/>
        <v>0</v>
      </c>
      <c r="Q113" s="13" t="str">
        <f t="shared" si="6"/>
        <v/>
      </c>
      <c r="R113" s="13" t="str">
        <f t="shared" si="7"/>
        <v>Non diskon</v>
      </c>
    </row>
    <row r="114" spans="1:18" x14ac:dyDescent="0.25">
      <c r="A114" s="13" t="s">
        <v>126</v>
      </c>
      <c r="B114" s="13" t="s">
        <v>2195</v>
      </c>
      <c r="C114" s="13" t="s">
        <v>2200</v>
      </c>
      <c r="D114" s="13" t="s">
        <v>2206</v>
      </c>
      <c r="E114" s="13" t="s">
        <v>2210</v>
      </c>
      <c r="F114" s="13" t="s">
        <v>2223</v>
      </c>
      <c r="G114" s="13">
        <v>128.15</v>
      </c>
      <c r="H114" s="13">
        <v>50</v>
      </c>
      <c r="I114" s="13">
        <v>64.08</v>
      </c>
      <c r="J114" s="24">
        <v>45875</v>
      </c>
      <c r="K114" s="13">
        <v>28</v>
      </c>
      <c r="L114" s="44">
        <v>3.2</v>
      </c>
      <c r="M114" s="13" t="b">
        <v>0</v>
      </c>
      <c r="O114" s="25">
        <f t="shared" si="4"/>
        <v>27</v>
      </c>
      <c r="P114" s="13">
        <f t="shared" si="5"/>
        <v>1400</v>
      </c>
      <c r="Q114" s="13" t="str">
        <f t="shared" si="6"/>
        <v/>
      </c>
      <c r="R114" s="13" t="str">
        <f t="shared" si="7"/>
        <v>Diskon</v>
      </c>
    </row>
    <row r="115" spans="1:18" x14ac:dyDescent="0.25">
      <c r="A115" s="13" t="s">
        <v>127</v>
      </c>
      <c r="B115" s="13" t="s">
        <v>2191</v>
      </c>
      <c r="C115" s="13" t="s">
        <v>2199</v>
      </c>
      <c r="D115" s="13" t="s">
        <v>2207</v>
      </c>
      <c r="E115" s="13" t="s">
        <v>2211</v>
      </c>
      <c r="F115" s="13" t="s">
        <v>2214</v>
      </c>
      <c r="G115" s="13">
        <v>99.62</v>
      </c>
      <c r="H115" s="13">
        <v>33.799999999999997</v>
      </c>
      <c r="I115" s="13">
        <v>65.95</v>
      </c>
      <c r="J115" s="24">
        <v>45875</v>
      </c>
      <c r="K115" s="13">
        <v>27</v>
      </c>
      <c r="L115" s="44">
        <v>2.1</v>
      </c>
      <c r="M115" s="13" t="b">
        <v>0</v>
      </c>
      <c r="O115" s="25">
        <f t="shared" si="4"/>
        <v>27</v>
      </c>
      <c r="P115" s="13">
        <f t="shared" si="5"/>
        <v>912.59999999999991</v>
      </c>
      <c r="Q115" s="13" t="str">
        <f t="shared" si="6"/>
        <v/>
      </c>
      <c r="R115" s="13" t="str">
        <f t="shared" si="7"/>
        <v>Diskon</v>
      </c>
    </row>
    <row r="116" spans="1:18" x14ac:dyDescent="0.25">
      <c r="A116" s="13" t="s">
        <v>128</v>
      </c>
      <c r="B116" s="13" t="s">
        <v>2194</v>
      </c>
      <c r="C116" s="13" t="s">
        <v>2203</v>
      </c>
      <c r="D116" s="13" t="s">
        <v>2205</v>
      </c>
      <c r="E116" s="13" t="s">
        <v>2210</v>
      </c>
      <c r="F116" s="13" t="s">
        <v>2215</v>
      </c>
      <c r="G116" s="13">
        <v>87.39</v>
      </c>
      <c r="H116" s="13">
        <v>25.5</v>
      </c>
      <c r="I116" s="13">
        <v>65.11</v>
      </c>
      <c r="J116" s="24">
        <v>45875</v>
      </c>
      <c r="K116" s="13">
        <v>8</v>
      </c>
      <c r="L116" s="44">
        <v>2.2999999999999998</v>
      </c>
      <c r="M116" s="13" t="b">
        <v>0</v>
      </c>
      <c r="O116" s="25">
        <f t="shared" si="4"/>
        <v>27</v>
      </c>
      <c r="P116" s="13">
        <f t="shared" si="5"/>
        <v>204</v>
      </c>
      <c r="Q116" s="13" t="str">
        <f t="shared" si="6"/>
        <v/>
      </c>
      <c r="R116" s="13" t="str">
        <f t="shared" si="7"/>
        <v>Diskon</v>
      </c>
    </row>
    <row r="117" spans="1:18" x14ac:dyDescent="0.25">
      <c r="A117" s="13" t="s">
        <v>129</v>
      </c>
      <c r="B117" s="13" t="s">
        <v>2191</v>
      </c>
      <c r="C117" s="13" t="s">
        <v>2196</v>
      </c>
      <c r="D117" s="13" t="s">
        <v>2204</v>
      </c>
      <c r="E117" s="13" t="s">
        <v>2211</v>
      </c>
      <c r="F117" s="13" t="s">
        <v>2224</v>
      </c>
      <c r="G117" s="13">
        <v>49.67</v>
      </c>
      <c r="H117" s="13">
        <v>0</v>
      </c>
      <c r="I117" s="13">
        <v>49.67</v>
      </c>
      <c r="J117" s="24">
        <v>45541</v>
      </c>
      <c r="K117" s="13">
        <v>37</v>
      </c>
      <c r="L117" s="44">
        <v>2.2999999999999998</v>
      </c>
      <c r="M117" s="13" t="b">
        <v>0</v>
      </c>
      <c r="O117" s="25">
        <f t="shared" si="4"/>
        <v>361</v>
      </c>
      <c r="P117" s="13">
        <f t="shared" si="5"/>
        <v>0</v>
      </c>
      <c r="Q117" s="13" t="str">
        <f t="shared" si="6"/>
        <v/>
      </c>
      <c r="R117" s="13" t="str">
        <f t="shared" si="7"/>
        <v>Non diskon</v>
      </c>
    </row>
    <row r="118" spans="1:18" x14ac:dyDescent="0.25">
      <c r="A118" s="13" t="s">
        <v>130</v>
      </c>
      <c r="B118" s="13" t="s">
        <v>2192</v>
      </c>
      <c r="C118" s="13" t="s">
        <v>2197</v>
      </c>
      <c r="D118" s="13" t="s">
        <v>2206</v>
      </c>
      <c r="F118" s="13" t="s">
        <v>2224</v>
      </c>
      <c r="G118" s="13">
        <v>72.040000000000006</v>
      </c>
      <c r="H118" s="13">
        <v>0</v>
      </c>
      <c r="I118" s="13">
        <v>72.040000000000006</v>
      </c>
      <c r="J118" s="24">
        <v>45875</v>
      </c>
      <c r="K118" s="13">
        <v>48</v>
      </c>
      <c r="L118" s="44">
        <v>3.1288461538461547</v>
      </c>
      <c r="M118" s="13" t="b">
        <v>1</v>
      </c>
      <c r="N118" s="13" t="s">
        <v>2230</v>
      </c>
      <c r="O118" s="25">
        <f t="shared" si="4"/>
        <v>27</v>
      </c>
      <c r="P118" s="13">
        <f t="shared" si="5"/>
        <v>0</v>
      </c>
      <c r="Q118" s="13">
        <f t="shared" si="6"/>
        <v>1</v>
      </c>
      <c r="R118" s="13" t="str">
        <f t="shared" si="7"/>
        <v>Non diskon</v>
      </c>
    </row>
    <row r="119" spans="1:18" x14ac:dyDescent="0.25">
      <c r="A119" s="13" t="s">
        <v>131</v>
      </c>
      <c r="B119" s="13" t="s">
        <v>2195</v>
      </c>
      <c r="C119" s="13" t="s">
        <v>2196</v>
      </c>
      <c r="D119" s="13" t="s">
        <v>2204</v>
      </c>
      <c r="E119" s="13" t="s">
        <v>2213</v>
      </c>
      <c r="F119" s="13" t="s">
        <v>2222</v>
      </c>
      <c r="G119" s="13">
        <v>133.82</v>
      </c>
      <c r="H119" s="13">
        <v>0</v>
      </c>
      <c r="I119" s="13">
        <v>133.82</v>
      </c>
      <c r="J119" s="24">
        <v>45621</v>
      </c>
      <c r="K119" s="13">
        <v>12</v>
      </c>
      <c r="L119" s="44">
        <v>1.7</v>
      </c>
      <c r="M119" s="13" t="b">
        <v>0</v>
      </c>
      <c r="O119" s="25">
        <f t="shared" si="4"/>
        <v>281</v>
      </c>
      <c r="P119" s="13">
        <f t="shared" si="5"/>
        <v>0</v>
      </c>
      <c r="Q119" s="13" t="str">
        <f t="shared" si="6"/>
        <v/>
      </c>
      <c r="R119" s="13" t="str">
        <f t="shared" si="7"/>
        <v>Non diskon</v>
      </c>
    </row>
    <row r="120" spans="1:18" x14ac:dyDescent="0.25">
      <c r="A120" s="13" t="s">
        <v>132</v>
      </c>
      <c r="B120" s="13" t="s">
        <v>2194</v>
      </c>
      <c r="C120" s="13" t="s">
        <v>2197</v>
      </c>
      <c r="D120" s="13" t="s">
        <v>2205</v>
      </c>
      <c r="E120" s="13" t="s">
        <v>2210</v>
      </c>
      <c r="F120" s="13" t="s">
        <v>2216</v>
      </c>
      <c r="G120" s="13">
        <v>62.93</v>
      </c>
      <c r="H120" s="13">
        <v>0</v>
      </c>
      <c r="I120" s="13">
        <v>62.93</v>
      </c>
      <c r="J120" s="24">
        <v>45875</v>
      </c>
      <c r="K120" s="13">
        <v>49</v>
      </c>
      <c r="L120" s="44">
        <v>3.0846153846153843</v>
      </c>
      <c r="M120" s="13" t="b">
        <v>0</v>
      </c>
      <c r="O120" s="25">
        <f t="shared" si="4"/>
        <v>27</v>
      </c>
      <c r="P120" s="13">
        <f t="shared" si="5"/>
        <v>0</v>
      </c>
      <c r="Q120" s="13" t="str">
        <f t="shared" si="6"/>
        <v/>
      </c>
      <c r="R120" s="13" t="str">
        <f t="shared" si="7"/>
        <v>Non diskon</v>
      </c>
    </row>
    <row r="121" spans="1:18" x14ac:dyDescent="0.25">
      <c r="A121" s="13" t="s">
        <v>133</v>
      </c>
      <c r="B121" s="13" t="s">
        <v>2190</v>
      </c>
      <c r="C121" s="13" t="s">
        <v>2196</v>
      </c>
      <c r="D121" s="13" t="s">
        <v>2204</v>
      </c>
      <c r="E121" s="13" t="s">
        <v>2209</v>
      </c>
      <c r="F121" s="13" t="s">
        <v>2214</v>
      </c>
      <c r="G121" s="13">
        <v>248.58</v>
      </c>
      <c r="H121" s="13">
        <v>0</v>
      </c>
      <c r="I121" s="13">
        <v>248.58</v>
      </c>
      <c r="J121" s="24">
        <v>45842</v>
      </c>
      <c r="K121" s="13">
        <v>27</v>
      </c>
      <c r="L121" s="44">
        <v>1.5</v>
      </c>
      <c r="M121" s="13" t="b">
        <v>0</v>
      </c>
      <c r="O121" s="25">
        <f t="shared" si="4"/>
        <v>60</v>
      </c>
      <c r="P121" s="13">
        <f t="shared" si="5"/>
        <v>0</v>
      </c>
      <c r="Q121" s="13" t="str">
        <f t="shared" si="6"/>
        <v/>
      </c>
      <c r="R121" s="13" t="str">
        <f t="shared" si="7"/>
        <v>Non diskon</v>
      </c>
    </row>
    <row r="122" spans="1:18" x14ac:dyDescent="0.25">
      <c r="A122" s="13" t="s">
        <v>134</v>
      </c>
      <c r="B122" s="13" t="s">
        <v>2193</v>
      </c>
      <c r="C122" s="13" t="s">
        <v>2197</v>
      </c>
      <c r="D122" s="13" t="s">
        <v>2206</v>
      </c>
      <c r="E122" s="13" t="s">
        <v>2211</v>
      </c>
      <c r="F122" s="13" t="s">
        <v>2222</v>
      </c>
      <c r="G122" s="13">
        <v>61.08</v>
      </c>
      <c r="H122" s="13">
        <v>0</v>
      </c>
      <c r="I122" s="13">
        <v>61.08</v>
      </c>
      <c r="J122" s="24">
        <v>45875</v>
      </c>
      <c r="K122" s="13">
        <v>27</v>
      </c>
      <c r="L122" s="44">
        <v>2.8205128205128198</v>
      </c>
      <c r="M122" s="13" t="b">
        <v>1</v>
      </c>
      <c r="N122" s="13" t="s">
        <v>2229</v>
      </c>
      <c r="O122" s="25">
        <f t="shared" si="4"/>
        <v>27</v>
      </c>
      <c r="P122" s="13">
        <f t="shared" si="5"/>
        <v>0</v>
      </c>
      <c r="Q122" s="13">
        <f t="shared" si="6"/>
        <v>1</v>
      </c>
      <c r="R122" s="13" t="str">
        <f t="shared" si="7"/>
        <v>Non diskon</v>
      </c>
    </row>
    <row r="123" spans="1:18" x14ac:dyDescent="0.25">
      <c r="A123" s="13" t="s">
        <v>135</v>
      </c>
      <c r="B123" s="13" t="s">
        <v>2194</v>
      </c>
      <c r="C123" s="13" t="s">
        <v>2202</v>
      </c>
      <c r="D123" s="13" t="s">
        <v>2205</v>
      </c>
      <c r="E123" s="13" t="s">
        <v>2210</v>
      </c>
      <c r="F123" s="13" t="s">
        <v>2214</v>
      </c>
      <c r="G123" s="13">
        <v>109.12</v>
      </c>
      <c r="H123" s="13">
        <v>0</v>
      </c>
      <c r="I123" s="13">
        <v>109.12</v>
      </c>
      <c r="J123" s="24">
        <v>45875</v>
      </c>
      <c r="K123" s="13">
        <v>34</v>
      </c>
      <c r="L123" s="44">
        <v>3.1799999999999997</v>
      </c>
      <c r="M123" s="13" t="b">
        <v>0</v>
      </c>
      <c r="O123" s="25">
        <f t="shared" si="4"/>
        <v>27</v>
      </c>
      <c r="P123" s="13">
        <f t="shared" si="5"/>
        <v>0</v>
      </c>
      <c r="Q123" s="13" t="str">
        <f t="shared" si="6"/>
        <v/>
      </c>
      <c r="R123" s="13" t="str">
        <f t="shared" si="7"/>
        <v>Non diskon</v>
      </c>
    </row>
    <row r="124" spans="1:18" x14ac:dyDescent="0.25">
      <c r="A124" s="13" t="s">
        <v>136</v>
      </c>
      <c r="B124" s="13" t="s">
        <v>2190</v>
      </c>
      <c r="C124" s="13" t="s">
        <v>2196</v>
      </c>
      <c r="D124" s="13" t="s">
        <v>2205</v>
      </c>
      <c r="E124" s="13" t="s">
        <v>2211</v>
      </c>
      <c r="F124" s="13" t="s">
        <v>2223</v>
      </c>
      <c r="G124" s="13">
        <v>82.91</v>
      </c>
      <c r="H124" s="13">
        <v>45.9</v>
      </c>
      <c r="I124" s="13">
        <v>44.85</v>
      </c>
      <c r="J124" s="24">
        <v>45875</v>
      </c>
      <c r="K124" s="13">
        <v>24</v>
      </c>
      <c r="L124" s="44">
        <v>2.7030303030303036</v>
      </c>
      <c r="M124" s="13" t="b">
        <v>1</v>
      </c>
      <c r="N124" s="13" t="s">
        <v>2228</v>
      </c>
      <c r="O124" s="25">
        <f t="shared" si="4"/>
        <v>27</v>
      </c>
      <c r="P124" s="13">
        <f t="shared" si="5"/>
        <v>1101.5999999999999</v>
      </c>
      <c r="Q124" s="13">
        <f t="shared" si="6"/>
        <v>1</v>
      </c>
      <c r="R124" s="13" t="str">
        <f t="shared" si="7"/>
        <v>Diskon</v>
      </c>
    </row>
    <row r="125" spans="1:18" x14ac:dyDescent="0.25">
      <c r="A125" s="13" t="s">
        <v>137</v>
      </c>
      <c r="B125" s="13" t="s">
        <v>2193</v>
      </c>
      <c r="C125" s="13" t="s">
        <v>2200</v>
      </c>
      <c r="D125" s="13" t="s">
        <v>2207</v>
      </c>
      <c r="E125" s="13" t="s">
        <v>2212</v>
      </c>
      <c r="F125" s="13" t="s">
        <v>2223</v>
      </c>
      <c r="G125" s="13">
        <v>113.53</v>
      </c>
      <c r="H125" s="13">
        <v>10.9</v>
      </c>
      <c r="I125" s="13">
        <v>101.16</v>
      </c>
      <c r="J125" s="24">
        <v>45875</v>
      </c>
      <c r="K125" s="13">
        <v>40</v>
      </c>
      <c r="L125" s="44">
        <v>2.8</v>
      </c>
      <c r="M125" s="13" t="b">
        <v>0</v>
      </c>
      <c r="O125" s="25">
        <f t="shared" si="4"/>
        <v>27</v>
      </c>
      <c r="P125" s="13">
        <f t="shared" si="5"/>
        <v>436</v>
      </c>
      <c r="Q125" s="13" t="str">
        <f t="shared" si="6"/>
        <v/>
      </c>
      <c r="R125" s="13" t="str">
        <f t="shared" si="7"/>
        <v>Diskon</v>
      </c>
    </row>
    <row r="126" spans="1:18" x14ac:dyDescent="0.25">
      <c r="A126" s="13" t="s">
        <v>138</v>
      </c>
      <c r="B126" s="13" t="s">
        <v>2192</v>
      </c>
      <c r="C126" s="13" t="s">
        <v>2197</v>
      </c>
      <c r="D126" s="13" t="s">
        <v>2205</v>
      </c>
      <c r="F126" s="13" t="s">
        <v>2224</v>
      </c>
      <c r="G126" s="13">
        <v>38.89</v>
      </c>
      <c r="H126" s="13">
        <v>51.5</v>
      </c>
      <c r="I126" s="13">
        <v>18.86</v>
      </c>
      <c r="J126" s="24">
        <v>45875</v>
      </c>
      <c r="K126" s="13">
        <v>28</v>
      </c>
      <c r="L126" s="44">
        <v>4.3</v>
      </c>
      <c r="M126" s="13" t="b">
        <v>0</v>
      </c>
      <c r="O126" s="25">
        <f t="shared" si="4"/>
        <v>27</v>
      </c>
      <c r="P126" s="13">
        <f t="shared" si="5"/>
        <v>1442</v>
      </c>
      <c r="Q126" s="13" t="str">
        <f t="shared" si="6"/>
        <v/>
      </c>
      <c r="R126" s="13" t="str">
        <f t="shared" si="7"/>
        <v>Diskon</v>
      </c>
    </row>
    <row r="127" spans="1:18" x14ac:dyDescent="0.25">
      <c r="A127" s="13" t="s">
        <v>139</v>
      </c>
      <c r="B127" s="13" t="s">
        <v>2195</v>
      </c>
      <c r="C127" s="13" t="s">
        <v>2202</v>
      </c>
      <c r="D127" s="13" t="s">
        <v>2204</v>
      </c>
      <c r="E127" s="13" t="s">
        <v>2211</v>
      </c>
      <c r="F127" s="13" t="s">
        <v>2216</v>
      </c>
      <c r="G127" s="13">
        <v>53.01</v>
      </c>
      <c r="H127" s="13">
        <v>45.9</v>
      </c>
      <c r="I127" s="13">
        <v>28.68</v>
      </c>
      <c r="J127" s="24">
        <v>45671</v>
      </c>
      <c r="K127" s="13">
        <v>37</v>
      </c>
      <c r="L127" s="44">
        <v>3.7</v>
      </c>
      <c r="M127" s="13" t="b">
        <v>0</v>
      </c>
      <c r="O127" s="25">
        <f t="shared" si="4"/>
        <v>231</v>
      </c>
      <c r="P127" s="13">
        <f t="shared" si="5"/>
        <v>1698.3</v>
      </c>
      <c r="Q127" s="13" t="str">
        <f t="shared" si="6"/>
        <v/>
      </c>
      <c r="R127" s="13" t="str">
        <f t="shared" si="7"/>
        <v>Diskon</v>
      </c>
    </row>
    <row r="128" spans="1:18" x14ac:dyDescent="0.25">
      <c r="A128" s="13" t="s">
        <v>140</v>
      </c>
      <c r="B128" s="13" t="s">
        <v>2193</v>
      </c>
      <c r="C128" s="13" t="s">
        <v>2201</v>
      </c>
      <c r="D128" s="13" t="s">
        <v>2204</v>
      </c>
      <c r="E128" s="13" t="s">
        <v>2211</v>
      </c>
      <c r="F128" s="13" t="s">
        <v>2219</v>
      </c>
      <c r="G128" s="13">
        <v>81.64</v>
      </c>
      <c r="H128" s="13">
        <v>0</v>
      </c>
      <c r="I128" s="13">
        <v>81.64</v>
      </c>
      <c r="J128" s="24">
        <v>45632</v>
      </c>
      <c r="K128" s="13">
        <v>50</v>
      </c>
      <c r="L128" s="44">
        <v>1.1000000000000001</v>
      </c>
      <c r="M128" s="13" t="b">
        <v>0</v>
      </c>
      <c r="O128" s="25">
        <f t="shared" si="4"/>
        <v>270</v>
      </c>
      <c r="P128" s="13">
        <f t="shared" si="5"/>
        <v>0</v>
      </c>
      <c r="Q128" s="13" t="str">
        <f t="shared" si="6"/>
        <v/>
      </c>
      <c r="R128" s="13" t="str">
        <f t="shared" si="7"/>
        <v>Non diskon</v>
      </c>
    </row>
    <row r="129" spans="1:18" x14ac:dyDescent="0.25">
      <c r="A129" s="13" t="s">
        <v>141</v>
      </c>
      <c r="B129" s="13" t="s">
        <v>2193</v>
      </c>
      <c r="C129" s="13" t="s">
        <v>2201</v>
      </c>
      <c r="D129" s="13" t="s">
        <v>2204</v>
      </c>
      <c r="E129" s="13" t="s">
        <v>2211</v>
      </c>
      <c r="F129" s="13" t="s">
        <v>2217</v>
      </c>
      <c r="G129" s="13">
        <v>125.24</v>
      </c>
      <c r="H129" s="13">
        <v>21.5</v>
      </c>
      <c r="I129" s="13">
        <v>98.31</v>
      </c>
      <c r="J129" s="24">
        <v>45541</v>
      </c>
      <c r="K129" s="13">
        <v>7</v>
      </c>
      <c r="L129" s="44">
        <v>2.9</v>
      </c>
      <c r="M129" s="13" t="b">
        <v>0</v>
      </c>
      <c r="O129" s="25">
        <f t="shared" si="4"/>
        <v>361</v>
      </c>
      <c r="P129" s="13">
        <f t="shared" si="5"/>
        <v>150.5</v>
      </c>
      <c r="Q129" s="13" t="str">
        <f t="shared" si="6"/>
        <v/>
      </c>
      <c r="R129" s="13" t="str">
        <f t="shared" si="7"/>
        <v>Diskon</v>
      </c>
    </row>
    <row r="130" spans="1:18" x14ac:dyDescent="0.25">
      <c r="A130" s="13" t="s">
        <v>142</v>
      </c>
      <c r="B130" s="13" t="s">
        <v>2190</v>
      </c>
      <c r="C130" s="13" t="s">
        <v>2201</v>
      </c>
      <c r="D130" s="13" t="s">
        <v>2204</v>
      </c>
      <c r="E130" s="13" t="s">
        <v>2212</v>
      </c>
      <c r="F130" s="13" t="s">
        <v>2215</v>
      </c>
      <c r="G130" s="13">
        <v>98.61</v>
      </c>
      <c r="H130" s="13">
        <v>0</v>
      </c>
      <c r="I130" s="13">
        <v>98.61</v>
      </c>
      <c r="J130" s="24">
        <v>45721</v>
      </c>
      <c r="K130" s="13">
        <v>1</v>
      </c>
      <c r="L130" s="44">
        <v>2.6</v>
      </c>
      <c r="M130" s="13" t="b">
        <v>0</v>
      </c>
      <c r="O130" s="25">
        <f t="shared" si="4"/>
        <v>181</v>
      </c>
      <c r="P130" s="13">
        <f t="shared" si="5"/>
        <v>0</v>
      </c>
      <c r="Q130" s="13" t="str">
        <f t="shared" si="6"/>
        <v/>
      </c>
      <c r="R130" s="13" t="str">
        <f t="shared" si="7"/>
        <v>Non diskon</v>
      </c>
    </row>
    <row r="131" spans="1:18" x14ac:dyDescent="0.25">
      <c r="A131" s="13" t="s">
        <v>143</v>
      </c>
      <c r="B131" s="13" t="s">
        <v>2193</v>
      </c>
      <c r="C131" s="13" t="s">
        <v>2202</v>
      </c>
      <c r="D131" s="13" t="s">
        <v>2206</v>
      </c>
      <c r="E131" s="13" t="s">
        <v>2212</v>
      </c>
      <c r="F131" s="13" t="s">
        <v>2219</v>
      </c>
      <c r="G131" s="13">
        <v>77.540000000000006</v>
      </c>
      <c r="H131" s="13">
        <v>0</v>
      </c>
      <c r="I131" s="13">
        <v>77.540000000000006</v>
      </c>
      <c r="J131" s="24">
        <v>45875</v>
      </c>
      <c r="K131" s="13">
        <v>36</v>
      </c>
      <c r="L131" s="44">
        <v>3.4</v>
      </c>
      <c r="M131" s="13" t="b">
        <v>0</v>
      </c>
      <c r="O131" s="25">
        <f t="shared" ref="O131:O194" si="8">DATE(2025,9,2)-J131</f>
        <v>27</v>
      </c>
      <c r="P131" s="13">
        <f t="shared" ref="P131:P194" si="9">H131*K131</f>
        <v>0</v>
      </c>
      <c r="Q131" s="13" t="str">
        <f t="shared" ref="Q131:Q194" si="10">IF(M131=FALSE,"",1)</f>
        <v/>
      </c>
      <c r="R131" s="13" t="str">
        <f t="shared" ref="R131:R194" si="11">IF(H131=0,"Non diskon","Diskon")</f>
        <v>Non diskon</v>
      </c>
    </row>
    <row r="132" spans="1:18" x14ac:dyDescent="0.25">
      <c r="A132" s="13" t="s">
        <v>144</v>
      </c>
      <c r="B132" s="13" t="s">
        <v>2195</v>
      </c>
      <c r="C132" s="13" t="s">
        <v>2198</v>
      </c>
      <c r="D132" s="13" t="s">
        <v>2204</v>
      </c>
      <c r="E132" s="13" t="s">
        <v>2208</v>
      </c>
      <c r="F132" s="13" t="s">
        <v>2223</v>
      </c>
      <c r="G132" s="13">
        <v>79.13</v>
      </c>
      <c r="H132" s="13">
        <v>0</v>
      </c>
      <c r="I132" s="13">
        <v>79.13</v>
      </c>
      <c r="J132" s="24">
        <v>45612</v>
      </c>
      <c r="K132" s="13">
        <v>11</v>
      </c>
      <c r="L132" s="44">
        <v>3.6</v>
      </c>
      <c r="M132" s="13" t="b">
        <v>0</v>
      </c>
      <c r="O132" s="25">
        <f t="shared" si="8"/>
        <v>290</v>
      </c>
      <c r="P132" s="13">
        <f t="shared" si="9"/>
        <v>0</v>
      </c>
      <c r="Q132" s="13" t="str">
        <f t="shared" si="10"/>
        <v/>
      </c>
      <c r="R132" s="13" t="str">
        <f t="shared" si="11"/>
        <v>Non diskon</v>
      </c>
    </row>
    <row r="133" spans="1:18" x14ac:dyDescent="0.25">
      <c r="A133" s="13" t="s">
        <v>145</v>
      </c>
      <c r="B133" s="13" t="s">
        <v>2194</v>
      </c>
      <c r="C133" s="13" t="s">
        <v>2199</v>
      </c>
      <c r="D133" s="13" t="s">
        <v>2204</v>
      </c>
      <c r="E133" s="13" t="s">
        <v>2210</v>
      </c>
      <c r="F133" s="13" t="s">
        <v>2220</v>
      </c>
      <c r="G133" s="13">
        <v>96.11</v>
      </c>
      <c r="H133" s="13">
        <v>0</v>
      </c>
      <c r="I133" s="13">
        <v>96.11</v>
      </c>
      <c r="J133" s="24">
        <v>45759</v>
      </c>
      <c r="K133" s="13">
        <v>13</v>
      </c>
      <c r="L133" s="44">
        <v>4.2</v>
      </c>
      <c r="M133" s="13" t="b">
        <v>0</v>
      </c>
      <c r="O133" s="25">
        <f t="shared" si="8"/>
        <v>143</v>
      </c>
      <c r="P133" s="13">
        <f t="shared" si="9"/>
        <v>0</v>
      </c>
      <c r="Q133" s="13" t="str">
        <f t="shared" si="10"/>
        <v/>
      </c>
      <c r="R133" s="13" t="str">
        <f t="shared" si="11"/>
        <v>Non diskon</v>
      </c>
    </row>
    <row r="134" spans="1:18" x14ac:dyDescent="0.25">
      <c r="A134" s="13" t="s">
        <v>146</v>
      </c>
      <c r="B134" s="13" t="s">
        <v>2191</v>
      </c>
      <c r="C134" s="13" t="s">
        <v>2199</v>
      </c>
      <c r="D134" s="13" t="s">
        <v>2204</v>
      </c>
      <c r="E134" s="13" t="s">
        <v>2208</v>
      </c>
      <c r="F134" s="13" t="s">
        <v>2217</v>
      </c>
      <c r="G134" s="13">
        <v>116.61</v>
      </c>
      <c r="H134" s="13">
        <v>0</v>
      </c>
      <c r="I134" s="13">
        <v>116.61</v>
      </c>
      <c r="J134" s="24">
        <v>45600</v>
      </c>
      <c r="K134" s="13">
        <v>31</v>
      </c>
      <c r="L134" s="44">
        <v>2.9742857142857138</v>
      </c>
      <c r="M134" s="13" t="b">
        <v>0</v>
      </c>
      <c r="O134" s="25">
        <f t="shared" si="8"/>
        <v>302</v>
      </c>
      <c r="P134" s="13">
        <f t="shared" si="9"/>
        <v>0</v>
      </c>
      <c r="Q134" s="13" t="str">
        <f t="shared" si="10"/>
        <v/>
      </c>
      <c r="R134" s="13" t="str">
        <f t="shared" si="11"/>
        <v>Non diskon</v>
      </c>
    </row>
    <row r="135" spans="1:18" x14ac:dyDescent="0.25">
      <c r="A135" s="13" t="s">
        <v>147</v>
      </c>
      <c r="B135" s="13" t="s">
        <v>2192</v>
      </c>
      <c r="C135" s="13" t="s">
        <v>2201</v>
      </c>
      <c r="D135" s="13" t="s">
        <v>2205</v>
      </c>
      <c r="F135" s="13" t="s">
        <v>2219</v>
      </c>
      <c r="G135" s="13">
        <v>57.8</v>
      </c>
      <c r="H135" s="13">
        <v>27</v>
      </c>
      <c r="I135" s="13">
        <v>42.19</v>
      </c>
      <c r="J135" s="24">
        <v>45875</v>
      </c>
      <c r="K135" s="13">
        <v>9</v>
      </c>
      <c r="L135" s="44">
        <v>1.8</v>
      </c>
      <c r="M135" s="13" t="b">
        <v>0</v>
      </c>
      <c r="O135" s="25">
        <f t="shared" si="8"/>
        <v>27</v>
      </c>
      <c r="P135" s="13">
        <f t="shared" si="9"/>
        <v>243</v>
      </c>
      <c r="Q135" s="13" t="str">
        <f t="shared" si="10"/>
        <v/>
      </c>
      <c r="R135" s="13" t="str">
        <f t="shared" si="11"/>
        <v>Diskon</v>
      </c>
    </row>
    <row r="136" spans="1:18" x14ac:dyDescent="0.25">
      <c r="A136" s="13" t="s">
        <v>148</v>
      </c>
      <c r="B136" s="13" t="s">
        <v>2191</v>
      </c>
      <c r="C136" s="13" t="s">
        <v>2200</v>
      </c>
      <c r="D136" s="13" t="s">
        <v>2204</v>
      </c>
      <c r="E136" s="13" t="s">
        <v>2210</v>
      </c>
      <c r="F136" s="13" t="s">
        <v>2217</v>
      </c>
      <c r="G136" s="13">
        <v>110.78</v>
      </c>
      <c r="H136" s="13">
        <v>0</v>
      </c>
      <c r="I136" s="13">
        <v>110.78</v>
      </c>
      <c r="J136" s="24">
        <v>45670</v>
      </c>
      <c r="K136" s="13">
        <v>9</v>
      </c>
      <c r="L136" s="44">
        <v>1.4</v>
      </c>
      <c r="M136" s="13" t="b">
        <v>0</v>
      </c>
      <c r="O136" s="25">
        <f t="shared" si="8"/>
        <v>232</v>
      </c>
      <c r="P136" s="13">
        <f t="shared" si="9"/>
        <v>0</v>
      </c>
      <c r="Q136" s="13" t="str">
        <f t="shared" si="10"/>
        <v/>
      </c>
      <c r="R136" s="13" t="str">
        <f t="shared" si="11"/>
        <v>Non diskon</v>
      </c>
    </row>
    <row r="137" spans="1:18" x14ac:dyDescent="0.25">
      <c r="A137" s="13" t="s">
        <v>149</v>
      </c>
      <c r="B137" s="13" t="s">
        <v>2191</v>
      </c>
      <c r="C137" s="13" t="s">
        <v>2202</v>
      </c>
      <c r="D137" s="13" t="s">
        <v>2204</v>
      </c>
      <c r="E137" s="13" t="s">
        <v>2209</v>
      </c>
      <c r="F137" s="13" t="s">
        <v>2216</v>
      </c>
      <c r="G137" s="13">
        <v>112.63</v>
      </c>
      <c r="H137" s="13">
        <v>0</v>
      </c>
      <c r="I137" s="13">
        <v>112.63</v>
      </c>
      <c r="J137" s="24">
        <v>45579</v>
      </c>
      <c r="K137" s="13">
        <v>50</v>
      </c>
      <c r="L137" s="44">
        <v>3.6</v>
      </c>
      <c r="M137" s="13" t="b">
        <v>1</v>
      </c>
      <c r="N137" s="13" t="s">
        <v>2228</v>
      </c>
      <c r="O137" s="25">
        <f t="shared" si="8"/>
        <v>323</v>
      </c>
      <c r="P137" s="13">
        <f t="shared" si="9"/>
        <v>0</v>
      </c>
      <c r="Q137" s="13">
        <f t="shared" si="10"/>
        <v>1</v>
      </c>
      <c r="R137" s="13" t="str">
        <f t="shared" si="11"/>
        <v>Non diskon</v>
      </c>
    </row>
    <row r="138" spans="1:18" x14ac:dyDescent="0.25">
      <c r="A138" s="13" t="s">
        <v>150</v>
      </c>
      <c r="B138" s="13" t="s">
        <v>2191</v>
      </c>
      <c r="C138" s="13" t="s">
        <v>2200</v>
      </c>
      <c r="D138" s="13" t="s">
        <v>2207</v>
      </c>
      <c r="E138" s="13" t="s">
        <v>2212</v>
      </c>
      <c r="F138" s="13" t="s">
        <v>2223</v>
      </c>
      <c r="G138" s="13">
        <v>89.36</v>
      </c>
      <c r="H138" s="13">
        <v>0</v>
      </c>
      <c r="I138" s="13">
        <v>89.36</v>
      </c>
      <c r="J138" s="24">
        <v>45875</v>
      </c>
      <c r="K138" s="13">
        <v>24</v>
      </c>
      <c r="L138" s="44">
        <v>4.3</v>
      </c>
      <c r="M138" s="13" t="b">
        <v>1</v>
      </c>
      <c r="N138" s="13" t="s">
        <v>2227</v>
      </c>
      <c r="O138" s="25">
        <f t="shared" si="8"/>
        <v>27</v>
      </c>
      <c r="P138" s="13">
        <f t="shared" si="9"/>
        <v>0</v>
      </c>
      <c r="Q138" s="13">
        <f t="shared" si="10"/>
        <v>1</v>
      </c>
      <c r="R138" s="13" t="str">
        <f t="shared" si="11"/>
        <v>Non diskon</v>
      </c>
    </row>
    <row r="139" spans="1:18" x14ac:dyDescent="0.25">
      <c r="A139" s="13" t="s">
        <v>151</v>
      </c>
      <c r="B139" s="13" t="s">
        <v>2190</v>
      </c>
      <c r="C139" s="13" t="s">
        <v>2203</v>
      </c>
      <c r="D139" s="13" t="s">
        <v>2206</v>
      </c>
      <c r="E139" s="13" t="s">
        <v>2213</v>
      </c>
      <c r="F139" s="13" t="s">
        <v>2215</v>
      </c>
      <c r="G139" s="13">
        <v>127.99</v>
      </c>
      <c r="H139" s="13">
        <v>0</v>
      </c>
      <c r="I139" s="13">
        <v>127.99</v>
      </c>
      <c r="J139" s="24">
        <v>45875</v>
      </c>
      <c r="K139" s="13">
        <v>16</v>
      </c>
      <c r="L139" s="44">
        <v>2.9718749999999998</v>
      </c>
      <c r="M139" s="13" t="b">
        <v>0</v>
      </c>
      <c r="O139" s="25">
        <f t="shared" si="8"/>
        <v>27</v>
      </c>
      <c r="P139" s="13">
        <f t="shared" si="9"/>
        <v>0</v>
      </c>
      <c r="Q139" s="13" t="str">
        <f t="shared" si="10"/>
        <v/>
      </c>
      <c r="R139" s="13" t="str">
        <f t="shared" si="11"/>
        <v>Non diskon</v>
      </c>
    </row>
    <row r="140" spans="1:18" x14ac:dyDescent="0.25">
      <c r="A140" s="13" t="s">
        <v>152</v>
      </c>
      <c r="B140" s="13" t="s">
        <v>2194</v>
      </c>
      <c r="C140" s="13" t="s">
        <v>2196</v>
      </c>
      <c r="D140" s="13" t="s">
        <v>2205</v>
      </c>
      <c r="E140" s="13" t="s">
        <v>2211</v>
      </c>
      <c r="F140" s="13" t="s">
        <v>2221</v>
      </c>
      <c r="G140" s="13">
        <v>54.88</v>
      </c>
      <c r="H140" s="13">
        <v>58.8</v>
      </c>
      <c r="I140" s="13">
        <v>22.61</v>
      </c>
      <c r="J140" s="24">
        <v>45875</v>
      </c>
      <c r="K140" s="13">
        <v>50</v>
      </c>
      <c r="L140" s="44">
        <v>3.5</v>
      </c>
      <c r="M140" s="13" t="b">
        <v>0</v>
      </c>
      <c r="O140" s="25">
        <f t="shared" si="8"/>
        <v>27</v>
      </c>
      <c r="P140" s="13">
        <f t="shared" si="9"/>
        <v>2940</v>
      </c>
      <c r="Q140" s="13" t="str">
        <f t="shared" si="10"/>
        <v/>
      </c>
      <c r="R140" s="13" t="str">
        <f t="shared" si="11"/>
        <v>Diskon</v>
      </c>
    </row>
    <row r="141" spans="1:18" x14ac:dyDescent="0.25">
      <c r="A141" s="13" t="s">
        <v>153</v>
      </c>
      <c r="B141" s="13" t="s">
        <v>2193</v>
      </c>
      <c r="C141" s="13" t="s">
        <v>2197</v>
      </c>
      <c r="D141" s="13" t="s">
        <v>2204</v>
      </c>
      <c r="E141" s="13" t="s">
        <v>2209</v>
      </c>
      <c r="F141" s="13" t="s">
        <v>2217</v>
      </c>
      <c r="G141" s="13">
        <v>154.13</v>
      </c>
      <c r="H141" s="13">
        <v>0</v>
      </c>
      <c r="I141" s="13">
        <v>154.13</v>
      </c>
      <c r="J141" s="24">
        <v>45566</v>
      </c>
      <c r="K141" s="13">
        <v>31</v>
      </c>
      <c r="L141" s="44">
        <v>4.0999999999999996</v>
      </c>
      <c r="M141" s="13" t="b">
        <v>1</v>
      </c>
      <c r="N141" s="13" t="s">
        <v>2226</v>
      </c>
      <c r="O141" s="25">
        <f t="shared" si="8"/>
        <v>336</v>
      </c>
      <c r="P141" s="13">
        <f t="shared" si="9"/>
        <v>0</v>
      </c>
      <c r="Q141" s="13">
        <f t="shared" si="10"/>
        <v>1</v>
      </c>
      <c r="R141" s="13" t="str">
        <f t="shared" si="11"/>
        <v>Non diskon</v>
      </c>
    </row>
    <row r="142" spans="1:18" x14ac:dyDescent="0.25">
      <c r="A142" s="13" t="s">
        <v>154</v>
      </c>
      <c r="B142" s="13" t="s">
        <v>2195</v>
      </c>
      <c r="C142" s="13" t="s">
        <v>2201</v>
      </c>
      <c r="D142" s="13" t="s">
        <v>2204</v>
      </c>
      <c r="E142" s="13" t="s">
        <v>2212</v>
      </c>
      <c r="F142" s="13" t="s">
        <v>2218</v>
      </c>
      <c r="G142" s="13">
        <v>131.5</v>
      </c>
      <c r="H142" s="13">
        <v>0</v>
      </c>
      <c r="I142" s="13">
        <v>131.5</v>
      </c>
      <c r="J142" s="24">
        <v>45599</v>
      </c>
      <c r="K142" s="13">
        <v>5</v>
      </c>
      <c r="L142" s="44">
        <v>3.1874999999999991</v>
      </c>
      <c r="M142" s="13" t="b">
        <v>0</v>
      </c>
      <c r="O142" s="25">
        <f t="shared" si="8"/>
        <v>303</v>
      </c>
      <c r="P142" s="13">
        <f t="shared" si="9"/>
        <v>0</v>
      </c>
      <c r="Q142" s="13" t="str">
        <f t="shared" si="10"/>
        <v/>
      </c>
      <c r="R142" s="13" t="str">
        <f t="shared" si="11"/>
        <v>Non diskon</v>
      </c>
    </row>
    <row r="143" spans="1:18" x14ac:dyDescent="0.25">
      <c r="A143" s="13" t="s">
        <v>155</v>
      </c>
      <c r="B143" s="13" t="s">
        <v>2190</v>
      </c>
      <c r="C143" s="13" t="s">
        <v>2202</v>
      </c>
      <c r="D143" s="13" t="s">
        <v>2207</v>
      </c>
      <c r="E143" s="13" t="s">
        <v>2213</v>
      </c>
      <c r="F143" s="13" t="s">
        <v>2219</v>
      </c>
      <c r="G143" s="13">
        <v>133.26</v>
      </c>
      <c r="H143" s="13">
        <v>0</v>
      </c>
      <c r="I143" s="13">
        <v>133.26</v>
      </c>
      <c r="J143" s="24">
        <v>45875</v>
      </c>
      <c r="K143" s="13">
        <v>29</v>
      </c>
      <c r="L143" s="44">
        <v>1.3</v>
      </c>
      <c r="M143" s="13" t="b">
        <v>0</v>
      </c>
      <c r="O143" s="25">
        <f t="shared" si="8"/>
        <v>27</v>
      </c>
      <c r="P143" s="13">
        <f t="shared" si="9"/>
        <v>0</v>
      </c>
      <c r="Q143" s="13" t="str">
        <f t="shared" si="10"/>
        <v/>
      </c>
      <c r="R143" s="13" t="str">
        <f t="shared" si="11"/>
        <v>Non diskon</v>
      </c>
    </row>
    <row r="144" spans="1:18" x14ac:dyDescent="0.25">
      <c r="A144" s="13" t="s">
        <v>156</v>
      </c>
      <c r="B144" s="13" t="s">
        <v>2193</v>
      </c>
      <c r="C144" s="13" t="s">
        <v>2203</v>
      </c>
      <c r="D144" s="13" t="s">
        <v>2205</v>
      </c>
      <c r="E144" s="13" t="s">
        <v>2208</v>
      </c>
      <c r="F144" s="13" t="s">
        <v>2214</v>
      </c>
      <c r="G144" s="13">
        <v>173.91</v>
      </c>
      <c r="H144" s="13">
        <v>0</v>
      </c>
      <c r="I144" s="13">
        <v>173.91</v>
      </c>
      <c r="J144" s="24">
        <v>45875</v>
      </c>
      <c r="K144" s="13">
        <v>21</v>
      </c>
      <c r="L144" s="44">
        <v>3.2576923076923077</v>
      </c>
      <c r="M144" s="13" t="b">
        <v>0</v>
      </c>
      <c r="O144" s="25">
        <f t="shared" si="8"/>
        <v>27</v>
      </c>
      <c r="P144" s="13">
        <f t="shared" si="9"/>
        <v>0</v>
      </c>
      <c r="Q144" s="13" t="str">
        <f t="shared" si="10"/>
        <v/>
      </c>
      <c r="R144" s="13" t="str">
        <f t="shared" si="11"/>
        <v>Non diskon</v>
      </c>
    </row>
    <row r="145" spans="1:18" x14ac:dyDescent="0.25">
      <c r="A145" s="13" t="s">
        <v>157</v>
      </c>
      <c r="B145" s="13" t="s">
        <v>2191</v>
      </c>
      <c r="C145" s="13" t="s">
        <v>2200</v>
      </c>
      <c r="D145" s="13" t="s">
        <v>2204</v>
      </c>
      <c r="E145" s="13" t="s">
        <v>2209</v>
      </c>
      <c r="F145" s="13" t="s">
        <v>2221</v>
      </c>
      <c r="G145" s="13">
        <v>102.99</v>
      </c>
      <c r="H145" s="13">
        <v>0</v>
      </c>
      <c r="I145" s="13">
        <v>102.99</v>
      </c>
      <c r="J145" s="24">
        <v>45854</v>
      </c>
      <c r="K145" s="13">
        <v>41</v>
      </c>
      <c r="L145" s="44">
        <v>3.9</v>
      </c>
      <c r="M145" s="13" t="b">
        <v>0</v>
      </c>
      <c r="O145" s="25">
        <f t="shared" si="8"/>
        <v>48</v>
      </c>
      <c r="P145" s="13">
        <f t="shared" si="9"/>
        <v>0</v>
      </c>
      <c r="Q145" s="13" t="str">
        <f t="shared" si="10"/>
        <v/>
      </c>
      <c r="R145" s="13" t="str">
        <f t="shared" si="11"/>
        <v>Non diskon</v>
      </c>
    </row>
    <row r="146" spans="1:18" x14ac:dyDescent="0.25">
      <c r="A146" s="13" t="s">
        <v>158</v>
      </c>
      <c r="B146" s="13" t="s">
        <v>2190</v>
      </c>
      <c r="C146" s="13" t="s">
        <v>2196</v>
      </c>
      <c r="D146" s="13" t="s">
        <v>2204</v>
      </c>
      <c r="E146" s="13" t="s">
        <v>2209</v>
      </c>
      <c r="F146" s="13" t="s">
        <v>2221</v>
      </c>
      <c r="G146" s="13">
        <v>87.78</v>
      </c>
      <c r="H146" s="13">
        <v>45.3</v>
      </c>
      <c r="I146" s="13">
        <v>48.02</v>
      </c>
      <c r="J146" s="24">
        <v>45705</v>
      </c>
      <c r="K146" s="13">
        <v>34</v>
      </c>
      <c r="L146" s="44">
        <v>1.8</v>
      </c>
      <c r="M146" s="13" t="b">
        <v>0</v>
      </c>
      <c r="O146" s="25">
        <f t="shared" si="8"/>
        <v>197</v>
      </c>
      <c r="P146" s="13">
        <f t="shared" si="9"/>
        <v>1540.1999999999998</v>
      </c>
      <c r="Q146" s="13" t="str">
        <f t="shared" si="10"/>
        <v/>
      </c>
      <c r="R146" s="13" t="str">
        <f t="shared" si="11"/>
        <v>Diskon</v>
      </c>
    </row>
    <row r="147" spans="1:18" x14ac:dyDescent="0.25">
      <c r="A147" s="13" t="s">
        <v>159</v>
      </c>
      <c r="B147" s="13" t="s">
        <v>2191</v>
      </c>
      <c r="C147" s="13" t="s">
        <v>2197</v>
      </c>
      <c r="D147" s="13" t="s">
        <v>2205</v>
      </c>
      <c r="F147" s="13" t="s">
        <v>2221</v>
      </c>
      <c r="G147" s="13">
        <v>91.8</v>
      </c>
      <c r="H147" s="13">
        <v>15.8</v>
      </c>
      <c r="I147" s="13">
        <v>77.3</v>
      </c>
      <c r="J147" s="24">
        <v>45875</v>
      </c>
      <c r="K147" s="13">
        <v>30</v>
      </c>
      <c r="L147" s="44">
        <v>4.2</v>
      </c>
      <c r="M147" s="13" t="b">
        <v>0</v>
      </c>
      <c r="O147" s="25">
        <f t="shared" si="8"/>
        <v>27</v>
      </c>
      <c r="P147" s="13">
        <f t="shared" si="9"/>
        <v>474</v>
      </c>
      <c r="Q147" s="13" t="str">
        <f t="shared" si="10"/>
        <v/>
      </c>
      <c r="R147" s="13" t="str">
        <f t="shared" si="11"/>
        <v>Diskon</v>
      </c>
    </row>
    <row r="148" spans="1:18" x14ac:dyDescent="0.25">
      <c r="A148" s="13" t="s">
        <v>160</v>
      </c>
      <c r="B148" s="13" t="s">
        <v>2191</v>
      </c>
      <c r="C148" s="13" t="s">
        <v>2196</v>
      </c>
      <c r="D148" s="13" t="s">
        <v>2205</v>
      </c>
      <c r="E148" s="13" t="s">
        <v>2209</v>
      </c>
      <c r="F148" s="13" t="s">
        <v>2217</v>
      </c>
      <c r="G148" s="13">
        <v>107.32</v>
      </c>
      <c r="H148" s="13">
        <v>25.4</v>
      </c>
      <c r="I148" s="13">
        <v>80.06</v>
      </c>
      <c r="J148" s="24">
        <v>45875</v>
      </c>
      <c r="K148" s="13">
        <v>50</v>
      </c>
      <c r="L148" s="44">
        <v>4.4000000000000004</v>
      </c>
      <c r="M148" s="13" t="b">
        <v>0</v>
      </c>
      <c r="O148" s="25">
        <f t="shared" si="8"/>
        <v>27</v>
      </c>
      <c r="P148" s="13">
        <f t="shared" si="9"/>
        <v>1270</v>
      </c>
      <c r="Q148" s="13" t="str">
        <f t="shared" si="10"/>
        <v/>
      </c>
      <c r="R148" s="13" t="str">
        <f t="shared" si="11"/>
        <v>Diskon</v>
      </c>
    </row>
    <row r="149" spans="1:18" x14ac:dyDescent="0.25">
      <c r="A149" s="13" t="s">
        <v>161</v>
      </c>
      <c r="B149" s="13" t="s">
        <v>2194</v>
      </c>
      <c r="C149" s="13" t="s">
        <v>2198</v>
      </c>
      <c r="D149" s="13" t="s">
        <v>2204</v>
      </c>
      <c r="E149" s="13" t="s">
        <v>2211</v>
      </c>
      <c r="F149" s="13" t="s">
        <v>2224</v>
      </c>
      <c r="G149" s="13">
        <v>67.69</v>
      </c>
      <c r="H149" s="13">
        <v>57.3</v>
      </c>
      <c r="I149" s="13">
        <v>28.9</v>
      </c>
      <c r="J149" s="24">
        <v>45862</v>
      </c>
      <c r="K149" s="13">
        <v>50</v>
      </c>
      <c r="L149" s="44">
        <v>4.5999999999999996</v>
      </c>
      <c r="M149" s="13" t="b">
        <v>0</v>
      </c>
      <c r="O149" s="25">
        <f t="shared" si="8"/>
        <v>40</v>
      </c>
      <c r="P149" s="13">
        <f t="shared" si="9"/>
        <v>2865</v>
      </c>
      <c r="Q149" s="13" t="str">
        <f t="shared" si="10"/>
        <v/>
      </c>
      <c r="R149" s="13" t="str">
        <f t="shared" si="11"/>
        <v>Diskon</v>
      </c>
    </row>
    <row r="150" spans="1:18" x14ac:dyDescent="0.25">
      <c r="A150" s="13" t="s">
        <v>162</v>
      </c>
      <c r="B150" s="13" t="s">
        <v>2191</v>
      </c>
      <c r="C150" s="13" t="s">
        <v>2201</v>
      </c>
      <c r="D150" s="13" t="s">
        <v>2207</v>
      </c>
      <c r="E150" s="13" t="s">
        <v>2213</v>
      </c>
      <c r="F150" s="13" t="s">
        <v>2221</v>
      </c>
      <c r="G150" s="13">
        <v>68.11</v>
      </c>
      <c r="H150" s="13">
        <v>46</v>
      </c>
      <c r="I150" s="13">
        <v>36.78</v>
      </c>
      <c r="J150" s="24">
        <v>45875</v>
      </c>
      <c r="K150" s="13">
        <v>3</v>
      </c>
      <c r="L150" s="44">
        <v>2.5</v>
      </c>
      <c r="M150" s="13" t="b">
        <v>0</v>
      </c>
      <c r="O150" s="25">
        <f t="shared" si="8"/>
        <v>27</v>
      </c>
      <c r="P150" s="13">
        <f t="shared" si="9"/>
        <v>138</v>
      </c>
      <c r="Q150" s="13" t="str">
        <f t="shared" si="10"/>
        <v/>
      </c>
      <c r="R150" s="13" t="str">
        <f t="shared" si="11"/>
        <v>Diskon</v>
      </c>
    </row>
    <row r="151" spans="1:18" x14ac:dyDescent="0.25">
      <c r="A151" s="13" t="s">
        <v>163</v>
      </c>
      <c r="B151" s="13" t="s">
        <v>2193</v>
      </c>
      <c r="C151" s="13" t="s">
        <v>2198</v>
      </c>
      <c r="D151" s="13" t="s">
        <v>2204</v>
      </c>
      <c r="E151" s="13" t="s">
        <v>2209</v>
      </c>
      <c r="F151" s="13" t="s">
        <v>2219</v>
      </c>
      <c r="G151" s="13">
        <v>94.29</v>
      </c>
      <c r="H151" s="13">
        <v>0</v>
      </c>
      <c r="I151" s="13">
        <v>94.29</v>
      </c>
      <c r="J151" s="24">
        <v>45550</v>
      </c>
      <c r="K151" s="13">
        <v>18</v>
      </c>
      <c r="L151" s="44">
        <v>1.7</v>
      </c>
      <c r="M151" s="13" t="b">
        <v>0</v>
      </c>
      <c r="O151" s="25">
        <f t="shared" si="8"/>
        <v>352</v>
      </c>
      <c r="P151" s="13">
        <f t="shared" si="9"/>
        <v>0</v>
      </c>
      <c r="Q151" s="13" t="str">
        <f t="shared" si="10"/>
        <v/>
      </c>
      <c r="R151" s="13" t="str">
        <f t="shared" si="11"/>
        <v>Non diskon</v>
      </c>
    </row>
    <row r="152" spans="1:18" x14ac:dyDescent="0.25">
      <c r="A152" s="13" t="s">
        <v>164</v>
      </c>
      <c r="B152" s="13" t="s">
        <v>2191</v>
      </c>
      <c r="C152" s="13" t="s">
        <v>2201</v>
      </c>
      <c r="D152" s="13" t="s">
        <v>2205</v>
      </c>
      <c r="E152" s="13" t="s">
        <v>2208</v>
      </c>
      <c r="F152" s="13" t="s">
        <v>2218</v>
      </c>
      <c r="G152" s="13">
        <v>94.97</v>
      </c>
      <c r="H152" s="13">
        <v>0</v>
      </c>
      <c r="I152" s="13">
        <v>94.97</v>
      </c>
      <c r="J152" s="24">
        <v>45875</v>
      </c>
      <c r="K152" s="13">
        <v>46</v>
      </c>
      <c r="L152" s="44">
        <v>4.3</v>
      </c>
      <c r="M152" s="13" t="b">
        <v>0</v>
      </c>
      <c r="O152" s="25">
        <f t="shared" si="8"/>
        <v>27</v>
      </c>
      <c r="P152" s="13">
        <f t="shared" si="9"/>
        <v>0</v>
      </c>
      <c r="Q152" s="13" t="str">
        <f t="shared" si="10"/>
        <v/>
      </c>
      <c r="R152" s="13" t="str">
        <f t="shared" si="11"/>
        <v>Non diskon</v>
      </c>
    </row>
    <row r="153" spans="1:18" x14ac:dyDescent="0.25">
      <c r="A153" s="13" t="s">
        <v>165</v>
      </c>
      <c r="B153" s="13" t="s">
        <v>2193</v>
      </c>
      <c r="C153" s="13" t="s">
        <v>2198</v>
      </c>
      <c r="D153" s="13" t="s">
        <v>2205</v>
      </c>
      <c r="E153" s="13" t="s">
        <v>2213</v>
      </c>
      <c r="F153" s="13" t="s">
        <v>2222</v>
      </c>
      <c r="G153" s="13">
        <v>65.87</v>
      </c>
      <c r="H153" s="13">
        <v>11.4</v>
      </c>
      <c r="I153" s="13">
        <v>58.36</v>
      </c>
      <c r="J153" s="24">
        <v>45875</v>
      </c>
      <c r="K153" s="13">
        <v>15</v>
      </c>
      <c r="L153" s="44">
        <v>3.9</v>
      </c>
      <c r="M153" s="13" t="b">
        <v>0</v>
      </c>
      <c r="O153" s="25">
        <f t="shared" si="8"/>
        <v>27</v>
      </c>
      <c r="P153" s="13">
        <f t="shared" si="9"/>
        <v>171</v>
      </c>
      <c r="Q153" s="13" t="str">
        <f t="shared" si="10"/>
        <v/>
      </c>
      <c r="R153" s="13" t="str">
        <f t="shared" si="11"/>
        <v>Diskon</v>
      </c>
    </row>
    <row r="154" spans="1:18" x14ac:dyDescent="0.25">
      <c r="A154" s="13" t="s">
        <v>166</v>
      </c>
      <c r="B154" s="13" t="s">
        <v>2195</v>
      </c>
      <c r="C154" s="13" t="s">
        <v>2196</v>
      </c>
      <c r="D154" s="13" t="s">
        <v>2205</v>
      </c>
      <c r="E154" s="13" t="s">
        <v>2211</v>
      </c>
      <c r="F154" s="13" t="s">
        <v>2219</v>
      </c>
      <c r="G154" s="13">
        <v>155.06</v>
      </c>
      <c r="H154" s="13">
        <v>29.4</v>
      </c>
      <c r="I154" s="13">
        <v>109.47</v>
      </c>
      <c r="J154" s="24">
        <v>45875</v>
      </c>
      <c r="K154" s="13">
        <v>5</v>
      </c>
      <c r="L154" s="44">
        <v>3.6</v>
      </c>
      <c r="M154" s="13" t="b">
        <v>0</v>
      </c>
      <c r="O154" s="25">
        <f t="shared" si="8"/>
        <v>27</v>
      </c>
      <c r="P154" s="13">
        <f t="shared" si="9"/>
        <v>147</v>
      </c>
      <c r="Q154" s="13" t="str">
        <f t="shared" si="10"/>
        <v/>
      </c>
      <c r="R154" s="13" t="str">
        <f t="shared" si="11"/>
        <v>Diskon</v>
      </c>
    </row>
    <row r="155" spans="1:18" x14ac:dyDescent="0.25">
      <c r="A155" s="13" t="s">
        <v>167</v>
      </c>
      <c r="B155" s="13" t="s">
        <v>2190</v>
      </c>
      <c r="C155" s="13" t="s">
        <v>2196</v>
      </c>
      <c r="D155" s="13" t="s">
        <v>2205</v>
      </c>
      <c r="E155" s="13" t="s">
        <v>2209</v>
      </c>
      <c r="F155" s="13" t="s">
        <v>2224</v>
      </c>
      <c r="G155" s="13">
        <v>172.59</v>
      </c>
      <c r="H155" s="13">
        <v>0</v>
      </c>
      <c r="I155" s="13">
        <v>172.59</v>
      </c>
      <c r="J155" s="24">
        <v>45875</v>
      </c>
      <c r="K155" s="13">
        <v>1</v>
      </c>
      <c r="L155" s="44">
        <v>2.1</v>
      </c>
      <c r="M155" s="13" t="b">
        <v>0</v>
      </c>
      <c r="O155" s="25">
        <f t="shared" si="8"/>
        <v>27</v>
      </c>
      <c r="P155" s="13">
        <f t="shared" si="9"/>
        <v>0</v>
      </c>
      <c r="Q155" s="13" t="str">
        <f t="shared" si="10"/>
        <v/>
      </c>
      <c r="R155" s="13" t="str">
        <f t="shared" si="11"/>
        <v>Non diskon</v>
      </c>
    </row>
    <row r="156" spans="1:18" x14ac:dyDescent="0.25">
      <c r="A156" s="13" t="s">
        <v>168</v>
      </c>
      <c r="B156" s="13" t="s">
        <v>2195</v>
      </c>
      <c r="C156" s="13" t="s">
        <v>2200</v>
      </c>
      <c r="D156" s="13" t="s">
        <v>2207</v>
      </c>
      <c r="E156" s="13" t="s">
        <v>2213</v>
      </c>
      <c r="F156" s="13" t="s">
        <v>2219</v>
      </c>
      <c r="G156" s="13">
        <v>68.72</v>
      </c>
      <c r="H156" s="13">
        <v>0</v>
      </c>
      <c r="I156" s="13">
        <v>68.72</v>
      </c>
      <c r="J156" s="24">
        <v>45875</v>
      </c>
      <c r="K156" s="13">
        <v>28</v>
      </c>
      <c r="L156" s="44">
        <v>1.7</v>
      </c>
      <c r="M156" s="13" t="b">
        <v>1</v>
      </c>
      <c r="N156" s="13" t="s">
        <v>2228</v>
      </c>
      <c r="O156" s="25">
        <f t="shared" si="8"/>
        <v>27</v>
      </c>
      <c r="P156" s="13">
        <f t="shared" si="9"/>
        <v>0</v>
      </c>
      <c r="Q156" s="13">
        <f t="shared" si="10"/>
        <v>1</v>
      </c>
      <c r="R156" s="13" t="str">
        <f t="shared" si="11"/>
        <v>Non diskon</v>
      </c>
    </row>
    <row r="157" spans="1:18" x14ac:dyDescent="0.25">
      <c r="A157" s="13" t="s">
        <v>169</v>
      </c>
      <c r="B157" s="13" t="s">
        <v>2191</v>
      </c>
      <c r="C157" s="13" t="s">
        <v>2198</v>
      </c>
      <c r="D157" s="13" t="s">
        <v>2204</v>
      </c>
      <c r="E157" s="13" t="s">
        <v>2208</v>
      </c>
      <c r="F157" s="13" t="s">
        <v>2219</v>
      </c>
      <c r="G157" s="13">
        <v>28.78</v>
      </c>
      <c r="H157" s="13">
        <v>0</v>
      </c>
      <c r="I157" s="13">
        <v>28.78</v>
      </c>
      <c r="J157" s="24">
        <v>45568</v>
      </c>
      <c r="K157" s="13">
        <v>21</v>
      </c>
      <c r="L157" s="44">
        <v>2.953125</v>
      </c>
      <c r="M157" s="13" t="b">
        <v>0</v>
      </c>
      <c r="O157" s="25">
        <f t="shared" si="8"/>
        <v>334</v>
      </c>
      <c r="P157" s="13">
        <f t="shared" si="9"/>
        <v>0</v>
      </c>
      <c r="Q157" s="13" t="str">
        <f t="shared" si="10"/>
        <v/>
      </c>
      <c r="R157" s="13" t="str">
        <f t="shared" si="11"/>
        <v>Non diskon</v>
      </c>
    </row>
    <row r="158" spans="1:18" x14ac:dyDescent="0.25">
      <c r="A158" s="13" t="s">
        <v>170</v>
      </c>
      <c r="B158" s="13" t="s">
        <v>2190</v>
      </c>
      <c r="C158" s="13" t="s">
        <v>2200</v>
      </c>
      <c r="D158" s="13" t="s">
        <v>2205</v>
      </c>
      <c r="E158" s="13" t="s">
        <v>2211</v>
      </c>
      <c r="F158" s="13" t="s">
        <v>2216</v>
      </c>
      <c r="G158" s="13">
        <v>110.32</v>
      </c>
      <c r="H158" s="13">
        <v>28.3</v>
      </c>
      <c r="I158" s="13">
        <v>79.099999999999994</v>
      </c>
      <c r="J158" s="24">
        <v>45875</v>
      </c>
      <c r="K158" s="13">
        <v>49</v>
      </c>
      <c r="L158" s="44">
        <v>3.3</v>
      </c>
      <c r="M158" s="13" t="b">
        <v>0</v>
      </c>
      <c r="O158" s="25">
        <f t="shared" si="8"/>
        <v>27</v>
      </c>
      <c r="P158" s="13">
        <f t="shared" si="9"/>
        <v>1386.7</v>
      </c>
      <c r="Q158" s="13" t="str">
        <f t="shared" si="10"/>
        <v/>
      </c>
      <c r="R158" s="13" t="str">
        <f t="shared" si="11"/>
        <v>Diskon</v>
      </c>
    </row>
    <row r="159" spans="1:18" x14ac:dyDescent="0.25">
      <c r="A159" s="13" t="s">
        <v>171</v>
      </c>
      <c r="B159" s="13" t="s">
        <v>2193</v>
      </c>
      <c r="C159" s="13" t="s">
        <v>2199</v>
      </c>
      <c r="D159" s="13" t="s">
        <v>2207</v>
      </c>
      <c r="E159" s="13" t="s">
        <v>2211</v>
      </c>
      <c r="F159" s="13" t="s">
        <v>2216</v>
      </c>
      <c r="G159" s="13">
        <v>194.24</v>
      </c>
      <c r="H159" s="13">
        <v>0</v>
      </c>
      <c r="I159" s="13">
        <v>194.24</v>
      </c>
      <c r="J159" s="24">
        <v>45875</v>
      </c>
      <c r="K159" s="13">
        <v>17</v>
      </c>
      <c r="L159" s="44">
        <v>1.2</v>
      </c>
      <c r="M159" s="13" t="b">
        <v>1</v>
      </c>
      <c r="N159" s="13" t="s">
        <v>2229</v>
      </c>
      <c r="O159" s="25">
        <f t="shared" si="8"/>
        <v>27</v>
      </c>
      <c r="P159" s="13">
        <f t="shared" si="9"/>
        <v>0</v>
      </c>
      <c r="Q159" s="13">
        <f t="shared" si="10"/>
        <v>1</v>
      </c>
      <c r="R159" s="13" t="str">
        <f t="shared" si="11"/>
        <v>Non diskon</v>
      </c>
    </row>
    <row r="160" spans="1:18" x14ac:dyDescent="0.25">
      <c r="A160" s="13" t="s">
        <v>172</v>
      </c>
      <c r="B160" s="13" t="s">
        <v>2193</v>
      </c>
      <c r="C160" s="13" t="s">
        <v>2202</v>
      </c>
      <c r="D160" s="13" t="s">
        <v>2206</v>
      </c>
      <c r="E160" s="13" t="s">
        <v>2212</v>
      </c>
      <c r="F160" s="13" t="s">
        <v>2221</v>
      </c>
      <c r="G160" s="13">
        <v>175.91</v>
      </c>
      <c r="H160" s="13">
        <v>0</v>
      </c>
      <c r="I160" s="13">
        <v>175.91</v>
      </c>
      <c r="J160" s="24">
        <v>45875</v>
      </c>
      <c r="K160" s="13">
        <v>4</v>
      </c>
      <c r="L160" s="44">
        <v>2.8</v>
      </c>
      <c r="M160" s="13" t="b">
        <v>0</v>
      </c>
      <c r="O160" s="25">
        <f t="shared" si="8"/>
        <v>27</v>
      </c>
      <c r="P160" s="13">
        <f t="shared" si="9"/>
        <v>0</v>
      </c>
      <c r="Q160" s="13" t="str">
        <f t="shared" si="10"/>
        <v/>
      </c>
      <c r="R160" s="13" t="str">
        <f t="shared" si="11"/>
        <v>Non diskon</v>
      </c>
    </row>
    <row r="161" spans="1:18" x14ac:dyDescent="0.25">
      <c r="A161" s="13" t="s">
        <v>173</v>
      </c>
      <c r="B161" s="13" t="s">
        <v>2194</v>
      </c>
      <c r="C161" s="13" t="s">
        <v>2199</v>
      </c>
      <c r="D161" s="13" t="s">
        <v>2205</v>
      </c>
      <c r="E161" s="13" t="s">
        <v>2211</v>
      </c>
      <c r="F161" s="13" t="s">
        <v>2218</v>
      </c>
      <c r="G161" s="13">
        <v>79.34</v>
      </c>
      <c r="H161" s="13">
        <v>0</v>
      </c>
      <c r="I161" s="13">
        <v>79.34</v>
      </c>
      <c r="J161" s="24">
        <v>45875</v>
      </c>
      <c r="K161" s="13">
        <v>30</v>
      </c>
      <c r="L161" s="44">
        <v>4.4000000000000004</v>
      </c>
      <c r="M161" s="13" t="b">
        <v>0</v>
      </c>
      <c r="O161" s="25">
        <f t="shared" si="8"/>
        <v>27</v>
      </c>
      <c r="P161" s="13">
        <f t="shared" si="9"/>
        <v>0</v>
      </c>
      <c r="Q161" s="13" t="str">
        <f t="shared" si="10"/>
        <v/>
      </c>
      <c r="R161" s="13" t="str">
        <f t="shared" si="11"/>
        <v>Non diskon</v>
      </c>
    </row>
    <row r="162" spans="1:18" x14ac:dyDescent="0.25">
      <c r="A162" s="13" t="s">
        <v>174</v>
      </c>
      <c r="B162" s="13" t="s">
        <v>2194</v>
      </c>
      <c r="C162" s="13" t="s">
        <v>2200</v>
      </c>
      <c r="D162" s="13" t="s">
        <v>2207</v>
      </c>
      <c r="E162" s="13" t="s">
        <v>2213</v>
      </c>
      <c r="F162" s="13" t="s">
        <v>2220</v>
      </c>
      <c r="G162" s="13">
        <v>111.88</v>
      </c>
      <c r="H162" s="13">
        <v>0</v>
      </c>
      <c r="I162" s="13">
        <v>111.88</v>
      </c>
      <c r="J162" s="24">
        <v>45875</v>
      </c>
      <c r="K162" s="13">
        <v>41</v>
      </c>
      <c r="L162" s="44">
        <v>4.5</v>
      </c>
      <c r="M162" s="13" t="b">
        <v>0</v>
      </c>
      <c r="O162" s="25">
        <f t="shared" si="8"/>
        <v>27</v>
      </c>
      <c r="P162" s="13">
        <f t="shared" si="9"/>
        <v>0</v>
      </c>
      <c r="Q162" s="13" t="str">
        <f t="shared" si="10"/>
        <v/>
      </c>
      <c r="R162" s="13" t="str">
        <f t="shared" si="11"/>
        <v>Non diskon</v>
      </c>
    </row>
    <row r="163" spans="1:18" x14ac:dyDescent="0.25">
      <c r="A163" s="13" t="s">
        <v>175</v>
      </c>
      <c r="B163" s="13" t="s">
        <v>2192</v>
      </c>
      <c r="C163" s="13" t="s">
        <v>2202</v>
      </c>
      <c r="D163" s="13" t="s">
        <v>2204</v>
      </c>
      <c r="F163" s="13" t="s">
        <v>2222</v>
      </c>
      <c r="G163" s="13">
        <v>42.84</v>
      </c>
      <c r="H163" s="13">
        <v>40.6</v>
      </c>
      <c r="I163" s="13">
        <v>25.45</v>
      </c>
      <c r="J163" s="24">
        <v>45547</v>
      </c>
      <c r="K163" s="13">
        <v>18</v>
      </c>
      <c r="L163" s="44">
        <v>2.6</v>
      </c>
      <c r="M163" s="13" t="b">
        <v>0</v>
      </c>
      <c r="O163" s="25">
        <f t="shared" si="8"/>
        <v>355</v>
      </c>
      <c r="P163" s="13">
        <f t="shared" si="9"/>
        <v>730.80000000000007</v>
      </c>
      <c r="Q163" s="13" t="str">
        <f t="shared" si="10"/>
        <v/>
      </c>
      <c r="R163" s="13" t="str">
        <f t="shared" si="11"/>
        <v>Diskon</v>
      </c>
    </row>
    <row r="164" spans="1:18" x14ac:dyDescent="0.25">
      <c r="A164" s="13" t="s">
        <v>176</v>
      </c>
      <c r="B164" s="13" t="s">
        <v>2194</v>
      </c>
      <c r="C164" s="13" t="s">
        <v>2202</v>
      </c>
      <c r="D164" s="13" t="s">
        <v>2204</v>
      </c>
      <c r="E164" s="13" t="s">
        <v>2211</v>
      </c>
      <c r="F164" s="13" t="s">
        <v>2222</v>
      </c>
      <c r="G164" s="13">
        <v>26.28</v>
      </c>
      <c r="H164" s="13">
        <v>1.1000000000000001</v>
      </c>
      <c r="I164" s="13">
        <v>25.99</v>
      </c>
      <c r="J164" s="24">
        <v>45828</v>
      </c>
      <c r="K164" s="13">
        <v>35</v>
      </c>
      <c r="L164" s="44">
        <v>5</v>
      </c>
      <c r="M164" s="13" t="b">
        <v>0</v>
      </c>
      <c r="O164" s="25">
        <f t="shared" si="8"/>
        <v>74</v>
      </c>
      <c r="P164" s="13">
        <f t="shared" si="9"/>
        <v>38.5</v>
      </c>
      <c r="Q164" s="13" t="str">
        <f t="shared" si="10"/>
        <v/>
      </c>
      <c r="R164" s="13" t="str">
        <f t="shared" si="11"/>
        <v>Diskon</v>
      </c>
    </row>
    <row r="165" spans="1:18" x14ac:dyDescent="0.25">
      <c r="A165" s="13" t="s">
        <v>177</v>
      </c>
      <c r="B165" s="13" t="s">
        <v>2192</v>
      </c>
      <c r="C165" s="13" t="s">
        <v>2200</v>
      </c>
      <c r="D165" s="13" t="s">
        <v>2204</v>
      </c>
      <c r="F165" s="13" t="s">
        <v>2220</v>
      </c>
      <c r="G165" s="13">
        <v>23.11</v>
      </c>
      <c r="H165" s="13">
        <v>0</v>
      </c>
      <c r="I165" s="13">
        <v>23.11</v>
      </c>
      <c r="J165" s="24">
        <v>45552</v>
      </c>
      <c r="K165" s="13">
        <v>2</v>
      </c>
      <c r="L165" s="44">
        <v>1.4</v>
      </c>
      <c r="M165" s="13" t="b">
        <v>0</v>
      </c>
      <c r="O165" s="25">
        <f t="shared" si="8"/>
        <v>350</v>
      </c>
      <c r="P165" s="13">
        <f t="shared" si="9"/>
        <v>0</v>
      </c>
      <c r="Q165" s="13" t="str">
        <f t="shared" si="10"/>
        <v/>
      </c>
      <c r="R165" s="13" t="str">
        <f t="shared" si="11"/>
        <v>Non diskon</v>
      </c>
    </row>
    <row r="166" spans="1:18" x14ac:dyDescent="0.25">
      <c r="A166" s="13" t="s">
        <v>178</v>
      </c>
      <c r="B166" s="13" t="s">
        <v>2193</v>
      </c>
      <c r="C166" s="13" t="s">
        <v>2196</v>
      </c>
      <c r="D166" s="13" t="s">
        <v>2205</v>
      </c>
      <c r="E166" s="13" t="s">
        <v>2213</v>
      </c>
      <c r="F166" s="13" t="s">
        <v>2217</v>
      </c>
      <c r="G166" s="13">
        <v>168.36</v>
      </c>
      <c r="H166" s="13">
        <v>0</v>
      </c>
      <c r="I166" s="13">
        <v>168.36</v>
      </c>
      <c r="J166" s="24">
        <v>45875</v>
      </c>
      <c r="K166" s="13">
        <v>47</v>
      </c>
      <c r="L166" s="44">
        <v>2.9153846153846157</v>
      </c>
      <c r="M166" s="13" t="b">
        <v>1</v>
      </c>
      <c r="N166" s="13" t="s">
        <v>2227</v>
      </c>
      <c r="O166" s="25">
        <f t="shared" si="8"/>
        <v>27</v>
      </c>
      <c r="P166" s="13">
        <f t="shared" si="9"/>
        <v>0</v>
      </c>
      <c r="Q166" s="13">
        <f t="shared" si="10"/>
        <v>1</v>
      </c>
      <c r="R166" s="13" t="str">
        <f t="shared" si="11"/>
        <v>Non diskon</v>
      </c>
    </row>
    <row r="167" spans="1:18" x14ac:dyDescent="0.25">
      <c r="A167" s="13" t="s">
        <v>179</v>
      </c>
      <c r="B167" s="13" t="s">
        <v>2193</v>
      </c>
      <c r="C167" s="13" t="s">
        <v>2202</v>
      </c>
      <c r="D167" s="13" t="s">
        <v>2206</v>
      </c>
      <c r="E167" s="13" t="s">
        <v>2208</v>
      </c>
      <c r="F167" s="13" t="s">
        <v>2220</v>
      </c>
      <c r="G167" s="13">
        <v>99.26</v>
      </c>
      <c r="H167" s="13">
        <v>0</v>
      </c>
      <c r="I167" s="13">
        <v>99.26</v>
      </c>
      <c r="J167" s="24">
        <v>45875</v>
      </c>
      <c r="K167" s="13">
        <v>33</v>
      </c>
      <c r="L167" s="44">
        <v>2.9083333333333328</v>
      </c>
      <c r="M167" s="13" t="b">
        <v>1</v>
      </c>
      <c r="N167" s="13" t="s">
        <v>2228</v>
      </c>
      <c r="O167" s="25">
        <f t="shared" si="8"/>
        <v>27</v>
      </c>
      <c r="P167" s="13">
        <f t="shared" si="9"/>
        <v>0</v>
      </c>
      <c r="Q167" s="13">
        <f t="shared" si="10"/>
        <v>1</v>
      </c>
      <c r="R167" s="13" t="str">
        <f t="shared" si="11"/>
        <v>Non diskon</v>
      </c>
    </row>
    <row r="168" spans="1:18" x14ac:dyDescent="0.25">
      <c r="A168" s="13" t="s">
        <v>180</v>
      </c>
      <c r="B168" s="13" t="s">
        <v>2192</v>
      </c>
      <c r="C168" s="13" t="s">
        <v>2199</v>
      </c>
      <c r="D168" s="13" t="s">
        <v>2204</v>
      </c>
      <c r="F168" s="13" t="s">
        <v>2216</v>
      </c>
      <c r="G168" s="13">
        <v>53.66</v>
      </c>
      <c r="H168" s="13">
        <v>0</v>
      </c>
      <c r="I168" s="13">
        <v>53.66</v>
      </c>
      <c r="J168" s="24">
        <v>45645</v>
      </c>
      <c r="K168" s="13">
        <v>40</v>
      </c>
      <c r="L168" s="44">
        <v>2.8</v>
      </c>
      <c r="M168" s="13" t="b">
        <v>0</v>
      </c>
      <c r="O168" s="25">
        <f t="shared" si="8"/>
        <v>257</v>
      </c>
      <c r="P168" s="13">
        <f t="shared" si="9"/>
        <v>0</v>
      </c>
      <c r="Q168" s="13" t="str">
        <f t="shared" si="10"/>
        <v/>
      </c>
      <c r="R168" s="13" t="str">
        <f t="shared" si="11"/>
        <v>Non diskon</v>
      </c>
    </row>
    <row r="169" spans="1:18" x14ac:dyDescent="0.25">
      <c r="A169" s="13" t="s">
        <v>181</v>
      </c>
      <c r="B169" s="13" t="s">
        <v>2192</v>
      </c>
      <c r="C169" s="13" t="s">
        <v>2201</v>
      </c>
      <c r="D169" s="13" t="s">
        <v>2207</v>
      </c>
      <c r="F169" s="13" t="s">
        <v>2218</v>
      </c>
      <c r="G169" s="13">
        <v>69.709999999999994</v>
      </c>
      <c r="H169" s="13">
        <v>18</v>
      </c>
      <c r="I169" s="13">
        <v>57.16</v>
      </c>
      <c r="J169" s="24">
        <v>45875</v>
      </c>
      <c r="K169" s="13">
        <v>34</v>
      </c>
      <c r="L169" s="44">
        <v>4.2</v>
      </c>
      <c r="M169" s="13" t="b">
        <v>1</v>
      </c>
      <c r="N169" s="13" t="s">
        <v>2225</v>
      </c>
      <c r="O169" s="25">
        <f t="shared" si="8"/>
        <v>27</v>
      </c>
      <c r="P169" s="13">
        <f t="shared" si="9"/>
        <v>612</v>
      </c>
      <c r="Q169" s="13">
        <f t="shared" si="10"/>
        <v>1</v>
      </c>
      <c r="R169" s="13" t="str">
        <f t="shared" si="11"/>
        <v>Diskon</v>
      </c>
    </row>
    <row r="170" spans="1:18" x14ac:dyDescent="0.25">
      <c r="A170" s="13" t="s">
        <v>182</v>
      </c>
      <c r="B170" s="13" t="s">
        <v>2195</v>
      </c>
      <c r="C170" s="13" t="s">
        <v>2203</v>
      </c>
      <c r="D170" s="13" t="s">
        <v>2206</v>
      </c>
      <c r="E170" s="13" t="s">
        <v>2211</v>
      </c>
      <c r="F170" s="13" t="s">
        <v>2218</v>
      </c>
      <c r="G170" s="13">
        <v>60.3</v>
      </c>
      <c r="H170" s="13">
        <v>21.4</v>
      </c>
      <c r="I170" s="13">
        <v>47.4</v>
      </c>
      <c r="J170" s="24">
        <v>45875</v>
      </c>
      <c r="K170" s="13">
        <v>4</v>
      </c>
      <c r="L170" s="44">
        <v>3.6</v>
      </c>
      <c r="M170" s="13" t="b">
        <v>0</v>
      </c>
      <c r="O170" s="25">
        <f t="shared" si="8"/>
        <v>27</v>
      </c>
      <c r="P170" s="13">
        <f t="shared" si="9"/>
        <v>85.6</v>
      </c>
      <c r="Q170" s="13" t="str">
        <f t="shared" si="10"/>
        <v/>
      </c>
      <c r="R170" s="13" t="str">
        <f t="shared" si="11"/>
        <v>Diskon</v>
      </c>
    </row>
    <row r="171" spans="1:18" x14ac:dyDescent="0.25">
      <c r="A171" s="13" t="s">
        <v>183</v>
      </c>
      <c r="B171" s="13" t="s">
        <v>2193</v>
      </c>
      <c r="C171" s="13" t="s">
        <v>2198</v>
      </c>
      <c r="D171" s="13" t="s">
        <v>2205</v>
      </c>
      <c r="E171" s="13" t="s">
        <v>2211</v>
      </c>
      <c r="F171" s="13" t="s">
        <v>2214</v>
      </c>
      <c r="G171" s="13">
        <v>113.58</v>
      </c>
      <c r="H171" s="13">
        <v>0</v>
      </c>
      <c r="I171" s="13">
        <v>113.58</v>
      </c>
      <c r="J171" s="24">
        <v>45875</v>
      </c>
      <c r="K171" s="13">
        <v>33</v>
      </c>
      <c r="L171" s="44">
        <v>4.9000000000000004</v>
      </c>
      <c r="M171" s="13" t="b">
        <v>1</v>
      </c>
      <c r="N171" s="13" t="s">
        <v>2230</v>
      </c>
      <c r="O171" s="25">
        <f t="shared" si="8"/>
        <v>27</v>
      </c>
      <c r="P171" s="13">
        <f t="shared" si="9"/>
        <v>0</v>
      </c>
      <c r="Q171" s="13">
        <f t="shared" si="10"/>
        <v>1</v>
      </c>
      <c r="R171" s="13" t="str">
        <f t="shared" si="11"/>
        <v>Non diskon</v>
      </c>
    </row>
    <row r="172" spans="1:18" x14ac:dyDescent="0.25">
      <c r="A172" s="13" t="s">
        <v>184</v>
      </c>
      <c r="B172" s="13" t="s">
        <v>2194</v>
      </c>
      <c r="C172" s="13" t="s">
        <v>2201</v>
      </c>
      <c r="D172" s="13" t="s">
        <v>2206</v>
      </c>
      <c r="E172" s="13" t="s">
        <v>2212</v>
      </c>
      <c r="F172" s="13" t="s">
        <v>2224</v>
      </c>
      <c r="G172" s="13">
        <v>54.86</v>
      </c>
      <c r="H172" s="13">
        <v>1.7</v>
      </c>
      <c r="I172" s="13">
        <v>53.93</v>
      </c>
      <c r="J172" s="24">
        <v>45875</v>
      </c>
      <c r="K172" s="13">
        <v>40</v>
      </c>
      <c r="L172" s="44">
        <v>2.5</v>
      </c>
      <c r="M172" s="13" t="b">
        <v>0</v>
      </c>
      <c r="O172" s="25">
        <f t="shared" si="8"/>
        <v>27</v>
      </c>
      <c r="P172" s="13">
        <f t="shared" si="9"/>
        <v>68</v>
      </c>
      <c r="Q172" s="13" t="str">
        <f t="shared" si="10"/>
        <v/>
      </c>
      <c r="R172" s="13" t="str">
        <f t="shared" si="11"/>
        <v>Diskon</v>
      </c>
    </row>
    <row r="173" spans="1:18" x14ac:dyDescent="0.25">
      <c r="A173" s="13" t="s">
        <v>185</v>
      </c>
      <c r="B173" s="13" t="s">
        <v>2191</v>
      </c>
      <c r="C173" s="13" t="s">
        <v>2196</v>
      </c>
      <c r="D173" s="13" t="s">
        <v>2205</v>
      </c>
      <c r="E173" s="13" t="s">
        <v>2212</v>
      </c>
      <c r="F173" s="13" t="s">
        <v>2214</v>
      </c>
      <c r="G173" s="13">
        <v>92.25</v>
      </c>
      <c r="H173" s="13">
        <v>0</v>
      </c>
      <c r="I173" s="13">
        <v>92.25</v>
      </c>
      <c r="J173" s="24">
        <v>45875</v>
      </c>
      <c r="K173" s="13">
        <v>13</v>
      </c>
      <c r="L173" s="44">
        <v>2.8</v>
      </c>
      <c r="M173" s="13" t="b">
        <v>1</v>
      </c>
      <c r="N173" s="13" t="s">
        <v>2227</v>
      </c>
      <c r="O173" s="25">
        <f t="shared" si="8"/>
        <v>27</v>
      </c>
      <c r="P173" s="13">
        <f t="shared" si="9"/>
        <v>0</v>
      </c>
      <c r="Q173" s="13">
        <f t="shared" si="10"/>
        <v>1</v>
      </c>
      <c r="R173" s="13" t="str">
        <f t="shared" si="11"/>
        <v>Non diskon</v>
      </c>
    </row>
    <row r="174" spans="1:18" x14ac:dyDescent="0.25">
      <c r="A174" s="13" t="s">
        <v>186</v>
      </c>
      <c r="B174" s="13" t="s">
        <v>2192</v>
      </c>
      <c r="C174" s="13" t="s">
        <v>2201</v>
      </c>
      <c r="D174" s="13" t="s">
        <v>2205</v>
      </c>
      <c r="F174" s="13" t="s">
        <v>2217</v>
      </c>
      <c r="G174" s="13">
        <v>54.07</v>
      </c>
      <c r="H174" s="13">
        <v>0</v>
      </c>
      <c r="I174" s="13">
        <v>54.07</v>
      </c>
      <c r="J174" s="24">
        <v>45875</v>
      </c>
      <c r="K174" s="13">
        <v>47</v>
      </c>
      <c r="L174" s="44">
        <v>4.5999999999999996</v>
      </c>
      <c r="M174" s="13" t="b">
        <v>0</v>
      </c>
      <c r="O174" s="25">
        <f t="shared" si="8"/>
        <v>27</v>
      </c>
      <c r="P174" s="13">
        <f t="shared" si="9"/>
        <v>0</v>
      </c>
      <c r="Q174" s="13" t="str">
        <f t="shared" si="10"/>
        <v/>
      </c>
      <c r="R174" s="13" t="str">
        <f t="shared" si="11"/>
        <v>Non diskon</v>
      </c>
    </row>
    <row r="175" spans="1:18" x14ac:dyDescent="0.25">
      <c r="A175" s="13" t="s">
        <v>187</v>
      </c>
      <c r="B175" s="13" t="s">
        <v>2193</v>
      </c>
      <c r="C175" s="13" t="s">
        <v>2198</v>
      </c>
      <c r="D175" s="13" t="s">
        <v>2205</v>
      </c>
      <c r="E175" s="13" t="s">
        <v>2208</v>
      </c>
      <c r="F175" s="13" t="s">
        <v>2214</v>
      </c>
      <c r="G175" s="13">
        <v>104.4</v>
      </c>
      <c r="H175" s="13">
        <v>0</v>
      </c>
      <c r="I175" s="13">
        <v>104.4</v>
      </c>
      <c r="J175" s="24">
        <v>45875</v>
      </c>
      <c r="K175" s="13">
        <v>41</v>
      </c>
      <c r="L175" s="44">
        <v>3.4</v>
      </c>
      <c r="M175" s="13" t="b">
        <v>0</v>
      </c>
      <c r="O175" s="25">
        <f t="shared" si="8"/>
        <v>27</v>
      </c>
      <c r="P175" s="13">
        <f t="shared" si="9"/>
        <v>0</v>
      </c>
      <c r="Q175" s="13" t="str">
        <f t="shared" si="10"/>
        <v/>
      </c>
      <c r="R175" s="13" t="str">
        <f t="shared" si="11"/>
        <v>Non diskon</v>
      </c>
    </row>
    <row r="176" spans="1:18" x14ac:dyDescent="0.25">
      <c r="A176" s="13" t="s">
        <v>188</v>
      </c>
      <c r="B176" s="13" t="s">
        <v>2195</v>
      </c>
      <c r="C176" s="13" t="s">
        <v>2201</v>
      </c>
      <c r="D176" s="13" t="s">
        <v>2204</v>
      </c>
      <c r="E176" s="13" t="s">
        <v>2213</v>
      </c>
      <c r="F176" s="13" t="s">
        <v>2218</v>
      </c>
      <c r="G176" s="13">
        <v>45.97</v>
      </c>
      <c r="H176" s="13">
        <v>0</v>
      </c>
      <c r="I176" s="13">
        <v>45.97</v>
      </c>
      <c r="J176" s="24">
        <v>45532</v>
      </c>
      <c r="K176" s="13">
        <v>37</v>
      </c>
      <c r="L176" s="44">
        <v>3.2</v>
      </c>
      <c r="M176" s="13" t="b">
        <v>1</v>
      </c>
      <c r="N176" s="13" t="s">
        <v>2228</v>
      </c>
      <c r="O176" s="25">
        <f t="shared" si="8"/>
        <v>370</v>
      </c>
      <c r="P176" s="13">
        <f t="shared" si="9"/>
        <v>0</v>
      </c>
      <c r="Q176" s="13">
        <f t="shared" si="10"/>
        <v>1</v>
      </c>
      <c r="R176" s="13" t="str">
        <f t="shared" si="11"/>
        <v>Non diskon</v>
      </c>
    </row>
    <row r="177" spans="1:18" x14ac:dyDescent="0.25">
      <c r="A177" s="13" t="s">
        <v>189</v>
      </c>
      <c r="B177" s="13" t="s">
        <v>2191</v>
      </c>
      <c r="C177" s="13" t="s">
        <v>2201</v>
      </c>
      <c r="D177" s="13" t="s">
        <v>2207</v>
      </c>
      <c r="E177" s="13" t="s">
        <v>2211</v>
      </c>
      <c r="F177" s="13" t="s">
        <v>2216</v>
      </c>
      <c r="G177" s="13">
        <v>28.79</v>
      </c>
      <c r="H177" s="13">
        <v>0</v>
      </c>
      <c r="I177" s="13">
        <v>28.79</v>
      </c>
      <c r="J177" s="24">
        <v>45875</v>
      </c>
      <c r="K177" s="13">
        <v>4</v>
      </c>
      <c r="L177" s="44">
        <v>4.4000000000000004</v>
      </c>
      <c r="M177" s="13" t="b">
        <v>0</v>
      </c>
      <c r="O177" s="25">
        <f t="shared" si="8"/>
        <v>27</v>
      </c>
      <c r="P177" s="13">
        <f t="shared" si="9"/>
        <v>0</v>
      </c>
      <c r="Q177" s="13" t="str">
        <f t="shared" si="10"/>
        <v/>
      </c>
      <c r="R177" s="13" t="str">
        <f t="shared" si="11"/>
        <v>Non diskon</v>
      </c>
    </row>
    <row r="178" spans="1:18" x14ac:dyDescent="0.25">
      <c r="A178" s="13" t="s">
        <v>190</v>
      </c>
      <c r="B178" s="13" t="s">
        <v>2190</v>
      </c>
      <c r="C178" s="13" t="s">
        <v>2197</v>
      </c>
      <c r="D178" s="13" t="s">
        <v>2205</v>
      </c>
      <c r="E178" s="13" t="s">
        <v>2213</v>
      </c>
      <c r="F178" s="13" t="s">
        <v>2218</v>
      </c>
      <c r="G178" s="13">
        <v>204.21</v>
      </c>
      <c r="H178" s="13">
        <v>0</v>
      </c>
      <c r="I178" s="13">
        <v>204.21</v>
      </c>
      <c r="J178" s="24">
        <v>45875</v>
      </c>
      <c r="K178" s="13">
        <v>5</v>
      </c>
      <c r="L178" s="44">
        <v>3.3</v>
      </c>
      <c r="M178" s="13" t="b">
        <v>0</v>
      </c>
      <c r="O178" s="25">
        <f t="shared" si="8"/>
        <v>27</v>
      </c>
      <c r="P178" s="13">
        <f t="shared" si="9"/>
        <v>0</v>
      </c>
      <c r="Q178" s="13" t="str">
        <f t="shared" si="10"/>
        <v/>
      </c>
      <c r="R178" s="13" t="str">
        <f t="shared" si="11"/>
        <v>Non diskon</v>
      </c>
    </row>
    <row r="179" spans="1:18" x14ac:dyDescent="0.25">
      <c r="A179" s="13" t="s">
        <v>191</v>
      </c>
      <c r="B179" s="13" t="s">
        <v>2193</v>
      </c>
      <c r="C179" s="13" t="s">
        <v>2199</v>
      </c>
      <c r="D179" s="13" t="s">
        <v>2206</v>
      </c>
      <c r="E179" s="13" t="s">
        <v>2211</v>
      </c>
      <c r="F179" s="13" t="s">
        <v>2215</v>
      </c>
      <c r="G179" s="13">
        <v>190.75</v>
      </c>
      <c r="H179" s="13">
        <v>20</v>
      </c>
      <c r="I179" s="13">
        <v>152.6</v>
      </c>
      <c r="J179" s="24">
        <v>45875</v>
      </c>
      <c r="K179" s="13">
        <v>47</v>
      </c>
      <c r="L179" s="44">
        <v>2.9804347826086954</v>
      </c>
      <c r="M179" s="13" t="b">
        <v>0</v>
      </c>
      <c r="O179" s="25">
        <f t="shared" si="8"/>
        <v>27</v>
      </c>
      <c r="P179" s="13">
        <f t="shared" si="9"/>
        <v>940</v>
      </c>
      <c r="Q179" s="13" t="str">
        <f t="shared" si="10"/>
        <v/>
      </c>
      <c r="R179" s="13" t="str">
        <f t="shared" si="11"/>
        <v>Diskon</v>
      </c>
    </row>
    <row r="180" spans="1:18" x14ac:dyDescent="0.25">
      <c r="A180" s="13" t="s">
        <v>192</v>
      </c>
      <c r="B180" s="13" t="s">
        <v>2191</v>
      </c>
      <c r="C180" s="13" t="s">
        <v>2203</v>
      </c>
      <c r="D180" s="13" t="s">
        <v>2205</v>
      </c>
      <c r="E180" s="13" t="s">
        <v>2212</v>
      </c>
      <c r="F180" s="13" t="s">
        <v>2224</v>
      </c>
      <c r="G180" s="13">
        <v>33.01</v>
      </c>
      <c r="H180" s="13">
        <v>39.200000000000003</v>
      </c>
      <c r="I180" s="13">
        <v>20.07</v>
      </c>
      <c r="J180" s="24">
        <v>45875</v>
      </c>
      <c r="K180" s="13">
        <v>16</v>
      </c>
      <c r="L180" s="44">
        <v>3.7</v>
      </c>
      <c r="M180" s="13" t="b">
        <v>0</v>
      </c>
      <c r="O180" s="25">
        <f t="shared" si="8"/>
        <v>27</v>
      </c>
      <c r="P180" s="13">
        <f t="shared" si="9"/>
        <v>627.20000000000005</v>
      </c>
      <c r="Q180" s="13" t="str">
        <f t="shared" si="10"/>
        <v/>
      </c>
      <c r="R180" s="13" t="str">
        <f t="shared" si="11"/>
        <v>Diskon</v>
      </c>
    </row>
    <row r="181" spans="1:18" x14ac:dyDescent="0.25">
      <c r="A181" s="13" t="s">
        <v>193</v>
      </c>
      <c r="B181" s="13" t="s">
        <v>2192</v>
      </c>
      <c r="C181" s="13" t="s">
        <v>2198</v>
      </c>
      <c r="D181" s="13" t="s">
        <v>2204</v>
      </c>
      <c r="F181" s="13" t="s">
        <v>2219</v>
      </c>
      <c r="G181" s="13">
        <v>47.61</v>
      </c>
      <c r="H181" s="13">
        <v>39.799999999999997</v>
      </c>
      <c r="I181" s="13">
        <v>28.66</v>
      </c>
      <c r="J181" s="24">
        <v>45629</v>
      </c>
      <c r="K181" s="13">
        <v>18</v>
      </c>
      <c r="L181" s="44">
        <v>1.3</v>
      </c>
      <c r="M181" s="13" t="b">
        <v>0</v>
      </c>
      <c r="O181" s="25">
        <f t="shared" si="8"/>
        <v>273</v>
      </c>
      <c r="P181" s="13">
        <f t="shared" si="9"/>
        <v>716.4</v>
      </c>
      <c r="Q181" s="13" t="str">
        <f t="shared" si="10"/>
        <v/>
      </c>
      <c r="R181" s="13" t="str">
        <f t="shared" si="11"/>
        <v>Diskon</v>
      </c>
    </row>
    <row r="182" spans="1:18" x14ac:dyDescent="0.25">
      <c r="A182" s="13" t="s">
        <v>194</v>
      </c>
      <c r="B182" s="13" t="s">
        <v>2190</v>
      </c>
      <c r="C182" s="13" t="s">
        <v>2200</v>
      </c>
      <c r="D182" s="13" t="s">
        <v>2204</v>
      </c>
      <c r="E182" s="13" t="s">
        <v>2212</v>
      </c>
      <c r="F182" s="13" t="s">
        <v>2214</v>
      </c>
      <c r="G182" s="13">
        <v>137.16</v>
      </c>
      <c r="H182" s="13">
        <v>0</v>
      </c>
      <c r="I182" s="13">
        <v>137.16</v>
      </c>
      <c r="J182" s="24">
        <v>45561</v>
      </c>
      <c r="K182" s="13">
        <v>34</v>
      </c>
      <c r="L182" s="44">
        <v>3.2</v>
      </c>
      <c r="M182" s="13" t="b">
        <v>0</v>
      </c>
      <c r="O182" s="25">
        <f t="shared" si="8"/>
        <v>341</v>
      </c>
      <c r="P182" s="13">
        <f t="shared" si="9"/>
        <v>0</v>
      </c>
      <c r="Q182" s="13" t="str">
        <f t="shared" si="10"/>
        <v/>
      </c>
      <c r="R182" s="13" t="str">
        <f t="shared" si="11"/>
        <v>Non diskon</v>
      </c>
    </row>
    <row r="183" spans="1:18" x14ac:dyDescent="0.25">
      <c r="A183" s="13" t="s">
        <v>195</v>
      </c>
      <c r="B183" s="13" t="s">
        <v>2191</v>
      </c>
      <c r="C183" s="13" t="s">
        <v>2202</v>
      </c>
      <c r="D183" s="13" t="s">
        <v>2206</v>
      </c>
      <c r="E183" s="13" t="s">
        <v>2213</v>
      </c>
      <c r="F183" s="13" t="s">
        <v>2222</v>
      </c>
      <c r="G183" s="13">
        <v>108.49</v>
      </c>
      <c r="H183" s="13">
        <v>0</v>
      </c>
      <c r="I183" s="13">
        <v>108.49</v>
      </c>
      <c r="J183" s="24">
        <v>45875</v>
      </c>
      <c r="K183" s="13">
        <v>7</v>
      </c>
      <c r="L183" s="44">
        <v>3.3</v>
      </c>
      <c r="M183" s="13" t="b">
        <v>0</v>
      </c>
      <c r="O183" s="25">
        <f t="shared" si="8"/>
        <v>27</v>
      </c>
      <c r="P183" s="13">
        <f t="shared" si="9"/>
        <v>0</v>
      </c>
      <c r="Q183" s="13" t="str">
        <f t="shared" si="10"/>
        <v/>
      </c>
      <c r="R183" s="13" t="str">
        <f t="shared" si="11"/>
        <v>Non diskon</v>
      </c>
    </row>
    <row r="184" spans="1:18" x14ac:dyDescent="0.25">
      <c r="A184" s="13" t="s">
        <v>196</v>
      </c>
      <c r="B184" s="13" t="s">
        <v>2191</v>
      </c>
      <c r="C184" s="13" t="s">
        <v>2198</v>
      </c>
      <c r="D184" s="13" t="s">
        <v>2205</v>
      </c>
      <c r="E184" s="13" t="s">
        <v>2208</v>
      </c>
      <c r="F184" s="13" t="s">
        <v>2220</v>
      </c>
      <c r="G184" s="13">
        <v>106.49</v>
      </c>
      <c r="H184" s="13">
        <v>0</v>
      </c>
      <c r="I184" s="13">
        <v>106.49</v>
      </c>
      <c r="J184" s="24">
        <v>45875</v>
      </c>
      <c r="K184" s="13">
        <v>23</v>
      </c>
      <c r="L184" s="44">
        <v>4</v>
      </c>
      <c r="M184" s="13" t="b">
        <v>0</v>
      </c>
      <c r="O184" s="25">
        <f t="shared" si="8"/>
        <v>27</v>
      </c>
      <c r="P184" s="13">
        <f t="shared" si="9"/>
        <v>0</v>
      </c>
      <c r="Q184" s="13" t="str">
        <f t="shared" si="10"/>
        <v/>
      </c>
      <c r="R184" s="13" t="str">
        <f t="shared" si="11"/>
        <v>Non diskon</v>
      </c>
    </row>
    <row r="185" spans="1:18" x14ac:dyDescent="0.25">
      <c r="A185" s="13" t="s">
        <v>197</v>
      </c>
      <c r="B185" s="13" t="s">
        <v>2191</v>
      </c>
      <c r="C185" s="13" t="s">
        <v>2199</v>
      </c>
      <c r="D185" s="13" t="s">
        <v>2205</v>
      </c>
      <c r="E185" s="13" t="s">
        <v>2211</v>
      </c>
      <c r="F185" s="13" t="s">
        <v>2215</v>
      </c>
      <c r="G185" s="13">
        <v>114.86</v>
      </c>
      <c r="H185" s="13">
        <v>0</v>
      </c>
      <c r="I185" s="13">
        <v>114.86</v>
      </c>
      <c r="J185" s="24">
        <v>45875</v>
      </c>
      <c r="K185" s="13">
        <v>48</v>
      </c>
      <c r="L185" s="44">
        <v>1.1000000000000001</v>
      </c>
      <c r="M185" s="13" t="b">
        <v>0</v>
      </c>
      <c r="O185" s="25">
        <f t="shared" si="8"/>
        <v>27</v>
      </c>
      <c r="P185" s="13">
        <f t="shared" si="9"/>
        <v>0</v>
      </c>
      <c r="Q185" s="13" t="str">
        <f t="shared" si="10"/>
        <v/>
      </c>
      <c r="R185" s="13" t="str">
        <f t="shared" si="11"/>
        <v>Non diskon</v>
      </c>
    </row>
    <row r="186" spans="1:18" x14ac:dyDescent="0.25">
      <c r="A186" s="13" t="s">
        <v>198</v>
      </c>
      <c r="B186" s="13" t="s">
        <v>2195</v>
      </c>
      <c r="C186" s="13" t="s">
        <v>2196</v>
      </c>
      <c r="D186" s="13" t="s">
        <v>2206</v>
      </c>
      <c r="E186" s="13" t="s">
        <v>2209</v>
      </c>
      <c r="F186" s="13" t="s">
        <v>2219</v>
      </c>
      <c r="G186" s="13">
        <v>121.68</v>
      </c>
      <c r="H186" s="13">
        <v>0</v>
      </c>
      <c r="I186" s="13">
        <v>121.68</v>
      </c>
      <c r="J186" s="24">
        <v>45875</v>
      </c>
      <c r="K186" s="13">
        <v>9</v>
      </c>
      <c r="L186" s="44">
        <v>1.5</v>
      </c>
      <c r="M186" s="13" t="b">
        <v>0</v>
      </c>
      <c r="O186" s="25">
        <f t="shared" si="8"/>
        <v>27</v>
      </c>
      <c r="P186" s="13">
        <f t="shared" si="9"/>
        <v>0</v>
      </c>
      <c r="Q186" s="13" t="str">
        <f t="shared" si="10"/>
        <v/>
      </c>
      <c r="R186" s="13" t="str">
        <f t="shared" si="11"/>
        <v>Non diskon</v>
      </c>
    </row>
    <row r="187" spans="1:18" x14ac:dyDescent="0.25">
      <c r="A187" s="13" t="s">
        <v>199</v>
      </c>
      <c r="B187" s="13" t="s">
        <v>2194</v>
      </c>
      <c r="C187" s="13" t="s">
        <v>2196</v>
      </c>
      <c r="D187" s="13" t="s">
        <v>2207</v>
      </c>
      <c r="E187" s="13" t="s">
        <v>2211</v>
      </c>
      <c r="F187" s="13" t="s">
        <v>2216</v>
      </c>
      <c r="G187" s="13">
        <v>74.08</v>
      </c>
      <c r="H187" s="13">
        <v>3.9</v>
      </c>
      <c r="I187" s="13">
        <v>71.19</v>
      </c>
      <c r="J187" s="24">
        <v>45875</v>
      </c>
      <c r="K187" s="13">
        <v>37</v>
      </c>
      <c r="L187" s="44">
        <v>1.7</v>
      </c>
      <c r="M187" s="13" t="b">
        <v>0</v>
      </c>
      <c r="O187" s="25">
        <f t="shared" si="8"/>
        <v>27</v>
      </c>
      <c r="P187" s="13">
        <f t="shared" si="9"/>
        <v>144.29999999999998</v>
      </c>
      <c r="Q187" s="13" t="str">
        <f t="shared" si="10"/>
        <v/>
      </c>
      <c r="R187" s="13" t="str">
        <f t="shared" si="11"/>
        <v>Diskon</v>
      </c>
    </row>
    <row r="188" spans="1:18" x14ac:dyDescent="0.25">
      <c r="A188" s="13" t="s">
        <v>200</v>
      </c>
      <c r="B188" s="13" t="s">
        <v>2191</v>
      </c>
      <c r="C188" s="13" t="s">
        <v>2202</v>
      </c>
      <c r="D188" s="13" t="s">
        <v>2206</v>
      </c>
      <c r="E188" s="13" t="s">
        <v>2213</v>
      </c>
      <c r="F188" s="13" t="s">
        <v>2219</v>
      </c>
      <c r="G188" s="13">
        <v>92.37</v>
      </c>
      <c r="H188" s="13">
        <v>35.9</v>
      </c>
      <c r="I188" s="13">
        <v>59.21</v>
      </c>
      <c r="J188" s="24">
        <v>45875</v>
      </c>
      <c r="K188" s="13">
        <v>20</v>
      </c>
      <c r="L188" s="44">
        <v>2.9074999999999998</v>
      </c>
      <c r="M188" s="13" t="b">
        <v>0</v>
      </c>
      <c r="O188" s="25">
        <f t="shared" si="8"/>
        <v>27</v>
      </c>
      <c r="P188" s="13">
        <f t="shared" si="9"/>
        <v>718</v>
      </c>
      <c r="Q188" s="13" t="str">
        <f t="shared" si="10"/>
        <v/>
      </c>
      <c r="R188" s="13" t="str">
        <f t="shared" si="11"/>
        <v>Diskon</v>
      </c>
    </row>
    <row r="189" spans="1:18" x14ac:dyDescent="0.25">
      <c r="A189" s="13" t="s">
        <v>201</v>
      </c>
      <c r="B189" s="13" t="s">
        <v>2191</v>
      </c>
      <c r="C189" s="13" t="s">
        <v>2197</v>
      </c>
      <c r="D189" s="13" t="s">
        <v>2207</v>
      </c>
      <c r="E189" s="13" t="s">
        <v>2211</v>
      </c>
      <c r="F189" s="13" t="s">
        <v>2221</v>
      </c>
      <c r="G189" s="13">
        <v>34.06</v>
      </c>
      <c r="H189" s="13">
        <v>0</v>
      </c>
      <c r="I189" s="13">
        <v>34.06</v>
      </c>
      <c r="J189" s="24">
        <v>45875</v>
      </c>
      <c r="K189" s="13">
        <v>39</v>
      </c>
      <c r="L189" s="44">
        <v>4.5</v>
      </c>
      <c r="M189" s="13" t="b">
        <v>0</v>
      </c>
      <c r="O189" s="25">
        <f t="shared" si="8"/>
        <v>27</v>
      </c>
      <c r="P189" s="13">
        <f t="shared" si="9"/>
        <v>0</v>
      </c>
      <c r="Q189" s="13" t="str">
        <f t="shared" si="10"/>
        <v/>
      </c>
      <c r="R189" s="13" t="str">
        <f t="shared" si="11"/>
        <v>Non diskon</v>
      </c>
    </row>
    <row r="190" spans="1:18" x14ac:dyDescent="0.25">
      <c r="A190" s="13" t="s">
        <v>202</v>
      </c>
      <c r="B190" s="13" t="s">
        <v>2195</v>
      </c>
      <c r="C190" s="13" t="s">
        <v>2196</v>
      </c>
      <c r="D190" s="13" t="s">
        <v>2207</v>
      </c>
      <c r="E190" s="13" t="s">
        <v>2209</v>
      </c>
      <c r="F190" s="13" t="s">
        <v>2215</v>
      </c>
      <c r="G190" s="13">
        <v>173.42</v>
      </c>
      <c r="H190" s="13">
        <v>0</v>
      </c>
      <c r="I190" s="13">
        <v>173.42</v>
      </c>
      <c r="J190" s="24">
        <v>45875</v>
      </c>
      <c r="K190" s="13">
        <v>47</v>
      </c>
      <c r="L190" s="44">
        <v>4.2</v>
      </c>
      <c r="M190" s="13" t="b">
        <v>0</v>
      </c>
      <c r="O190" s="25">
        <f t="shared" si="8"/>
        <v>27</v>
      </c>
      <c r="P190" s="13">
        <f t="shared" si="9"/>
        <v>0</v>
      </c>
      <c r="Q190" s="13" t="str">
        <f t="shared" si="10"/>
        <v/>
      </c>
      <c r="R190" s="13" t="str">
        <f t="shared" si="11"/>
        <v>Non diskon</v>
      </c>
    </row>
    <row r="191" spans="1:18" x14ac:dyDescent="0.25">
      <c r="A191" s="13" t="s">
        <v>203</v>
      </c>
      <c r="B191" s="13" t="s">
        <v>2194</v>
      </c>
      <c r="C191" s="13" t="s">
        <v>2197</v>
      </c>
      <c r="D191" s="13" t="s">
        <v>2204</v>
      </c>
      <c r="E191" s="13" t="s">
        <v>2211</v>
      </c>
      <c r="F191" s="13" t="s">
        <v>2224</v>
      </c>
      <c r="G191" s="13">
        <v>66.510000000000005</v>
      </c>
      <c r="H191" s="13">
        <v>0</v>
      </c>
      <c r="I191" s="13">
        <v>66.510000000000005</v>
      </c>
      <c r="J191" s="24">
        <v>45569</v>
      </c>
      <c r="K191" s="13">
        <v>32</v>
      </c>
      <c r="L191" s="44">
        <v>2.1</v>
      </c>
      <c r="M191" s="13" t="b">
        <v>0</v>
      </c>
      <c r="O191" s="25">
        <f t="shared" si="8"/>
        <v>333</v>
      </c>
      <c r="P191" s="13">
        <f t="shared" si="9"/>
        <v>0</v>
      </c>
      <c r="Q191" s="13" t="str">
        <f t="shared" si="10"/>
        <v/>
      </c>
      <c r="R191" s="13" t="str">
        <f t="shared" si="11"/>
        <v>Non diskon</v>
      </c>
    </row>
    <row r="192" spans="1:18" x14ac:dyDescent="0.25">
      <c r="A192" s="13" t="s">
        <v>204</v>
      </c>
      <c r="B192" s="13" t="s">
        <v>2194</v>
      </c>
      <c r="C192" s="13" t="s">
        <v>2197</v>
      </c>
      <c r="D192" s="13" t="s">
        <v>2206</v>
      </c>
      <c r="E192" s="13" t="s">
        <v>2211</v>
      </c>
      <c r="F192" s="13" t="s">
        <v>2219</v>
      </c>
      <c r="G192" s="13">
        <v>72.44</v>
      </c>
      <c r="H192" s="13">
        <v>7.1</v>
      </c>
      <c r="I192" s="13">
        <v>67.3</v>
      </c>
      <c r="J192" s="24">
        <v>45875</v>
      </c>
      <c r="K192" s="13">
        <v>10</v>
      </c>
      <c r="L192" s="44">
        <v>1.8</v>
      </c>
      <c r="M192" s="13" t="b">
        <v>0</v>
      </c>
      <c r="O192" s="25">
        <f t="shared" si="8"/>
        <v>27</v>
      </c>
      <c r="P192" s="13">
        <f t="shared" si="9"/>
        <v>71</v>
      </c>
      <c r="Q192" s="13" t="str">
        <f t="shared" si="10"/>
        <v/>
      </c>
      <c r="R192" s="13" t="str">
        <f t="shared" si="11"/>
        <v>Diskon</v>
      </c>
    </row>
    <row r="193" spans="1:18" x14ac:dyDescent="0.25">
      <c r="A193" s="13" t="s">
        <v>205</v>
      </c>
      <c r="B193" s="13" t="s">
        <v>2191</v>
      </c>
      <c r="C193" s="13" t="s">
        <v>2201</v>
      </c>
      <c r="D193" s="13" t="s">
        <v>2206</v>
      </c>
      <c r="E193" s="13" t="s">
        <v>2210</v>
      </c>
      <c r="F193" s="13" t="s">
        <v>2216</v>
      </c>
      <c r="G193" s="13">
        <v>81.2</v>
      </c>
      <c r="H193" s="13">
        <v>0</v>
      </c>
      <c r="I193" s="13">
        <v>81.2</v>
      </c>
      <c r="J193" s="24">
        <v>45875</v>
      </c>
      <c r="K193" s="13">
        <v>3</v>
      </c>
      <c r="L193" s="44">
        <v>1.5</v>
      </c>
      <c r="M193" s="13" t="b">
        <v>0</v>
      </c>
      <c r="O193" s="25">
        <f t="shared" si="8"/>
        <v>27</v>
      </c>
      <c r="P193" s="13">
        <f t="shared" si="9"/>
        <v>0</v>
      </c>
      <c r="Q193" s="13" t="str">
        <f t="shared" si="10"/>
        <v/>
      </c>
      <c r="R193" s="13" t="str">
        <f t="shared" si="11"/>
        <v>Non diskon</v>
      </c>
    </row>
    <row r="194" spans="1:18" x14ac:dyDescent="0.25">
      <c r="A194" s="13" t="s">
        <v>206</v>
      </c>
      <c r="B194" s="13" t="s">
        <v>2190</v>
      </c>
      <c r="C194" s="13" t="s">
        <v>2202</v>
      </c>
      <c r="D194" s="13" t="s">
        <v>2207</v>
      </c>
      <c r="E194" s="13" t="s">
        <v>2211</v>
      </c>
      <c r="F194" s="13" t="s">
        <v>2214</v>
      </c>
      <c r="G194" s="13">
        <v>104.5</v>
      </c>
      <c r="H194" s="13">
        <v>12.3</v>
      </c>
      <c r="I194" s="13">
        <v>91.65</v>
      </c>
      <c r="J194" s="24">
        <v>45875</v>
      </c>
      <c r="K194" s="13">
        <v>42</v>
      </c>
      <c r="L194" s="44">
        <v>2.9034482758620692</v>
      </c>
      <c r="M194" s="13" t="b">
        <v>0</v>
      </c>
      <c r="O194" s="25">
        <f t="shared" si="8"/>
        <v>27</v>
      </c>
      <c r="P194" s="13">
        <f t="shared" si="9"/>
        <v>516.6</v>
      </c>
      <c r="Q194" s="13" t="str">
        <f t="shared" si="10"/>
        <v/>
      </c>
      <c r="R194" s="13" t="str">
        <f t="shared" si="11"/>
        <v>Diskon</v>
      </c>
    </row>
    <row r="195" spans="1:18" x14ac:dyDescent="0.25">
      <c r="A195" s="13" t="s">
        <v>207</v>
      </c>
      <c r="B195" s="13" t="s">
        <v>2195</v>
      </c>
      <c r="C195" s="13" t="s">
        <v>2202</v>
      </c>
      <c r="D195" s="13" t="s">
        <v>2205</v>
      </c>
      <c r="E195" s="13" t="s">
        <v>2208</v>
      </c>
      <c r="F195" s="13" t="s">
        <v>2215</v>
      </c>
      <c r="G195" s="13">
        <v>57.53</v>
      </c>
      <c r="H195" s="13">
        <v>13</v>
      </c>
      <c r="I195" s="13">
        <v>50.05</v>
      </c>
      <c r="J195" s="24">
        <v>45875</v>
      </c>
      <c r="K195" s="13">
        <v>12</v>
      </c>
      <c r="L195" s="44">
        <v>4.0999999999999996</v>
      </c>
      <c r="M195" s="13" t="b">
        <v>0</v>
      </c>
      <c r="O195" s="25">
        <f t="shared" ref="O195:O258" si="12">DATE(2025,9,2)-J195</f>
        <v>27</v>
      </c>
      <c r="P195" s="13">
        <f t="shared" ref="P195:P258" si="13">H195*K195</f>
        <v>156</v>
      </c>
      <c r="Q195" s="13" t="str">
        <f t="shared" ref="Q195:Q258" si="14">IF(M195=FALSE,"",1)</f>
        <v/>
      </c>
      <c r="R195" s="13" t="str">
        <f t="shared" ref="R195:R258" si="15">IF(H195=0,"Non diskon","Diskon")</f>
        <v>Diskon</v>
      </c>
    </row>
    <row r="196" spans="1:18" x14ac:dyDescent="0.25">
      <c r="A196" s="13" t="s">
        <v>208</v>
      </c>
      <c r="B196" s="13" t="s">
        <v>2193</v>
      </c>
      <c r="C196" s="13" t="s">
        <v>2198</v>
      </c>
      <c r="D196" s="13" t="s">
        <v>2207</v>
      </c>
      <c r="E196" s="13" t="s">
        <v>2211</v>
      </c>
      <c r="F196" s="13" t="s">
        <v>2218</v>
      </c>
      <c r="G196" s="13">
        <v>142.58000000000001</v>
      </c>
      <c r="H196" s="13">
        <v>0</v>
      </c>
      <c r="I196" s="13">
        <v>142.58000000000001</v>
      </c>
      <c r="J196" s="24">
        <v>45875</v>
      </c>
      <c r="K196" s="13">
        <v>25</v>
      </c>
      <c r="L196" s="44">
        <v>4.8</v>
      </c>
      <c r="M196" s="13" t="b">
        <v>1</v>
      </c>
      <c r="N196" s="13" t="s">
        <v>2228</v>
      </c>
      <c r="O196" s="25">
        <f t="shared" si="12"/>
        <v>27</v>
      </c>
      <c r="P196" s="13">
        <f t="shared" si="13"/>
        <v>0</v>
      </c>
      <c r="Q196" s="13">
        <f t="shared" si="14"/>
        <v>1</v>
      </c>
      <c r="R196" s="13" t="str">
        <f t="shared" si="15"/>
        <v>Non diskon</v>
      </c>
    </row>
    <row r="197" spans="1:18" x14ac:dyDescent="0.25">
      <c r="A197" s="13" t="s">
        <v>209</v>
      </c>
      <c r="B197" s="13" t="s">
        <v>2195</v>
      </c>
      <c r="C197" s="13" t="s">
        <v>2196</v>
      </c>
      <c r="D197" s="13" t="s">
        <v>2206</v>
      </c>
      <c r="E197" s="13" t="s">
        <v>2211</v>
      </c>
      <c r="F197" s="13" t="s">
        <v>2220</v>
      </c>
      <c r="G197" s="13">
        <v>162.22999999999999</v>
      </c>
      <c r="H197" s="13">
        <v>29.4</v>
      </c>
      <c r="I197" s="13">
        <v>114.53</v>
      </c>
      <c r="J197" s="24">
        <v>45875</v>
      </c>
      <c r="K197" s="13">
        <v>41</v>
      </c>
      <c r="L197" s="44">
        <v>4</v>
      </c>
      <c r="M197" s="13" t="b">
        <v>1</v>
      </c>
      <c r="N197" s="13" t="s">
        <v>2228</v>
      </c>
      <c r="O197" s="25">
        <f t="shared" si="12"/>
        <v>27</v>
      </c>
      <c r="P197" s="13">
        <f t="shared" si="13"/>
        <v>1205.3999999999999</v>
      </c>
      <c r="Q197" s="13">
        <f t="shared" si="14"/>
        <v>1</v>
      </c>
      <c r="R197" s="13" t="str">
        <f t="shared" si="15"/>
        <v>Diskon</v>
      </c>
    </row>
    <row r="198" spans="1:18" x14ac:dyDescent="0.25">
      <c r="A198" s="13" t="s">
        <v>210</v>
      </c>
      <c r="B198" s="13" t="s">
        <v>2194</v>
      </c>
      <c r="C198" s="13" t="s">
        <v>2201</v>
      </c>
      <c r="D198" s="13" t="s">
        <v>2204</v>
      </c>
      <c r="E198" s="13" t="s">
        <v>2211</v>
      </c>
      <c r="F198" s="13" t="s">
        <v>2214</v>
      </c>
      <c r="G198" s="13">
        <v>32.1</v>
      </c>
      <c r="H198" s="13">
        <v>51.7</v>
      </c>
      <c r="I198" s="13">
        <v>15.5</v>
      </c>
      <c r="J198" s="24">
        <v>45619</v>
      </c>
      <c r="K198" s="13">
        <v>27</v>
      </c>
      <c r="L198" s="44">
        <v>3.0575757575757576</v>
      </c>
      <c r="M198" s="13" t="b">
        <v>0</v>
      </c>
      <c r="O198" s="25">
        <f t="shared" si="12"/>
        <v>283</v>
      </c>
      <c r="P198" s="13">
        <f t="shared" si="13"/>
        <v>1395.9</v>
      </c>
      <c r="Q198" s="13" t="str">
        <f t="shared" si="14"/>
        <v/>
      </c>
      <c r="R198" s="13" t="str">
        <f t="shared" si="15"/>
        <v>Diskon</v>
      </c>
    </row>
    <row r="199" spans="1:18" x14ac:dyDescent="0.25">
      <c r="A199" s="13" t="s">
        <v>211</v>
      </c>
      <c r="B199" s="13" t="s">
        <v>2193</v>
      </c>
      <c r="C199" s="13" t="s">
        <v>2197</v>
      </c>
      <c r="D199" s="13" t="s">
        <v>2206</v>
      </c>
      <c r="E199" s="13" t="s">
        <v>2209</v>
      </c>
      <c r="F199" s="13" t="s">
        <v>2216</v>
      </c>
      <c r="G199" s="13">
        <v>162.41</v>
      </c>
      <c r="H199" s="13">
        <v>42.7</v>
      </c>
      <c r="I199" s="13">
        <v>93.06</v>
      </c>
      <c r="J199" s="24">
        <v>45875</v>
      </c>
      <c r="K199" s="13">
        <v>22</v>
      </c>
      <c r="L199" s="44">
        <v>4.8</v>
      </c>
      <c r="M199" s="13" t="b">
        <v>0</v>
      </c>
      <c r="O199" s="25">
        <f t="shared" si="12"/>
        <v>27</v>
      </c>
      <c r="P199" s="13">
        <f t="shared" si="13"/>
        <v>939.40000000000009</v>
      </c>
      <c r="Q199" s="13" t="str">
        <f t="shared" si="14"/>
        <v/>
      </c>
      <c r="R199" s="13" t="str">
        <f t="shared" si="15"/>
        <v>Diskon</v>
      </c>
    </row>
    <row r="200" spans="1:18" x14ac:dyDescent="0.25">
      <c r="A200" s="13" t="s">
        <v>212</v>
      </c>
      <c r="B200" s="13" t="s">
        <v>2191</v>
      </c>
      <c r="C200" s="13" t="s">
        <v>2198</v>
      </c>
      <c r="D200" s="13" t="s">
        <v>2206</v>
      </c>
      <c r="E200" s="13" t="s">
        <v>2213</v>
      </c>
      <c r="F200" s="13" t="s">
        <v>2218</v>
      </c>
      <c r="G200" s="13">
        <v>77.459999999999994</v>
      </c>
      <c r="H200" s="13">
        <v>57.5</v>
      </c>
      <c r="I200" s="13">
        <v>32.92</v>
      </c>
      <c r="J200" s="24">
        <v>45875</v>
      </c>
      <c r="K200" s="13">
        <v>23</v>
      </c>
      <c r="L200" s="44">
        <v>4</v>
      </c>
      <c r="M200" s="13" t="b">
        <v>0</v>
      </c>
      <c r="O200" s="25">
        <f t="shared" si="12"/>
        <v>27</v>
      </c>
      <c r="P200" s="13">
        <f t="shared" si="13"/>
        <v>1322.5</v>
      </c>
      <c r="Q200" s="13" t="str">
        <f t="shared" si="14"/>
        <v/>
      </c>
      <c r="R200" s="13" t="str">
        <f t="shared" si="15"/>
        <v>Diskon</v>
      </c>
    </row>
    <row r="201" spans="1:18" x14ac:dyDescent="0.25">
      <c r="A201" s="13" t="s">
        <v>213</v>
      </c>
      <c r="B201" s="13" t="s">
        <v>2191</v>
      </c>
      <c r="C201" s="13" t="s">
        <v>2200</v>
      </c>
      <c r="D201" s="13" t="s">
        <v>2206</v>
      </c>
      <c r="E201" s="13" t="s">
        <v>2211</v>
      </c>
      <c r="F201" s="13" t="s">
        <v>2219</v>
      </c>
      <c r="G201" s="13">
        <v>103.42</v>
      </c>
      <c r="H201" s="13">
        <v>56.1</v>
      </c>
      <c r="I201" s="13">
        <v>45.4</v>
      </c>
      <c r="J201" s="24">
        <v>45875</v>
      </c>
      <c r="K201" s="13">
        <v>4</v>
      </c>
      <c r="L201" s="44">
        <v>4.7</v>
      </c>
      <c r="M201" s="13" t="b">
        <v>0</v>
      </c>
      <c r="O201" s="25">
        <f t="shared" si="12"/>
        <v>27</v>
      </c>
      <c r="P201" s="13">
        <f t="shared" si="13"/>
        <v>224.4</v>
      </c>
      <c r="Q201" s="13" t="str">
        <f t="shared" si="14"/>
        <v/>
      </c>
      <c r="R201" s="13" t="str">
        <f t="shared" si="15"/>
        <v>Diskon</v>
      </c>
    </row>
    <row r="202" spans="1:18" x14ac:dyDescent="0.25">
      <c r="A202" s="13" t="s">
        <v>214</v>
      </c>
      <c r="B202" s="13" t="s">
        <v>2194</v>
      </c>
      <c r="C202" s="13" t="s">
        <v>2196</v>
      </c>
      <c r="D202" s="13" t="s">
        <v>2204</v>
      </c>
      <c r="E202" s="13" t="s">
        <v>2212</v>
      </c>
      <c r="F202" s="13" t="s">
        <v>2220</v>
      </c>
      <c r="G202" s="13">
        <v>42.91</v>
      </c>
      <c r="H202" s="13">
        <v>33.299999999999997</v>
      </c>
      <c r="I202" s="13">
        <v>28.62</v>
      </c>
      <c r="J202" s="24">
        <v>45619</v>
      </c>
      <c r="K202" s="13">
        <v>18</v>
      </c>
      <c r="L202" s="44">
        <v>2.9210526315789478</v>
      </c>
      <c r="M202" s="13" t="b">
        <v>0</v>
      </c>
      <c r="O202" s="25">
        <f t="shared" si="12"/>
        <v>283</v>
      </c>
      <c r="P202" s="13">
        <f t="shared" si="13"/>
        <v>599.4</v>
      </c>
      <c r="Q202" s="13" t="str">
        <f t="shared" si="14"/>
        <v/>
      </c>
      <c r="R202" s="13" t="str">
        <f t="shared" si="15"/>
        <v>Diskon</v>
      </c>
    </row>
    <row r="203" spans="1:18" x14ac:dyDescent="0.25">
      <c r="A203" s="13" t="s">
        <v>215</v>
      </c>
      <c r="B203" s="13" t="s">
        <v>2193</v>
      </c>
      <c r="C203" s="13" t="s">
        <v>2196</v>
      </c>
      <c r="D203" s="13" t="s">
        <v>2207</v>
      </c>
      <c r="E203" s="13" t="s">
        <v>2208</v>
      </c>
      <c r="F203" s="13" t="s">
        <v>2220</v>
      </c>
      <c r="G203" s="13">
        <v>144.91999999999999</v>
      </c>
      <c r="H203" s="13">
        <v>17</v>
      </c>
      <c r="I203" s="13">
        <v>120.28</v>
      </c>
      <c r="J203" s="24">
        <v>45875</v>
      </c>
      <c r="K203" s="13">
        <v>32</v>
      </c>
      <c r="L203" s="44">
        <v>2</v>
      </c>
      <c r="M203" s="13" t="b">
        <v>0</v>
      </c>
      <c r="O203" s="25">
        <f t="shared" si="12"/>
        <v>27</v>
      </c>
      <c r="P203" s="13">
        <f t="shared" si="13"/>
        <v>544</v>
      </c>
      <c r="Q203" s="13" t="str">
        <f t="shared" si="14"/>
        <v/>
      </c>
      <c r="R203" s="13" t="str">
        <f t="shared" si="15"/>
        <v>Diskon</v>
      </c>
    </row>
    <row r="204" spans="1:18" x14ac:dyDescent="0.25">
      <c r="A204" s="13" t="s">
        <v>216</v>
      </c>
      <c r="B204" s="13" t="s">
        <v>2193</v>
      </c>
      <c r="C204" s="13" t="s">
        <v>2198</v>
      </c>
      <c r="D204" s="13" t="s">
        <v>2207</v>
      </c>
      <c r="E204" s="13" t="s">
        <v>2212</v>
      </c>
      <c r="F204" s="13" t="s">
        <v>2216</v>
      </c>
      <c r="G204" s="13">
        <v>93.07</v>
      </c>
      <c r="H204" s="13">
        <v>23.9</v>
      </c>
      <c r="I204" s="13">
        <v>70.83</v>
      </c>
      <c r="J204" s="24">
        <v>45875</v>
      </c>
      <c r="K204" s="13">
        <v>10</v>
      </c>
      <c r="L204" s="44">
        <v>3.5</v>
      </c>
      <c r="M204" s="13" t="b">
        <v>1</v>
      </c>
      <c r="N204" s="13" t="s">
        <v>2229</v>
      </c>
      <c r="O204" s="25">
        <f t="shared" si="12"/>
        <v>27</v>
      </c>
      <c r="P204" s="13">
        <f t="shared" si="13"/>
        <v>239</v>
      </c>
      <c r="Q204" s="13">
        <f t="shared" si="14"/>
        <v>1</v>
      </c>
      <c r="R204" s="13" t="str">
        <f t="shared" si="15"/>
        <v>Diskon</v>
      </c>
    </row>
    <row r="205" spans="1:18" x14ac:dyDescent="0.25">
      <c r="A205" s="13" t="s">
        <v>217</v>
      </c>
      <c r="B205" s="13" t="s">
        <v>2190</v>
      </c>
      <c r="C205" s="13" t="s">
        <v>2200</v>
      </c>
      <c r="D205" s="13" t="s">
        <v>2207</v>
      </c>
      <c r="E205" s="13" t="s">
        <v>2210</v>
      </c>
      <c r="F205" s="13" t="s">
        <v>2214</v>
      </c>
      <c r="G205" s="13">
        <v>119.96</v>
      </c>
      <c r="H205" s="13">
        <v>0</v>
      </c>
      <c r="I205" s="13">
        <v>119.96</v>
      </c>
      <c r="J205" s="24">
        <v>45875</v>
      </c>
      <c r="K205" s="13">
        <v>20</v>
      </c>
      <c r="L205" s="44">
        <v>1.1000000000000001</v>
      </c>
      <c r="M205" s="13" t="b">
        <v>0</v>
      </c>
      <c r="O205" s="25">
        <f t="shared" si="12"/>
        <v>27</v>
      </c>
      <c r="P205" s="13">
        <f t="shared" si="13"/>
        <v>0</v>
      </c>
      <c r="Q205" s="13" t="str">
        <f t="shared" si="14"/>
        <v/>
      </c>
      <c r="R205" s="13" t="str">
        <f t="shared" si="15"/>
        <v>Non diskon</v>
      </c>
    </row>
    <row r="206" spans="1:18" x14ac:dyDescent="0.25">
      <c r="A206" s="13" t="s">
        <v>218</v>
      </c>
      <c r="B206" s="13" t="s">
        <v>2192</v>
      </c>
      <c r="C206" s="13" t="s">
        <v>2203</v>
      </c>
      <c r="D206" s="13" t="s">
        <v>2207</v>
      </c>
      <c r="F206" s="13" t="s">
        <v>2218</v>
      </c>
      <c r="G206" s="13">
        <v>42.04</v>
      </c>
      <c r="H206" s="13">
        <v>50.9</v>
      </c>
      <c r="I206" s="13">
        <v>20.64</v>
      </c>
      <c r="J206" s="24">
        <v>45875</v>
      </c>
      <c r="K206" s="13">
        <v>43</v>
      </c>
      <c r="L206" s="44">
        <v>2.2999999999999998</v>
      </c>
      <c r="M206" s="13" t="b">
        <v>1</v>
      </c>
      <c r="N206" s="13" t="s">
        <v>2230</v>
      </c>
      <c r="O206" s="25">
        <f t="shared" si="12"/>
        <v>27</v>
      </c>
      <c r="P206" s="13">
        <f t="shared" si="13"/>
        <v>2188.6999999999998</v>
      </c>
      <c r="Q206" s="13">
        <f t="shared" si="14"/>
        <v>1</v>
      </c>
      <c r="R206" s="13" t="str">
        <f t="shared" si="15"/>
        <v>Diskon</v>
      </c>
    </row>
    <row r="207" spans="1:18" x14ac:dyDescent="0.25">
      <c r="A207" s="13" t="s">
        <v>219</v>
      </c>
      <c r="B207" s="13" t="s">
        <v>2192</v>
      </c>
      <c r="C207" s="13" t="s">
        <v>2198</v>
      </c>
      <c r="D207" s="13" t="s">
        <v>2205</v>
      </c>
      <c r="F207" s="13" t="s">
        <v>2214</v>
      </c>
      <c r="G207" s="13">
        <v>54.45</v>
      </c>
      <c r="H207" s="13">
        <v>0</v>
      </c>
      <c r="I207" s="13">
        <v>54.45</v>
      </c>
      <c r="J207" s="24">
        <v>45875</v>
      </c>
      <c r="K207" s="13">
        <v>12</v>
      </c>
      <c r="L207" s="44">
        <v>2.7</v>
      </c>
      <c r="M207" s="13" t="b">
        <v>0</v>
      </c>
      <c r="O207" s="25">
        <f t="shared" si="12"/>
        <v>27</v>
      </c>
      <c r="P207" s="13">
        <f t="shared" si="13"/>
        <v>0</v>
      </c>
      <c r="Q207" s="13" t="str">
        <f t="shared" si="14"/>
        <v/>
      </c>
      <c r="R207" s="13" t="str">
        <f t="shared" si="15"/>
        <v>Non diskon</v>
      </c>
    </row>
    <row r="208" spans="1:18" x14ac:dyDescent="0.25">
      <c r="A208" s="13" t="s">
        <v>220</v>
      </c>
      <c r="B208" s="13" t="s">
        <v>2191</v>
      </c>
      <c r="C208" s="13" t="s">
        <v>2199</v>
      </c>
      <c r="D208" s="13" t="s">
        <v>2204</v>
      </c>
      <c r="E208" s="13" t="s">
        <v>2213</v>
      </c>
      <c r="F208" s="13" t="s">
        <v>2220</v>
      </c>
      <c r="G208" s="13">
        <v>66.95</v>
      </c>
      <c r="H208" s="13">
        <v>36.4</v>
      </c>
      <c r="I208" s="13">
        <v>42.58</v>
      </c>
      <c r="J208" s="24">
        <v>45563</v>
      </c>
      <c r="K208" s="13">
        <v>44</v>
      </c>
      <c r="L208" s="44">
        <v>1.9</v>
      </c>
      <c r="M208" s="13" t="b">
        <v>1</v>
      </c>
      <c r="N208" s="13" t="s">
        <v>2228</v>
      </c>
      <c r="O208" s="25">
        <f t="shared" si="12"/>
        <v>339</v>
      </c>
      <c r="P208" s="13">
        <f t="shared" si="13"/>
        <v>1601.6</v>
      </c>
      <c r="Q208" s="13">
        <f t="shared" si="14"/>
        <v>1</v>
      </c>
      <c r="R208" s="13" t="str">
        <f t="shared" si="15"/>
        <v>Diskon</v>
      </c>
    </row>
    <row r="209" spans="1:18" x14ac:dyDescent="0.25">
      <c r="A209" s="13" t="s">
        <v>221</v>
      </c>
      <c r="B209" s="13" t="s">
        <v>2191</v>
      </c>
      <c r="C209" s="13" t="s">
        <v>2201</v>
      </c>
      <c r="D209" s="13" t="s">
        <v>2204</v>
      </c>
      <c r="E209" s="13" t="s">
        <v>2208</v>
      </c>
      <c r="F209" s="13" t="s">
        <v>2221</v>
      </c>
      <c r="G209" s="13">
        <v>116.96</v>
      </c>
      <c r="H209" s="13">
        <v>8.8000000000000007</v>
      </c>
      <c r="I209" s="13">
        <v>106.67</v>
      </c>
      <c r="J209" s="24">
        <v>45776</v>
      </c>
      <c r="K209" s="13">
        <v>33</v>
      </c>
      <c r="L209" s="44">
        <v>1.6</v>
      </c>
      <c r="M209" s="13" t="b">
        <v>0</v>
      </c>
      <c r="O209" s="25">
        <f t="shared" si="12"/>
        <v>126</v>
      </c>
      <c r="P209" s="13">
        <f t="shared" si="13"/>
        <v>290.40000000000003</v>
      </c>
      <c r="Q209" s="13" t="str">
        <f t="shared" si="14"/>
        <v/>
      </c>
      <c r="R209" s="13" t="str">
        <f t="shared" si="15"/>
        <v>Diskon</v>
      </c>
    </row>
    <row r="210" spans="1:18" x14ac:dyDescent="0.25">
      <c r="A210" s="13" t="s">
        <v>222</v>
      </c>
      <c r="B210" s="13" t="s">
        <v>2191</v>
      </c>
      <c r="C210" s="13" t="s">
        <v>2203</v>
      </c>
      <c r="D210" s="13" t="s">
        <v>2206</v>
      </c>
      <c r="E210" s="13" t="s">
        <v>2211</v>
      </c>
      <c r="F210" s="13" t="s">
        <v>2215</v>
      </c>
      <c r="G210" s="13">
        <v>111.14</v>
      </c>
      <c r="H210" s="13">
        <v>0</v>
      </c>
      <c r="I210" s="13">
        <v>111.14</v>
      </c>
      <c r="J210" s="24">
        <v>45875</v>
      </c>
      <c r="K210" s="13">
        <v>49</v>
      </c>
      <c r="L210" s="44">
        <v>1.6</v>
      </c>
      <c r="M210" s="13" t="b">
        <v>0</v>
      </c>
      <c r="O210" s="25">
        <f t="shared" si="12"/>
        <v>27</v>
      </c>
      <c r="P210" s="13">
        <f t="shared" si="13"/>
        <v>0</v>
      </c>
      <c r="Q210" s="13" t="str">
        <f t="shared" si="14"/>
        <v/>
      </c>
      <c r="R210" s="13" t="str">
        <f t="shared" si="15"/>
        <v>Non diskon</v>
      </c>
    </row>
    <row r="211" spans="1:18" x14ac:dyDescent="0.25">
      <c r="A211" s="13" t="s">
        <v>223</v>
      </c>
      <c r="B211" s="13" t="s">
        <v>2191</v>
      </c>
      <c r="C211" s="13" t="s">
        <v>2198</v>
      </c>
      <c r="D211" s="13" t="s">
        <v>2206</v>
      </c>
      <c r="E211" s="13" t="s">
        <v>2212</v>
      </c>
      <c r="F211" s="13" t="s">
        <v>2219</v>
      </c>
      <c r="G211" s="13">
        <v>59.6</v>
      </c>
      <c r="H211" s="13">
        <v>0</v>
      </c>
      <c r="I211" s="13">
        <v>59.6</v>
      </c>
      <c r="J211" s="24">
        <v>45875</v>
      </c>
      <c r="K211" s="13">
        <v>40</v>
      </c>
      <c r="L211" s="44">
        <v>2.1</v>
      </c>
      <c r="M211" s="13" t="b">
        <v>0</v>
      </c>
      <c r="O211" s="25">
        <f t="shared" si="12"/>
        <v>27</v>
      </c>
      <c r="P211" s="13">
        <f t="shared" si="13"/>
        <v>0</v>
      </c>
      <c r="Q211" s="13" t="str">
        <f t="shared" si="14"/>
        <v/>
      </c>
      <c r="R211" s="13" t="str">
        <f t="shared" si="15"/>
        <v>Non diskon</v>
      </c>
    </row>
    <row r="212" spans="1:18" x14ac:dyDescent="0.25">
      <c r="A212" s="13" t="s">
        <v>224</v>
      </c>
      <c r="B212" s="13" t="s">
        <v>2191</v>
      </c>
      <c r="C212" s="13" t="s">
        <v>2201</v>
      </c>
      <c r="D212" s="13" t="s">
        <v>2204</v>
      </c>
      <c r="E212" s="13" t="s">
        <v>2210</v>
      </c>
      <c r="F212" s="13" t="s">
        <v>2218</v>
      </c>
      <c r="G212" s="13">
        <v>25.49</v>
      </c>
      <c r="H212" s="13">
        <v>16.7</v>
      </c>
      <c r="I212" s="13">
        <v>21.23</v>
      </c>
      <c r="J212" s="24">
        <v>45800</v>
      </c>
      <c r="K212" s="13">
        <v>32</v>
      </c>
      <c r="L212" s="44">
        <v>2.9846153846153847</v>
      </c>
      <c r="M212" s="13" t="b">
        <v>0</v>
      </c>
      <c r="O212" s="25">
        <f t="shared" si="12"/>
        <v>102</v>
      </c>
      <c r="P212" s="13">
        <f t="shared" si="13"/>
        <v>534.4</v>
      </c>
      <c r="Q212" s="13" t="str">
        <f t="shared" si="14"/>
        <v/>
      </c>
      <c r="R212" s="13" t="str">
        <f t="shared" si="15"/>
        <v>Diskon</v>
      </c>
    </row>
    <row r="213" spans="1:18" x14ac:dyDescent="0.25">
      <c r="A213" s="13" t="s">
        <v>225</v>
      </c>
      <c r="B213" s="13" t="s">
        <v>2191</v>
      </c>
      <c r="C213" s="13" t="s">
        <v>2196</v>
      </c>
      <c r="D213" s="13" t="s">
        <v>2204</v>
      </c>
      <c r="E213" s="13" t="s">
        <v>2213</v>
      </c>
      <c r="F213" s="13" t="s">
        <v>2216</v>
      </c>
      <c r="G213" s="13">
        <v>82.94</v>
      </c>
      <c r="H213" s="13">
        <v>0</v>
      </c>
      <c r="I213" s="13">
        <v>82.94</v>
      </c>
      <c r="J213" s="24">
        <v>45855</v>
      </c>
      <c r="K213" s="13">
        <v>46</v>
      </c>
      <c r="L213" s="44">
        <v>1.5</v>
      </c>
      <c r="M213" s="13" t="b">
        <v>0</v>
      </c>
      <c r="O213" s="25">
        <f t="shared" si="12"/>
        <v>47</v>
      </c>
      <c r="P213" s="13">
        <f t="shared" si="13"/>
        <v>0</v>
      </c>
      <c r="Q213" s="13" t="str">
        <f t="shared" si="14"/>
        <v/>
      </c>
      <c r="R213" s="13" t="str">
        <f t="shared" si="15"/>
        <v>Non diskon</v>
      </c>
    </row>
    <row r="214" spans="1:18" x14ac:dyDescent="0.25">
      <c r="A214" s="13" t="s">
        <v>226</v>
      </c>
      <c r="B214" s="13" t="s">
        <v>2191</v>
      </c>
      <c r="C214" s="13" t="s">
        <v>2197</v>
      </c>
      <c r="D214" s="13" t="s">
        <v>2204</v>
      </c>
      <c r="E214" s="13" t="s">
        <v>2209</v>
      </c>
      <c r="F214" s="13" t="s">
        <v>2219</v>
      </c>
      <c r="G214" s="13">
        <v>99.71</v>
      </c>
      <c r="H214" s="13">
        <v>0</v>
      </c>
      <c r="I214" s="13">
        <v>99.71</v>
      </c>
      <c r="J214" s="24">
        <v>45525</v>
      </c>
      <c r="K214" s="13">
        <v>23</v>
      </c>
      <c r="L214" s="44">
        <v>1.4</v>
      </c>
      <c r="M214" s="13" t="b">
        <v>0</v>
      </c>
      <c r="O214" s="25">
        <f t="shared" si="12"/>
        <v>377</v>
      </c>
      <c r="P214" s="13">
        <f t="shared" si="13"/>
        <v>0</v>
      </c>
      <c r="Q214" s="13" t="str">
        <f t="shared" si="14"/>
        <v/>
      </c>
      <c r="R214" s="13" t="str">
        <f t="shared" si="15"/>
        <v>Non diskon</v>
      </c>
    </row>
    <row r="215" spans="1:18" x14ac:dyDescent="0.25">
      <c r="A215" s="13" t="s">
        <v>227</v>
      </c>
      <c r="B215" s="13" t="s">
        <v>2192</v>
      </c>
      <c r="C215" s="13" t="s">
        <v>2198</v>
      </c>
      <c r="D215" s="13" t="s">
        <v>2206</v>
      </c>
      <c r="F215" s="13" t="s">
        <v>2216</v>
      </c>
      <c r="G215" s="13">
        <v>69.739999999999995</v>
      </c>
      <c r="H215" s="13">
        <v>0</v>
      </c>
      <c r="I215" s="13">
        <v>69.739999999999995</v>
      </c>
      <c r="J215" s="24">
        <v>45875</v>
      </c>
      <c r="K215" s="13">
        <v>11</v>
      </c>
      <c r="L215" s="44">
        <v>3.3</v>
      </c>
      <c r="M215" s="13" t="b">
        <v>1</v>
      </c>
      <c r="N215" s="13" t="s">
        <v>2229</v>
      </c>
      <c r="O215" s="25">
        <f t="shared" si="12"/>
        <v>27</v>
      </c>
      <c r="P215" s="13">
        <f t="shared" si="13"/>
        <v>0</v>
      </c>
      <c r="Q215" s="13">
        <f t="shared" si="14"/>
        <v>1</v>
      </c>
      <c r="R215" s="13" t="str">
        <f t="shared" si="15"/>
        <v>Non diskon</v>
      </c>
    </row>
    <row r="216" spans="1:18" x14ac:dyDescent="0.25">
      <c r="A216" s="13" t="s">
        <v>228</v>
      </c>
      <c r="B216" s="13" t="s">
        <v>2194</v>
      </c>
      <c r="C216" s="13" t="s">
        <v>2200</v>
      </c>
      <c r="D216" s="13" t="s">
        <v>2207</v>
      </c>
      <c r="E216" s="13" t="s">
        <v>2211</v>
      </c>
      <c r="F216" s="13" t="s">
        <v>2220</v>
      </c>
      <c r="G216" s="13">
        <v>57.19</v>
      </c>
      <c r="H216" s="13">
        <v>0</v>
      </c>
      <c r="I216" s="13">
        <v>57.19</v>
      </c>
      <c r="J216" s="24">
        <v>45875</v>
      </c>
      <c r="K216" s="13">
        <v>12</v>
      </c>
      <c r="L216" s="44">
        <v>2.5</v>
      </c>
      <c r="M216" s="13" t="b">
        <v>0</v>
      </c>
      <c r="O216" s="25">
        <f t="shared" si="12"/>
        <v>27</v>
      </c>
      <c r="P216" s="13">
        <f t="shared" si="13"/>
        <v>0</v>
      </c>
      <c r="Q216" s="13" t="str">
        <f t="shared" si="14"/>
        <v/>
      </c>
      <c r="R216" s="13" t="str">
        <f t="shared" si="15"/>
        <v>Non diskon</v>
      </c>
    </row>
    <row r="217" spans="1:18" x14ac:dyDescent="0.25">
      <c r="A217" s="13" t="s">
        <v>229</v>
      </c>
      <c r="B217" s="13" t="s">
        <v>2191</v>
      </c>
      <c r="C217" s="13" t="s">
        <v>2200</v>
      </c>
      <c r="D217" s="13" t="s">
        <v>2207</v>
      </c>
      <c r="E217" s="13" t="s">
        <v>2211</v>
      </c>
      <c r="F217" s="13" t="s">
        <v>2214</v>
      </c>
      <c r="G217" s="13">
        <v>58.65</v>
      </c>
      <c r="H217" s="13">
        <v>0</v>
      </c>
      <c r="I217" s="13">
        <v>58.65</v>
      </c>
      <c r="J217" s="24">
        <v>45875</v>
      </c>
      <c r="K217" s="13">
        <v>4</v>
      </c>
      <c r="L217" s="44">
        <v>1.1000000000000001</v>
      </c>
      <c r="M217" s="13" t="b">
        <v>0</v>
      </c>
      <c r="O217" s="25">
        <f t="shared" si="12"/>
        <v>27</v>
      </c>
      <c r="P217" s="13">
        <f t="shared" si="13"/>
        <v>0</v>
      </c>
      <c r="Q217" s="13" t="str">
        <f t="shared" si="14"/>
        <v/>
      </c>
      <c r="R217" s="13" t="str">
        <f t="shared" si="15"/>
        <v>Non diskon</v>
      </c>
    </row>
    <row r="218" spans="1:18" x14ac:dyDescent="0.25">
      <c r="A218" s="13" t="s">
        <v>230</v>
      </c>
      <c r="B218" s="13" t="s">
        <v>2190</v>
      </c>
      <c r="C218" s="13" t="s">
        <v>2197</v>
      </c>
      <c r="D218" s="13" t="s">
        <v>2206</v>
      </c>
      <c r="E218" s="13" t="s">
        <v>2208</v>
      </c>
      <c r="F218" s="13" t="s">
        <v>2215</v>
      </c>
      <c r="G218" s="13">
        <v>110.22</v>
      </c>
      <c r="H218" s="13">
        <v>0</v>
      </c>
      <c r="I218" s="13">
        <v>110.22</v>
      </c>
      <c r="J218" s="24">
        <v>45875</v>
      </c>
      <c r="K218" s="13">
        <v>4</v>
      </c>
      <c r="L218" s="44">
        <v>1.6</v>
      </c>
      <c r="M218" s="13" t="b">
        <v>0</v>
      </c>
      <c r="O218" s="25">
        <f t="shared" si="12"/>
        <v>27</v>
      </c>
      <c r="P218" s="13">
        <f t="shared" si="13"/>
        <v>0</v>
      </c>
      <c r="Q218" s="13" t="str">
        <f t="shared" si="14"/>
        <v/>
      </c>
      <c r="R218" s="13" t="str">
        <f t="shared" si="15"/>
        <v>Non diskon</v>
      </c>
    </row>
    <row r="219" spans="1:18" x14ac:dyDescent="0.25">
      <c r="A219" s="13" t="s">
        <v>231</v>
      </c>
      <c r="B219" s="13" t="s">
        <v>2191</v>
      </c>
      <c r="C219" s="13" t="s">
        <v>2196</v>
      </c>
      <c r="D219" s="13" t="s">
        <v>2207</v>
      </c>
      <c r="E219" s="13" t="s">
        <v>2211</v>
      </c>
      <c r="F219" s="13" t="s">
        <v>2215</v>
      </c>
      <c r="G219" s="13">
        <v>69.36</v>
      </c>
      <c r="H219" s="13">
        <v>0</v>
      </c>
      <c r="I219" s="13">
        <v>69.36</v>
      </c>
      <c r="J219" s="24">
        <v>45875</v>
      </c>
      <c r="K219" s="13">
        <v>25</v>
      </c>
      <c r="L219" s="44">
        <v>2.9181818181818175</v>
      </c>
      <c r="M219" s="13" t="b">
        <v>0</v>
      </c>
      <c r="O219" s="25">
        <f t="shared" si="12"/>
        <v>27</v>
      </c>
      <c r="P219" s="13">
        <f t="shared" si="13"/>
        <v>0</v>
      </c>
      <c r="Q219" s="13" t="str">
        <f t="shared" si="14"/>
        <v/>
      </c>
      <c r="R219" s="13" t="str">
        <f t="shared" si="15"/>
        <v>Non diskon</v>
      </c>
    </row>
    <row r="220" spans="1:18" x14ac:dyDescent="0.25">
      <c r="A220" s="13" t="s">
        <v>232</v>
      </c>
      <c r="B220" s="13" t="s">
        <v>2194</v>
      </c>
      <c r="C220" s="13" t="s">
        <v>2196</v>
      </c>
      <c r="D220" s="13" t="s">
        <v>2205</v>
      </c>
      <c r="E220" s="13" t="s">
        <v>2210</v>
      </c>
      <c r="F220" s="13" t="s">
        <v>2216</v>
      </c>
      <c r="G220" s="13">
        <v>87.03</v>
      </c>
      <c r="H220" s="13">
        <v>0</v>
      </c>
      <c r="I220" s="13">
        <v>87.03</v>
      </c>
      <c r="J220" s="24">
        <v>45875</v>
      </c>
      <c r="K220" s="13">
        <v>39</v>
      </c>
      <c r="L220" s="44">
        <v>4.3</v>
      </c>
      <c r="M220" s="13" t="b">
        <v>0</v>
      </c>
      <c r="O220" s="25">
        <f t="shared" si="12"/>
        <v>27</v>
      </c>
      <c r="P220" s="13">
        <f t="shared" si="13"/>
        <v>0</v>
      </c>
      <c r="Q220" s="13" t="str">
        <f t="shared" si="14"/>
        <v/>
      </c>
      <c r="R220" s="13" t="str">
        <f t="shared" si="15"/>
        <v>Non diskon</v>
      </c>
    </row>
    <row r="221" spans="1:18" x14ac:dyDescent="0.25">
      <c r="A221" s="13" t="s">
        <v>233</v>
      </c>
      <c r="B221" s="13" t="s">
        <v>2195</v>
      </c>
      <c r="C221" s="13" t="s">
        <v>2196</v>
      </c>
      <c r="D221" s="13" t="s">
        <v>2205</v>
      </c>
      <c r="E221" s="13" t="s">
        <v>2211</v>
      </c>
      <c r="F221" s="13" t="s">
        <v>2224</v>
      </c>
      <c r="G221" s="13">
        <v>160.6</v>
      </c>
      <c r="H221" s="13">
        <v>18.399999999999999</v>
      </c>
      <c r="I221" s="13">
        <v>131.05000000000001</v>
      </c>
      <c r="J221" s="24">
        <v>45875</v>
      </c>
      <c r="K221" s="13">
        <v>41</v>
      </c>
      <c r="L221" s="44">
        <v>3</v>
      </c>
      <c r="M221" s="13" t="b">
        <v>0</v>
      </c>
      <c r="O221" s="25">
        <f t="shared" si="12"/>
        <v>27</v>
      </c>
      <c r="P221" s="13">
        <f t="shared" si="13"/>
        <v>754.4</v>
      </c>
      <c r="Q221" s="13" t="str">
        <f t="shared" si="14"/>
        <v/>
      </c>
      <c r="R221" s="13" t="str">
        <f t="shared" si="15"/>
        <v>Diskon</v>
      </c>
    </row>
    <row r="222" spans="1:18" x14ac:dyDescent="0.25">
      <c r="A222" s="13" t="s">
        <v>234</v>
      </c>
      <c r="B222" s="13" t="s">
        <v>2190</v>
      </c>
      <c r="C222" s="13" t="s">
        <v>2200</v>
      </c>
      <c r="D222" s="13" t="s">
        <v>2204</v>
      </c>
      <c r="E222" s="13" t="s">
        <v>2212</v>
      </c>
      <c r="F222" s="13" t="s">
        <v>2223</v>
      </c>
      <c r="G222" s="13">
        <v>167.02</v>
      </c>
      <c r="H222" s="13">
        <v>0</v>
      </c>
      <c r="I222" s="13">
        <v>167.02</v>
      </c>
      <c r="J222" s="24">
        <v>45687</v>
      </c>
      <c r="K222" s="13">
        <v>26</v>
      </c>
      <c r="L222" s="44">
        <v>2.6</v>
      </c>
      <c r="M222" s="13" t="b">
        <v>1</v>
      </c>
      <c r="N222" s="13" t="s">
        <v>2226</v>
      </c>
      <c r="O222" s="25">
        <f t="shared" si="12"/>
        <v>215</v>
      </c>
      <c r="P222" s="13">
        <f t="shared" si="13"/>
        <v>0</v>
      </c>
      <c r="Q222" s="13">
        <f t="shared" si="14"/>
        <v>1</v>
      </c>
      <c r="R222" s="13" t="str">
        <f t="shared" si="15"/>
        <v>Non diskon</v>
      </c>
    </row>
    <row r="223" spans="1:18" x14ac:dyDescent="0.25">
      <c r="A223" s="13" t="s">
        <v>235</v>
      </c>
      <c r="B223" s="13" t="s">
        <v>2191</v>
      </c>
      <c r="C223" s="13" t="s">
        <v>2196</v>
      </c>
      <c r="D223" s="13" t="s">
        <v>2207</v>
      </c>
      <c r="E223" s="13" t="s">
        <v>2211</v>
      </c>
      <c r="F223" s="13" t="s">
        <v>2218</v>
      </c>
      <c r="G223" s="13">
        <v>26.09</v>
      </c>
      <c r="H223" s="13">
        <v>0</v>
      </c>
      <c r="I223" s="13">
        <v>26.09</v>
      </c>
      <c r="J223" s="24">
        <v>45875</v>
      </c>
      <c r="K223" s="13">
        <v>32</v>
      </c>
      <c r="L223" s="44">
        <v>4.5999999999999996</v>
      </c>
      <c r="M223" s="13" t="b">
        <v>1</v>
      </c>
      <c r="N223" s="13" t="s">
        <v>2227</v>
      </c>
      <c r="O223" s="25">
        <f t="shared" si="12"/>
        <v>27</v>
      </c>
      <c r="P223" s="13">
        <f t="shared" si="13"/>
        <v>0</v>
      </c>
      <c r="Q223" s="13">
        <f t="shared" si="14"/>
        <v>1</v>
      </c>
      <c r="R223" s="13" t="str">
        <f t="shared" si="15"/>
        <v>Non diskon</v>
      </c>
    </row>
    <row r="224" spans="1:18" x14ac:dyDescent="0.25">
      <c r="A224" s="13" t="s">
        <v>236</v>
      </c>
      <c r="B224" s="13" t="s">
        <v>2190</v>
      </c>
      <c r="C224" s="13" t="s">
        <v>2200</v>
      </c>
      <c r="D224" s="13" t="s">
        <v>2207</v>
      </c>
      <c r="E224" s="13" t="s">
        <v>2208</v>
      </c>
      <c r="F224" s="13" t="s">
        <v>2224</v>
      </c>
      <c r="G224" s="13">
        <v>246.65</v>
      </c>
      <c r="H224" s="13">
        <v>0</v>
      </c>
      <c r="I224" s="13">
        <v>246.65</v>
      </c>
      <c r="J224" s="24">
        <v>45875</v>
      </c>
      <c r="K224" s="13">
        <v>17</v>
      </c>
      <c r="L224" s="44">
        <v>2.9</v>
      </c>
      <c r="M224" s="13" t="b">
        <v>1</v>
      </c>
      <c r="N224" s="13" t="s">
        <v>2227</v>
      </c>
      <c r="O224" s="25">
        <f t="shared" si="12"/>
        <v>27</v>
      </c>
      <c r="P224" s="13">
        <f t="shared" si="13"/>
        <v>0</v>
      </c>
      <c r="Q224" s="13">
        <f t="shared" si="14"/>
        <v>1</v>
      </c>
      <c r="R224" s="13" t="str">
        <f t="shared" si="15"/>
        <v>Non diskon</v>
      </c>
    </row>
    <row r="225" spans="1:18" x14ac:dyDescent="0.25">
      <c r="A225" s="13" t="s">
        <v>237</v>
      </c>
      <c r="B225" s="13" t="s">
        <v>2190</v>
      </c>
      <c r="C225" s="13" t="s">
        <v>2203</v>
      </c>
      <c r="D225" s="13" t="s">
        <v>2207</v>
      </c>
      <c r="E225" s="13" t="s">
        <v>2210</v>
      </c>
      <c r="F225" s="13" t="s">
        <v>2214</v>
      </c>
      <c r="G225" s="13">
        <v>206.91</v>
      </c>
      <c r="H225" s="13">
        <v>0</v>
      </c>
      <c r="I225" s="13">
        <v>206.91</v>
      </c>
      <c r="J225" s="24">
        <v>45875</v>
      </c>
      <c r="K225" s="13">
        <v>34</v>
      </c>
      <c r="L225" s="44">
        <v>2.2999999999999998</v>
      </c>
      <c r="M225" s="13" t="b">
        <v>0</v>
      </c>
      <c r="O225" s="25">
        <f t="shared" si="12"/>
        <v>27</v>
      </c>
      <c r="P225" s="13">
        <f t="shared" si="13"/>
        <v>0</v>
      </c>
      <c r="Q225" s="13" t="str">
        <f t="shared" si="14"/>
        <v/>
      </c>
      <c r="R225" s="13" t="str">
        <f t="shared" si="15"/>
        <v>Non diskon</v>
      </c>
    </row>
    <row r="226" spans="1:18" x14ac:dyDescent="0.25">
      <c r="A226" s="13" t="s">
        <v>238</v>
      </c>
      <c r="B226" s="13" t="s">
        <v>2195</v>
      </c>
      <c r="C226" s="13" t="s">
        <v>2202</v>
      </c>
      <c r="D226" s="13" t="s">
        <v>2205</v>
      </c>
      <c r="E226" s="13" t="s">
        <v>2208</v>
      </c>
      <c r="F226" s="13" t="s">
        <v>2216</v>
      </c>
      <c r="G226" s="13">
        <v>85.08</v>
      </c>
      <c r="H226" s="13">
        <v>0</v>
      </c>
      <c r="I226" s="13">
        <v>85.08</v>
      </c>
      <c r="J226" s="24">
        <v>45875</v>
      </c>
      <c r="K226" s="13">
        <v>29</v>
      </c>
      <c r="L226" s="44">
        <v>2.980952380952381</v>
      </c>
      <c r="M226" s="13" t="b">
        <v>0</v>
      </c>
      <c r="O226" s="25">
        <f t="shared" si="12"/>
        <v>27</v>
      </c>
      <c r="P226" s="13">
        <f t="shared" si="13"/>
        <v>0</v>
      </c>
      <c r="Q226" s="13" t="str">
        <f t="shared" si="14"/>
        <v/>
      </c>
      <c r="R226" s="13" t="str">
        <f t="shared" si="15"/>
        <v>Non diskon</v>
      </c>
    </row>
    <row r="227" spans="1:18" x14ac:dyDescent="0.25">
      <c r="A227" s="13" t="s">
        <v>239</v>
      </c>
      <c r="B227" s="13" t="s">
        <v>2190</v>
      </c>
      <c r="C227" s="13" t="s">
        <v>2203</v>
      </c>
      <c r="D227" s="13" t="s">
        <v>2204</v>
      </c>
      <c r="E227" s="13" t="s">
        <v>2211</v>
      </c>
      <c r="F227" s="13" t="s">
        <v>2217</v>
      </c>
      <c r="G227" s="13">
        <v>240.32</v>
      </c>
      <c r="H227" s="13">
        <v>54.8</v>
      </c>
      <c r="I227" s="13">
        <v>108.62</v>
      </c>
      <c r="J227" s="24">
        <v>45653</v>
      </c>
      <c r="K227" s="13">
        <v>3</v>
      </c>
      <c r="L227" s="44">
        <v>4.5</v>
      </c>
      <c r="M227" s="13" t="b">
        <v>0</v>
      </c>
      <c r="O227" s="25">
        <f t="shared" si="12"/>
        <v>249</v>
      </c>
      <c r="P227" s="13">
        <f t="shared" si="13"/>
        <v>164.39999999999998</v>
      </c>
      <c r="Q227" s="13" t="str">
        <f t="shared" si="14"/>
        <v/>
      </c>
      <c r="R227" s="13" t="str">
        <f t="shared" si="15"/>
        <v>Diskon</v>
      </c>
    </row>
    <row r="228" spans="1:18" x14ac:dyDescent="0.25">
      <c r="A228" s="13" t="s">
        <v>240</v>
      </c>
      <c r="B228" s="13" t="s">
        <v>2195</v>
      </c>
      <c r="C228" s="13" t="s">
        <v>2197</v>
      </c>
      <c r="D228" s="13" t="s">
        <v>2206</v>
      </c>
      <c r="E228" s="13" t="s">
        <v>2211</v>
      </c>
      <c r="F228" s="13" t="s">
        <v>2214</v>
      </c>
      <c r="G228" s="13">
        <v>130.12</v>
      </c>
      <c r="H228" s="13">
        <v>1.4</v>
      </c>
      <c r="I228" s="13">
        <v>128.30000000000001</v>
      </c>
      <c r="J228" s="24">
        <v>45875</v>
      </c>
      <c r="K228" s="13">
        <v>0</v>
      </c>
      <c r="L228" s="44">
        <v>5</v>
      </c>
      <c r="M228" s="13" t="b">
        <v>0</v>
      </c>
      <c r="O228" s="25">
        <f t="shared" si="12"/>
        <v>27</v>
      </c>
      <c r="P228" s="13">
        <f t="shared" si="13"/>
        <v>0</v>
      </c>
      <c r="Q228" s="13" t="str">
        <f t="shared" si="14"/>
        <v/>
      </c>
      <c r="R228" s="13" t="str">
        <f t="shared" si="15"/>
        <v>Diskon</v>
      </c>
    </row>
    <row r="229" spans="1:18" x14ac:dyDescent="0.25">
      <c r="A229" s="13" t="s">
        <v>241</v>
      </c>
      <c r="B229" s="13" t="s">
        <v>2194</v>
      </c>
      <c r="C229" s="13" t="s">
        <v>2200</v>
      </c>
      <c r="D229" s="13" t="s">
        <v>2204</v>
      </c>
      <c r="E229" s="13" t="s">
        <v>2212</v>
      </c>
      <c r="F229" s="13" t="s">
        <v>2216</v>
      </c>
      <c r="G229" s="13">
        <v>42.29</v>
      </c>
      <c r="H229" s="13">
        <v>15.8</v>
      </c>
      <c r="I229" s="13">
        <v>35.61</v>
      </c>
      <c r="J229" s="24">
        <v>45598</v>
      </c>
      <c r="K229" s="13">
        <v>11</v>
      </c>
      <c r="L229" s="44">
        <v>1.6</v>
      </c>
      <c r="M229" s="13" t="b">
        <v>0</v>
      </c>
      <c r="O229" s="25">
        <f t="shared" si="12"/>
        <v>304</v>
      </c>
      <c r="P229" s="13">
        <f t="shared" si="13"/>
        <v>173.8</v>
      </c>
      <c r="Q229" s="13" t="str">
        <f t="shared" si="14"/>
        <v/>
      </c>
      <c r="R229" s="13" t="str">
        <f t="shared" si="15"/>
        <v>Diskon</v>
      </c>
    </row>
    <row r="230" spans="1:18" x14ac:dyDescent="0.25">
      <c r="A230" s="13" t="s">
        <v>242</v>
      </c>
      <c r="B230" s="13" t="s">
        <v>2190</v>
      </c>
      <c r="C230" s="13" t="s">
        <v>2200</v>
      </c>
      <c r="D230" s="13" t="s">
        <v>2204</v>
      </c>
      <c r="E230" s="13" t="s">
        <v>2210</v>
      </c>
      <c r="F230" s="13" t="s">
        <v>2221</v>
      </c>
      <c r="G230" s="13">
        <v>191.54</v>
      </c>
      <c r="H230" s="13">
        <v>0</v>
      </c>
      <c r="I230" s="13">
        <v>191.54</v>
      </c>
      <c r="J230" s="24">
        <v>45575</v>
      </c>
      <c r="K230" s="13">
        <v>18</v>
      </c>
      <c r="L230" s="44">
        <v>1.2</v>
      </c>
      <c r="M230" s="13" t="b">
        <v>0</v>
      </c>
      <c r="O230" s="25">
        <f t="shared" si="12"/>
        <v>327</v>
      </c>
      <c r="P230" s="13">
        <f t="shared" si="13"/>
        <v>0</v>
      </c>
      <c r="Q230" s="13" t="str">
        <f t="shared" si="14"/>
        <v/>
      </c>
      <c r="R230" s="13" t="str">
        <f t="shared" si="15"/>
        <v>Non diskon</v>
      </c>
    </row>
    <row r="231" spans="1:18" x14ac:dyDescent="0.25">
      <c r="A231" s="13" t="s">
        <v>243</v>
      </c>
      <c r="B231" s="13" t="s">
        <v>2192</v>
      </c>
      <c r="C231" s="13" t="s">
        <v>2201</v>
      </c>
      <c r="D231" s="13" t="s">
        <v>2204</v>
      </c>
      <c r="F231" s="13" t="s">
        <v>2221</v>
      </c>
      <c r="G231" s="13">
        <v>42.23</v>
      </c>
      <c r="H231" s="13">
        <v>0</v>
      </c>
      <c r="I231" s="13">
        <v>42.23</v>
      </c>
      <c r="J231" s="24">
        <v>45852</v>
      </c>
      <c r="K231" s="13">
        <v>15</v>
      </c>
      <c r="L231" s="44">
        <v>3.2731707317073173</v>
      </c>
      <c r="M231" s="13" t="b">
        <v>0</v>
      </c>
      <c r="O231" s="25">
        <f t="shared" si="12"/>
        <v>50</v>
      </c>
      <c r="P231" s="13">
        <f t="shared" si="13"/>
        <v>0</v>
      </c>
      <c r="Q231" s="13" t="str">
        <f t="shared" si="14"/>
        <v/>
      </c>
      <c r="R231" s="13" t="str">
        <f t="shared" si="15"/>
        <v>Non diskon</v>
      </c>
    </row>
    <row r="232" spans="1:18" x14ac:dyDescent="0.25">
      <c r="A232" s="13" t="s">
        <v>244</v>
      </c>
      <c r="B232" s="13" t="s">
        <v>2193</v>
      </c>
      <c r="C232" s="13" t="s">
        <v>2200</v>
      </c>
      <c r="D232" s="13" t="s">
        <v>2207</v>
      </c>
      <c r="E232" s="13" t="s">
        <v>2210</v>
      </c>
      <c r="F232" s="13" t="s">
        <v>2218</v>
      </c>
      <c r="G232" s="13">
        <v>109.76</v>
      </c>
      <c r="H232" s="13">
        <v>0</v>
      </c>
      <c r="I232" s="13">
        <v>109.76</v>
      </c>
      <c r="J232" s="24">
        <v>45875</v>
      </c>
      <c r="K232" s="13">
        <v>16</v>
      </c>
      <c r="L232" s="44">
        <v>4.3</v>
      </c>
      <c r="M232" s="13" t="b">
        <v>0</v>
      </c>
      <c r="O232" s="25">
        <f t="shared" si="12"/>
        <v>27</v>
      </c>
      <c r="P232" s="13">
        <f t="shared" si="13"/>
        <v>0</v>
      </c>
      <c r="Q232" s="13" t="str">
        <f t="shared" si="14"/>
        <v/>
      </c>
      <c r="R232" s="13" t="str">
        <f t="shared" si="15"/>
        <v>Non diskon</v>
      </c>
    </row>
    <row r="233" spans="1:18" x14ac:dyDescent="0.25">
      <c r="A233" s="13" t="s">
        <v>245</v>
      </c>
      <c r="B233" s="13" t="s">
        <v>2192</v>
      </c>
      <c r="C233" s="13" t="s">
        <v>2199</v>
      </c>
      <c r="D233" s="13" t="s">
        <v>2207</v>
      </c>
      <c r="F233" s="13" t="s">
        <v>2214</v>
      </c>
      <c r="G233" s="13">
        <v>76.8</v>
      </c>
      <c r="H233" s="13">
        <v>43.3</v>
      </c>
      <c r="I233" s="13">
        <v>43.55</v>
      </c>
      <c r="J233" s="24">
        <v>45875</v>
      </c>
      <c r="K233" s="13">
        <v>24</v>
      </c>
      <c r="L233" s="44">
        <v>2.5131578947368416</v>
      </c>
      <c r="M233" s="13" t="b">
        <v>0</v>
      </c>
      <c r="O233" s="25">
        <f t="shared" si="12"/>
        <v>27</v>
      </c>
      <c r="P233" s="13">
        <f t="shared" si="13"/>
        <v>1039.1999999999998</v>
      </c>
      <c r="Q233" s="13" t="str">
        <f t="shared" si="14"/>
        <v/>
      </c>
      <c r="R233" s="13" t="str">
        <f t="shared" si="15"/>
        <v>Diskon</v>
      </c>
    </row>
    <row r="234" spans="1:18" x14ac:dyDescent="0.25">
      <c r="A234" s="13" t="s">
        <v>246</v>
      </c>
      <c r="B234" s="13" t="s">
        <v>2195</v>
      </c>
      <c r="C234" s="13" t="s">
        <v>2203</v>
      </c>
      <c r="D234" s="13" t="s">
        <v>2205</v>
      </c>
      <c r="F234" s="13" t="s">
        <v>2216</v>
      </c>
      <c r="G234" s="13">
        <v>56.34</v>
      </c>
      <c r="H234" s="13">
        <v>22.4</v>
      </c>
      <c r="I234" s="13">
        <v>43.72</v>
      </c>
      <c r="J234" s="24">
        <v>45875</v>
      </c>
      <c r="K234" s="13">
        <v>37</v>
      </c>
      <c r="L234" s="44">
        <v>2.5</v>
      </c>
      <c r="M234" s="13" t="b">
        <v>1</v>
      </c>
      <c r="N234" s="13" t="s">
        <v>2230</v>
      </c>
      <c r="O234" s="25">
        <f t="shared" si="12"/>
        <v>27</v>
      </c>
      <c r="P234" s="13">
        <f t="shared" si="13"/>
        <v>828.8</v>
      </c>
      <c r="Q234" s="13">
        <f t="shared" si="14"/>
        <v>1</v>
      </c>
      <c r="R234" s="13" t="str">
        <f t="shared" si="15"/>
        <v>Diskon</v>
      </c>
    </row>
    <row r="235" spans="1:18" x14ac:dyDescent="0.25">
      <c r="A235" s="13" t="s">
        <v>247</v>
      </c>
      <c r="B235" s="13" t="s">
        <v>2191</v>
      </c>
      <c r="C235" s="13" t="s">
        <v>2202</v>
      </c>
      <c r="D235" s="13" t="s">
        <v>2206</v>
      </c>
      <c r="F235" s="13" t="s">
        <v>2221</v>
      </c>
      <c r="G235" s="13">
        <v>88.41</v>
      </c>
      <c r="H235" s="13">
        <v>0</v>
      </c>
      <c r="I235" s="13">
        <v>88.41</v>
      </c>
      <c r="J235" s="24">
        <v>45875</v>
      </c>
      <c r="K235" s="13">
        <v>24</v>
      </c>
      <c r="L235" s="44">
        <v>4.4000000000000004</v>
      </c>
      <c r="M235" s="13" t="b">
        <v>0</v>
      </c>
      <c r="O235" s="25">
        <f t="shared" si="12"/>
        <v>27</v>
      </c>
      <c r="P235" s="13">
        <f t="shared" si="13"/>
        <v>0</v>
      </c>
      <c r="Q235" s="13" t="str">
        <f t="shared" si="14"/>
        <v/>
      </c>
      <c r="R235" s="13" t="str">
        <f t="shared" si="15"/>
        <v>Non diskon</v>
      </c>
    </row>
    <row r="236" spans="1:18" x14ac:dyDescent="0.25">
      <c r="A236" s="13" t="s">
        <v>248</v>
      </c>
      <c r="B236" s="13" t="s">
        <v>2191</v>
      </c>
      <c r="C236" s="13" t="s">
        <v>2202</v>
      </c>
      <c r="D236" s="13" t="s">
        <v>2204</v>
      </c>
      <c r="E236" s="13" t="s">
        <v>2210</v>
      </c>
      <c r="F236" s="13" t="s">
        <v>2216</v>
      </c>
      <c r="G236" s="13">
        <v>25.96</v>
      </c>
      <c r="H236" s="13">
        <v>0</v>
      </c>
      <c r="I236" s="13">
        <v>25.96</v>
      </c>
      <c r="J236" s="24">
        <v>45569</v>
      </c>
      <c r="K236" s="13">
        <v>2</v>
      </c>
      <c r="L236" s="44">
        <v>1.4</v>
      </c>
      <c r="M236" s="13" t="b">
        <v>0</v>
      </c>
      <c r="O236" s="25">
        <f t="shared" si="12"/>
        <v>333</v>
      </c>
      <c r="P236" s="13">
        <f t="shared" si="13"/>
        <v>0</v>
      </c>
      <c r="Q236" s="13" t="str">
        <f t="shared" si="14"/>
        <v/>
      </c>
      <c r="R236" s="13" t="str">
        <f t="shared" si="15"/>
        <v>Non diskon</v>
      </c>
    </row>
    <row r="237" spans="1:18" x14ac:dyDescent="0.25">
      <c r="A237" s="13" t="s">
        <v>249</v>
      </c>
      <c r="B237" s="13" t="s">
        <v>2194</v>
      </c>
      <c r="C237" s="13" t="s">
        <v>2196</v>
      </c>
      <c r="D237" s="13" t="s">
        <v>2204</v>
      </c>
      <c r="E237" s="13" t="s">
        <v>2211</v>
      </c>
      <c r="F237" s="13" t="s">
        <v>2214</v>
      </c>
      <c r="G237" s="13">
        <v>60.25</v>
      </c>
      <c r="H237" s="13">
        <v>0</v>
      </c>
      <c r="I237" s="13">
        <v>60.25</v>
      </c>
      <c r="J237" s="24">
        <v>45520</v>
      </c>
      <c r="K237" s="13">
        <v>25</v>
      </c>
      <c r="L237" s="44">
        <v>4.0999999999999996</v>
      </c>
      <c r="M237" s="13" t="b">
        <v>0</v>
      </c>
      <c r="O237" s="25">
        <f t="shared" si="12"/>
        <v>382</v>
      </c>
      <c r="P237" s="13">
        <f t="shared" si="13"/>
        <v>0</v>
      </c>
      <c r="Q237" s="13" t="str">
        <f t="shared" si="14"/>
        <v/>
      </c>
      <c r="R237" s="13" t="str">
        <f t="shared" si="15"/>
        <v>Non diskon</v>
      </c>
    </row>
    <row r="238" spans="1:18" x14ac:dyDescent="0.25">
      <c r="A238" s="13" t="s">
        <v>250</v>
      </c>
      <c r="B238" s="13" t="s">
        <v>2192</v>
      </c>
      <c r="C238" s="13" t="s">
        <v>2200</v>
      </c>
      <c r="D238" s="13" t="s">
        <v>2206</v>
      </c>
      <c r="F238" s="13" t="s">
        <v>2214</v>
      </c>
      <c r="G238" s="13">
        <v>52.33</v>
      </c>
      <c r="H238" s="13">
        <v>19.100000000000001</v>
      </c>
      <c r="I238" s="13">
        <v>42.33</v>
      </c>
      <c r="J238" s="24">
        <v>45875</v>
      </c>
      <c r="K238" s="13">
        <v>4</v>
      </c>
      <c r="L238" s="44">
        <v>2.7333333333333334</v>
      </c>
      <c r="M238" s="13" t="b">
        <v>0</v>
      </c>
      <c r="O238" s="25">
        <f t="shared" si="12"/>
        <v>27</v>
      </c>
      <c r="P238" s="13">
        <f t="shared" si="13"/>
        <v>76.400000000000006</v>
      </c>
      <c r="Q238" s="13" t="str">
        <f t="shared" si="14"/>
        <v/>
      </c>
      <c r="R238" s="13" t="str">
        <f t="shared" si="15"/>
        <v>Diskon</v>
      </c>
    </row>
    <row r="239" spans="1:18" x14ac:dyDescent="0.25">
      <c r="A239" s="13" t="s">
        <v>251</v>
      </c>
      <c r="B239" s="13" t="s">
        <v>2192</v>
      </c>
      <c r="C239" s="13" t="s">
        <v>2199</v>
      </c>
      <c r="D239" s="13" t="s">
        <v>2206</v>
      </c>
      <c r="F239" s="13" t="s">
        <v>2217</v>
      </c>
      <c r="G239" s="13">
        <v>67.61</v>
      </c>
      <c r="H239" s="13">
        <v>0</v>
      </c>
      <c r="I239" s="13">
        <v>67.61</v>
      </c>
      <c r="J239" s="24">
        <v>45875</v>
      </c>
      <c r="K239" s="13">
        <v>14</v>
      </c>
      <c r="L239" s="44">
        <v>1.8</v>
      </c>
      <c r="M239" s="13" t="b">
        <v>0</v>
      </c>
      <c r="O239" s="25">
        <f t="shared" si="12"/>
        <v>27</v>
      </c>
      <c r="P239" s="13">
        <f t="shared" si="13"/>
        <v>0</v>
      </c>
      <c r="Q239" s="13" t="str">
        <f t="shared" si="14"/>
        <v/>
      </c>
      <c r="R239" s="13" t="str">
        <f t="shared" si="15"/>
        <v>Non diskon</v>
      </c>
    </row>
    <row r="240" spans="1:18" x14ac:dyDescent="0.25">
      <c r="A240" s="13" t="s">
        <v>252</v>
      </c>
      <c r="B240" s="13" t="s">
        <v>2193</v>
      </c>
      <c r="C240" s="13" t="s">
        <v>2203</v>
      </c>
      <c r="D240" s="13" t="s">
        <v>2204</v>
      </c>
      <c r="E240" s="13" t="s">
        <v>2209</v>
      </c>
      <c r="F240" s="13" t="s">
        <v>2224</v>
      </c>
      <c r="G240" s="13">
        <v>136</v>
      </c>
      <c r="H240" s="13">
        <v>0</v>
      </c>
      <c r="I240" s="13">
        <v>136</v>
      </c>
      <c r="J240" s="24">
        <v>45870</v>
      </c>
      <c r="K240" s="13">
        <v>46</v>
      </c>
      <c r="L240" s="44">
        <v>4.5</v>
      </c>
      <c r="M240" s="13" t="b">
        <v>0</v>
      </c>
      <c r="O240" s="25">
        <f t="shared" si="12"/>
        <v>32</v>
      </c>
      <c r="P240" s="13">
        <f t="shared" si="13"/>
        <v>0</v>
      </c>
      <c r="Q240" s="13" t="str">
        <f t="shared" si="14"/>
        <v/>
      </c>
      <c r="R240" s="13" t="str">
        <f t="shared" si="15"/>
        <v>Non diskon</v>
      </c>
    </row>
    <row r="241" spans="1:18" x14ac:dyDescent="0.25">
      <c r="A241" s="13" t="s">
        <v>253</v>
      </c>
      <c r="B241" s="13" t="s">
        <v>2193</v>
      </c>
      <c r="C241" s="13" t="s">
        <v>2196</v>
      </c>
      <c r="D241" s="13" t="s">
        <v>2206</v>
      </c>
      <c r="F241" s="13" t="s">
        <v>2224</v>
      </c>
      <c r="G241" s="13">
        <v>74.48</v>
      </c>
      <c r="H241" s="13">
        <v>0</v>
      </c>
      <c r="I241" s="13">
        <v>74.48</v>
      </c>
      <c r="J241" s="24">
        <v>45875</v>
      </c>
      <c r="K241" s="13">
        <v>24</v>
      </c>
      <c r="L241" s="44">
        <v>3.7</v>
      </c>
      <c r="M241" s="13" t="b">
        <v>0</v>
      </c>
      <c r="O241" s="25">
        <f t="shared" si="12"/>
        <v>27</v>
      </c>
      <c r="P241" s="13">
        <f t="shared" si="13"/>
        <v>0</v>
      </c>
      <c r="Q241" s="13" t="str">
        <f t="shared" si="14"/>
        <v/>
      </c>
      <c r="R241" s="13" t="str">
        <f t="shared" si="15"/>
        <v>Non diskon</v>
      </c>
    </row>
    <row r="242" spans="1:18" x14ac:dyDescent="0.25">
      <c r="A242" s="13" t="s">
        <v>254</v>
      </c>
      <c r="B242" s="13" t="s">
        <v>2195</v>
      </c>
      <c r="C242" s="13" t="s">
        <v>2203</v>
      </c>
      <c r="D242" s="13" t="s">
        <v>2206</v>
      </c>
      <c r="E242" s="13" t="s">
        <v>2212</v>
      </c>
      <c r="F242" s="13" t="s">
        <v>2215</v>
      </c>
      <c r="G242" s="13">
        <v>101.39</v>
      </c>
      <c r="H242" s="13">
        <v>0</v>
      </c>
      <c r="I242" s="13">
        <v>101.39</v>
      </c>
      <c r="J242" s="24">
        <v>45875</v>
      </c>
      <c r="K242" s="13">
        <v>33</v>
      </c>
      <c r="L242" s="44">
        <v>2.4</v>
      </c>
      <c r="M242" s="13" t="b">
        <v>1</v>
      </c>
      <c r="N242" s="13" t="s">
        <v>2226</v>
      </c>
      <c r="O242" s="25">
        <f t="shared" si="12"/>
        <v>27</v>
      </c>
      <c r="P242" s="13">
        <f t="shared" si="13"/>
        <v>0</v>
      </c>
      <c r="Q242" s="13">
        <f t="shared" si="14"/>
        <v>1</v>
      </c>
      <c r="R242" s="13" t="str">
        <f t="shared" si="15"/>
        <v>Non diskon</v>
      </c>
    </row>
    <row r="243" spans="1:18" x14ac:dyDescent="0.25">
      <c r="A243" s="13" t="s">
        <v>255</v>
      </c>
      <c r="B243" s="13" t="s">
        <v>2195</v>
      </c>
      <c r="C243" s="13" t="s">
        <v>2203</v>
      </c>
      <c r="D243" s="13" t="s">
        <v>2206</v>
      </c>
      <c r="E243" s="13" t="s">
        <v>2211</v>
      </c>
      <c r="F243" s="13" t="s">
        <v>2220</v>
      </c>
      <c r="G243" s="13">
        <v>169.68</v>
      </c>
      <c r="H243" s="13">
        <v>41.7</v>
      </c>
      <c r="I243" s="13">
        <v>98.92</v>
      </c>
      <c r="J243" s="24">
        <v>45875</v>
      </c>
      <c r="K243" s="13">
        <v>43</v>
      </c>
      <c r="L243" s="44">
        <v>4.5999999999999996</v>
      </c>
      <c r="M243" s="13" t="b">
        <v>0</v>
      </c>
      <c r="O243" s="25">
        <f t="shared" si="12"/>
        <v>27</v>
      </c>
      <c r="P243" s="13">
        <f t="shared" si="13"/>
        <v>1793.1000000000001</v>
      </c>
      <c r="Q243" s="13" t="str">
        <f t="shared" si="14"/>
        <v/>
      </c>
      <c r="R243" s="13" t="str">
        <f t="shared" si="15"/>
        <v>Diskon</v>
      </c>
    </row>
    <row r="244" spans="1:18" x14ac:dyDescent="0.25">
      <c r="A244" s="13" t="s">
        <v>256</v>
      </c>
      <c r="B244" s="13" t="s">
        <v>2192</v>
      </c>
      <c r="C244" s="13" t="s">
        <v>2203</v>
      </c>
      <c r="D244" s="13" t="s">
        <v>2205</v>
      </c>
      <c r="F244" s="13" t="s">
        <v>2223</v>
      </c>
      <c r="G244" s="13">
        <v>52.45</v>
      </c>
      <c r="H244" s="13">
        <v>0</v>
      </c>
      <c r="I244" s="13">
        <v>52.45</v>
      </c>
      <c r="J244" s="24">
        <v>45875</v>
      </c>
      <c r="K244" s="13">
        <v>34</v>
      </c>
      <c r="L244" s="44">
        <v>2.1</v>
      </c>
      <c r="M244" s="13" t="b">
        <v>0</v>
      </c>
      <c r="O244" s="25">
        <f t="shared" si="12"/>
        <v>27</v>
      </c>
      <c r="P244" s="13">
        <f t="shared" si="13"/>
        <v>0</v>
      </c>
      <c r="Q244" s="13" t="str">
        <f t="shared" si="14"/>
        <v/>
      </c>
      <c r="R244" s="13" t="str">
        <f t="shared" si="15"/>
        <v>Non diskon</v>
      </c>
    </row>
    <row r="245" spans="1:18" x14ac:dyDescent="0.25">
      <c r="A245" s="13" t="s">
        <v>257</v>
      </c>
      <c r="B245" s="13" t="s">
        <v>2193</v>
      </c>
      <c r="C245" s="13" t="s">
        <v>2197</v>
      </c>
      <c r="D245" s="13" t="s">
        <v>2207</v>
      </c>
      <c r="E245" s="13" t="s">
        <v>2211</v>
      </c>
      <c r="F245" s="13" t="s">
        <v>2215</v>
      </c>
      <c r="G245" s="13">
        <v>153.85</v>
      </c>
      <c r="H245" s="13">
        <v>47.6</v>
      </c>
      <c r="I245" s="13">
        <v>80.62</v>
      </c>
      <c r="J245" s="24">
        <v>45875</v>
      </c>
      <c r="K245" s="13">
        <v>12</v>
      </c>
      <c r="L245" s="44">
        <v>3.1</v>
      </c>
      <c r="M245" s="13" t="b">
        <v>0</v>
      </c>
      <c r="O245" s="25">
        <f t="shared" si="12"/>
        <v>27</v>
      </c>
      <c r="P245" s="13">
        <f t="shared" si="13"/>
        <v>571.20000000000005</v>
      </c>
      <c r="Q245" s="13" t="str">
        <f t="shared" si="14"/>
        <v/>
      </c>
      <c r="R245" s="13" t="str">
        <f t="shared" si="15"/>
        <v>Diskon</v>
      </c>
    </row>
    <row r="246" spans="1:18" x14ac:dyDescent="0.25">
      <c r="A246" s="13" t="s">
        <v>258</v>
      </c>
      <c r="B246" s="13" t="s">
        <v>2194</v>
      </c>
      <c r="C246" s="13" t="s">
        <v>2199</v>
      </c>
      <c r="D246" s="13" t="s">
        <v>2206</v>
      </c>
      <c r="E246" s="13" t="s">
        <v>2213</v>
      </c>
      <c r="F246" s="13" t="s">
        <v>2224</v>
      </c>
      <c r="G246" s="13">
        <v>32.700000000000003</v>
      </c>
      <c r="H246" s="13">
        <v>50.5</v>
      </c>
      <c r="I246" s="13">
        <v>16.190000000000001</v>
      </c>
      <c r="J246" s="24">
        <v>45875</v>
      </c>
      <c r="K246" s="13">
        <v>46</v>
      </c>
      <c r="L246" s="44">
        <v>1.3</v>
      </c>
      <c r="M246" s="13" t="b">
        <v>0</v>
      </c>
      <c r="O246" s="25">
        <f t="shared" si="12"/>
        <v>27</v>
      </c>
      <c r="P246" s="13">
        <f t="shared" si="13"/>
        <v>2323</v>
      </c>
      <c r="Q246" s="13" t="str">
        <f t="shared" si="14"/>
        <v/>
      </c>
      <c r="R246" s="13" t="str">
        <f t="shared" si="15"/>
        <v>Diskon</v>
      </c>
    </row>
    <row r="247" spans="1:18" x14ac:dyDescent="0.25">
      <c r="A247" s="13" t="s">
        <v>259</v>
      </c>
      <c r="B247" s="13" t="s">
        <v>2190</v>
      </c>
      <c r="C247" s="13" t="s">
        <v>2197</v>
      </c>
      <c r="D247" s="13" t="s">
        <v>2206</v>
      </c>
      <c r="E247" s="13" t="s">
        <v>2209</v>
      </c>
      <c r="F247" s="13" t="s">
        <v>2222</v>
      </c>
      <c r="G247" s="13">
        <v>104.27</v>
      </c>
      <c r="H247" s="13">
        <v>54.6</v>
      </c>
      <c r="I247" s="13">
        <v>47.34</v>
      </c>
      <c r="J247" s="24">
        <v>45875</v>
      </c>
      <c r="K247" s="13">
        <v>42</v>
      </c>
      <c r="L247" s="44">
        <v>4.2</v>
      </c>
      <c r="M247" s="13" t="b">
        <v>0</v>
      </c>
      <c r="O247" s="25">
        <f t="shared" si="12"/>
        <v>27</v>
      </c>
      <c r="P247" s="13">
        <f t="shared" si="13"/>
        <v>2293.2000000000003</v>
      </c>
      <c r="Q247" s="13" t="str">
        <f t="shared" si="14"/>
        <v/>
      </c>
      <c r="R247" s="13" t="str">
        <f t="shared" si="15"/>
        <v>Diskon</v>
      </c>
    </row>
    <row r="248" spans="1:18" x14ac:dyDescent="0.25">
      <c r="A248" s="13" t="s">
        <v>260</v>
      </c>
      <c r="B248" s="13" t="s">
        <v>2195</v>
      </c>
      <c r="C248" s="13" t="s">
        <v>2203</v>
      </c>
      <c r="D248" s="13" t="s">
        <v>2207</v>
      </c>
      <c r="E248" s="13" t="s">
        <v>2213</v>
      </c>
      <c r="F248" s="13" t="s">
        <v>2218</v>
      </c>
      <c r="G248" s="13">
        <v>80.040000000000006</v>
      </c>
      <c r="H248" s="13">
        <v>50.9</v>
      </c>
      <c r="I248" s="13">
        <v>39.299999999999997</v>
      </c>
      <c r="J248" s="24">
        <v>45875</v>
      </c>
      <c r="K248" s="13">
        <v>45</v>
      </c>
      <c r="L248" s="44">
        <v>2.9636363636363638</v>
      </c>
      <c r="M248" s="13" t="b">
        <v>0</v>
      </c>
      <c r="O248" s="25">
        <f t="shared" si="12"/>
        <v>27</v>
      </c>
      <c r="P248" s="13">
        <f t="shared" si="13"/>
        <v>2290.5</v>
      </c>
      <c r="Q248" s="13" t="str">
        <f t="shared" si="14"/>
        <v/>
      </c>
      <c r="R248" s="13" t="str">
        <f t="shared" si="15"/>
        <v>Diskon</v>
      </c>
    </row>
    <row r="249" spans="1:18" x14ac:dyDescent="0.25">
      <c r="A249" s="13" t="s">
        <v>261</v>
      </c>
      <c r="B249" s="13" t="s">
        <v>2194</v>
      </c>
      <c r="C249" s="13" t="s">
        <v>2198</v>
      </c>
      <c r="D249" s="13" t="s">
        <v>2204</v>
      </c>
      <c r="E249" s="13" t="s">
        <v>2213</v>
      </c>
      <c r="F249" s="13" t="s">
        <v>2216</v>
      </c>
      <c r="G249" s="13">
        <v>72.069999999999993</v>
      </c>
      <c r="H249" s="13">
        <v>0</v>
      </c>
      <c r="I249" s="13">
        <v>72.069999999999993</v>
      </c>
      <c r="J249" s="24">
        <v>45785</v>
      </c>
      <c r="K249" s="13">
        <v>20</v>
      </c>
      <c r="L249" s="44">
        <v>3.0384615384615379</v>
      </c>
      <c r="M249" s="13" t="b">
        <v>1</v>
      </c>
      <c r="N249" s="13" t="s">
        <v>2225</v>
      </c>
      <c r="O249" s="25">
        <f t="shared" si="12"/>
        <v>117</v>
      </c>
      <c r="P249" s="13">
        <f t="shared" si="13"/>
        <v>0</v>
      </c>
      <c r="Q249" s="13">
        <f t="shared" si="14"/>
        <v>1</v>
      </c>
      <c r="R249" s="13" t="str">
        <f t="shared" si="15"/>
        <v>Non diskon</v>
      </c>
    </row>
    <row r="250" spans="1:18" x14ac:dyDescent="0.25">
      <c r="A250" s="13" t="s">
        <v>262</v>
      </c>
      <c r="B250" s="13" t="s">
        <v>2190</v>
      </c>
      <c r="C250" s="13" t="s">
        <v>2196</v>
      </c>
      <c r="D250" s="13" t="s">
        <v>2206</v>
      </c>
      <c r="E250" s="13" t="s">
        <v>2213</v>
      </c>
      <c r="F250" s="13" t="s">
        <v>2220</v>
      </c>
      <c r="G250" s="13">
        <v>220.99</v>
      </c>
      <c r="H250" s="13">
        <v>0</v>
      </c>
      <c r="I250" s="13">
        <v>220.99</v>
      </c>
      <c r="J250" s="24">
        <v>45875</v>
      </c>
      <c r="K250" s="13">
        <v>42</v>
      </c>
      <c r="L250" s="44">
        <v>3.6</v>
      </c>
      <c r="M250" s="13" t="b">
        <v>0</v>
      </c>
      <c r="O250" s="25">
        <f t="shared" si="12"/>
        <v>27</v>
      </c>
      <c r="P250" s="13">
        <f t="shared" si="13"/>
        <v>0</v>
      </c>
      <c r="Q250" s="13" t="str">
        <f t="shared" si="14"/>
        <v/>
      </c>
      <c r="R250" s="13" t="str">
        <f t="shared" si="15"/>
        <v>Non diskon</v>
      </c>
    </row>
    <row r="251" spans="1:18" x14ac:dyDescent="0.25">
      <c r="A251" s="13" t="s">
        <v>263</v>
      </c>
      <c r="B251" s="13" t="s">
        <v>2190</v>
      </c>
      <c r="C251" s="13" t="s">
        <v>2197</v>
      </c>
      <c r="D251" s="13" t="s">
        <v>2206</v>
      </c>
      <c r="E251" s="13" t="s">
        <v>2212</v>
      </c>
      <c r="F251" s="13" t="s">
        <v>2216</v>
      </c>
      <c r="G251" s="13">
        <v>117.36</v>
      </c>
      <c r="H251" s="13">
        <v>14.6</v>
      </c>
      <c r="I251" s="13">
        <v>100.23</v>
      </c>
      <c r="J251" s="24">
        <v>45875</v>
      </c>
      <c r="K251" s="13">
        <v>33</v>
      </c>
      <c r="L251" s="44">
        <v>3.15</v>
      </c>
      <c r="M251" s="13" t="b">
        <v>1</v>
      </c>
      <c r="N251" s="13" t="s">
        <v>2226</v>
      </c>
      <c r="O251" s="25">
        <f t="shared" si="12"/>
        <v>27</v>
      </c>
      <c r="P251" s="13">
        <f t="shared" si="13"/>
        <v>481.8</v>
      </c>
      <c r="Q251" s="13">
        <f t="shared" si="14"/>
        <v>1</v>
      </c>
      <c r="R251" s="13" t="str">
        <f t="shared" si="15"/>
        <v>Diskon</v>
      </c>
    </row>
    <row r="252" spans="1:18" x14ac:dyDescent="0.25">
      <c r="A252" s="13" t="s">
        <v>264</v>
      </c>
      <c r="B252" s="13" t="s">
        <v>2190</v>
      </c>
      <c r="C252" s="13" t="s">
        <v>2198</v>
      </c>
      <c r="D252" s="13" t="s">
        <v>2204</v>
      </c>
      <c r="E252" s="13" t="s">
        <v>2209</v>
      </c>
      <c r="F252" s="13" t="s">
        <v>2222</v>
      </c>
      <c r="G252" s="13">
        <v>198.76</v>
      </c>
      <c r="H252" s="13">
        <v>48.8</v>
      </c>
      <c r="I252" s="13">
        <v>101.77</v>
      </c>
      <c r="J252" s="24">
        <v>45773</v>
      </c>
      <c r="K252" s="13">
        <v>36</v>
      </c>
      <c r="L252" s="44">
        <v>3</v>
      </c>
      <c r="M252" s="13" t="b">
        <v>0</v>
      </c>
      <c r="O252" s="25">
        <f t="shared" si="12"/>
        <v>129</v>
      </c>
      <c r="P252" s="13">
        <f t="shared" si="13"/>
        <v>1756.8</v>
      </c>
      <c r="Q252" s="13" t="str">
        <f t="shared" si="14"/>
        <v/>
      </c>
      <c r="R252" s="13" t="str">
        <f t="shared" si="15"/>
        <v>Diskon</v>
      </c>
    </row>
    <row r="253" spans="1:18" x14ac:dyDescent="0.25">
      <c r="A253" s="13" t="s">
        <v>265</v>
      </c>
      <c r="B253" s="13" t="s">
        <v>2190</v>
      </c>
      <c r="C253" s="13" t="s">
        <v>2200</v>
      </c>
      <c r="D253" s="13" t="s">
        <v>2206</v>
      </c>
      <c r="E253" s="13" t="s">
        <v>2209</v>
      </c>
      <c r="F253" s="13" t="s">
        <v>2216</v>
      </c>
      <c r="G253" s="13">
        <v>121.03</v>
      </c>
      <c r="H253" s="13">
        <v>0</v>
      </c>
      <c r="I253" s="13">
        <v>121.03</v>
      </c>
      <c r="J253" s="24">
        <v>45875</v>
      </c>
      <c r="K253" s="13">
        <v>14</v>
      </c>
      <c r="L253" s="44">
        <v>1.6</v>
      </c>
      <c r="M253" s="13" t="b">
        <v>1</v>
      </c>
      <c r="N253" s="13" t="s">
        <v>2229</v>
      </c>
      <c r="O253" s="25">
        <f t="shared" si="12"/>
        <v>27</v>
      </c>
      <c r="P253" s="13">
        <f t="shared" si="13"/>
        <v>0</v>
      </c>
      <c r="Q253" s="13">
        <f t="shared" si="14"/>
        <v>1</v>
      </c>
      <c r="R253" s="13" t="str">
        <f t="shared" si="15"/>
        <v>Non diskon</v>
      </c>
    </row>
    <row r="254" spans="1:18" x14ac:dyDescent="0.25">
      <c r="A254" s="13" t="s">
        <v>266</v>
      </c>
      <c r="B254" s="13" t="s">
        <v>2191</v>
      </c>
      <c r="C254" s="13" t="s">
        <v>2200</v>
      </c>
      <c r="D254" s="13" t="s">
        <v>2206</v>
      </c>
      <c r="E254" s="13" t="s">
        <v>2209</v>
      </c>
      <c r="F254" s="13" t="s">
        <v>2217</v>
      </c>
      <c r="G254" s="13">
        <v>88.62</v>
      </c>
      <c r="H254" s="13">
        <v>0</v>
      </c>
      <c r="I254" s="13">
        <v>88.62</v>
      </c>
      <c r="J254" s="24">
        <v>45875</v>
      </c>
      <c r="K254" s="13">
        <v>48</v>
      </c>
      <c r="L254" s="44">
        <v>2.4</v>
      </c>
      <c r="M254" s="13" t="b">
        <v>0</v>
      </c>
      <c r="O254" s="25">
        <f t="shared" si="12"/>
        <v>27</v>
      </c>
      <c r="P254" s="13">
        <f t="shared" si="13"/>
        <v>0</v>
      </c>
      <c r="Q254" s="13" t="str">
        <f t="shared" si="14"/>
        <v/>
      </c>
      <c r="R254" s="13" t="str">
        <f t="shared" si="15"/>
        <v>Non diskon</v>
      </c>
    </row>
    <row r="255" spans="1:18" x14ac:dyDescent="0.25">
      <c r="A255" s="13" t="s">
        <v>267</v>
      </c>
      <c r="B255" s="13" t="s">
        <v>2193</v>
      </c>
      <c r="C255" s="13" t="s">
        <v>2200</v>
      </c>
      <c r="D255" s="13" t="s">
        <v>2207</v>
      </c>
      <c r="E255" s="13" t="s">
        <v>2208</v>
      </c>
      <c r="F255" s="13" t="s">
        <v>2220</v>
      </c>
      <c r="G255" s="13">
        <v>88.94</v>
      </c>
      <c r="H255" s="13">
        <v>0</v>
      </c>
      <c r="I255" s="13">
        <v>88.94</v>
      </c>
      <c r="J255" s="24">
        <v>45875</v>
      </c>
      <c r="K255" s="13">
        <v>29</v>
      </c>
      <c r="L255" s="44">
        <v>3.9</v>
      </c>
      <c r="M255" s="13" t="b">
        <v>0</v>
      </c>
      <c r="O255" s="25">
        <f t="shared" si="12"/>
        <v>27</v>
      </c>
      <c r="P255" s="13">
        <f t="shared" si="13"/>
        <v>0</v>
      </c>
      <c r="Q255" s="13" t="str">
        <f t="shared" si="14"/>
        <v/>
      </c>
      <c r="R255" s="13" t="str">
        <f t="shared" si="15"/>
        <v>Non diskon</v>
      </c>
    </row>
    <row r="256" spans="1:18" x14ac:dyDescent="0.25">
      <c r="A256" s="13" t="s">
        <v>268</v>
      </c>
      <c r="B256" s="13" t="s">
        <v>2194</v>
      </c>
      <c r="C256" s="13" t="s">
        <v>2196</v>
      </c>
      <c r="D256" s="13" t="s">
        <v>2205</v>
      </c>
      <c r="E256" s="13" t="s">
        <v>2210</v>
      </c>
      <c r="F256" s="13" t="s">
        <v>2216</v>
      </c>
      <c r="G256" s="13">
        <v>115.7</v>
      </c>
      <c r="H256" s="13">
        <v>17.8</v>
      </c>
      <c r="I256" s="13">
        <v>95.11</v>
      </c>
      <c r="J256" s="24">
        <v>45875</v>
      </c>
      <c r="K256" s="13">
        <v>32</v>
      </c>
      <c r="L256" s="44">
        <v>1.7</v>
      </c>
      <c r="M256" s="13" t="b">
        <v>0</v>
      </c>
      <c r="O256" s="25">
        <f t="shared" si="12"/>
        <v>27</v>
      </c>
      <c r="P256" s="13">
        <f t="shared" si="13"/>
        <v>569.6</v>
      </c>
      <c r="Q256" s="13" t="str">
        <f t="shared" si="14"/>
        <v/>
      </c>
      <c r="R256" s="13" t="str">
        <f t="shared" si="15"/>
        <v>Diskon</v>
      </c>
    </row>
    <row r="257" spans="1:18" x14ac:dyDescent="0.25">
      <c r="A257" s="13" t="s">
        <v>269</v>
      </c>
      <c r="B257" s="13" t="s">
        <v>2194</v>
      </c>
      <c r="C257" s="13" t="s">
        <v>2203</v>
      </c>
      <c r="D257" s="13" t="s">
        <v>2206</v>
      </c>
      <c r="E257" s="13" t="s">
        <v>2211</v>
      </c>
      <c r="F257" s="13" t="s">
        <v>2216</v>
      </c>
      <c r="G257" s="13">
        <v>75.66</v>
      </c>
      <c r="H257" s="13">
        <v>0</v>
      </c>
      <c r="I257" s="13">
        <v>75.66</v>
      </c>
      <c r="J257" s="24">
        <v>45875</v>
      </c>
      <c r="K257" s="13">
        <v>20</v>
      </c>
      <c r="L257" s="44">
        <v>3</v>
      </c>
      <c r="M257" s="13" t="b">
        <v>0</v>
      </c>
      <c r="O257" s="25">
        <f t="shared" si="12"/>
        <v>27</v>
      </c>
      <c r="P257" s="13">
        <f t="shared" si="13"/>
        <v>0</v>
      </c>
      <c r="Q257" s="13" t="str">
        <f t="shared" si="14"/>
        <v/>
      </c>
      <c r="R257" s="13" t="str">
        <f t="shared" si="15"/>
        <v>Non diskon</v>
      </c>
    </row>
    <row r="258" spans="1:18" x14ac:dyDescent="0.25">
      <c r="A258" s="13" t="s">
        <v>270</v>
      </c>
      <c r="B258" s="13" t="s">
        <v>2192</v>
      </c>
      <c r="C258" s="13" t="s">
        <v>2201</v>
      </c>
      <c r="D258" s="13" t="s">
        <v>2205</v>
      </c>
      <c r="F258" s="13" t="s">
        <v>2220</v>
      </c>
      <c r="G258" s="13">
        <v>42.11</v>
      </c>
      <c r="H258" s="13">
        <v>0</v>
      </c>
      <c r="I258" s="13">
        <v>42.11</v>
      </c>
      <c r="J258" s="24">
        <v>45875</v>
      </c>
      <c r="K258" s="13">
        <v>26</v>
      </c>
      <c r="L258" s="44">
        <v>4</v>
      </c>
      <c r="M258" s="13" t="b">
        <v>0</v>
      </c>
      <c r="O258" s="25">
        <f t="shared" si="12"/>
        <v>27</v>
      </c>
      <c r="P258" s="13">
        <f t="shared" si="13"/>
        <v>0</v>
      </c>
      <c r="Q258" s="13" t="str">
        <f t="shared" si="14"/>
        <v/>
      </c>
      <c r="R258" s="13" t="str">
        <f t="shared" si="15"/>
        <v>Non diskon</v>
      </c>
    </row>
    <row r="259" spans="1:18" x14ac:dyDescent="0.25">
      <c r="A259" s="13" t="s">
        <v>271</v>
      </c>
      <c r="B259" s="13" t="s">
        <v>2190</v>
      </c>
      <c r="C259" s="13" t="s">
        <v>2200</v>
      </c>
      <c r="D259" s="13" t="s">
        <v>2204</v>
      </c>
      <c r="E259" s="13" t="s">
        <v>2211</v>
      </c>
      <c r="F259" s="13" t="s">
        <v>2221</v>
      </c>
      <c r="G259" s="13">
        <v>247.9</v>
      </c>
      <c r="H259" s="13">
        <v>4.3</v>
      </c>
      <c r="I259" s="13">
        <v>237.24</v>
      </c>
      <c r="J259" s="24">
        <v>45651</v>
      </c>
      <c r="K259" s="13">
        <v>25</v>
      </c>
      <c r="L259" s="44">
        <v>4.5999999999999996</v>
      </c>
      <c r="M259" s="13" t="b">
        <v>0</v>
      </c>
      <c r="O259" s="25">
        <f t="shared" ref="O259:O322" si="16">DATE(2025,9,2)-J259</f>
        <v>251</v>
      </c>
      <c r="P259" s="13">
        <f t="shared" ref="P259:P322" si="17">H259*K259</f>
        <v>107.5</v>
      </c>
      <c r="Q259" s="13" t="str">
        <f t="shared" ref="Q259:Q322" si="18">IF(M259=FALSE,"",1)</f>
        <v/>
      </c>
      <c r="R259" s="13" t="str">
        <f t="shared" ref="R259:R322" si="19">IF(H259=0,"Non diskon","Diskon")</f>
        <v>Diskon</v>
      </c>
    </row>
    <row r="260" spans="1:18" x14ac:dyDescent="0.25">
      <c r="A260" s="13" t="s">
        <v>272</v>
      </c>
      <c r="B260" s="13" t="s">
        <v>2193</v>
      </c>
      <c r="C260" s="13" t="s">
        <v>2198</v>
      </c>
      <c r="D260" s="13" t="s">
        <v>2204</v>
      </c>
      <c r="E260" s="13" t="s">
        <v>2208</v>
      </c>
      <c r="F260" s="13" t="s">
        <v>2221</v>
      </c>
      <c r="G260" s="13">
        <v>143.44999999999999</v>
      </c>
      <c r="H260" s="13">
        <v>0</v>
      </c>
      <c r="I260" s="13">
        <v>143.44999999999999</v>
      </c>
      <c r="J260" s="24">
        <v>45562</v>
      </c>
      <c r="K260" s="13">
        <v>39</v>
      </c>
      <c r="L260" s="44">
        <v>3.1936170212765949</v>
      </c>
      <c r="M260" s="13" t="b">
        <v>1</v>
      </c>
      <c r="N260" s="13" t="s">
        <v>2228</v>
      </c>
      <c r="O260" s="25">
        <f t="shared" si="16"/>
        <v>340</v>
      </c>
      <c r="P260" s="13">
        <f t="shared" si="17"/>
        <v>0</v>
      </c>
      <c r="Q260" s="13">
        <f t="shared" si="18"/>
        <v>1</v>
      </c>
      <c r="R260" s="13" t="str">
        <f t="shared" si="19"/>
        <v>Non diskon</v>
      </c>
    </row>
    <row r="261" spans="1:18" x14ac:dyDescent="0.25">
      <c r="A261" s="13" t="s">
        <v>273</v>
      </c>
      <c r="B261" s="13" t="s">
        <v>2192</v>
      </c>
      <c r="C261" s="13" t="s">
        <v>2198</v>
      </c>
      <c r="D261" s="13" t="s">
        <v>2205</v>
      </c>
      <c r="F261" s="13" t="s">
        <v>2221</v>
      </c>
      <c r="G261" s="13">
        <v>24.96</v>
      </c>
      <c r="H261" s="13">
        <v>44.7</v>
      </c>
      <c r="I261" s="13">
        <v>13.8</v>
      </c>
      <c r="J261" s="24">
        <v>45875</v>
      </c>
      <c r="K261" s="13">
        <v>44</v>
      </c>
      <c r="L261" s="44">
        <v>2.8694444444444449</v>
      </c>
      <c r="M261" s="13" t="b">
        <v>0</v>
      </c>
      <c r="O261" s="25">
        <f t="shared" si="16"/>
        <v>27</v>
      </c>
      <c r="P261" s="13">
        <f t="shared" si="17"/>
        <v>1966.8000000000002</v>
      </c>
      <c r="Q261" s="13" t="str">
        <f t="shared" si="18"/>
        <v/>
      </c>
      <c r="R261" s="13" t="str">
        <f t="shared" si="19"/>
        <v>Diskon</v>
      </c>
    </row>
    <row r="262" spans="1:18" x14ac:dyDescent="0.25">
      <c r="A262" s="13" t="s">
        <v>274</v>
      </c>
      <c r="B262" s="13" t="s">
        <v>2190</v>
      </c>
      <c r="C262" s="13" t="s">
        <v>2203</v>
      </c>
      <c r="D262" s="13" t="s">
        <v>2207</v>
      </c>
      <c r="E262" s="13" t="s">
        <v>2208</v>
      </c>
      <c r="F262" s="13" t="s">
        <v>2222</v>
      </c>
      <c r="G262" s="13">
        <v>109.74</v>
      </c>
      <c r="H262" s="13">
        <v>0</v>
      </c>
      <c r="I262" s="13">
        <v>109.74</v>
      </c>
      <c r="J262" s="24">
        <v>45875</v>
      </c>
      <c r="K262" s="13">
        <v>45</v>
      </c>
      <c r="L262" s="44">
        <v>1.9</v>
      </c>
      <c r="M262" s="13" t="b">
        <v>0</v>
      </c>
      <c r="O262" s="25">
        <f t="shared" si="16"/>
        <v>27</v>
      </c>
      <c r="P262" s="13">
        <f t="shared" si="17"/>
        <v>0</v>
      </c>
      <c r="Q262" s="13" t="str">
        <f t="shared" si="18"/>
        <v/>
      </c>
      <c r="R262" s="13" t="str">
        <f t="shared" si="19"/>
        <v>Non diskon</v>
      </c>
    </row>
    <row r="263" spans="1:18" x14ac:dyDescent="0.25">
      <c r="A263" s="13" t="s">
        <v>275</v>
      </c>
      <c r="B263" s="13" t="s">
        <v>2195</v>
      </c>
      <c r="C263" s="13" t="s">
        <v>2200</v>
      </c>
      <c r="D263" s="13" t="s">
        <v>2207</v>
      </c>
      <c r="E263" s="13" t="s">
        <v>2208</v>
      </c>
      <c r="F263" s="13" t="s">
        <v>2219</v>
      </c>
      <c r="G263" s="13">
        <v>161.13999999999999</v>
      </c>
      <c r="H263" s="13">
        <v>0</v>
      </c>
      <c r="I263" s="13">
        <v>161.13999999999999</v>
      </c>
      <c r="J263" s="24">
        <v>45875</v>
      </c>
      <c r="K263" s="13">
        <v>44</v>
      </c>
      <c r="L263" s="44">
        <v>1.6</v>
      </c>
      <c r="M263" s="13" t="b">
        <v>0</v>
      </c>
      <c r="O263" s="25">
        <f t="shared" si="16"/>
        <v>27</v>
      </c>
      <c r="P263" s="13">
        <f t="shared" si="17"/>
        <v>0</v>
      </c>
      <c r="Q263" s="13" t="str">
        <f t="shared" si="18"/>
        <v/>
      </c>
      <c r="R263" s="13" t="str">
        <f t="shared" si="19"/>
        <v>Non diskon</v>
      </c>
    </row>
    <row r="264" spans="1:18" x14ac:dyDescent="0.25">
      <c r="A264" s="13" t="s">
        <v>276</v>
      </c>
      <c r="B264" s="13" t="s">
        <v>2190</v>
      </c>
      <c r="C264" s="13" t="s">
        <v>2198</v>
      </c>
      <c r="D264" s="13" t="s">
        <v>2204</v>
      </c>
      <c r="E264" s="13" t="s">
        <v>2211</v>
      </c>
      <c r="F264" s="13" t="s">
        <v>2224</v>
      </c>
      <c r="G264" s="13">
        <v>220.14</v>
      </c>
      <c r="H264" s="13">
        <v>9.1999999999999993</v>
      </c>
      <c r="I264" s="13">
        <v>199.89</v>
      </c>
      <c r="J264" s="24">
        <v>45835</v>
      </c>
      <c r="K264" s="13">
        <v>23</v>
      </c>
      <c r="L264" s="44">
        <v>4.8</v>
      </c>
      <c r="M264" s="13" t="b">
        <v>0</v>
      </c>
      <c r="O264" s="25">
        <f t="shared" si="16"/>
        <v>67</v>
      </c>
      <c r="P264" s="13">
        <f t="shared" si="17"/>
        <v>211.6</v>
      </c>
      <c r="Q264" s="13" t="str">
        <f t="shared" si="18"/>
        <v/>
      </c>
      <c r="R264" s="13" t="str">
        <f t="shared" si="19"/>
        <v>Diskon</v>
      </c>
    </row>
    <row r="265" spans="1:18" x14ac:dyDescent="0.25">
      <c r="A265" s="13" t="s">
        <v>277</v>
      </c>
      <c r="B265" s="13" t="s">
        <v>2195</v>
      </c>
      <c r="C265" s="13" t="s">
        <v>2203</v>
      </c>
      <c r="D265" s="13" t="s">
        <v>2207</v>
      </c>
      <c r="E265" s="13" t="s">
        <v>2210</v>
      </c>
      <c r="F265" s="13" t="s">
        <v>2215</v>
      </c>
      <c r="G265" s="13">
        <v>57.33</v>
      </c>
      <c r="H265" s="13">
        <v>0</v>
      </c>
      <c r="I265" s="13">
        <v>57.33</v>
      </c>
      <c r="J265" s="24">
        <v>45875</v>
      </c>
      <c r="K265" s="13">
        <v>23</v>
      </c>
      <c r="L265" s="44">
        <v>2</v>
      </c>
      <c r="M265" s="13" t="b">
        <v>0</v>
      </c>
      <c r="O265" s="25">
        <f t="shared" si="16"/>
        <v>27</v>
      </c>
      <c r="P265" s="13">
        <f t="shared" si="17"/>
        <v>0</v>
      </c>
      <c r="Q265" s="13" t="str">
        <f t="shared" si="18"/>
        <v/>
      </c>
      <c r="R265" s="13" t="str">
        <f t="shared" si="19"/>
        <v>Non diskon</v>
      </c>
    </row>
    <row r="266" spans="1:18" x14ac:dyDescent="0.25">
      <c r="A266" s="13" t="s">
        <v>278</v>
      </c>
      <c r="B266" s="13" t="s">
        <v>2194</v>
      </c>
      <c r="C266" s="13" t="s">
        <v>2196</v>
      </c>
      <c r="D266" s="13" t="s">
        <v>2206</v>
      </c>
      <c r="E266" s="13" t="s">
        <v>2211</v>
      </c>
      <c r="F266" s="13" t="s">
        <v>2219</v>
      </c>
      <c r="G266" s="13">
        <v>108.24</v>
      </c>
      <c r="H266" s="13">
        <v>0</v>
      </c>
      <c r="I266" s="13">
        <v>108.24</v>
      </c>
      <c r="J266" s="24">
        <v>45875</v>
      </c>
      <c r="K266" s="13">
        <v>8</v>
      </c>
      <c r="L266" s="44">
        <v>2.2999999999999998</v>
      </c>
      <c r="M266" s="13" t="b">
        <v>0</v>
      </c>
      <c r="O266" s="25">
        <f t="shared" si="16"/>
        <v>27</v>
      </c>
      <c r="P266" s="13">
        <f t="shared" si="17"/>
        <v>0</v>
      </c>
      <c r="Q266" s="13" t="str">
        <f t="shared" si="18"/>
        <v/>
      </c>
      <c r="R266" s="13" t="str">
        <f t="shared" si="19"/>
        <v>Non diskon</v>
      </c>
    </row>
    <row r="267" spans="1:18" x14ac:dyDescent="0.25">
      <c r="A267" s="13" t="s">
        <v>279</v>
      </c>
      <c r="B267" s="13" t="s">
        <v>2192</v>
      </c>
      <c r="C267" s="13" t="s">
        <v>2198</v>
      </c>
      <c r="D267" s="13" t="s">
        <v>2207</v>
      </c>
      <c r="F267" s="13" t="s">
        <v>2218</v>
      </c>
      <c r="G267" s="13">
        <v>67.930000000000007</v>
      </c>
      <c r="H267" s="13">
        <v>0</v>
      </c>
      <c r="I267" s="13">
        <v>67.930000000000007</v>
      </c>
      <c r="J267" s="24">
        <v>45875</v>
      </c>
      <c r="K267" s="13">
        <v>22</v>
      </c>
      <c r="L267" s="44">
        <v>4.5999999999999996</v>
      </c>
      <c r="M267" s="13" t="b">
        <v>0</v>
      </c>
      <c r="O267" s="25">
        <f t="shared" si="16"/>
        <v>27</v>
      </c>
      <c r="P267" s="13">
        <f t="shared" si="17"/>
        <v>0</v>
      </c>
      <c r="Q267" s="13" t="str">
        <f t="shared" si="18"/>
        <v/>
      </c>
      <c r="R267" s="13" t="str">
        <f t="shared" si="19"/>
        <v>Non diskon</v>
      </c>
    </row>
    <row r="268" spans="1:18" x14ac:dyDescent="0.25">
      <c r="A268" s="13" t="s">
        <v>280</v>
      </c>
      <c r="B268" s="13" t="s">
        <v>2195</v>
      </c>
      <c r="C268" s="13" t="s">
        <v>2196</v>
      </c>
      <c r="D268" s="13" t="s">
        <v>2205</v>
      </c>
      <c r="E268" s="13" t="s">
        <v>2212</v>
      </c>
      <c r="F268" s="13" t="s">
        <v>2219</v>
      </c>
      <c r="G268" s="13">
        <v>168.96</v>
      </c>
      <c r="H268" s="13">
        <v>0</v>
      </c>
      <c r="I268" s="13">
        <v>168.96</v>
      </c>
      <c r="J268" s="24">
        <v>45875</v>
      </c>
      <c r="K268" s="13">
        <v>9</v>
      </c>
      <c r="L268" s="44">
        <v>3.0424242424242425</v>
      </c>
      <c r="M268" s="13" t="b">
        <v>0</v>
      </c>
      <c r="O268" s="25">
        <f t="shared" si="16"/>
        <v>27</v>
      </c>
      <c r="P268" s="13">
        <f t="shared" si="17"/>
        <v>0</v>
      </c>
      <c r="Q268" s="13" t="str">
        <f t="shared" si="18"/>
        <v/>
      </c>
      <c r="R268" s="13" t="str">
        <f t="shared" si="19"/>
        <v>Non diskon</v>
      </c>
    </row>
    <row r="269" spans="1:18" x14ac:dyDescent="0.25">
      <c r="A269" s="13" t="s">
        <v>281</v>
      </c>
      <c r="B269" s="13" t="s">
        <v>2191</v>
      </c>
      <c r="C269" s="13" t="s">
        <v>2201</v>
      </c>
      <c r="D269" s="13" t="s">
        <v>2206</v>
      </c>
      <c r="E269" s="13" t="s">
        <v>2210</v>
      </c>
      <c r="F269" s="13" t="s">
        <v>2217</v>
      </c>
      <c r="G269" s="13">
        <v>90.63</v>
      </c>
      <c r="H269" s="13">
        <v>0</v>
      </c>
      <c r="I269" s="13">
        <v>90.63</v>
      </c>
      <c r="J269" s="24">
        <v>45875</v>
      </c>
      <c r="K269" s="13">
        <v>33</v>
      </c>
      <c r="L269" s="44">
        <v>4.2</v>
      </c>
      <c r="M269" s="13" t="b">
        <v>0</v>
      </c>
      <c r="O269" s="25">
        <f t="shared" si="16"/>
        <v>27</v>
      </c>
      <c r="P269" s="13">
        <f t="shared" si="17"/>
        <v>0</v>
      </c>
      <c r="Q269" s="13" t="str">
        <f t="shared" si="18"/>
        <v/>
      </c>
      <c r="R269" s="13" t="str">
        <f t="shared" si="19"/>
        <v>Non diskon</v>
      </c>
    </row>
    <row r="270" spans="1:18" x14ac:dyDescent="0.25">
      <c r="A270" s="13" t="s">
        <v>282</v>
      </c>
      <c r="B270" s="13" t="s">
        <v>2192</v>
      </c>
      <c r="C270" s="13" t="s">
        <v>2199</v>
      </c>
      <c r="D270" s="13" t="s">
        <v>2204</v>
      </c>
      <c r="F270" s="13" t="s">
        <v>2220</v>
      </c>
      <c r="G270" s="13">
        <v>72.3</v>
      </c>
      <c r="H270" s="13">
        <v>0.4</v>
      </c>
      <c r="I270" s="13">
        <v>72.010000000000005</v>
      </c>
      <c r="J270" s="24">
        <v>45655</v>
      </c>
      <c r="K270" s="13">
        <v>38</v>
      </c>
      <c r="L270" s="44">
        <v>3</v>
      </c>
      <c r="M270" s="13" t="b">
        <v>1</v>
      </c>
      <c r="N270" s="13" t="s">
        <v>2225</v>
      </c>
      <c r="O270" s="25">
        <f t="shared" si="16"/>
        <v>247</v>
      </c>
      <c r="P270" s="13">
        <f t="shared" si="17"/>
        <v>15.200000000000001</v>
      </c>
      <c r="Q270" s="13">
        <f t="shared" si="18"/>
        <v>1</v>
      </c>
      <c r="R270" s="13" t="str">
        <f t="shared" si="19"/>
        <v>Diskon</v>
      </c>
    </row>
    <row r="271" spans="1:18" x14ac:dyDescent="0.25">
      <c r="A271" s="13" t="s">
        <v>283</v>
      </c>
      <c r="B271" s="13" t="s">
        <v>2194</v>
      </c>
      <c r="C271" s="13" t="s">
        <v>2200</v>
      </c>
      <c r="D271" s="13" t="s">
        <v>2205</v>
      </c>
      <c r="E271" s="13" t="s">
        <v>2210</v>
      </c>
      <c r="F271" s="13" t="s">
        <v>2221</v>
      </c>
      <c r="G271" s="13">
        <v>27.98</v>
      </c>
      <c r="H271" s="13">
        <v>0</v>
      </c>
      <c r="I271" s="13">
        <v>27.98</v>
      </c>
      <c r="J271" s="24">
        <v>45875</v>
      </c>
      <c r="K271" s="13">
        <v>0</v>
      </c>
      <c r="L271" s="44">
        <v>3</v>
      </c>
      <c r="M271" s="13" t="b">
        <v>0</v>
      </c>
      <c r="O271" s="25">
        <f t="shared" si="16"/>
        <v>27</v>
      </c>
      <c r="P271" s="13">
        <f t="shared" si="17"/>
        <v>0</v>
      </c>
      <c r="Q271" s="13" t="str">
        <f t="shared" si="18"/>
        <v/>
      </c>
      <c r="R271" s="13" t="str">
        <f t="shared" si="19"/>
        <v>Non diskon</v>
      </c>
    </row>
    <row r="272" spans="1:18" x14ac:dyDescent="0.25">
      <c r="A272" s="13" t="s">
        <v>284</v>
      </c>
      <c r="B272" s="13" t="s">
        <v>2195</v>
      </c>
      <c r="C272" s="13" t="s">
        <v>2203</v>
      </c>
      <c r="D272" s="13" t="s">
        <v>2207</v>
      </c>
      <c r="F272" s="13" t="s">
        <v>2222</v>
      </c>
      <c r="G272" s="13">
        <v>92.73</v>
      </c>
      <c r="H272" s="13">
        <v>0</v>
      </c>
      <c r="I272" s="13">
        <v>92.73</v>
      </c>
      <c r="J272" s="24">
        <v>45875</v>
      </c>
      <c r="K272" s="13">
        <v>15</v>
      </c>
      <c r="L272" s="44">
        <v>1.4</v>
      </c>
      <c r="M272" s="13" t="b">
        <v>0</v>
      </c>
      <c r="O272" s="25">
        <f t="shared" si="16"/>
        <v>27</v>
      </c>
      <c r="P272" s="13">
        <f t="shared" si="17"/>
        <v>0</v>
      </c>
      <c r="Q272" s="13" t="str">
        <f t="shared" si="18"/>
        <v/>
      </c>
      <c r="R272" s="13" t="str">
        <f t="shared" si="19"/>
        <v>Non diskon</v>
      </c>
    </row>
    <row r="273" spans="1:18" x14ac:dyDescent="0.25">
      <c r="A273" s="13" t="s">
        <v>285</v>
      </c>
      <c r="B273" s="13" t="s">
        <v>2194</v>
      </c>
      <c r="C273" s="13" t="s">
        <v>2199</v>
      </c>
      <c r="D273" s="13" t="s">
        <v>2207</v>
      </c>
      <c r="E273" s="13" t="s">
        <v>2211</v>
      </c>
      <c r="F273" s="13" t="s">
        <v>2217</v>
      </c>
      <c r="G273" s="13">
        <v>64.28</v>
      </c>
      <c r="H273" s="13">
        <v>0</v>
      </c>
      <c r="I273" s="13">
        <v>64.28</v>
      </c>
      <c r="J273" s="24">
        <v>45875</v>
      </c>
      <c r="K273" s="13">
        <v>46</v>
      </c>
      <c r="L273" s="44">
        <v>3</v>
      </c>
      <c r="M273" s="13" t="b">
        <v>0</v>
      </c>
      <c r="O273" s="25">
        <f t="shared" si="16"/>
        <v>27</v>
      </c>
      <c r="P273" s="13">
        <f t="shared" si="17"/>
        <v>0</v>
      </c>
      <c r="Q273" s="13" t="str">
        <f t="shared" si="18"/>
        <v/>
      </c>
      <c r="R273" s="13" t="str">
        <f t="shared" si="19"/>
        <v>Non diskon</v>
      </c>
    </row>
    <row r="274" spans="1:18" x14ac:dyDescent="0.25">
      <c r="A274" s="13" t="s">
        <v>286</v>
      </c>
      <c r="B274" s="13" t="s">
        <v>2195</v>
      </c>
      <c r="C274" s="13" t="s">
        <v>2201</v>
      </c>
      <c r="D274" s="13" t="s">
        <v>2206</v>
      </c>
      <c r="E274" s="13" t="s">
        <v>2213</v>
      </c>
      <c r="F274" s="13" t="s">
        <v>2216</v>
      </c>
      <c r="G274" s="13">
        <v>133.12</v>
      </c>
      <c r="H274" s="13">
        <v>0</v>
      </c>
      <c r="I274" s="13">
        <v>133.12</v>
      </c>
      <c r="J274" s="24">
        <v>45875</v>
      </c>
      <c r="K274" s="13">
        <v>35</v>
      </c>
      <c r="L274" s="44">
        <v>1.9</v>
      </c>
      <c r="M274" s="13" t="b">
        <v>0</v>
      </c>
      <c r="O274" s="25">
        <f t="shared" si="16"/>
        <v>27</v>
      </c>
      <c r="P274" s="13">
        <f t="shared" si="17"/>
        <v>0</v>
      </c>
      <c r="Q274" s="13" t="str">
        <f t="shared" si="18"/>
        <v/>
      </c>
      <c r="R274" s="13" t="str">
        <f t="shared" si="19"/>
        <v>Non diskon</v>
      </c>
    </row>
    <row r="275" spans="1:18" x14ac:dyDescent="0.25">
      <c r="A275" s="13" t="s">
        <v>287</v>
      </c>
      <c r="B275" s="13" t="s">
        <v>2191</v>
      </c>
      <c r="C275" s="13" t="s">
        <v>2202</v>
      </c>
      <c r="D275" s="13" t="s">
        <v>2205</v>
      </c>
      <c r="E275" s="13" t="s">
        <v>2211</v>
      </c>
      <c r="F275" s="13" t="s">
        <v>2224</v>
      </c>
      <c r="G275" s="13">
        <v>70.36</v>
      </c>
      <c r="H275" s="13">
        <v>0</v>
      </c>
      <c r="I275" s="13">
        <v>70.36</v>
      </c>
      <c r="J275" s="24">
        <v>45875</v>
      </c>
      <c r="K275" s="13">
        <v>0</v>
      </c>
      <c r="L275" s="44">
        <v>2.9074999999999998</v>
      </c>
      <c r="M275" s="13" t="b">
        <v>0</v>
      </c>
      <c r="O275" s="25">
        <f t="shared" si="16"/>
        <v>27</v>
      </c>
      <c r="P275" s="13">
        <f t="shared" si="17"/>
        <v>0</v>
      </c>
      <c r="Q275" s="13" t="str">
        <f t="shared" si="18"/>
        <v/>
      </c>
      <c r="R275" s="13" t="str">
        <f t="shared" si="19"/>
        <v>Non diskon</v>
      </c>
    </row>
    <row r="276" spans="1:18" x14ac:dyDescent="0.25">
      <c r="A276" s="13" t="s">
        <v>288</v>
      </c>
      <c r="B276" s="13" t="s">
        <v>2190</v>
      </c>
      <c r="C276" s="13" t="s">
        <v>2197</v>
      </c>
      <c r="D276" s="13" t="s">
        <v>2207</v>
      </c>
      <c r="E276" s="13" t="s">
        <v>2208</v>
      </c>
      <c r="F276" s="13" t="s">
        <v>2215</v>
      </c>
      <c r="G276" s="13">
        <v>199.01</v>
      </c>
      <c r="H276" s="13">
        <v>0</v>
      </c>
      <c r="I276" s="13">
        <v>199.01</v>
      </c>
      <c r="J276" s="24">
        <v>45875</v>
      </c>
      <c r="K276" s="13">
        <v>8</v>
      </c>
      <c r="L276" s="44">
        <v>4.4000000000000004</v>
      </c>
      <c r="M276" s="13" t="b">
        <v>0</v>
      </c>
      <c r="O276" s="25">
        <f t="shared" si="16"/>
        <v>27</v>
      </c>
      <c r="P276" s="13">
        <f t="shared" si="17"/>
        <v>0</v>
      </c>
      <c r="Q276" s="13" t="str">
        <f t="shared" si="18"/>
        <v/>
      </c>
      <c r="R276" s="13" t="str">
        <f t="shared" si="19"/>
        <v>Non diskon</v>
      </c>
    </row>
    <row r="277" spans="1:18" x14ac:dyDescent="0.25">
      <c r="A277" s="13" t="s">
        <v>289</v>
      </c>
      <c r="B277" s="13" t="s">
        <v>2194</v>
      </c>
      <c r="C277" s="13" t="s">
        <v>2200</v>
      </c>
      <c r="D277" s="13" t="s">
        <v>2207</v>
      </c>
      <c r="E277" s="13" t="s">
        <v>2209</v>
      </c>
      <c r="F277" s="13" t="s">
        <v>2222</v>
      </c>
      <c r="G277" s="13">
        <v>62.41</v>
      </c>
      <c r="H277" s="13">
        <v>37.1</v>
      </c>
      <c r="I277" s="13">
        <v>39.26</v>
      </c>
      <c r="J277" s="24">
        <v>45875</v>
      </c>
      <c r="K277" s="13">
        <v>6</v>
      </c>
      <c r="L277" s="44">
        <v>4.0999999999999996</v>
      </c>
      <c r="M277" s="13" t="b">
        <v>0</v>
      </c>
      <c r="O277" s="25">
        <f t="shared" si="16"/>
        <v>27</v>
      </c>
      <c r="P277" s="13">
        <f t="shared" si="17"/>
        <v>222.60000000000002</v>
      </c>
      <c r="Q277" s="13" t="str">
        <f t="shared" si="18"/>
        <v/>
      </c>
      <c r="R277" s="13" t="str">
        <f t="shared" si="19"/>
        <v>Diskon</v>
      </c>
    </row>
    <row r="278" spans="1:18" x14ac:dyDescent="0.25">
      <c r="A278" s="13" t="s">
        <v>290</v>
      </c>
      <c r="B278" s="13" t="s">
        <v>2193</v>
      </c>
      <c r="C278" s="13" t="s">
        <v>2197</v>
      </c>
      <c r="D278" s="13" t="s">
        <v>2207</v>
      </c>
      <c r="E278" s="13" t="s">
        <v>2212</v>
      </c>
      <c r="F278" s="13" t="s">
        <v>2216</v>
      </c>
      <c r="G278" s="13">
        <v>71.44</v>
      </c>
      <c r="H278" s="13">
        <v>0</v>
      </c>
      <c r="I278" s="13">
        <v>71.44</v>
      </c>
      <c r="J278" s="24">
        <v>45875</v>
      </c>
      <c r="K278" s="13">
        <v>45</v>
      </c>
      <c r="L278" s="44">
        <v>4</v>
      </c>
      <c r="M278" s="13" t="b">
        <v>0</v>
      </c>
      <c r="O278" s="25">
        <f t="shared" si="16"/>
        <v>27</v>
      </c>
      <c r="P278" s="13">
        <f t="shared" si="17"/>
        <v>0</v>
      </c>
      <c r="Q278" s="13" t="str">
        <f t="shared" si="18"/>
        <v/>
      </c>
      <c r="R278" s="13" t="str">
        <f t="shared" si="19"/>
        <v>Non diskon</v>
      </c>
    </row>
    <row r="279" spans="1:18" x14ac:dyDescent="0.25">
      <c r="A279" s="13" t="s">
        <v>291</v>
      </c>
      <c r="B279" s="13" t="s">
        <v>2195</v>
      </c>
      <c r="C279" s="13" t="s">
        <v>2196</v>
      </c>
      <c r="D279" s="13" t="s">
        <v>2205</v>
      </c>
      <c r="F279" s="13" t="s">
        <v>2219</v>
      </c>
      <c r="G279" s="13">
        <v>89.69</v>
      </c>
      <c r="H279" s="13">
        <v>0</v>
      </c>
      <c r="I279" s="13">
        <v>89.69</v>
      </c>
      <c r="J279" s="24">
        <v>45875</v>
      </c>
      <c r="K279" s="13">
        <v>50</v>
      </c>
      <c r="L279" s="44">
        <v>4.3</v>
      </c>
      <c r="M279" s="13" t="b">
        <v>0</v>
      </c>
      <c r="O279" s="25">
        <f t="shared" si="16"/>
        <v>27</v>
      </c>
      <c r="P279" s="13">
        <f t="shared" si="17"/>
        <v>0</v>
      </c>
      <c r="Q279" s="13" t="str">
        <f t="shared" si="18"/>
        <v/>
      </c>
      <c r="R279" s="13" t="str">
        <f t="shared" si="19"/>
        <v>Non diskon</v>
      </c>
    </row>
    <row r="280" spans="1:18" x14ac:dyDescent="0.25">
      <c r="A280" s="13" t="s">
        <v>292</v>
      </c>
      <c r="B280" s="13" t="s">
        <v>2190</v>
      </c>
      <c r="C280" s="13" t="s">
        <v>2199</v>
      </c>
      <c r="D280" s="13" t="s">
        <v>2204</v>
      </c>
      <c r="E280" s="13" t="s">
        <v>2211</v>
      </c>
      <c r="F280" s="13" t="s">
        <v>2218</v>
      </c>
      <c r="G280" s="13">
        <v>161.65</v>
      </c>
      <c r="H280" s="13">
        <v>10.199999999999999</v>
      </c>
      <c r="I280" s="13">
        <v>145.16</v>
      </c>
      <c r="J280" s="24">
        <v>45746</v>
      </c>
      <c r="K280" s="13">
        <v>42</v>
      </c>
      <c r="L280" s="44">
        <v>2.4137931034482762</v>
      </c>
      <c r="M280" s="13" t="b">
        <v>0</v>
      </c>
      <c r="O280" s="25">
        <f t="shared" si="16"/>
        <v>156</v>
      </c>
      <c r="P280" s="13">
        <f t="shared" si="17"/>
        <v>428.4</v>
      </c>
      <c r="Q280" s="13" t="str">
        <f t="shared" si="18"/>
        <v/>
      </c>
      <c r="R280" s="13" t="str">
        <f t="shared" si="19"/>
        <v>Diskon</v>
      </c>
    </row>
    <row r="281" spans="1:18" x14ac:dyDescent="0.25">
      <c r="A281" s="13" t="s">
        <v>293</v>
      </c>
      <c r="B281" s="13" t="s">
        <v>2192</v>
      </c>
      <c r="C281" s="13" t="s">
        <v>2197</v>
      </c>
      <c r="D281" s="13" t="s">
        <v>2205</v>
      </c>
      <c r="F281" s="13" t="s">
        <v>2217</v>
      </c>
      <c r="G281" s="13">
        <v>46.59</v>
      </c>
      <c r="H281" s="13">
        <v>0</v>
      </c>
      <c r="I281" s="13">
        <v>46.59</v>
      </c>
      <c r="J281" s="24">
        <v>45875</v>
      </c>
      <c r="K281" s="13">
        <v>29</v>
      </c>
      <c r="L281" s="44">
        <v>4.8</v>
      </c>
      <c r="M281" s="13" t="b">
        <v>0</v>
      </c>
      <c r="O281" s="25">
        <f t="shared" si="16"/>
        <v>27</v>
      </c>
      <c r="P281" s="13">
        <f t="shared" si="17"/>
        <v>0</v>
      </c>
      <c r="Q281" s="13" t="str">
        <f t="shared" si="18"/>
        <v/>
      </c>
      <c r="R281" s="13" t="str">
        <f t="shared" si="19"/>
        <v>Non diskon</v>
      </c>
    </row>
    <row r="282" spans="1:18" x14ac:dyDescent="0.25">
      <c r="A282" s="13" t="s">
        <v>294</v>
      </c>
      <c r="B282" s="13" t="s">
        <v>2192</v>
      </c>
      <c r="C282" s="13" t="s">
        <v>2196</v>
      </c>
      <c r="D282" s="13" t="s">
        <v>2206</v>
      </c>
      <c r="F282" s="13" t="s">
        <v>2215</v>
      </c>
      <c r="G282" s="13">
        <v>74.2</v>
      </c>
      <c r="H282" s="13">
        <v>0</v>
      </c>
      <c r="I282" s="13">
        <v>74.2</v>
      </c>
      <c r="J282" s="24">
        <v>45875</v>
      </c>
      <c r="K282" s="13">
        <v>22</v>
      </c>
      <c r="L282" s="44">
        <v>1.7</v>
      </c>
      <c r="M282" s="13" t="b">
        <v>0</v>
      </c>
      <c r="O282" s="25">
        <f t="shared" si="16"/>
        <v>27</v>
      </c>
      <c r="P282" s="13">
        <f t="shared" si="17"/>
        <v>0</v>
      </c>
      <c r="Q282" s="13" t="str">
        <f t="shared" si="18"/>
        <v/>
      </c>
      <c r="R282" s="13" t="str">
        <f t="shared" si="19"/>
        <v>Non diskon</v>
      </c>
    </row>
    <row r="283" spans="1:18" x14ac:dyDescent="0.25">
      <c r="A283" s="13" t="s">
        <v>295</v>
      </c>
      <c r="B283" s="13" t="s">
        <v>2194</v>
      </c>
      <c r="C283" s="13" t="s">
        <v>2197</v>
      </c>
      <c r="D283" s="13" t="s">
        <v>2206</v>
      </c>
      <c r="E283" s="13" t="s">
        <v>2210</v>
      </c>
      <c r="F283" s="13" t="s">
        <v>2224</v>
      </c>
      <c r="G283" s="13">
        <v>99.67</v>
      </c>
      <c r="H283" s="13">
        <v>0</v>
      </c>
      <c r="I283" s="13">
        <v>99.67</v>
      </c>
      <c r="J283" s="24">
        <v>45875</v>
      </c>
      <c r="K283" s="13">
        <v>13</v>
      </c>
      <c r="L283" s="44">
        <v>5</v>
      </c>
      <c r="M283" s="13" t="b">
        <v>0</v>
      </c>
      <c r="O283" s="25">
        <f t="shared" si="16"/>
        <v>27</v>
      </c>
      <c r="P283" s="13">
        <f t="shared" si="17"/>
        <v>0</v>
      </c>
      <c r="Q283" s="13" t="str">
        <f t="shared" si="18"/>
        <v/>
      </c>
      <c r="R283" s="13" t="str">
        <f t="shared" si="19"/>
        <v>Non diskon</v>
      </c>
    </row>
    <row r="284" spans="1:18" x14ac:dyDescent="0.25">
      <c r="A284" s="13" t="s">
        <v>296</v>
      </c>
      <c r="B284" s="13" t="s">
        <v>2193</v>
      </c>
      <c r="C284" s="13" t="s">
        <v>2203</v>
      </c>
      <c r="D284" s="13" t="s">
        <v>2206</v>
      </c>
      <c r="E284" s="13" t="s">
        <v>2212</v>
      </c>
      <c r="F284" s="13" t="s">
        <v>2223</v>
      </c>
      <c r="G284" s="13">
        <v>112.74</v>
      </c>
      <c r="H284" s="13">
        <v>23</v>
      </c>
      <c r="I284" s="13">
        <v>86.81</v>
      </c>
      <c r="J284" s="24">
        <v>45875</v>
      </c>
      <c r="K284" s="13">
        <v>37</v>
      </c>
      <c r="L284" s="44">
        <v>1</v>
      </c>
      <c r="M284" s="13" t="b">
        <v>0</v>
      </c>
      <c r="O284" s="25">
        <f t="shared" si="16"/>
        <v>27</v>
      </c>
      <c r="P284" s="13">
        <f t="shared" si="17"/>
        <v>851</v>
      </c>
      <c r="Q284" s="13" t="str">
        <f t="shared" si="18"/>
        <v/>
      </c>
      <c r="R284" s="13" t="str">
        <f t="shared" si="19"/>
        <v>Diskon</v>
      </c>
    </row>
    <row r="285" spans="1:18" x14ac:dyDescent="0.25">
      <c r="A285" s="13" t="s">
        <v>297</v>
      </c>
      <c r="B285" s="13" t="s">
        <v>2191</v>
      </c>
      <c r="C285" s="13" t="s">
        <v>2198</v>
      </c>
      <c r="D285" s="13" t="s">
        <v>2207</v>
      </c>
      <c r="E285" s="13" t="s">
        <v>2210</v>
      </c>
      <c r="F285" s="13" t="s">
        <v>2216</v>
      </c>
      <c r="G285" s="13">
        <v>95.82</v>
      </c>
      <c r="H285" s="13">
        <v>39.4</v>
      </c>
      <c r="I285" s="13">
        <v>58.07</v>
      </c>
      <c r="J285" s="24">
        <v>45875</v>
      </c>
      <c r="K285" s="13">
        <v>6</v>
      </c>
      <c r="L285" s="44">
        <v>2.953125</v>
      </c>
      <c r="M285" s="13" t="b">
        <v>1</v>
      </c>
      <c r="N285" s="13" t="s">
        <v>2227</v>
      </c>
      <c r="O285" s="25">
        <f t="shared" si="16"/>
        <v>27</v>
      </c>
      <c r="P285" s="13">
        <f t="shared" si="17"/>
        <v>236.39999999999998</v>
      </c>
      <c r="Q285" s="13">
        <f t="shared" si="18"/>
        <v>1</v>
      </c>
      <c r="R285" s="13" t="str">
        <f t="shared" si="19"/>
        <v>Diskon</v>
      </c>
    </row>
    <row r="286" spans="1:18" x14ac:dyDescent="0.25">
      <c r="A286" s="13" t="s">
        <v>298</v>
      </c>
      <c r="B286" s="13" t="s">
        <v>2193</v>
      </c>
      <c r="C286" s="13" t="s">
        <v>2201</v>
      </c>
      <c r="D286" s="13" t="s">
        <v>2205</v>
      </c>
      <c r="E286" s="13" t="s">
        <v>2213</v>
      </c>
      <c r="F286" s="13" t="s">
        <v>2220</v>
      </c>
      <c r="G286" s="13">
        <v>157.41999999999999</v>
      </c>
      <c r="H286" s="13">
        <v>0</v>
      </c>
      <c r="I286" s="13">
        <v>157.41999999999999</v>
      </c>
      <c r="J286" s="24">
        <v>45875</v>
      </c>
      <c r="K286" s="13">
        <v>38</v>
      </c>
      <c r="L286" s="44">
        <v>2.4</v>
      </c>
      <c r="M286" s="13" t="b">
        <v>0</v>
      </c>
      <c r="O286" s="25">
        <f t="shared" si="16"/>
        <v>27</v>
      </c>
      <c r="P286" s="13">
        <f t="shared" si="17"/>
        <v>0</v>
      </c>
      <c r="Q286" s="13" t="str">
        <f t="shared" si="18"/>
        <v/>
      </c>
      <c r="R286" s="13" t="str">
        <f t="shared" si="19"/>
        <v>Non diskon</v>
      </c>
    </row>
    <row r="287" spans="1:18" x14ac:dyDescent="0.25">
      <c r="A287" s="13" t="s">
        <v>299</v>
      </c>
      <c r="B287" s="13" t="s">
        <v>2192</v>
      </c>
      <c r="C287" s="13" t="s">
        <v>2196</v>
      </c>
      <c r="D287" s="13" t="s">
        <v>2206</v>
      </c>
      <c r="F287" s="13" t="s">
        <v>2214</v>
      </c>
      <c r="G287" s="13">
        <v>60.17</v>
      </c>
      <c r="H287" s="13">
        <v>14.1</v>
      </c>
      <c r="I287" s="13">
        <v>51.69</v>
      </c>
      <c r="J287" s="24">
        <v>45875</v>
      </c>
      <c r="K287" s="13">
        <v>38</v>
      </c>
      <c r="L287" s="44">
        <v>5</v>
      </c>
      <c r="M287" s="13" t="b">
        <v>0</v>
      </c>
      <c r="O287" s="25">
        <f t="shared" si="16"/>
        <v>27</v>
      </c>
      <c r="P287" s="13">
        <f t="shared" si="17"/>
        <v>535.79999999999995</v>
      </c>
      <c r="Q287" s="13" t="str">
        <f t="shared" si="18"/>
        <v/>
      </c>
      <c r="R287" s="13" t="str">
        <f t="shared" si="19"/>
        <v>Diskon</v>
      </c>
    </row>
    <row r="288" spans="1:18" x14ac:dyDescent="0.25">
      <c r="A288" s="13" t="s">
        <v>300</v>
      </c>
      <c r="B288" s="13" t="s">
        <v>2190</v>
      </c>
      <c r="C288" s="13" t="s">
        <v>2199</v>
      </c>
      <c r="D288" s="13" t="s">
        <v>2205</v>
      </c>
      <c r="E288" s="13" t="s">
        <v>2208</v>
      </c>
      <c r="F288" s="13" t="s">
        <v>2215</v>
      </c>
      <c r="G288" s="13">
        <v>169.03</v>
      </c>
      <c r="H288" s="13">
        <v>0</v>
      </c>
      <c r="I288" s="13">
        <v>169.03</v>
      </c>
      <c r="J288" s="24">
        <v>45875</v>
      </c>
      <c r="K288" s="13">
        <v>16</v>
      </c>
      <c r="L288" s="44">
        <v>1.7</v>
      </c>
      <c r="M288" s="13" t="b">
        <v>0</v>
      </c>
      <c r="O288" s="25">
        <f t="shared" si="16"/>
        <v>27</v>
      </c>
      <c r="P288" s="13">
        <f t="shared" si="17"/>
        <v>0</v>
      </c>
      <c r="Q288" s="13" t="str">
        <f t="shared" si="18"/>
        <v/>
      </c>
      <c r="R288" s="13" t="str">
        <f t="shared" si="19"/>
        <v>Non diskon</v>
      </c>
    </row>
    <row r="289" spans="1:18" x14ac:dyDescent="0.25">
      <c r="A289" s="13" t="s">
        <v>301</v>
      </c>
      <c r="B289" s="13" t="s">
        <v>2195</v>
      </c>
      <c r="C289" s="13" t="s">
        <v>2197</v>
      </c>
      <c r="D289" s="13" t="s">
        <v>2206</v>
      </c>
      <c r="E289" s="13" t="s">
        <v>2210</v>
      </c>
      <c r="F289" s="13" t="s">
        <v>2215</v>
      </c>
      <c r="G289" s="13">
        <v>175.86</v>
      </c>
      <c r="H289" s="13">
        <v>0</v>
      </c>
      <c r="I289" s="13">
        <v>175.86</v>
      </c>
      <c r="J289" s="24">
        <v>45875</v>
      </c>
      <c r="K289" s="13">
        <v>0</v>
      </c>
      <c r="L289" s="44">
        <v>4.5999999999999996</v>
      </c>
      <c r="M289" s="13" t="b">
        <v>0</v>
      </c>
      <c r="O289" s="25">
        <f t="shared" si="16"/>
        <v>27</v>
      </c>
      <c r="P289" s="13">
        <f t="shared" si="17"/>
        <v>0</v>
      </c>
      <c r="Q289" s="13" t="str">
        <f t="shared" si="18"/>
        <v/>
      </c>
      <c r="R289" s="13" t="str">
        <f t="shared" si="19"/>
        <v>Non diskon</v>
      </c>
    </row>
    <row r="290" spans="1:18" x14ac:dyDescent="0.25">
      <c r="A290" s="13" t="s">
        <v>302</v>
      </c>
      <c r="B290" s="13" t="s">
        <v>2193</v>
      </c>
      <c r="C290" s="13" t="s">
        <v>2199</v>
      </c>
      <c r="D290" s="13" t="s">
        <v>2207</v>
      </c>
      <c r="F290" s="13" t="s">
        <v>2224</v>
      </c>
      <c r="G290" s="13">
        <v>169.75</v>
      </c>
      <c r="H290" s="13">
        <v>0</v>
      </c>
      <c r="I290" s="13">
        <v>169.75</v>
      </c>
      <c r="J290" s="24">
        <v>45875</v>
      </c>
      <c r="K290" s="13">
        <v>5</v>
      </c>
      <c r="L290" s="44">
        <v>2.7</v>
      </c>
      <c r="M290" s="13" t="b">
        <v>0</v>
      </c>
      <c r="O290" s="25">
        <f t="shared" si="16"/>
        <v>27</v>
      </c>
      <c r="P290" s="13">
        <f t="shared" si="17"/>
        <v>0</v>
      </c>
      <c r="Q290" s="13" t="str">
        <f t="shared" si="18"/>
        <v/>
      </c>
      <c r="R290" s="13" t="str">
        <f t="shared" si="19"/>
        <v>Non diskon</v>
      </c>
    </row>
    <row r="291" spans="1:18" x14ac:dyDescent="0.25">
      <c r="A291" s="13" t="s">
        <v>303</v>
      </c>
      <c r="B291" s="13" t="s">
        <v>2192</v>
      </c>
      <c r="C291" s="13" t="s">
        <v>2200</v>
      </c>
      <c r="D291" s="13" t="s">
        <v>2207</v>
      </c>
      <c r="F291" s="13" t="s">
        <v>2214</v>
      </c>
      <c r="G291" s="13">
        <v>51.77</v>
      </c>
      <c r="H291" s="13">
        <v>24.3</v>
      </c>
      <c r="I291" s="13">
        <v>39.19</v>
      </c>
      <c r="J291" s="24">
        <v>45875</v>
      </c>
      <c r="K291" s="13">
        <v>50</v>
      </c>
      <c r="L291" s="44">
        <v>3.7</v>
      </c>
      <c r="M291" s="13" t="b">
        <v>0</v>
      </c>
      <c r="O291" s="25">
        <f t="shared" si="16"/>
        <v>27</v>
      </c>
      <c r="P291" s="13">
        <f t="shared" si="17"/>
        <v>1215</v>
      </c>
      <c r="Q291" s="13" t="str">
        <f t="shared" si="18"/>
        <v/>
      </c>
      <c r="R291" s="13" t="str">
        <f t="shared" si="19"/>
        <v>Diskon</v>
      </c>
    </row>
    <row r="292" spans="1:18" x14ac:dyDescent="0.25">
      <c r="A292" s="13" t="s">
        <v>304</v>
      </c>
      <c r="B292" s="13" t="s">
        <v>2191</v>
      </c>
      <c r="C292" s="13" t="s">
        <v>2199</v>
      </c>
      <c r="D292" s="13" t="s">
        <v>2206</v>
      </c>
      <c r="E292" s="13" t="s">
        <v>2213</v>
      </c>
      <c r="F292" s="13" t="s">
        <v>2216</v>
      </c>
      <c r="G292" s="13">
        <v>83.09</v>
      </c>
      <c r="H292" s="13">
        <v>0</v>
      </c>
      <c r="I292" s="13">
        <v>83.09</v>
      </c>
      <c r="J292" s="24">
        <v>45875</v>
      </c>
      <c r="K292" s="13">
        <v>22</v>
      </c>
      <c r="L292" s="44">
        <v>2.2999999999999998</v>
      </c>
      <c r="M292" s="13" t="b">
        <v>0</v>
      </c>
      <c r="O292" s="25">
        <f t="shared" si="16"/>
        <v>27</v>
      </c>
      <c r="P292" s="13">
        <f t="shared" si="17"/>
        <v>0</v>
      </c>
      <c r="Q292" s="13" t="str">
        <f t="shared" si="18"/>
        <v/>
      </c>
      <c r="R292" s="13" t="str">
        <f t="shared" si="19"/>
        <v>Non diskon</v>
      </c>
    </row>
    <row r="293" spans="1:18" x14ac:dyDescent="0.25">
      <c r="A293" s="13" t="s">
        <v>305</v>
      </c>
      <c r="B293" s="13" t="s">
        <v>2190</v>
      </c>
      <c r="C293" s="13" t="s">
        <v>2201</v>
      </c>
      <c r="D293" s="13" t="s">
        <v>2205</v>
      </c>
      <c r="E293" s="13" t="s">
        <v>2212</v>
      </c>
      <c r="F293" s="13" t="s">
        <v>2223</v>
      </c>
      <c r="G293" s="13">
        <v>176.1</v>
      </c>
      <c r="H293" s="13">
        <v>0</v>
      </c>
      <c r="I293" s="13">
        <v>176.1</v>
      </c>
      <c r="J293" s="24">
        <v>45875</v>
      </c>
      <c r="K293" s="13">
        <v>12</v>
      </c>
      <c r="L293" s="44">
        <v>4.5999999999999996</v>
      </c>
      <c r="M293" s="13" t="b">
        <v>0</v>
      </c>
      <c r="O293" s="25">
        <f t="shared" si="16"/>
        <v>27</v>
      </c>
      <c r="P293" s="13">
        <f t="shared" si="17"/>
        <v>0</v>
      </c>
      <c r="Q293" s="13" t="str">
        <f t="shared" si="18"/>
        <v/>
      </c>
      <c r="R293" s="13" t="str">
        <f t="shared" si="19"/>
        <v>Non diskon</v>
      </c>
    </row>
    <row r="294" spans="1:18" x14ac:dyDescent="0.25">
      <c r="A294" s="13" t="s">
        <v>306</v>
      </c>
      <c r="B294" s="13" t="s">
        <v>2194</v>
      </c>
      <c r="C294" s="13" t="s">
        <v>2199</v>
      </c>
      <c r="D294" s="13" t="s">
        <v>2206</v>
      </c>
      <c r="E294" s="13" t="s">
        <v>2213</v>
      </c>
      <c r="F294" s="13" t="s">
        <v>2219</v>
      </c>
      <c r="G294" s="13">
        <v>69.11</v>
      </c>
      <c r="H294" s="13">
        <v>0</v>
      </c>
      <c r="I294" s="13">
        <v>69.11</v>
      </c>
      <c r="J294" s="24">
        <v>45875</v>
      </c>
      <c r="K294" s="13">
        <v>18</v>
      </c>
      <c r="L294" s="44">
        <v>3.9</v>
      </c>
      <c r="M294" s="13" t="b">
        <v>0</v>
      </c>
      <c r="O294" s="25">
        <f t="shared" si="16"/>
        <v>27</v>
      </c>
      <c r="P294" s="13">
        <f t="shared" si="17"/>
        <v>0</v>
      </c>
      <c r="Q294" s="13" t="str">
        <f t="shared" si="18"/>
        <v/>
      </c>
      <c r="R294" s="13" t="str">
        <f t="shared" si="19"/>
        <v>Non diskon</v>
      </c>
    </row>
    <row r="295" spans="1:18" x14ac:dyDescent="0.25">
      <c r="A295" s="13" t="s">
        <v>307</v>
      </c>
      <c r="B295" s="13" t="s">
        <v>2193</v>
      </c>
      <c r="C295" s="13" t="s">
        <v>2196</v>
      </c>
      <c r="D295" s="13" t="s">
        <v>2204</v>
      </c>
      <c r="E295" s="13" t="s">
        <v>2210</v>
      </c>
      <c r="F295" s="13" t="s">
        <v>2223</v>
      </c>
      <c r="G295" s="13">
        <v>117.85</v>
      </c>
      <c r="H295" s="13">
        <v>0</v>
      </c>
      <c r="I295" s="13">
        <v>117.85</v>
      </c>
      <c r="J295" s="24">
        <v>45649</v>
      </c>
      <c r="K295" s="13">
        <v>34</v>
      </c>
      <c r="L295" s="44">
        <v>3.3</v>
      </c>
      <c r="M295" s="13" t="b">
        <v>0</v>
      </c>
      <c r="O295" s="25">
        <f t="shared" si="16"/>
        <v>253</v>
      </c>
      <c r="P295" s="13">
        <f t="shared" si="17"/>
        <v>0</v>
      </c>
      <c r="Q295" s="13" t="str">
        <f t="shared" si="18"/>
        <v/>
      </c>
      <c r="R295" s="13" t="str">
        <f t="shared" si="19"/>
        <v>Non diskon</v>
      </c>
    </row>
    <row r="296" spans="1:18" x14ac:dyDescent="0.25">
      <c r="A296" s="13" t="s">
        <v>308</v>
      </c>
      <c r="B296" s="13" t="s">
        <v>2193</v>
      </c>
      <c r="C296" s="13" t="s">
        <v>2198</v>
      </c>
      <c r="D296" s="13" t="s">
        <v>2206</v>
      </c>
      <c r="E296" s="13" t="s">
        <v>2213</v>
      </c>
      <c r="F296" s="13" t="s">
        <v>2223</v>
      </c>
      <c r="G296" s="13">
        <v>96.17</v>
      </c>
      <c r="H296" s="13">
        <v>36</v>
      </c>
      <c r="I296" s="13">
        <v>61.55</v>
      </c>
      <c r="J296" s="24">
        <v>45875</v>
      </c>
      <c r="K296" s="13">
        <v>45</v>
      </c>
      <c r="L296" s="44">
        <v>3.5</v>
      </c>
      <c r="M296" s="13" t="b">
        <v>0</v>
      </c>
      <c r="O296" s="25">
        <f t="shared" si="16"/>
        <v>27</v>
      </c>
      <c r="P296" s="13">
        <f t="shared" si="17"/>
        <v>1620</v>
      </c>
      <c r="Q296" s="13" t="str">
        <f t="shared" si="18"/>
        <v/>
      </c>
      <c r="R296" s="13" t="str">
        <f t="shared" si="19"/>
        <v>Diskon</v>
      </c>
    </row>
    <row r="297" spans="1:18" x14ac:dyDescent="0.25">
      <c r="A297" s="13" t="s">
        <v>309</v>
      </c>
      <c r="B297" s="13" t="s">
        <v>2193</v>
      </c>
      <c r="C297" s="13" t="s">
        <v>2196</v>
      </c>
      <c r="D297" s="13" t="s">
        <v>2204</v>
      </c>
      <c r="E297" s="13" t="s">
        <v>2211</v>
      </c>
      <c r="F297" s="13" t="s">
        <v>2214</v>
      </c>
      <c r="G297" s="13">
        <v>80.14</v>
      </c>
      <c r="H297" s="13">
        <v>0</v>
      </c>
      <c r="I297" s="13">
        <v>80.14</v>
      </c>
      <c r="J297" s="24">
        <v>45747</v>
      </c>
      <c r="K297" s="13">
        <v>10</v>
      </c>
      <c r="L297" s="44">
        <v>5</v>
      </c>
      <c r="M297" s="13" t="b">
        <v>0</v>
      </c>
      <c r="O297" s="25">
        <f t="shared" si="16"/>
        <v>155</v>
      </c>
      <c r="P297" s="13">
        <f t="shared" si="17"/>
        <v>0</v>
      </c>
      <c r="Q297" s="13" t="str">
        <f t="shared" si="18"/>
        <v/>
      </c>
      <c r="R297" s="13" t="str">
        <f t="shared" si="19"/>
        <v>Non diskon</v>
      </c>
    </row>
    <row r="298" spans="1:18" x14ac:dyDescent="0.25">
      <c r="A298" s="13" t="s">
        <v>310</v>
      </c>
      <c r="B298" s="13" t="s">
        <v>2192</v>
      </c>
      <c r="C298" s="13" t="s">
        <v>2202</v>
      </c>
      <c r="D298" s="13" t="s">
        <v>2207</v>
      </c>
      <c r="F298" s="13" t="s">
        <v>2215</v>
      </c>
      <c r="G298" s="13">
        <v>55.08</v>
      </c>
      <c r="H298" s="13">
        <v>13</v>
      </c>
      <c r="I298" s="13">
        <v>47.92</v>
      </c>
      <c r="J298" s="24">
        <v>45875</v>
      </c>
      <c r="K298" s="13">
        <v>17</v>
      </c>
      <c r="L298" s="44">
        <v>3.9</v>
      </c>
      <c r="M298" s="13" t="b">
        <v>0</v>
      </c>
      <c r="O298" s="25">
        <f t="shared" si="16"/>
        <v>27</v>
      </c>
      <c r="P298" s="13">
        <f t="shared" si="17"/>
        <v>221</v>
      </c>
      <c r="Q298" s="13" t="str">
        <f t="shared" si="18"/>
        <v/>
      </c>
      <c r="R298" s="13" t="str">
        <f t="shared" si="19"/>
        <v>Diskon</v>
      </c>
    </row>
    <row r="299" spans="1:18" x14ac:dyDescent="0.25">
      <c r="A299" s="13" t="s">
        <v>311</v>
      </c>
      <c r="B299" s="13" t="s">
        <v>2195</v>
      </c>
      <c r="C299" s="13" t="s">
        <v>2199</v>
      </c>
      <c r="D299" s="13" t="s">
        <v>2206</v>
      </c>
      <c r="E299" s="13" t="s">
        <v>2210</v>
      </c>
      <c r="F299" s="13" t="s">
        <v>2215</v>
      </c>
      <c r="G299" s="13">
        <v>165.84</v>
      </c>
      <c r="H299" s="13">
        <v>50.4</v>
      </c>
      <c r="I299" s="13">
        <v>82.26</v>
      </c>
      <c r="J299" s="24">
        <v>45875</v>
      </c>
      <c r="K299" s="13">
        <v>17</v>
      </c>
      <c r="L299" s="44">
        <v>3.2</v>
      </c>
      <c r="M299" s="13" t="b">
        <v>1</v>
      </c>
      <c r="N299" s="13" t="s">
        <v>2227</v>
      </c>
      <c r="O299" s="25">
        <f t="shared" si="16"/>
        <v>27</v>
      </c>
      <c r="P299" s="13">
        <f t="shared" si="17"/>
        <v>856.8</v>
      </c>
      <c r="Q299" s="13">
        <f t="shared" si="18"/>
        <v>1</v>
      </c>
      <c r="R299" s="13" t="str">
        <f t="shared" si="19"/>
        <v>Diskon</v>
      </c>
    </row>
    <row r="300" spans="1:18" x14ac:dyDescent="0.25">
      <c r="A300" s="13" t="s">
        <v>312</v>
      </c>
      <c r="B300" s="13" t="s">
        <v>2195</v>
      </c>
      <c r="C300" s="13" t="s">
        <v>2202</v>
      </c>
      <c r="D300" s="13" t="s">
        <v>2207</v>
      </c>
      <c r="E300" s="13" t="s">
        <v>2211</v>
      </c>
      <c r="F300" s="13" t="s">
        <v>2214</v>
      </c>
      <c r="G300" s="13">
        <v>82.7</v>
      </c>
      <c r="H300" s="13">
        <v>0</v>
      </c>
      <c r="I300" s="13">
        <v>82.7</v>
      </c>
      <c r="J300" s="24">
        <v>45875</v>
      </c>
      <c r="K300" s="13">
        <v>20</v>
      </c>
      <c r="L300" s="44">
        <v>4</v>
      </c>
      <c r="M300" s="13" t="b">
        <v>0</v>
      </c>
      <c r="O300" s="25">
        <f t="shared" si="16"/>
        <v>27</v>
      </c>
      <c r="P300" s="13">
        <f t="shared" si="17"/>
        <v>0</v>
      </c>
      <c r="Q300" s="13" t="str">
        <f t="shared" si="18"/>
        <v/>
      </c>
      <c r="R300" s="13" t="str">
        <f t="shared" si="19"/>
        <v>Non diskon</v>
      </c>
    </row>
    <row r="301" spans="1:18" x14ac:dyDescent="0.25">
      <c r="A301" s="13" t="s">
        <v>313</v>
      </c>
      <c r="B301" s="13" t="s">
        <v>2190</v>
      </c>
      <c r="C301" s="13" t="s">
        <v>2198</v>
      </c>
      <c r="D301" s="13" t="s">
        <v>2204</v>
      </c>
      <c r="E301" s="13" t="s">
        <v>2210</v>
      </c>
      <c r="F301" s="13" t="s">
        <v>2223</v>
      </c>
      <c r="G301" s="13">
        <v>222.86</v>
      </c>
      <c r="H301" s="13">
        <v>6.6</v>
      </c>
      <c r="I301" s="13">
        <v>208.15</v>
      </c>
      <c r="J301" s="24">
        <v>45645</v>
      </c>
      <c r="K301" s="13">
        <v>29</v>
      </c>
      <c r="L301" s="44">
        <v>2.1</v>
      </c>
      <c r="M301" s="13" t="b">
        <v>0</v>
      </c>
      <c r="O301" s="25">
        <f t="shared" si="16"/>
        <v>257</v>
      </c>
      <c r="P301" s="13">
        <f t="shared" si="17"/>
        <v>191.39999999999998</v>
      </c>
      <c r="Q301" s="13" t="str">
        <f t="shared" si="18"/>
        <v/>
      </c>
      <c r="R301" s="13" t="str">
        <f t="shared" si="19"/>
        <v>Diskon</v>
      </c>
    </row>
    <row r="302" spans="1:18" x14ac:dyDescent="0.25">
      <c r="A302" s="13" t="s">
        <v>314</v>
      </c>
      <c r="B302" s="13" t="s">
        <v>2191</v>
      </c>
      <c r="C302" s="13" t="s">
        <v>2199</v>
      </c>
      <c r="D302" s="13" t="s">
        <v>2205</v>
      </c>
      <c r="E302" s="13" t="s">
        <v>2209</v>
      </c>
      <c r="F302" s="13" t="s">
        <v>2218</v>
      </c>
      <c r="G302" s="13">
        <v>107.15</v>
      </c>
      <c r="H302" s="13">
        <v>0</v>
      </c>
      <c r="I302" s="13">
        <v>107.15</v>
      </c>
      <c r="J302" s="24">
        <v>45875</v>
      </c>
      <c r="K302" s="13">
        <v>33</v>
      </c>
      <c r="L302" s="44">
        <v>2.9742857142857138</v>
      </c>
      <c r="M302" s="13" t="b">
        <v>1</v>
      </c>
      <c r="N302" s="13" t="s">
        <v>2230</v>
      </c>
      <c r="O302" s="25">
        <f t="shared" si="16"/>
        <v>27</v>
      </c>
      <c r="P302" s="13">
        <f t="shared" si="17"/>
        <v>0</v>
      </c>
      <c r="Q302" s="13">
        <f t="shared" si="18"/>
        <v>1</v>
      </c>
      <c r="R302" s="13" t="str">
        <f t="shared" si="19"/>
        <v>Non diskon</v>
      </c>
    </row>
    <row r="303" spans="1:18" x14ac:dyDescent="0.25">
      <c r="A303" s="13" t="s">
        <v>315</v>
      </c>
      <c r="B303" s="13" t="s">
        <v>2193</v>
      </c>
      <c r="C303" s="13" t="s">
        <v>2200</v>
      </c>
      <c r="D303" s="13" t="s">
        <v>2206</v>
      </c>
      <c r="E303" s="13" t="s">
        <v>2211</v>
      </c>
      <c r="F303" s="13" t="s">
        <v>2218</v>
      </c>
      <c r="G303" s="13">
        <v>85.54</v>
      </c>
      <c r="H303" s="13">
        <v>0</v>
      </c>
      <c r="I303" s="13">
        <v>85.54</v>
      </c>
      <c r="J303" s="24">
        <v>45875</v>
      </c>
      <c r="K303" s="13">
        <v>30</v>
      </c>
      <c r="L303" s="44">
        <v>3.3021276595744684</v>
      </c>
      <c r="M303" s="13" t="b">
        <v>0</v>
      </c>
      <c r="O303" s="25">
        <f t="shared" si="16"/>
        <v>27</v>
      </c>
      <c r="P303" s="13">
        <f t="shared" si="17"/>
        <v>0</v>
      </c>
      <c r="Q303" s="13" t="str">
        <f t="shared" si="18"/>
        <v/>
      </c>
      <c r="R303" s="13" t="str">
        <f t="shared" si="19"/>
        <v>Non diskon</v>
      </c>
    </row>
    <row r="304" spans="1:18" x14ac:dyDescent="0.25">
      <c r="A304" s="13" t="s">
        <v>316</v>
      </c>
      <c r="B304" s="13" t="s">
        <v>2194</v>
      </c>
      <c r="C304" s="13" t="s">
        <v>2199</v>
      </c>
      <c r="D304" s="13" t="s">
        <v>2207</v>
      </c>
      <c r="E304" s="13" t="s">
        <v>2208</v>
      </c>
      <c r="F304" s="13" t="s">
        <v>2220</v>
      </c>
      <c r="G304" s="13">
        <v>34.36</v>
      </c>
      <c r="H304" s="13">
        <v>5.4</v>
      </c>
      <c r="I304" s="13">
        <v>32.5</v>
      </c>
      <c r="J304" s="24">
        <v>45875</v>
      </c>
      <c r="K304" s="13">
        <v>49</v>
      </c>
      <c r="L304" s="44">
        <v>4.5</v>
      </c>
      <c r="M304" s="13" t="b">
        <v>0</v>
      </c>
      <c r="O304" s="25">
        <f t="shared" si="16"/>
        <v>27</v>
      </c>
      <c r="P304" s="13">
        <f t="shared" si="17"/>
        <v>264.60000000000002</v>
      </c>
      <c r="Q304" s="13" t="str">
        <f t="shared" si="18"/>
        <v/>
      </c>
      <c r="R304" s="13" t="str">
        <f t="shared" si="19"/>
        <v>Diskon</v>
      </c>
    </row>
    <row r="305" spans="1:18" x14ac:dyDescent="0.25">
      <c r="A305" s="13" t="s">
        <v>317</v>
      </c>
      <c r="B305" s="13" t="s">
        <v>2194</v>
      </c>
      <c r="C305" s="13" t="s">
        <v>2199</v>
      </c>
      <c r="D305" s="13" t="s">
        <v>2205</v>
      </c>
      <c r="E305" s="13" t="s">
        <v>2208</v>
      </c>
      <c r="F305" s="13" t="s">
        <v>2216</v>
      </c>
      <c r="G305" s="13">
        <v>111.25</v>
      </c>
      <c r="H305" s="13">
        <v>42.2</v>
      </c>
      <c r="I305" s="13">
        <v>64.3</v>
      </c>
      <c r="J305" s="24">
        <v>45875</v>
      </c>
      <c r="K305" s="13">
        <v>34</v>
      </c>
      <c r="L305" s="44">
        <v>3</v>
      </c>
      <c r="M305" s="13" t="b">
        <v>0</v>
      </c>
      <c r="O305" s="25">
        <f t="shared" si="16"/>
        <v>27</v>
      </c>
      <c r="P305" s="13">
        <f t="shared" si="17"/>
        <v>1434.8000000000002</v>
      </c>
      <c r="Q305" s="13" t="str">
        <f t="shared" si="18"/>
        <v/>
      </c>
      <c r="R305" s="13" t="str">
        <f t="shared" si="19"/>
        <v>Diskon</v>
      </c>
    </row>
    <row r="306" spans="1:18" x14ac:dyDescent="0.25">
      <c r="A306" s="13" t="s">
        <v>318</v>
      </c>
      <c r="B306" s="13" t="s">
        <v>2191</v>
      </c>
      <c r="C306" s="13" t="s">
        <v>2196</v>
      </c>
      <c r="D306" s="13" t="s">
        <v>2204</v>
      </c>
      <c r="E306" s="13" t="s">
        <v>2211</v>
      </c>
      <c r="F306" s="13" t="s">
        <v>2215</v>
      </c>
      <c r="G306" s="13">
        <v>39.97</v>
      </c>
      <c r="H306" s="13">
        <v>35.200000000000003</v>
      </c>
      <c r="I306" s="13">
        <v>25.9</v>
      </c>
      <c r="J306" s="24">
        <v>45679</v>
      </c>
      <c r="K306" s="13">
        <v>15</v>
      </c>
      <c r="L306" s="44">
        <v>2.2999999999999998</v>
      </c>
      <c r="M306" s="13" t="b">
        <v>0</v>
      </c>
      <c r="O306" s="25">
        <f t="shared" si="16"/>
        <v>223</v>
      </c>
      <c r="P306" s="13">
        <f t="shared" si="17"/>
        <v>528</v>
      </c>
      <c r="Q306" s="13" t="str">
        <f t="shared" si="18"/>
        <v/>
      </c>
      <c r="R306" s="13" t="str">
        <f t="shared" si="19"/>
        <v>Diskon</v>
      </c>
    </row>
    <row r="307" spans="1:18" x14ac:dyDescent="0.25">
      <c r="A307" s="13" t="s">
        <v>319</v>
      </c>
      <c r="B307" s="13" t="s">
        <v>2193</v>
      </c>
      <c r="C307" s="13" t="s">
        <v>2203</v>
      </c>
      <c r="D307" s="13" t="s">
        <v>2207</v>
      </c>
      <c r="E307" s="13" t="s">
        <v>2213</v>
      </c>
      <c r="F307" s="13" t="s">
        <v>2217</v>
      </c>
      <c r="G307" s="13">
        <v>60.34</v>
      </c>
      <c r="H307" s="13">
        <v>0</v>
      </c>
      <c r="I307" s="13">
        <v>60.34</v>
      </c>
      <c r="J307" s="24">
        <v>45875</v>
      </c>
      <c r="K307" s="13">
        <v>4</v>
      </c>
      <c r="L307" s="44">
        <v>3.2576923076923077</v>
      </c>
      <c r="M307" s="13" t="b">
        <v>0</v>
      </c>
      <c r="O307" s="25">
        <f t="shared" si="16"/>
        <v>27</v>
      </c>
      <c r="P307" s="13">
        <f t="shared" si="17"/>
        <v>0</v>
      </c>
      <c r="Q307" s="13" t="str">
        <f t="shared" si="18"/>
        <v/>
      </c>
      <c r="R307" s="13" t="str">
        <f t="shared" si="19"/>
        <v>Non diskon</v>
      </c>
    </row>
    <row r="308" spans="1:18" x14ac:dyDescent="0.25">
      <c r="A308" s="13" t="s">
        <v>320</v>
      </c>
      <c r="B308" s="13" t="s">
        <v>2192</v>
      </c>
      <c r="C308" s="13" t="s">
        <v>2202</v>
      </c>
      <c r="D308" s="13" t="s">
        <v>2207</v>
      </c>
      <c r="F308" s="13" t="s">
        <v>2219</v>
      </c>
      <c r="G308" s="13">
        <v>17.7</v>
      </c>
      <c r="H308" s="13">
        <v>0</v>
      </c>
      <c r="I308" s="13">
        <v>17.7</v>
      </c>
      <c r="J308" s="24">
        <v>45875</v>
      </c>
      <c r="K308" s="13">
        <v>42</v>
      </c>
      <c r="L308" s="44">
        <v>3.9</v>
      </c>
      <c r="M308" s="13" t="b">
        <v>0</v>
      </c>
      <c r="O308" s="25">
        <f t="shared" si="16"/>
        <v>27</v>
      </c>
      <c r="P308" s="13">
        <f t="shared" si="17"/>
        <v>0</v>
      </c>
      <c r="Q308" s="13" t="str">
        <f t="shared" si="18"/>
        <v/>
      </c>
      <c r="R308" s="13" t="str">
        <f t="shared" si="19"/>
        <v>Non diskon</v>
      </c>
    </row>
    <row r="309" spans="1:18" x14ac:dyDescent="0.25">
      <c r="A309" s="13" t="s">
        <v>321</v>
      </c>
      <c r="B309" s="13" t="s">
        <v>2194</v>
      </c>
      <c r="C309" s="13" t="s">
        <v>2199</v>
      </c>
      <c r="D309" s="13" t="s">
        <v>2207</v>
      </c>
      <c r="E309" s="13" t="s">
        <v>2213</v>
      </c>
      <c r="F309" s="13" t="s">
        <v>2217</v>
      </c>
      <c r="G309" s="13">
        <v>57.88</v>
      </c>
      <c r="H309" s="13">
        <v>0</v>
      </c>
      <c r="I309" s="13">
        <v>57.88</v>
      </c>
      <c r="J309" s="24">
        <v>45875</v>
      </c>
      <c r="K309" s="13">
        <v>39</v>
      </c>
      <c r="L309" s="44">
        <v>3</v>
      </c>
      <c r="M309" s="13" t="b">
        <v>0</v>
      </c>
      <c r="O309" s="25">
        <f t="shared" si="16"/>
        <v>27</v>
      </c>
      <c r="P309" s="13">
        <f t="shared" si="17"/>
        <v>0</v>
      </c>
      <c r="Q309" s="13" t="str">
        <f t="shared" si="18"/>
        <v/>
      </c>
      <c r="R309" s="13" t="str">
        <f t="shared" si="19"/>
        <v>Non diskon</v>
      </c>
    </row>
    <row r="310" spans="1:18" x14ac:dyDescent="0.25">
      <c r="A310" s="13" t="s">
        <v>322</v>
      </c>
      <c r="B310" s="13" t="s">
        <v>2191</v>
      </c>
      <c r="C310" s="13" t="s">
        <v>2199</v>
      </c>
      <c r="D310" s="13" t="s">
        <v>2207</v>
      </c>
      <c r="E310" s="13" t="s">
        <v>2210</v>
      </c>
      <c r="F310" s="13" t="s">
        <v>2219</v>
      </c>
      <c r="G310" s="13">
        <v>25.15</v>
      </c>
      <c r="H310" s="13">
        <v>0</v>
      </c>
      <c r="I310" s="13">
        <v>25.15</v>
      </c>
      <c r="J310" s="24">
        <v>45875</v>
      </c>
      <c r="K310" s="13">
        <v>34</v>
      </c>
      <c r="L310" s="44">
        <v>2.6</v>
      </c>
      <c r="M310" s="13" t="b">
        <v>0</v>
      </c>
      <c r="O310" s="25">
        <f t="shared" si="16"/>
        <v>27</v>
      </c>
      <c r="P310" s="13">
        <f t="shared" si="17"/>
        <v>0</v>
      </c>
      <c r="Q310" s="13" t="str">
        <f t="shared" si="18"/>
        <v/>
      </c>
      <c r="R310" s="13" t="str">
        <f t="shared" si="19"/>
        <v>Non diskon</v>
      </c>
    </row>
    <row r="311" spans="1:18" x14ac:dyDescent="0.25">
      <c r="A311" s="13" t="s">
        <v>323</v>
      </c>
      <c r="B311" s="13" t="s">
        <v>2190</v>
      </c>
      <c r="C311" s="13" t="s">
        <v>2199</v>
      </c>
      <c r="D311" s="13" t="s">
        <v>2204</v>
      </c>
      <c r="E311" s="13" t="s">
        <v>2209</v>
      </c>
      <c r="F311" s="13" t="s">
        <v>2223</v>
      </c>
      <c r="G311" s="13">
        <v>157.44999999999999</v>
      </c>
      <c r="H311" s="13">
        <v>0</v>
      </c>
      <c r="I311" s="13">
        <v>157.44999999999999</v>
      </c>
      <c r="J311" s="24">
        <v>45803</v>
      </c>
      <c r="K311" s="13">
        <v>7</v>
      </c>
      <c r="L311" s="44">
        <v>2.9</v>
      </c>
      <c r="M311" s="13" t="b">
        <v>0</v>
      </c>
      <c r="O311" s="25">
        <f t="shared" si="16"/>
        <v>99</v>
      </c>
      <c r="P311" s="13">
        <f t="shared" si="17"/>
        <v>0</v>
      </c>
      <c r="Q311" s="13" t="str">
        <f t="shared" si="18"/>
        <v/>
      </c>
      <c r="R311" s="13" t="str">
        <f t="shared" si="19"/>
        <v>Non diskon</v>
      </c>
    </row>
    <row r="312" spans="1:18" x14ac:dyDescent="0.25">
      <c r="A312" s="13" t="s">
        <v>324</v>
      </c>
      <c r="B312" s="13" t="s">
        <v>2194</v>
      </c>
      <c r="C312" s="13" t="s">
        <v>2200</v>
      </c>
      <c r="D312" s="13" t="s">
        <v>2205</v>
      </c>
      <c r="E312" s="13" t="s">
        <v>2209</v>
      </c>
      <c r="F312" s="13" t="s">
        <v>2223</v>
      </c>
      <c r="G312" s="13">
        <v>65.72</v>
      </c>
      <c r="H312" s="13">
        <v>9.1</v>
      </c>
      <c r="I312" s="13">
        <v>59.74</v>
      </c>
      <c r="J312" s="24">
        <v>45875</v>
      </c>
      <c r="K312" s="13">
        <v>10</v>
      </c>
      <c r="L312" s="44">
        <v>2.8</v>
      </c>
      <c r="M312" s="13" t="b">
        <v>1</v>
      </c>
      <c r="N312" s="13" t="s">
        <v>2228</v>
      </c>
      <c r="O312" s="25">
        <f t="shared" si="16"/>
        <v>27</v>
      </c>
      <c r="P312" s="13">
        <f t="shared" si="17"/>
        <v>91</v>
      </c>
      <c r="Q312" s="13">
        <f t="shared" si="18"/>
        <v>1</v>
      </c>
      <c r="R312" s="13" t="str">
        <f t="shared" si="19"/>
        <v>Diskon</v>
      </c>
    </row>
    <row r="313" spans="1:18" x14ac:dyDescent="0.25">
      <c r="A313" s="13" t="s">
        <v>325</v>
      </c>
      <c r="B313" s="13" t="s">
        <v>2195</v>
      </c>
      <c r="C313" s="13" t="s">
        <v>2203</v>
      </c>
      <c r="D313" s="13" t="s">
        <v>2205</v>
      </c>
      <c r="E313" s="13" t="s">
        <v>2211</v>
      </c>
      <c r="F313" s="13" t="s">
        <v>2224</v>
      </c>
      <c r="G313" s="13">
        <v>92.8</v>
      </c>
      <c r="H313" s="13">
        <v>0</v>
      </c>
      <c r="I313" s="13">
        <v>92.8</v>
      </c>
      <c r="J313" s="24">
        <v>45875</v>
      </c>
      <c r="K313" s="13">
        <v>25</v>
      </c>
      <c r="L313" s="44">
        <v>2.5</v>
      </c>
      <c r="M313" s="13" t="b">
        <v>0</v>
      </c>
      <c r="O313" s="25">
        <f t="shared" si="16"/>
        <v>27</v>
      </c>
      <c r="P313" s="13">
        <f t="shared" si="17"/>
        <v>0</v>
      </c>
      <c r="Q313" s="13" t="str">
        <f t="shared" si="18"/>
        <v/>
      </c>
      <c r="R313" s="13" t="str">
        <f t="shared" si="19"/>
        <v>Non diskon</v>
      </c>
    </row>
    <row r="314" spans="1:18" x14ac:dyDescent="0.25">
      <c r="A314" s="13" t="s">
        <v>326</v>
      </c>
      <c r="B314" s="13" t="s">
        <v>2195</v>
      </c>
      <c r="C314" s="13" t="s">
        <v>2198</v>
      </c>
      <c r="D314" s="13" t="s">
        <v>2205</v>
      </c>
      <c r="E314" s="13" t="s">
        <v>2208</v>
      </c>
      <c r="F314" s="13" t="s">
        <v>2219</v>
      </c>
      <c r="G314" s="13">
        <v>88.65</v>
      </c>
      <c r="H314" s="13">
        <v>0</v>
      </c>
      <c r="I314" s="13">
        <v>88.65</v>
      </c>
      <c r="J314" s="24">
        <v>45875</v>
      </c>
      <c r="K314" s="13">
        <v>11</v>
      </c>
      <c r="L314" s="44">
        <v>3.3</v>
      </c>
      <c r="M314" s="13" t="b">
        <v>0</v>
      </c>
      <c r="O314" s="25">
        <f t="shared" si="16"/>
        <v>27</v>
      </c>
      <c r="P314" s="13">
        <f t="shared" si="17"/>
        <v>0</v>
      </c>
      <c r="Q314" s="13" t="str">
        <f t="shared" si="18"/>
        <v/>
      </c>
      <c r="R314" s="13" t="str">
        <f t="shared" si="19"/>
        <v>Non diskon</v>
      </c>
    </row>
    <row r="315" spans="1:18" x14ac:dyDescent="0.25">
      <c r="A315" s="13" t="s">
        <v>327</v>
      </c>
      <c r="B315" s="13" t="s">
        <v>2191</v>
      </c>
      <c r="C315" s="13" t="s">
        <v>2196</v>
      </c>
      <c r="D315" s="13" t="s">
        <v>2205</v>
      </c>
      <c r="E315" s="13" t="s">
        <v>2211</v>
      </c>
      <c r="F315" s="13" t="s">
        <v>2221</v>
      </c>
      <c r="G315" s="13">
        <v>47.07</v>
      </c>
      <c r="H315" s="13">
        <v>57.4</v>
      </c>
      <c r="I315" s="13">
        <v>20.05</v>
      </c>
      <c r="J315" s="24">
        <v>45875</v>
      </c>
      <c r="K315" s="13">
        <v>24</v>
      </c>
      <c r="L315" s="44">
        <v>1.3</v>
      </c>
      <c r="M315" s="13" t="b">
        <v>1</v>
      </c>
      <c r="N315" s="13" t="s">
        <v>2226</v>
      </c>
      <c r="O315" s="25">
        <f t="shared" si="16"/>
        <v>27</v>
      </c>
      <c r="P315" s="13">
        <f t="shared" si="17"/>
        <v>1377.6</v>
      </c>
      <c r="Q315" s="13">
        <f t="shared" si="18"/>
        <v>1</v>
      </c>
      <c r="R315" s="13" t="str">
        <f t="shared" si="19"/>
        <v>Diskon</v>
      </c>
    </row>
    <row r="316" spans="1:18" x14ac:dyDescent="0.25">
      <c r="A316" s="13" t="s">
        <v>328</v>
      </c>
      <c r="B316" s="13" t="s">
        <v>2190</v>
      </c>
      <c r="C316" s="13" t="s">
        <v>2201</v>
      </c>
      <c r="D316" s="13" t="s">
        <v>2207</v>
      </c>
      <c r="E316" s="13" t="s">
        <v>2212</v>
      </c>
      <c r="F316" s="13" t="s">
        <v>2214</v>
      </c>
      <c r="G316" s="13">
        <v>101.75</v>
      </c>
      <c r="H316" s="13">
        <v>0</v>
      </c>
      <c r="I316" s="13">
        <v>101.75</v>
      </c>
      <c r="J316" s="24">
        <v>45875</v>
      </c>
      <c r="K316" s="13">
        <v>7</v>
      </c>
      <c r="L316" s="44">
        <v>3.1</v>
      </c>
      <c r="M316" s="13" t="b">
        <v>0</v>
      </c>
      <c r="O316" s="25">
        <f t="shared" si="16"/>
        <v>27</v>
      </c>
      <c r="P316" s="13">
        <f t="shared" si="17"/>
        <v>0</v>
      </c>
      <c r="Q316" s="13" t="str">
        <f t="shared" si="18"/>
        <v/>
      </c>
      <c r="R316" s="13" t="str">
        <f t="shared" si="19"/>
        <v>Non diskon</v>
      </c>
    </row>
    <row r="317" spans="1:18" x14ac:dyDescent="0.25">
      <c r="A317" s="13" t="s">
        <v>329</v>
      </c>
      <c r="B317" s="13" t="s">
        <v>2195</v>
      </c>
      <c r="C317" s="13" t="s">
        <v>2199</v>
      </c>
      <c r="D317" s="13" t="s">
        <v>2204</v>
      </c>
      <c r="E317" s="13" t="s">
        <v>2212</v>
      </c>
      <c r="F317" s="13" t="s">
        <v>2219</v>
      </c>
      <c r="G317" s="13">
        <v>131.08000000000001</v>
      </c>
      <c r="H317" s="13">
        <v>7.5</v>
      </c>
      <c r="I317" s="13">
        <v>121.25</v>
      </c>
      <c r="J317" s="24">
        <v>45630</v>
      </c>
      <c r="K317" s="13">
        <v>20</v>
      </c>
      <c r="L317" s="44">
        <v>4.5</v>
      </c>
      <c r="M317" s="13" t="b">
        <v>1</v>
      </c>
      <c r="N317" s="13" t="s">
        <v>2230</v>
      </c>
      <c r="O317" s="25">
        <f t="shared" si="16"/>
        <v>272</v>
      </c>
      <c r="P317" s="13">
        <f t="shared" si="17"/>
        <v>150</v>
      </c>
      <c r="Q317" s="13">
        <f t="shared" si="18"/>
        <v>1</v>
      </c>
      <c r="R317" s="13" t="str">
        <f t="shared" si="19"/>
        <v>Diskon</v>
      </c>
    </row>
    <row r="318" spans="1:18" x14ac:dyDescent="0.25">
      <c r="A318" s="13" t="s">
        <v>330</v>
      </c>
      <c r="B318" s="13" t="s">
        <v>2191</v>
      </c>
      <c r="C318" s="13" t="s">
        <v>2196</v>
      </c>
      <c r="D318" s="13" t="s">
        <v>2206</v>
      </c>
      <c r="E318" s="13" t="s">
        <v>2212</v>
      </c>
      <c r="F318" s="13" t="s">
        <v>2216</v>
      </c>
      <c r="G318" s="13">
        <v>82.06</v>
      </c>
      <c r="H318" s="13">
        <v>26.1</v>
      </c>
      <c r="I318" s="13">
        <v>60.64</v>
      </c>
      <c r="J318" s="24">
        <v>45875</v>
      </c>
      <c r="K318" s="13">
        <v>32</v>
      </c>
      <c r="L318" s="44">
        <v>1.5</v>
      </c>
      <c r="M318" s="13" t="b">
        <v>0</v>
      </c>
      <c r="O318" s="25">
        <f t="shared" si="16"/>
        <v>27</v>
      </c>
      <c r="P318" s="13">
        <f t="shared" si="17"/>
        <v>835.2</v>
      </c>
      <c r="Q318" s="13" t="str">
        <f t="shared" si="18"/>
        <v/>
      </c>
      <c r="R318" s="13" t="str">
        <f t="shared" si="19"/>
        <v>Diskon</v>
      </c>
    </row>
    <row r="319" spans="1:18" x14ac:dyDescent="0.25">
      <c r="A319" s="13" t="s">
        <v>331</v>
      </c>
      <c r="B319" s="13" t="s">
        <v>2195</v>
      </c>
      <c r="C319" s="13" t="s">
        <v>2200</v>
      </c>
      <c r="D319" s="13" t="s">
        <v>2207</v>
      </c>
      <c r="E319" s="13" t="s">
        <v>2209</v>
      </c>
      <c r="F319" s="13" t="s">
        <v>2223</v>
      </c>
      <c r="G319" s="13">
        <v>66.31</v>
      </c>
      <c r="H319" s="13">
        <v>0</v>
      </c>
      <c r="I319" s="13">
        <v>66.31</v>
      </c>
      <c r="J319" s="24">
        <v>45875</v>
      </c>
      <c r="K319" s="13">
        <v>47</v>
      </c>
      <c r="L319" s="44">
        <v>3.9</v>
      </c>
      <c r="M319" s="13" t="b">
        <v>0</v>
      </c>
      <c r="O319" s="25">
        <f t="shared" si="16"/>
        <v>27</v>
      </c>
      <c r="P319" s="13">
        <f t="shared" si="17"/>
        <v>0</v>
      </c>
      <c r="Q319" s="13" t="str">
        <f t="shared" si="18"/>
        <v/>
      </c>
      <c r="R319" s="13" t="str">
        <f t="shared" si="19"/>
        <v>Non diskon</v>
      </c>
    </row>
    <row r="320" spans="1:18" x14ac:dyDescent="0.25">
      <c r="A320" s="13" t="s">
        <v>332</v>
      </c>
      <c r="B320" s="13" t="s">
        <v>2192</v>
      </c>
      <c r="C320" s="13" t="s">
        <v>2197</v>
      </c>
      <c r="D320" s="13" t="s">
        <v>2206</v>
      </c>
      <c r="F320" s="13" t="s">
        <v>2220</v>
      </c>
      <c r="G320" s="13">
        <v>26.03</v>
      </c>
      <c r="H320" s="13">
        <v>0</v>
      </c>
      <c r="I320" s="13">
        <v>26.03</v>
      </c>
      <c r="J320" s="24">
        <v>45875</v>
      </c>
      <c r="K320" s="13">
        <v>15</v>
      </c>
      <c r="L320" s="44">
        <v>3.8</v>
      </c>
      <c r="M320" s="13" t="b">
        <v>0</v>
      </c>
      <c r="O320" s="25">
        <f t="shared" si="16"/>
        <v>27</v>
      </c>
      <c r="P320" s="13">
        <f t="shared" si="17"/>
        <v>0</v>
      </c>
      <c r="Q320" s="13" t="str">
        <f t="shared" si="18"/>
        <v/>
      </c>
      <c r="R320" s="13" t="str">
        <f t="shared" si="19"/>
        <v>Non diskon</v>
      </c>
    </row>
    <row r="321" spans="1:18" x14ac:dyDescent="0.25">
      <c r="A321" s="13" t="s">
        <v>333</v>
      </c>
      <c r="B321" s="13" t="s">
        <v>2193</v>
      </c>
      <c r="C321" s="13" t="s">
        <v>2197</v>
      </c>
      <c r="D321" s="13" t="s">
        <v>2204</v>
      </c>
      <c r="E321" s="13" t="s">
        <v>2210</v>
      </c>
      <c r="F321" s="13" t="s">
        <v>2221</v>
      </c>
      <c r="G321" s="13">
        <v>152.53</v>
      </c>
      <c r="H321" s="13">
        <v>0</v>
      </c>
      <c r="I321" s="13">
        <v>152.53</v>
      </c>
      <c r="J321" s="24">
        <v>45617</v>
      </c>
      <c r="K321" s="13">
        <v>24</v>
      </c>
      <c r="L321" s="44">
        <v>4.2</v>
      </c>
      <c r="M321" s="13" t="b">
        <v>0</v>
      </c>
      <c r="O321" s="25">
        <f t="shared" si="16"/>
        <v>285</v>
      </c>
      <c r="P321" s="13">
        <f t="shared" si="17"/>
        <v>0</v>
      </c>
      <c r="Q321" s="13" t="str">
        <f t="shared" si="18"/>
        <v/>
      </c>
      <c r="R321" s="13" t="str">
        <f t="shared" si="19"/>
        <v>Non diskon</v>
      </c>
    </row>
    <row r="322" spans="1:18" x14ac:dyDescent="0.25">
      <c r="A322" s="13" t="s">
        <v>334</v>
      </c>
      <c r="B322" s="13" t="s">
        <v>2194</v>
      </c>
      <c r="C322" s="13" t="s">
        <v>2199</v>
      </c>
      <c r="D322" s="13" t="s">
        <v>2206</v>
      </c>
      <c r="E322" s="13" t="s">
        <v>2210</v>
      </c>
      <c r="F322" s="13" t="s">
        <v>2221</v>
      </c>
      <c r="G322" s="13">
        <v>26.16</v>
      </c>
      <c r="H322" s="13">
        <v>16.2</v>
      </c>
      <c r="I322" s="13">
        <v>21.92</v>
      </c>
      <c r="J322" s="24">
        <v>45875</v>
      </c>
      <c r="K322" s="13">
        <v>13</v>
      </c>
      <c r="L322" s="44">
        <v>2.2999999999999998</v>
      </c>
      <c r="M322" s="13" t="b">
        <v>0</v>
      </c>
      <c r="O322" s="25">
        <f t="shared" si="16"/>
        <v>27</v>
      </c>
      <c r="P322" s="13">
        <f t="shared" si="17"/>
        <v>210.6</v>
      </c>
      <c r="Q322" s="13" t="str">
        <f t="shared" si="18"/>
        <v/>
      </c>
      <c r="R322" s="13" t="str">
        <f t="shared" si="19"/>
        <v>Diskon</v>
      </c>
    </row>
    <row r="323" spans="1:18" x14ac:dyDescent="0.25">
      <c r="A323" s="13" t="s">
        <v>335</v>
      </c>
      <c r="B323" s="13" t="s">
        <v>2195</v>
      </c>
      <c r="C323" s="13" t="s">
        <v>2197</v>
      </c>
      <c r="D323" s="13" t="s">
        <v>2205</v>
      </c>
      <c r="E323" s="13" t="s">
        <v>2211</v>
      </c>
      <c r="F323" s="13" t="s">
        <v>2219</v>
      </c>
      <c r="G323" s="13">
        <v>89.17</v>
      </c>
      <c r="H323" s="13">
        <v>10.8</v>
      </c>
      <c r="I323" s="13">
        <v>79.540000000000006</v>
      </c>
      <c r="J323" s="24">
        <v>45875</v>
      </c>
      <c r="K323" s="13">
        <v>27</v>
      </c>
      <c r="L323" s="44">
        <v>3.3</v>
      </c>
      <c r="M323" s="13" t="b">
        <v>0</v>
      </c>
      <c r="O323" s="25">
        <f t="shared" ref="O323:O386" si="20">DATE(2025,9,2)-J323</f>
        <v>27</v>
      </c>
      <c r="P323" s="13">
        <f t="shared" ref="P323:P386" si="21">H323*K323</f>
        <v>291.60000000000002</v>
      </c>
      <c r="Q323" s="13" t="str">
        <f t="shared" ref="Q323:Q386" si="22">IF(M323=FALSE,"",1)</f>
        <v/>
      </c>
      <c r="R323" s="13" t="str">
        <f t="shared" ref="R323:R386" si="23">IF(H323=0,"Non diskon","Diskon")</f>
        <v>Diskon</v>
      </c>
    </row>
    <row r="324" spans="1:18" x14ac:dyDescent="0.25">
      <c r="A324" s="13" t="s">
        <v>336</v>
      </c>
      <c r="B324" s="13" t="s">
        <v>2194</v>
      </c>
      <c r="C324" s="13" t="s">
        <v>2200</v>
      </c>
      <c r="D324" s="13" t="s">
        <v>2204</v>
      </c>
      <c r="F324" s="13" t="s">
        <v>2217</v>
      </c>
      <c r="G324" s="13">
        <v>106.37</v>
      </c>
      <c r="H324" s="13">
        <v>0</v>
      </c>
      <c r="I324" s="13">
        <v>106.37</v>
      </c>
      <c r="J324" s="24">
        <v>45753</v>
      </c>
      <c r="K324" s="13">
        <v>37</v>
      </c>
      <c r="L324" s="44">
        <v>4.9000000000000004</v>
      </c>
      <c r="M324" s="13" t="b">
        <v>0</v>
      </c>
      <c r="O324" s="25">
        <f t="shared" si="20"/>
        <v>149</v>
      </c>
      <c r="P324" s="13">
        <f t="shared" si="21"/>
        <v>0</v>
      </c>
      <c r="Q324" s="13" t="str">
        <f t="shared" si="22"/>
        <v/>
      </c>
      <c r="R324" s="13" t="str">
        <f t="shared" si="23"/>
        <v>Non diskon</v>
      </c>
    </row>
    <row r="325" spans="1:18" x14ac:dyDescent="0.25">
      <c r="A325" s="13" t="s">
        <v>337</v>
      </c>
      <c r="B325" s="13" t="s">
        <v>2195</v>
      </c>
      <c r="C325" s="13" t="s">
        <v>2199</v>
      </c>
      <c r="D325" s="13" t="s">
        <v>2206</v>
      </c>
      <c r="E325" s="13" t="s">
        <v>2208</v>
      </c>
      <c r="F325" s="13" t="s">
        <v>2217</v>
      </c>
      <c r="G325" s="13">
        <v>80.95</v>
      </c>
      <c r="H325" s="13">
        <v>36.799999999999997</v>
      </c>
      <c r="I325" s="13">
        <v>51.16</v>
      </c>
      <c r="J325" s="24">
        <v>45875</v>
      </c>
      <c r="K325" s="13">
        <v>16</v>
      </c>
      <c r="L325" s="44">
        <v>2.5</v>
      </c>
      <c r="M325" s="13" t="b">
        <v>0</v>
      </c>
      <c r="O325" s="25">
        <f t="shared" si="20"/>
        <v>27</v>
      </c>
      <c r="P325" s="13">
        <f t="shared" si="21"/>
        <v>588.79999999999995</v>
      </c>
      <c r="Q325" s="13" t="str">
        <f t="shared" si="22"/>
        <v/>
      </c>
      <c r="R325" s="13" t="str">
        <f t="shared" si="23"/>
        <v>Diskon</v>
      </c>
    </row>
    <row r="326" spans="1:18" x14ac:dyDescent="0.25">
      <c r="A326" s="13" t="s">
        <v>338</v>
      </c>
      <c r="B326" s="13" t="s">
        <v>2190</v>
      </c>
      <c r="C326" s="13" t="s">
        <v>2198</v>
      </c>
      <c r="D326" s="13" t="s">
        <v>2207</v>
      </c>
      <c r="E326" s="13" t="s">
        <v>2213</v>
      </c>
      <c r="F326" s="13" t="s">
        <v>2222</v>
      </c>
      <c r="G326" s="13">
        <v>169.84</v>
      </c>
      <c r="H326" s="13">
        <v>50.2</v>
      </c>
      <c r="I326" s="13">
        <v>84.58</v>
      </c>
      <c r="J326" s="24">
        <v>45875</v>
      </c>
      <c r="K326" s="13">
        <v>21</v>
      </c>
      <c r="L326" s="44">
        <v>3</v>
      </c>
      <c r="M326" s="13" t="b">
        <v>1</v>
      </c>
      <c r="N326" s="13" t="s">
        <v>2228</v>
      </c>
      <c r="O326" s="25">
        <f t="shared" si="20"/>
        <v>27</v>
      </c>
      <c r="P326" s="13">
        <f t="shared" si="21"/>
        <v>1054.2</v>
      </c>
      <c r="Q326" s="13">
        <f t="shared" si="22"/>
        <v>1</v>
      </c>
      <c r="R326" s="13" t="str">
        <f t="shared" si="23"/>
        <v>Diskon</v>
      </c>
    </row>
    <row r="327" spans="1:18" x14ac:dyDescent="0.25">
      <c r="A327" s="13" t="s">
        <v>339</v>
      </c>
      <c r="B327" s="13" t="s">
        <v>2195</v>
      </c>
      <c r="C327" s="13" t="s">
        <v>2203</v>
      </c>
      <c r="D327" s="13" t="s">
        <v>2206</v>
      </c>
      <c r="E327" s="13" t="s">
        <v>2213</v>
      </c>
      <c r="F327" s="13" t="s">
        <v>2220</v>
      </c>
      <c r="G327" s="13">
        <v>159.4</v>
      </c>
      <c r="H327" s="13">
        <v>8.8000000000000007</v>
      </c>
      <c r="I327" s="13">
        <v>145.37</v>
      </c>
      <c r="J327" s="24">
        <v>45875</v>
      </c>
      <c r="K327" s="13">
        <v>43</v>
      </c>
      <c r="L327" s="44">
        <v>4.5</v>
      </c>
      <c r="M327" s="13" t="b">
        <v>0</v>
      </c>
      <c r="O327" s="25">
        <f t="shared" si="20"/>
        <v>27</v>
      </c>
      <c r="P327" s="13">
        <f t="shared" si="21"/>
        <v>378.40000000000003</v>
      </c>
      <c r="Q327" s="13" t="str">
        <f t="shared" si="22"/>
        <v/>
      </c>
      <c r="R327" s="13" t="str">
        <f t="shared" si="23"/>
        <v>Diskon</v>
      </c>
    </row>
    <row r="328" spans="1:18" x14ac:dyDescent="0.25">
      <c r="A328" s="13" t="s">
        <v>340</v>
      </c>
      <c r="B328" s="13" t="s">
        <v>2194</v>
      </c>
      <c r="C328" s="13" t="s">
        <v>2203</v>
      </c>
      <c r="D328" s="13" t="s">
        <v>2205</v>
      </c>
      <c r="E328" s="13" t="s">
        <v>2210</v>
      </c>
      <c r="F328" s="13" t="s">
        <v>2216</v>
      </c>
      <c r="G328" s="13">
        <v>106.53</v>
      </c>
      <c r="H328" s="13">
        <v>46.5</v>
      </c>
      <c r="I328" s="13">
        <v>56.99</v>
      </c>
      <c r="J328" s="24">
        <v>45875</v>
      </c>
      <c r="K328" s="13">
        <v>17</v>
      </c>
      <c r="L328" s="44">
        <v>3.1021739130434773</v>
      </c>
      <c r="M328" s="13" t="b">
        <v>0</v>
      </c>
      <c r="O328" s="25">
        <f t="shared" si="20"/>
        <v>27</v>
      </c>
      <c r="P328" s="13">
        <f t="shared" si="21"/>
        <v>790.5</v>
      </c>
      <c r="Q328" s="13" t="str">
        <f t="shared" si="22"/>
        <v/>
      </c>
      <c r="R328" s="13" t="str">
        <f t="shared" si="23"/>
        <v>Diskon</v>
      </c>
    </row>
    <row r="329" spans="1:18" x14ac:dyDescent="0.25">
      <c r="A329" s="13" t="s">
        <v>341</v>
      </c>
      <c r="B329" s="13" t="s">
        <v>2192</v>
      </c>
      <c r="C329" s="13" t="s">
        <v>2202</v>
      </c>
      <c r="D329" s="13" t="s">
        <v>2204</v>
      </c>
      <c r="F329" s="13" t="s">
        <v>2216</v>
      </c>
      <c r="G329" s="13">
        <v>78.81</v>
      </c>
      <c r="H329" s="13">
        <v>44.7</v>
      </c>
      <c r="I329" s="13">
        <v>43.58</v>
      </c>
      <c r="J329" s="24">
        <v>45548</v>
      </c>
      <c r="K329" s="13">
        <v>34</v>
      </c>
      <c r="L329" s="44">
        <v>1.4</v>
      </c>
      <c r="M329" s="13" t="b">
        <v>0</v>
      </c>
      <c r="O329" s="25">
        <f t="shared" si="20"/>
        <v>354</v>
      </c>
      <c r="P329" s="13">
        <f t="shared" si="21"/>
        <v>1519.8000000000002</v>
      </c>
      <c r="Q329" s="13" t="str">
        <f t="shared" si="22"/>
        <v/>
      </c>
      <c r="R329" s="13" t="str">
        <f t="shared" si="23"/>
        <v>Diskon</v>
      </c>
    </row>
    <row r="330" spans="1:18" x14ac:dyDescent="0.25">
      <c r="A330" s="13" t="s">
        <v>342</v>
      </c>
      <c r="B330" s="13" t="s">
        <v>2190</v>
      </c>
      <c r="C330" s="13" t="s">
        <v>2197</v>
      </c>
      <c r="D330" s="13" t="s">
        <v>2207</v>
      </c>
      <c r="E330" s="13" t="s">
        <v>2212</v>
      </c>
      <c r="F330" s="13" t="s">
        <v>2218</v>
      </c>
      <c r="G330" s="13">
        <v>117.45</v>
      </c>
      <c r="H330" s="13">
        <v>29.5</v>
      </c>
      <c r="I330" s="13">
        <v>82.8</v>
      </c>
      <c r="J330" s="24">
        <v>45875</v>
      </c>
      <c r="K330" s="13">
        <v>43</v>
      </c>
      <c r="L330" s="44">
        <v>1.2</v>
      </c>
      <c r="M330" s="13" t="b">
        <v>0</v>
      </c>
      <c r="O330" s="25">
        <f t="shared" si="20"/>
        <v>27</v>
      </c>
      <c r="P330" s="13">
        <f t="shared" si="21"/>
        <v>1268.5</v>
      </c>
      <c r="Q330" s="13" t="str">
        <f t="shared" si="22"/>
        <v/>
      </c>
      <c r="R330" s="13" t="str">
        <f t="shared" si="23"/>
        <v>Diskon</v>
      </c>
    </row>
    <row r="331" spans="1:18" x14ac:dyDescent="0.25">
      <c r="A331" s="13" t="s">
        <v>343</v>
      </c>
      <c r="B331" s="13" t="s">
        <v>2192</v>
      </c>
      <c r="C331" s="13" t="s">
        <v>2202</v>
      </c>
      <c r="D331" s="13" t="s">
        <v>2204</v>
      </c>
      <c r="F331" s="13" t="s">
        <v>2221</v>
      </c>
      <c r="G331" s="13">
        <v>76.94</v>
      </c>
      <c r="H331" s="13">
        <v>0</v>
      </c>
      <c r="I331" s="13">
        <v>76.94</v>
      </c>
      <c r="J331" s="24">
        <v>45821</v>
      </c>
      <c r="K331" s="13">
        <v>21</v>
      </c>
      <c r="L331" s="44">
        <v>4.3</v>
      </c>
      <c r="M331" s="13" t="b">
        <v>0</v>
      </c>
      <c r="O331" s="25">
        <f t="shared" si="20"/>
        <v>81</v>
      </c>
      <c r="P331" s="13">
        <f t="shared" si="21"/>
        <v>0</v>
      </c>
      <c r="Q331" s="13" t="str">
        <f t="shared" si="22"/>
        <v/>
      </c>
      <c r="R331" s="13" t="str">
        <f t="shared" si="23"/>
        <v>Non diskon</v>
      </c>
    </row>
    <row r="332" spans="1:18" x14ac:dyDescent="0.25">
      <c r="A332" s="13" t="s">
        <v>344</v>
      </c>
      <c r="B332" s="13" t="s">
        <v>2190</v>
      </c>
      <c r="C332" s="13" t="s">
        <v>2202</v>
      </c>
      <c r="D332" s="13" t="s">
        <v>2207</v>
      </c>
      <c r="E332" s="13" t="s">
        <v>2209</v>
      </c>
      <c r="F332" s="13" t="s">
        <v>2217</v>
      </c>
      <c r="G332" s="13">
        <v>232.19</v>
      </c>
      <c r="H332" s="13">
        <v>0</v>
      </c>
      <c r="I332" s="13">
        <v>232.19</v>
      </c>
      <c r="J332" s="24">
        <v>45875</v>
      </c>
      <c r="K332" s="13">
        <v>31</v>
      </c>
      <c r="L332" s="44">
        <v>1.3</v>
      </c>
      <c r="M332" s="13" t="b">
        <v>1</v>
      </c>
      <c r="N332" s="13" t="s">
        <v>2229</v>
      </c>
      <c r="O332" s="25">
        <f t="shared" si="20"/>
        <v>27</v>
      </c>
      <c r="P332" s="13">
        <f t="shared" si="21"/>
        <v>0</v>
      </c>
      <c r="Q332" s="13">
        <f t="shared" si="22"/>
        <v>1</v>
      </c>
      <c r="R332" s="13" t="str">
        <f t="shared" si="23"/>
        <v>Non diskon</v>
      </c>
    </row>
    <row r="333" spans="1:18" x14ac:dyDescent="0.25">
      <c r="A333" s="13" t="s">
        <v>345</v>
      </c>
      <c r="B333" s="13" t="s">
        <v>2195</v>
      </c>
      <c r="C333" s="13" t="s">
        <v>2203</v>
      </c>
      <c r="D333" s="13" t="s">
        <v>2206</v>
      </c>
      <c r="E333" s="13" t="s">
        <v>2212</v>
      </c>
      <c r="F333" s="13" t="s">
        <v>2222</v>
      </c>
      <c r="G333" s="13">
        <v>80.400000000000006</v>
      </c>
      <c r="H333" s="13">
        <v>52.1</v>
      </c>
      <c r="I333" s="13">
        <v>38.51</v>
      </c>
      <c r="J333" s="24">
        <v>45875</v>
      </c>
      <c r="K333" s="13">
        <v>7</v>
      </c>
      <c r="L333" s="44">
        <v>1.2</v>
      </c>
      <c r="M333" s="13" t="b">
        <v>0</v>
      </c>
      <c r="O333" s="25">
        <f t="shared" si="20"/>
        <v>27</v>
      </c>
      <c r="P333" s="13">
        <f t="shared" si="21"/>
        <v>364.7</v>
      </c>
      <c r="Q333" s="13" t="str">
        <f t="shared" si="22"/>
        <v/>
      </c>
      <c r="R333" s="13" t="str">
        <f t="shared" si="23"/>
        <v>Diskon</v>
      </c>
    </row>
    <row r="334" spans="1:18" x14ac:dyDescent="0.25">
      <c r="A334" s="13" t="s">
        <v>346</v>
      </c>
      <c r="B334" s="13" t="s">
        <v>2194</v>
      </c>
      <c r="C334" s="13" t="s">
        <v>2199</v>
      </c>
      <c r="D334" s="13" t="s">
        <v>2207</v>
      </c>
      <c r="E334" s="13" t="s">
        <v>2208</v>
      </c>
      <c r="F334" s="13" t="s">
        <v>2216</v>
      </c>
      <c r="G334" s="13">
        <v>102.82</v>
      </c>
      <c r="H334" s="13">
        <v>0</v>
      </c>
      <c r="I334" s="13">
        <v>102.82</v>
      </c>
      <c r="J334" s="24">
        <v>45875</v>
      </c>
      <c r="K334" s="13">
        <v>50</v>
      </c>
      <c r="L334" s="44">
        <v>3.6</v>
      </c>
      <c r="M334" s="13" t="b">
        <v>0</v>
      </c>
      <c r="O334" s="25">
        <f t="shared" si="20"/>
        <v>27</v>
      </c>
      <c r="P334" s="13">
        <f t="shared" si="21"/>
        <v>0</v>
      </c>
      <c r="Q334" s="13" t="str">
        <f t="shared" si="22"/>
        <v/>
      </c>
      <c r="R334" s="13" t="str">
        <f t="shared" si="23"/>
        <v>Non diskon</v>
      </c>
    </row>
    <row r="335" spans="1:18" x14ac:dyDescent="0.25">
      <c r="A335" s="13" t="s">
        <v>347</v>
      </c>
      <c r="B335" s="13" t="s">
        <v>2192</v>
      </c>
      <c r="C335" s="13" t="s">
        <v>2196</v>
      </c>
      <c r="D335" s="13" t="s">
        <v>2204</v>
      </c>
      <c r="F335" s="13" t="s">
        <v>2222</v>
      </c>
      <c r="G335" s="13">
        <v>48.5</v>
      </c>
      <c r="H335" s="13">
        <v>0</v>
      </c>
      <c r="I335" s="13">
        <v>48.5</v>
      </c>
      <c r="J335" s="24">
        <v>45786</v>
      </c>
      <c r="K335" s="13">
        <v>46</v>
      </c>
      <c r="L335" s="44">
        <v>2.9116666666666675</v>
      </c>
      <c r="M335" s="13" t="b">
        <v>0</v>
      </c>
      <c r="O335" s="25">
        <f t="shared" si="20"/>
        <v>116</v>
      </c>
      <c r="P335" s="13">
        <f t="shared" si="21"/>
        <v>0</v>
      </c>
      <c r="Q335" s="13" t="str">
        <f t="shared" si="22"/>
        <v/>
      </c>
      <c r="R335" s="13" t="str">
        <f t="shared" si="23"/>
        <v>Non diskon</v>
      </c>
    </row>
    <row r="336" spans="1:18" x14ac:dyDescent="0.25">
      <c r="A336" s="13" t="s">
        <v>348</v>
      </c>
      <c r="B336" s="13" t="s">
        <v>2194</v>
      </c>
      <c r="C336" s="13" t="s">
        <v>2199</v>
      </c>
      <c r="D336" s="13" t="s">
        <v>2206</v>
      </c>
      <c r="F336" s="13" t="s">
        <v>2215</v>
      </c>
      <c r="G336" s="13">
        <v>88.4</v>
      </c>
      <c r="H336" s="13">
        <v>0</v>
      </c>
      <c r="I336" s="13">
        <v>88.4</v>
      </c>
      <c r="J336" s="24">
        <v>45875</v>
      </c>
      <c r="K336" s="13">
        <v>1</v>
      </c>
      <c r="L336" s="44">
        <v>1.4</v>
      </c>
      <c r="M336" s="13" t="b">
        <v>0</v>
      </c>
      <c r="O336" s="25">
        <f t="shared" si="20"/>
        <v>27</v>
      </c>
      <c r="P336" s="13">
        <f t="shared" si="21"/>
        <v>0</v>
      </c>
      <c r="Q336" s="13" t="str">
        <f t="shared" si="22"/>
        <v/>
      </c>
      <c r="R336" s="13" t="str">
        <f t="shared" si="23"/>
        <v>Non diskon</v>
      </c>
    </row>
    <row r="337" spans="1:18" x14ac:dyDescent="0.25">
      <c r="A337" s="13" t="s">
        <v>349</v>
      </c>
      <c r="B337" s="13" t="s">
        <v>2193</v>
      </c>
      <c r="C337" s="13" t="s">
        <v>2199</v>
      </c>
      <c r="D337" s="13" t="s">
        <v>2205</v>
      </c>
      <c r="E337" s="13" t="s">
        <v>2210</v>
      </c>
      <c r="F337" s="13" t="s">
        <v>2216</v>
      </c>
      <c r="G337" s="13">
        <v>112.5</v>
      </c>
      <c r="H337" s="13">
        <v>0</v>
      </c>
      <c r="I337" s="13">
        <v>112.5</v>
      </c>
      <c r="J337" s="24">
        <v>45875</v>
      </c>
      <c r="K337" s="13">
        <v>11</v>
      </c>
      <c r="L337" s="44">
        <v>4.3</v>
      </c>
      <c r="M337" s="13" t="b">
        <v>0</v>
      </c>
      <c r="O337" s="25">
        <f t="shared" si="20"/>
        <v>27</v>
      </c>
      <c r="P337" s="13">
        <f t="shared" si="21"/>
        <v>0</v>
      </c>
      <c r="Q337" s="13" t="str">
        <f t="shared" si="22"/>
        <v/>
      </c>
      <c r="R337" s="13" t="str">
        <f t="shared" si="23"/>
        <v>Non diskon</v>
      </c>
    </row>
    <row r="338" spans="1:18" x14ac:dyDescent="0.25">
      <c r="A338" s="13" t="s">
        <v>350</v>
      </c>
      <c r="B338" s="13" t="s">
        <v>2194</v>
      </c>
      <c r="C338" s="13" t="s">
        <v>2196</v>
      </c>
      <c r="D338" s="13" t="s">
        <v>2206</v>
      </c>
      <c r="E338" s="13" t="s">
        <v>2211</v>
      </c>
      <c r="F338" s="13" t="s">
        <v>2218</v>
      </c>
      <c r="G338" s="13">
        <v>97.95</v>
      </c>
      <c r="H338" s="13">
        <v>11.1</v>
      </c>
      <c r="I338" s="13">
        <v>87.08</v>
      </c>
      <c r="J338" s="24">
        <v>45875</v>
      </c>
      <c r="K338" s="13">
        <v>25</v>
      </c>
      <c r="L338" s="44">
        <v>2.4</v>
      </c>
      <c r="M338" s="13" t="b">
        <v>0</v>
      </c>
      <c r="O338" s="25">
        <f t="shared" si="20"/>
        <v>27</v>
      </c>
      <c r="P338" s="13">
        <f t="shared" si="21"/>
        <v>277.5</v>
      </c>
      <c r="Q338" s="13" t="str">
        <f t="shared" si="22"/>
        <v/>
      </c>
      <c r="R338" s="13" t="str">
        <f t="shared" si="23"/>
        <v>Diskon</v>
      </c>
    </row>
    <row r="339" spans="1:18" x14ac:dyDescent="0.25">
      <c r="A339" s="13" t="s">
        <v>351</v>
      </c>
      <c r="B339" s="13" t="s">
        <v>2190</v>
      </c>
      <c r="C339" s="13" t="s">
        <v>2200</v>
      </c>
      <c r="D339" s="13" t="s">
        <v>2207</v>
      </c>
      <c r="E339" s="13" t="s">
        <v>2213</v>
      </c>
      <c r="F339" s="13" t="s">
        <v>2215</v>
      </c>
      <c r="G339" s="13">
        <v>114.51</v>
      </c>
      <c r="H339" s="13">
        <v>36.9</v>
      </c>
      <c r="I339" s="13">
        <v>72.260000000000005</v>
      </c>
      <c r="J339" s="24">
        <v>45875</v>
      </c>
      <c r="K339" s="13">
        <v>33</v>
      </c>
      <c r="L339" s="44">
        <v>1.5</v>
      </c>
      <c r="M339" s="13" t="b">
        <v>0</v>
      </c>
      <c r="O339" s="25">
        <f t="shared" si="20"/>
        <v>27</v>
      </c>
      <c r="P339" s="13">
        <f t="shared" si="21"/>
        <v>1217.7</v>
      </c>
      <c r="Q339" s="13" t="str">
        <f t="shared" si="22"/>
        <v/>
      </c>
      <c r="R339" s="13" t="str">
        <f t="shared" si="23"/>
        <v>Diskon</v>
      </c>
    </row>
    <row r="340" spans="1:18" x14ac:dyDescent="0.25">
      <c r="A340" s="13" t="s">
        <v>352</v>
      </c>
      <c r="B340" s="13" t="s">
        <v>2194</v>
      </c>
      <c r="C340" s="13" t="s">
        <v>2196</v>
      </c>
      <c r="D340" s="13" t="s">
        <v>2205</v>
      </c>
      <c r="E340" s="13" t="s">
        <v>2212</v>
      </c>
      <c r="F340" s="13" t="s">
        <v>2224</v>
      </c>
      <c r="G340" s="13">
        <v>27.85</v>
      </c>
      <c r="H340" s="13">
        <v>0</v>
      </c>
      <c r="I340" s="13">
        <v>27.85</v>
      </c>
      <c r="J340" s="24">
        <v>45875</v>
      </c>
      <c r="K340" s="13">
        <v>0</v>
      </c>
      <c r="L340" s="44">
        <v>1.5</v>
      </c>
      <c r="M340" s="13" t="b">
        <v>0</v>
      </c>
      <c r="O340" s="25">
        <f t="shared" si="20"/>
        <v>27</v>
      </c>
      <c r="P340" s="13">
        <f t="shared" si="21"/>
        <v>0</v>
      </c>
      <c r="Q340" s="13" t="str">
        <f t="shared" si="22"/>
        <v/>
      </c>
      <c r="R340" s="13" t="str">
        <f t="shared" si="23"/>
        <v>Non diskon</v>
      </c>
    </row>
    <row r="341" spans="1:18" x14ac:dyDescent="0.25">
      <c r="A341" s="13" t="s">
        <v>353</v>
      </c>
      <c r="B341" s="13" t="s">
        <v>2193</v>
      </c>
      <c r="C341" s="13" t="s">
        <v>2201</v>
      </c>
      <c r="D341" s="13" t="s">
        <v>2204</v>
      </c>
      <c r="E341" s="13" t="s">
        <v>2208</v>
      </c>
      <c r="F341" s="13" t="s">
        <v>2219</v>
      </c>
      <c r="G341" s="13">
        <v>82.08</v>
      </c>
      <c r="H341" s="13">
        <v>40.6</v>
      </c>
      <c r="I341" s="13">
        <v>48.76</v>
      </c>
      <c r="J341" s="24">
        <v>45800</v>
      </c>
      <c r="K341" s="13">
        <v>43</v>
      </c>
      <c r="L341" s="44">
        <v>2.5</v>
      </c>
      <c r="M341" s="13" t="b">
        <v>1</v>
      </c>
      <c r="N341" s="13" t="s">
        <v>2228</v>
      </c>
      <c r="O341" s="25">
        <f t="shared" si="20"/>
        <v>102</v>
      </c>
      <c r="P341" s="13">
        <f t="shared" si="21"/>
        <v>1745.8</v>
      </c>
      <c r="Q341" s="13">
        <f t="shared" si="22"/>
        <v>1</v>
      </c>
      <c r="R341" s="13" t="str">
        <f t="shared" si="23"/>
        <v>Diskon</v>
      </c>
    </row>
    <row r="342" spans="1:18" x14ac:dyDescent="0.25">
      <c r="A342" s="13" t="s">
        <v>354</v>
      </c>
      <c r="B342" s="13" t="s">
        <v>2194</v>
      </c>
      <c r="C342" s="13" t="s">
        <v>2199</v>
      </c>
      <c r="D342" s="13" t="s">
        <v>2207</v>
      </c>
      <c r="E342" s="13" t="s">
        <v>2210</v>
      </c>
      <c r="F342" s="13" t="s">
        <v>2216</v>
      </c>
      <c r="G342" s="13">
        <v>116.41</v>
      </c>
      <c r="H342" s="13">
        <v>40.700000000000003</v>
      </c>
      <c r="I342" s="13">
        <v>69.03</v>
      </c>
      <c r="J342" s="24">
        <v>45875</v>
      </c>
      <c r="K342" s="13">
        <v>23</v>
      </c>
      <c r="L342" s="44">
        <v>1.2</v>
      </c>
      <c r="M342" s="13" t="b">
        <v>0</v>
      </c>
      <c r="O342" s="25">
        <f t="shared" si="20"/>
        <v>27</v>
      </c>
      <c r="P342" s="13">
        <f t="shared" si="21"/>
        <v>936.1</v>
      </c>
      <c r="Q342" s="13" t="str">
        <f t="shared" si="22"/>
        <v/>
      </c>
      <c r="R342" s="13" t="str">
        <f t="shared" si="23"/>
        <v>Diskon</v>
      </c>
    </row>
    <row r="343" spans="1:18" x14ac:dyDescent="0.25">
      <c r="A343" s="13" t="s">
        <v>355</v>
      </c>
      <c r="B343" s="13" t="s">
        <v>2194</v>
      </c>
      <c r="C343" s="13" t="s">
        <v>2201</v>
      </c>
      <c r="D343" s="13" t="s">
        <v>2204</v>
      </c>
      <c r="E343" s="13" t="s">
        <v>2213</v>
      </c>
      <c r="F343" s="13" t="s">
        <v>2217</v>
      </c>
      <c r="G343" s="13">
        <v>95.61</v>
      </c>
      <c r="H343" s="13">
        <v>0</v>
      </c>
      <c r="I343" s="13">
        <v>95.61</v>
      </c>
      <c r="J343" s="24">
        <v>45818</v>
      </c>
      <c r="K343" s="13">
        <v>47</v>
      </c>
      <c r="L343" s="44">
        <v>4.7</v>
      </c>
      <c r="M343" s="13" t="b">
        <v>1</v>
      </c>
      <c r="N343" s="13" t="s">
        <v>2228</v>
      </c>
      <c r="O343" s="25">
        <f t="shared" si="20"/>
        <v>84</v>
      </c>
      <c r="P343" s="13">
        <f t="shared" si="21"/>
        <v>0</v>
      </c>
      <c r="Q343" s="13">
        <f t="shared" si="22"/>
        <v>1</v>
      </c>
      <c r="R343" s="13" t="str">
        <f t="shared" si="23"/>
        <v>Non diskon</v>
      </c>
    </row>
    <row r="344" spans="1:18" x14ac:dyDescent="0.25">
      <c r="A344" s="13" t="s">
        <v>356</v>
      </c>
      <c r="B344" s="13" t="s">
        <v>2193</v>
      </c>
      <c r="C344" s="13" t="s">
        <v>2199</v>
      </c>
      <c r="D344" s="13" t="s">
        <v>2206</v>
      </c>
      <c r="E344" s="13" t="s">
        <v>2213</v>
      </c>
      <c r="F344" s="13" t="s">
        <v>2217</v>
      </c>
      <c r="G344" s="13">
        <v>70.040000000000006</v>
      </c>
      <c r="H344" s="13">
        <v>0</v>
      </c>
      <c r="I344" s="13">
        <v>70.040000000000006</v>
      </c>
      <c r="J344" s="24">
        <v>45875</v>
      </c>
      <c r="K344" s="13">
        <v>12</v>
      </c>
      <c r="L344" s="44">
        <v>2.4</v>
      </c>
      <c r="M344" s="13" t="b">
        <v>0</v>
      </c>
      <c r="O344" s="25">
        <f t="shared" si="20"/>
        <v>27</v>
      </c>
      <c r="P344" s="13">
        <f t="shared" si="21"/>
        <v>0</v>
      </c>
      <c r="Q344" s="13" t="str">
        <f t="shared" si="22"/>
        <v/>
      </c>
      <c r="R344" s="13" t="str">
        <f t="shared" si="23"/>
        <v>Non diskon</v>
      </c>
    </row>
    <row r="345" spans="1:18" x14ac:dyDescent="0.25">
      <c r="A345" s="13" t="s">
        <v>357</v>
      </c>
      <c r="B345" s="13" t="s">
        <v>2193</v>
      </c>
      <c r="C345" s="13" t="s">
        <v>2198</v>
      </c>
      <c r="D345" s="13" t="s">
        <v>2205</v>
      </c>
      <c r="E345" s="13" t="s">
        <v>2210</v>
      </c>
      <c r="F345" s="13" t="s">
        <v>2218</v>
      </c>
      <c r="G345" s="13">
        <v>112.59</v>
      </c>
      <c r="H345" s="13">
        <v>54</v>
      </c>
      <c r="I345" s="13">
        <v>51.79</v>
      </c>
      <c r="J345" s="24">
        <v>45875</v>
      </c>
      <c r="K345" s="13">
        <v>17</v>
      </c>
      <c r="L345" s="44">
        <v>4</v>
      </c>
      <c r="M345" s="13" t="b">
        <v>0</v>
      </c>
      <c r="O345" s="25">
        <f t="shared" si="20"/>
        <v>27</v>
      </c>
      <c r="P345" s="13">
        <f t="shared" si="21"/>
        <v>918</v>
      </c>
      <c r="Q345" s="13" t="str">
        <f t="shared" si="22"/>
        <v/>
      </c>
      <c r="R345" s="13" t="str">
        <f t="shared" si="23"/>
        <v>Diskon</v>
      </c>
    </row>
    <row r="346" spans="1:18" x14ac:dyDescent="0.25">
      <c r="A346" s="13" t="s">
        <v>358</v>
      </c>
      <c r="B346" s="13" t="s">
        <v>2192</v>
      </c>
      <c r="C346" s="13" t="s">
        <v>2196</v>
      </c>
      <c r="D346" s="13" t="s">
        <v>2207</v>
      </c>
      <c r="F346" s="13" t="s">
        <v>2223</v>
      </c>
      <c r="G346" s="13">
        <v>26.8</v>
      </c>
      <c r="H346" s="13">
        <v>0.9</v>
      </c>
      <c r="I346" s="13">
        <v>26.56</v>
      </c>
      <c r="J346" s="24">
        <v>45875</v>
      </c>
      <c r="K346" s="13">
        <v>25</v>
      </c>
      <c r="L346" s="44">
        <v>1.2</v>
      </c>
      <c r="M346" s="13" t="b">
        <v>1</v>
      </c>
      <c r="N346" s="13" t="s">
        <v>2225</v>
      </c>
      <c r="O346" s="25">
        <f t="shared" si="20"/>
        <v>27</v>
      </c>
      <c r="P346" s="13">
        <f t="shared" si="21"/>
        <v>22.5</v>
      </c>
      <c r="Q346" s="13">
        <f t="shared" si="22"/>
        <v>1</v>
      </c>
      <c r="R346" s="13" t="str">
        <f t="shared" si="23"/>
        <v>Diskon</v>
      </c>
    </row>
    <row r="347" spans="1:18" x14ac:dyDescent="0.25">
      <c r="A347" s="13" t="s">
        <v>359</v>
      </c>
      <c r="B347" s="13" t="s">
        <v>2191</v>
      </c>
      <c r="C347" s="13" t="s">
        <v>2200</v>
      </c>
      <c r="D347" s="13" t="s">
        <v>2207</v>
      </c>
      <c r="E347" s="13" t="s">
        <v>2209</v>
      </c>
      <c r="F347" s="13" t="s">
        <v>2219</v>
      </c>
      <c r="G347" s="13">
        <v>50.09</v>
      </c>
      <c r="H347" s="13">
        <v>0</v>
      </c>
      <c r="I347" s="13">
        <v>50.09</v>
      </c>
      <c r="J347" s="24">
        <v>45875</v>
      </c>
      <c r="K347" s="13">
        <v>47</v>
      </c>
      <c r="L347" s="44">
        <v>4</v>
      </c>
      <c r="M347" s="13" t="b">
        <v>0</v>
      </c>
      <c r="O347" s="25">
        <f t="shared" si="20"/>
        <v>27</v>
      </c>
      <c r="P347" s="13">
        <f t="shared" si="21"/>
        <v>0</v>
      </c>
      <c r="Q347" s="13" t="str">
        <f t="shared" si="22"/>
        <v/>
      </c>
      <c r="R347" s="13" t="str">
        <f t="shared" si="23"/>
        <v>Non diskon</v>
      </c>
    </row>
    <row r="348" spans="1:18" x14ac:dyDescent="0.25">
      <c r="A348" s="13" t="s">
        <v>360</v>
      </c>
      <c r="B348" s="13" t="s">
        <v>2194</v>
      </c>
      <c r="C348" s="13" t="s">
        <v>2199</v>
      </c>
      <c r="D348" s="13" t="s">
        <v>2204</v>
      </c>
      <c r="E348" s="13" t="s">
        <v>2212</v>
      </c>
      <c r="F348" s="13" t="s">
        <v>2220</v>
      </c>
      <c r="G348" s="13">
        <v>92.84</v>
      </c>
      <c r="H348" s="13">
        <v>4.2</v>
      </c>
      <c r="I348" s="13">
        <v>88.94</v>
      </c>
      <c r="J348" s="24">
        <v>45670</v>
      </c>
      <c r="K348" s="13">
        <v>0</v>
      </c>
      <c r="L348" s="44">
        <v>2.8142857142857149</v>
      </c>
      <c r="M348" s="13" t="b">
        <v>1</v>
      </c>
      <c r="N348" s="13" t="s">
        <v>2226</v>
      </c>
      <c r="O348" s="25">
        <f t="shared" si="20"/>
        <v>232</v>
      </c>
      <c r="P348" s="13">
        <f t="shared" si="21"/>
        <v>0</v>
      </c>
      <c r="Q348" s="13">
        <f t="shared" si="22"/>
        <v>1</v>
      </c>
      <c r="R348" s="13" t="str">
        <f t="shared" si="23"/>
        <v>Diskon</v>
      </c>
    </row>
    <row r="349" spans="1:18" x14ac:dyDescent="0.25">
      <c r="A349" s="13" t="s">
        <v>361</v>
      </c>
      <c r="B349" s="13" t="s">
        <v>2191</v>
      </c>
      <c r="C349" s="13" t="s">
        <v>2197</v>
      </c>
      <c r="D349" s="13" t="s">
        <v>2207</v>
      </c>
      <c r="E349" s="13" t="s">
        <v>2211</v>
      </c>
      <c r="F349" s="13" t="s">
        <v>2218</v>
      </c>
      <c r="G349" s="13">
        <v>114.63</v>
      </c>
      <c r="H349" s="13">
        <v>0</v>
      </c>
      <c r="I349" s="13">
        <v>114.63</v>
      </c>
      <c r="J349" s="24">
        <v>45875</v>
      </c>
      <c r="K349" s="13">
        <v>47</v>
      </c>
      <c r="L349" s="44">
        <v>3.8</v>
      </c>
      <c r="M349" s="13" t="b">
        <v>1</v>
      </c>
      <c r="N349" s="13" t="s">
        <v>2229</v>
      </c>
      <c r="O349" s="25">
        <f t="shared" si="20"/>
        <v>27</v>
      </c>
      <c r="P349" s="13">
        <f t="shared" si="21"/>
        <v>0</v>
      </c>
      <c r="Q349" s="13">
        <f t="shared" si="22"/>
        <v>1</v>
      </c>
      <c r="R349" s="13" t="str">
        <f t="shared" si="23"/>
        <v>Non diskon</v>
      </c>
    </row>
    <row r="350" spans="1:18" x14ac:dyDescent="0.25">
      <c r="A350" s="13" t="s">
        <v>362</v>
      </c>
      <c r="B350" s="13" t="s">
        <v>2192</v>
      </c>
      <c r="C350" s="13" t="s">
        <v>2202</v>
      </c>
      <c r="D350" s="13" t="s">
        <v>2207</v>
      </c>
      <c r="F350" s="13" t="s">
        <v>2223</v>
      </c>
      <c r="G350" s="13">
        <v>21.9</v>
      </c>
      <c r="H350" s="13">
        <v>29.2</v>
      </c>
      <c r="I350" s="13">
        <v>15.51</v>
      </c>
      <c r="J350" s="24">
        <v>45875</v>
      </c>
      <c r="K350" s="13">
        <v>35</v>
      </c>
      <c r="L350" s="44">
        <v>2</v>
      </c>
      <c r="M350" s="13" t="b">
        <v>0</v>
      </c>
      <c r="O350" s="25">
        <f t="shared" si="20"/>
        <v>27</v>
      </c>
      <c r="P350" s="13">
        <f t="shared" si="21"/>
        <v>1022</v>
      </c>
      <c r="Q350" s="13" t="str">
        <f t="shared" si="22"/>
        <v/>
      </c>
      <c r="R350" s="13" t="str">
        <f t="shared" si="23"/>
        <v>Diskon</v>
      </c>
    </row>
    <row r="351" spans="1:18" x14ac:dyDescent="0.25">
      <c r="A351" s="13" t="s">
        <v>363</v>
      </c>
      <c r="B351" s="13" t="s">
        <v>2195</v>
      </c>
      <c r="C351" s="13" t="s">
        <v>2196</v>
      </c>
      <c r="D351" s="13" t="s">
        <v>2204</v>
      </c>
      <c r="E351" s="13" t="s">
        <v>2212</v>
      </c>
      <c r="F351" s="13" t="s">
        <v>2222</v>
      </c>
      <c r="G351" s="13">
        <v>100.55</v>
      </c>
      <c r="H351" s="13">
        <v>46.7</v>
      </c>
      <c r="I351" s="13">
        <v>53.59</v>
      </c>
      <c r="J351" s="24">
        <v>45689</v>
      </c>
      <c r="K351" s="13">
        <v>30</v>
      </c>
      <c r="L351" s="44">
        <v>3.0424242424242425</v>
      </c>
      <c r="M351" s="13" t="b">
        <v>0</v>
      </c>
      <c r="O351" s="25">
        <f t="shared" si="20"/>
        <v>213</v>
      </c>
      <c r="P351" s="13">
        <f t="shared" si="21"/>
        <v>1401</v>
      </c>
      <c r="Q351" s="13" t="str">
        <f t="shared" si="22"/>
        <v/>
      </c>
      <c r="R351" s="13" t="str">
        <f t="shared" si="23"/>
        <v>Diskon</v>
      </c>
    </row>
    <row r="352" spans="1:18" x14ac:dyDescent="0.25">
      <c r="A352" s="13" t="s">
        <v>364</v>
      </c>
      <c r="B352" s="13" t="s">
        <v>2192</v>
      </c>
      <c r="C352" s="13" t="s">
        <v>2203</v>
      </c>
      <c r="D352" s="13" t="s">
        <v>2207</v>
      </c>
      <c r="F352" s="13" t="s">
        <v>2224</v>
      </c>
      <c r="G352" s="13">
        <v>47.45</v>
      </c>
      <c r="H352" s="13">
        <v>16.399999999999999</v>
      </c>
      <c r="I352" s="13">
        <v>39.67</v>
      </c>
      <c r="J352" s="24">
        <v>45875</v>
      </c>
      <c r="K352" s="13">
        <v>33</v>
      </c>
      <c r="L352" s="44">
        <v>1.7</v>
      </c>
      <c r="M352" s="13" t="b">
        <v>0</v>
      </c>
      <c r="O352" s="25">
        <f t="shared" si="20"/>
        <v>27</v>
      </c>
      <c r="P352" s="13">
        <f t="shared" si="21"/>
        <v>541.19999999999993</v>
      </c>
      <c r="Q352" s="13" t="str">
        <f t="shared" si="22"/>
        <v/>
      </c>
      <c r="R352" s="13" t="str">
        <f t="shared" si="23"/>
        <v>Diskon</v>
      </c>
    </row>
    <row r="353" spans="1:18" x14ac:dyDescent="0.25">
      <c r="A353" s="13" t="s">
        <v>365</v>
      </c>
      <c r="B353" s="13" t="s">
        <v>2194</v>
      </c>
      <c r="C353" s="13" t="s">
        <v>2200</v>
      </c>
      <c r="D353" s="13" t="s">
        <v>2207</v>
      </c>
      <c r="E353" s="13" t="s">
        <v>2208</v>
      </c>
      <c r="F353" s="13" t="s">
        <v>2224</v>
      </c>
      <c r="G353" s="13">
        <v>113.21</v>
      </c>
      <c r="H353" s="13">
        <v>0</v>
      </c>
      <c r="I353" s="13">
        <v>113.21</v>
      </c>
      <c r="J353" s="24">
        <v>45875</v>
      </c>
      <c r="K353" s="13">
        <v>8</v>
      </c>
      <c r="L353" s="44">
        <v>2.7</v>
      </c>
      <c r="M353" s="13" t="b">
        <v>0</v>
      </c>
      <c r="O353" s="25">
        <f t="shared" si="20"/>
        <v>27</v>
      </c>
      <c r="P353" s="13">
        <f t="shared" si="21"/>
        <v>0</v>
      </c>
      <c r="Q353" s="13" t="str">
        <f t="shared" si="22"/>
        <v/>
      </c>
      <c r="R353" s="13" t="str">
        <f t="shared" si="23"/>
        <v>Non diskon</v>
      </c>
    </row>
    <row r="354" spans="1:18" x14ac:dyDescent="0.25">
      <c r="A354" s="13" t="s">
        <v>366</v>
      </c>
      <c r="B354" s="13" t="s">
        <v>2195</v>
      </c>
      <c r="C354" s="13" t="s">
        <v>2198</v>
      </c>
      <c r="D354" s="13" t="s">
        <v>2204</v>
      </c>
      <c r="E354" s="13" t="s">
        <v>2212</v>
      </c>
      <c r="F354" s="13" t="s">
        <v>2216</v>
      </c>
      <c r="G354" s="13">
        <v>163.27000000000001</v>
      </c>
      <c r="H354" s="13">
        <v>0</v>
      </c>
      <c r="I354" s="13">
        <v>163.27000000000001</v>
      </c>
      <c r="J354" s="24">
        <v>45770</v>
      </c>
      <c r="K354" s="13">
        <v>24</v>
      </c>
      <c r="L354" s="44">
        <v>2.5</v>
      </c>
      <c r="M354" s="13" t="b">
        <v>0</v>
      </c>
      <c r="O354" s="25">
        <f t="shared" si="20"/>
        <v>132</v>
      </c>
      <c r="P354" s="13">
        <f t="shared" si="21"/>
        <v>0</v>
      </c>
      <c r="Q354" s="13" t="str">
        <f t="shared" si="22"/>
        <v/>
      </c>
      <c r="R354" s="13" t="str">
        <f t="shared" si="23"/>
        <v>Non diskon</v>
      </c>
    </row>
    <row r="355" spans="1:18" x14ac:dyDescent="0.25">
      <c r="A355" s="13" t="s">
        <v>367</v>
      </c>
      <c r="B355" s="13" t="s">
        <v>2192</v>
      </c>
      <c r="C355" s="13" t="s">
        <v>2197</v>
      </c>
      <c r="D355" s="13" t="s">
        <v>2206</v>
      </c>
      <c r="F355" s="13" t="s">
        <v>2216</v>
      </c>
      <c r="G355" s="13">
        <v>44.58</v>
      </c>
      <c r="H355" s="13">
        <v>0</v>
      </c>
      <c r="I355" s="13">
        <v>44.58</v>
      </c>
      <c r="J355" s="24">
        <v>45875</v>
      </c>
      <c r="K355" s="13">
        <v>21</v>
      </c>
      <c r="L355" s="44">
        <v>3.1288461538461547</v>
      </c>
      <c r="M355" s="13" t="b">
        <v>0</v>
      </c>
      <c r="O355" s="25">
        <f t="shared" si="20"/>
        <v>27</v>
      </c>
      <c r="P355" s="13">
        <f t="shared" si="21"/>
        <v>0</v>
      </c>
      <c r="Q355" s="13" t="str">
        <f t="shared" si="22"/>
        <v/>
      </c>
      <c r="R355" s="13" t="str">
        <f t="shared" si="23"/>
        <v>Non diskon</v>
      </c>
    </row>
    <row r="356" spans="1:18" x14ac:dyDescent="0.25">
      <c r="A356" s="13" t="s">
        <v>368</v>
      </c>
      <c r="B356" s="13" t="s">
        <v>2195</v>
      </c>
      <c r="C356" s="13" t="s">
        <v>2203</v>
      </c>
      <c r="D356" s="13" t="s">
        <v>2207</v>
      </c>
      <c r="E356" s="13" t="s">
        <v>2209</v>
      </c>
      <c r="F356" s="13" t="s">
        <v>2214</v>
      </c>
      <c r="G356" s="13">
        <v>166.53</v>
      </c>
      <c r="H356" s="13">
        <v>0</v>
      </c>
      <c r="I356" s="13">
        <v>166.53</v>
      </c>
      <c r="J356" s="24">
        <v>45875</v>
      </c>
      <c r="K356" s="13">
        <v>28</v>
      </c>
      <c r="L356" s="44">
        <v>1.7</v>
      </c>
      <c r="M356" s="13" t="b">
        <v>0</v>
      </c>
      <c r="O356" s="25">
        <f t="shared" si="20"/>
        <v>27</v>
      </c>
      <c r="P356" s="13">
        <f t="shared" si="21"/>
        <v>0</v>
      </c>
      <c r="Q356" s="13" t="str">
        <f t="shared" si="22"/>
        <v/>
      </c>
      <c r="R356" s="13" t="str">
        <f t="shared" si="23"/>
        <v>Non diskon</v>
      </c>
    </row>
    <row r="357" spans="1:18" x14ac:dyDescent="0.25">
      <c r="A357" s="13" t="s">
        <v>369</v>
      </c>
      <c r="B357" s="13" t="s">
        <v>2193</v>
      </c>
      <c r="C357" s="13" t="s">
        <v>2198</v>
      </c>
      <c r="D357" s="13" t="s">
        <v>2207</v>
      </c>
      <c r="E357" s="13" t="s">
        <v>2208</v>
      </c>
      <c r="F357" s="13" t="s">
        <v>2215</v>
      </c>
      <c r="G357" s="13">
        <v>144.61000000000001</v>
      </c>
      <c r="H357" s="13">
        <v>0</v>
      </c>
      <c r="I357" s="13">
        <v>144.61000000000001</v>
      </c>
      <c r="J357" s="24">
        <v>45875</v>
      </c>
      <c r="K357" s="13">
        <v>21</v>
      </c>
      <c r="L357" s="44">
        <v>2.5</v>
      </c>
      <c r="M357" s="13" t="b">
        <v>0</v>
      </c>
      <c r="O357" s="25">
        <f t="shared" si="20"/>
        <v>27</v>
      </c>
      <c r="P357" s="13">
        <f t="shared" si="21"/>
        <v>0</v>
      </c>
      <c r="Q357" s="13" t="str">
        <f t="shared" si="22"/>
        <v/>
      </c>
      <c r="R357" s="13" t="str">
        <f t="shared" si="23"/>
        <v>Non diskon</v>
      </c>
    </row>
    <row r="358" spans="1:18" x14ac:dyDescent="0.25">
      <c r="A358" s="13" t="s">
        <v>370</v>
      </c>
      <c r="B358" s="13" t="s">
        <v>2192</v>
      </c>
      <c r="C358" s="13" t="s">
        <v>2199</v>
      </c>
      <c r="D358" s="13" t="s">
        <v>2206</v>
      </c>
      <c r="F358" s="13" t="s">
        <v>2222</v>
      </c>
      <c r="G358" s="13">
        <v>31</v>
      </c>
      <c r="H358" s="13">
        <v>0</v>
      </c>
      <c r="I358" s="13">
        <v>31</v>
      </c>
      <c r="J358" s="24">
        <v>45875</v>
      </c>
      <c r="K358" s="13">
        <v>29</v>
      </c>
      <c r="L358" s="44">
        <v>1.9</v>
      </c>
      <c r="M358" s="13" t="b">
        <v>0</v>
      </c>
      <c r="O358" s="25">
        <f t="shared" si="20"/>
        <v>27</v>
      </c>
      <c r="P358" s="13">
        <f t="shared" si="21"/>
        <v>0</v>
      </c>
      <c r="Q358" s="13" t="str">
        <f t="shared" si="22"/>
        <v/>
      </c>
      <c r="R358" s="13" t="str">
        <f t="shared" si="23"/>
        <v>Non diskon</v>
      </c>
    </row>
    <row r="359" spans="1:18" x14ac:dyDescent="0.25">
      <c r="A359" s="13" t="s">
        <v>371</v>
      </c>
      <c r="B359" s="13" t="s">
        <v>2192</v>
      </c>
      <c r="C359" s="13" t="s">
        <v>2203</v>
      </c>
      <c r="D359" s="13" t="s">
        <v>2205</v>
      </c>
      <c r="F359" s="13" t="s">
        <v>2215</v>
      </c>
      <c r="G359" s="13">
        <v>68.569999999999993</v>
      </c>
      <c r="H359" s="13">
        <v>29.4</v>
      </c>
      <c r="I359" s="13">
        <v>48.41</v>
      </c>
      <c r="J359" s="24">
        <v>45875</v>
      </c>
      <c r="K359" s="13">
        <v>4</v>
      </c>
      <c r="L359" s="44">
        <v>3.5</v>
      </c>
      <c r="M359" s="13" t="b">
        <v>0</v>
      </c>
      <c r="O359" s="25">
        <f t="shared" si="20"/>
        <v>27</v>
      </c>
      <c r="P359" s="13">
        <f t="shared" si="21"/>
        <v>117.6</v>
      </c>
      <c r="Q359" s="13" t="str">
        <f t="shared" si="22"/>
        <v/>
      </c>
      <c r="R359" s="13" t="str">
        <f t="shared" si="23"/>
        <v>Diskon</v>
      </c>
    </row>
    <row r="360" spans="1:18" x14ac:dyDescent="0.25">
      <c r="A360" s="13" t="s">
        <v>372</v>
      </c>
      <c r="B360" s="13" t="s">
        <v>2195</v>
      </c>
      <c r="C360" s="13" t="s">
        <v>2203</v>
      </c>
      <c r="D360" s="13" t="s">
        <v>2207</v>
      </c>
      <c r="E360" s="13" t="s">
        <v>2209</v>
      </c>
      <c r="F360" s="13" t="s">
        <v>2214</v>
      </c>
      <c r="G360" s="13">
        <v>73.040000000000006</v>
      </c>
      <c r="H360" s="13">
        <v>56.5</v>
      </c>
      <c r="I360" s="13">
        <v>31.77</v>
      </c>
      <c r="J360" s="24">
        <v>45875</v>
      </c>
      <c r="K360" s="13">
        <v>15</v>
      </c>
      <c r="L360" s="44">
        <v>3</v>
      </c>
      <c r="M360" s="13" t="b">
        <v>1</v>
      </c>
      <c r="N360" s="13" t="s">
        <v>2229</v>
      </c>
      <c r="O360" s="25">
        <f t="shared" si="20"/>
        <v>27</v>
      </c>
      <c r="P360" s="13">
        <f t="shared" si="21"/>
        <v>847.5</v>
      </c>
      <c r="Q360" s="13">
        <f t="shared" si="22"/>
        <v>1</v>
      </c>
      <c r="R360" s="13" t="str">
        <f t="shared" si="23"/>
        <v>Diskon</v>
      </c>
    </row>
    <row r="361" spans="1:18" x14ac:dyDescent="0.25">
      <c r="A361" s="13" t="s">
        <v>373</v>
      </c>
      <c r="B361" s="13" t="s">
        <v>2191</v>
      </c>
      <c r="C361" s="13" t="s">
        <v>2200</v>
      </c>
      <c r="D361" s="13" t="s">
        <v>2204</v>
      </c>
      <c r="E361" s="13" t="s">
        <v>2209</v>
      </c>
      <c r="F361" s="13" t="s">
        <v>2223</v>
      </c>
      <c r="G361" s="13">
        <v>95.19</v>
      </c>
      <c r="H361" s="13">
        <v>0</v>
      </c>
      <c r="I361" s="13">
        <v>95.19</v>
      </c>
      <c r="J361" s="24">
        <v>45697</v>
      </c>
      <c r="K361" s="13">
        <v>13</v>
      </c>
      <c r="L361" s="44">
        <v>4.0999999999999996</v>
      </c>
      <c r="M361" s="13" t="b">
        <v>0</v>
      </c>
      <c r="O361" s="25">
        <f t="shared" si="20"/>
        <v>205</v>
      </c>
      <c r="P361" s="13">
        <f t="shared" si="21"/>
        <v>0</v>
      </c>
      <c r="Q361" s="13" t="str">
        <f t="shared" si="22"/>
        <v/>
      </c>
      <c r="R361" s="13" t="str">
        <f t="shared" si="23"/>
        <v>Non diskon</v>
      </c>
    </row>
    <row r="362" spans="1:18" x14ac:dyDescent="0.25">
      <c r="A362" s="13" t="s">
        <v>374</v>
      </c>
      <c r="B362" s="13" t="s">
        <v>2191</v>
      </c>
      <c r="C362" s="13" t="s">
        <v>2202</v>
      </c>
      <c r="D362" s="13" t="s">
        <v>2205</v>
      </c>
      <c r="E362" s="13" t="s">
        <v>2212</v>
      </c>
      <c r="F362" s="13" t="s">
        <v>2223</v>
      </c>
      <c r="G362" s="13">
        <v>104.94</v>
      </c>
      <c r="H362" s="13">
        <v>0</v>
      </c>
      <c r="I362" s="13">
        <v>104.94</v>
      </c>
      <c r="J362" s="24">
        <v>45875</v>
      </c>
      <c r="K362" s="13">
        <v>42</v>
      </c>
      <c r="L362" s="44">
        <v>2</v>
      </c>
      <c r="M362" s="13" t="b">
        <v>0</v>
      </c>
      <c r="O362" s="25">
        <f t="shared" si="20"/>
        <v>27</v>
      </c>
      <c r="P362" s="13">
        <f t="shared" si="21"/>
        <v>0</v>
      </c>
      <c r="Q362" s="13" t="str">
        <f t="shared" si="22"/>
        <v/>
      </c>
      <c r="R362" s="13" t="str">
        <f t="shared" si="23"/>
        <v>Non diskon</v>
      </c>
    </row>
    <row r="363" spans="1:18" x14ac:dyDescent="0.25">
      <c r="A363" s="13" t="s">
        <v>375</v>
      </c>
      <c r="B363" s="13" t="s">
        <v>2194</v>
      </c>
      <c r="C363" s="13" t="s">
        <v>2202</v>
      </c>
      <c r="D363" s="13" t="s">
        <v>2204</v>
      </c>
      <c r="E363" s="13" t="s">
        <v>2211</v>
      </c>
      <c r="F363" s="13" t="s">
        <v>2221</v>
      </c>
      <c r="G363" s="13">
        <v>97.29</v>
      </c>
      <c r="H363" s="13">
        <v>0</v>
      </c>
      <c r="I363" s="13">
        <v>97.29</v>
      </c>
      <c r="J363" s="24">
        <v>45867</v>
      </c>
      <c r="K363" s="13">
        <v>42</v>
      </c>
      <c r="L363" s="44">
        <v>4.5</v>
      </c>
      <c r="M363" s="13" t="b">
        <v>0</v>
      </c>
      <c r="O363" s="25">
        <f t="shared" si="20"/>
        <v>35</v>
      </c>
      <c r="P363" s="13">
        <f t="shared" si="21"/>
        <v>0</v>
      </c>
      <c r="Q363" s="13" t="str">
        <f t="shared" si="22"/>
        <v/>
      </c>
      <c r="R363" s="13" t="str">
        <f t="shared" si="23"/>
        <v>Non diskon</v>
      </c>
    </row>
    <row r="364" spans="1:18" x14ac:dyDescent="0.25">
      <c r="A364" s="13" t="s">
        <v>376</v>
      </c>
      <c r="B364" s="13" t="s">
        <v>2193</v>
      </c>
      <c r="C364" s="13" t="s">
        <v>2199</v>
      </c>
      <c r="D364" s="13" t="s">
        <v>2205</v>
      </c>
      <c r="E364" s="13" t="s">
        <v>2209</v>
      </c>
      <c r="F364" s="13" t="s">
        <v>2217</v>
      </c>
      <c r="G364" s="13">
        <v>83.05</v>
      </c>
      <c r="H364" s="13">
        <v>39.799999999999997</v>
      </c>
      <c r="I364" s="13">
        <v>50</v>
      </c>
      <c r="J364" s="24">
        <v>45875</v>
      </c>
      <c r="K364" s="13">
        <v>5</v>
      </c>
      <c r="L364" s="44">
        <v>3.4</v>
      </c>
      <c r="M364" s="13" t="b">
        <v>0</v>
      </c>
      <c r="O364" s="25">
        <f t="shared" si="20"/>
        <v>27</v>
      </c>
      <c r="P364" s="13">
        <f t="shared" si="21"/>
        <v>199</v>
      </c>
      <c r="Q364" s="13" t="str">
        <f t="shared" si="22"/>
        <v/>
      </c>
      <c r="R364" s="13" t="str">
        <f t="shared" si="23"/>
        <v>Diskon</v>
      </c>
    </row>
    <row r="365" spans="1:18" x14ac:dyDescent="0.25">
      <c r="A365" s="13" t="s">
        <v>377</v>
      </c>
      <c r="B365" s="13" t="s">
        <v>2190</v>
      </c>
      <c r="C365" s="13" t="s">
        <v>2197</v>
      </c>
      <c r="D365" s="13" t="s">
        <v>2206</v>
      </c>
      <c r="E365" s="13" t="s">
        <v>2210</v>
      </c>
      <c r="F365" s="13" t="s">
        <v>2221</v>
      </c>
      <c r="G365" s="13">
        <v>86.13</v>
      </c>
      <c r="H365" s="13">
        <v>0</v>
      </c>
      <c r="I365" s="13">
        <v>86.13</v>
      </c>
      <c r="J365" s="24">
        <v>45875</v>
      </c>
      <c r="K365" s="13">
        <v>28</v>
      </c>
      <c r="L365" s="44">
        <v>2.7</v>
      </c>
      <c r="M365" s="13" t="b">
        <v>0</v>
      </c>
      <c r="O365" s="25">
        <f t="shared" si="20"/>
        <v>27</v>
      </c>
      <c r="P365" s="13">
        <f t="shared" si="21"/>
        <v>0</v>
      </c>
      <c r="Q365" s="13" t="str">
        <f t="shared" si="22"/>
        <v/>
      </c>
      <c r="R365" s="13" t="str">
        <f t="shared" si="23"/>
        <v>Non diskon</v>
      </c>
    </row>
    <row r="366" spans="1:18" x14ac:dyDescent="0.25">
      <c r="A366" s="13" t="s">
        <v>378</v>
      </c>
      <c r="B366" s="13" t="s">
        <v>2194</v>
      </c>
      <c r="C366" s="13" t="s">
        <v>2198</v>
      </c>
      <c r="D366" s="13" t="s">
        <v>2207</v>
      </c>
      <c r="E366" s="13" t="s">
        <v>2210</v>
      </c>
      <c r="F366" s="13" t="s">
        <v>2217</v>
      </c>
      <c r="G366" s="13">
        <v>104.13</v>
      </c>
      <c r="H366" s="13">
        <v>28.7</v>
      </c>
      <c r="I366" s="13">
        <v>74.239999999999995</v>
      </c>
      <c r="J366" s="24">
        <v>45875</v>
      </c>
      <c r="K366" s="13">
        <v>23</v>
      </c>
      <c r="L366" s="44">
        <v>3.1</v>
      </c>
      <c r="M366" s="13" t="b">
        <v>0</v>
      </c>
      <c r="O366" s="25">
        <f t="shared" si="20"/>
        <v>27</v>
      </c>
      <c r="P366" s="13">
        <f t="shared" si="21"/>
        <v>660.1</v>
      </c>
      <c r="Q366" s="13" t="str">
        <f t="shared" si="22"/>
        <v/>
      </c>
      <c r="R366" s="13" t="str">
        <f t="shared" si="23"/>
        <v>Diskon</v>
      </c>
    </row>
    <row r="367" spans="1:18" x14ac:dyDescent="0.25">
      <c r="A367" s="13" t="s">
        <v>379</v>
      </c>
      <c r="B367" s="13" t="s">
        <v>2192</v>
      </c>
      <c r="C367" s="13" t="s">
        <v>2197</v>
      </c>
      <c r="D367" s="13" t="s">
        <v>2206</v>
      </c>
      <c r="F367" s="13" t="s">
        <v>2220</v>
      </c>
      <c r="G367" s="13">
        <v>41.7</v>
      </c>
      <c r="H367" s="13">
        <v>0</v>
      </c>
      <c r="I367" s="13">
        <v>41.7</v>
      </c>
      <c r="J367" s="24">
        <v>45875</v>
      </c>
      <c r="K367" s="13">
        <v>18</v>
      </c>
      <c r="L367" s="44">
        <v>3.2</v>
      </c>
      <c r="M367" s="13" t="b">
        <v>0</v>
      </c>
      <c r="O367" s="25">
        <f t="shared" si="20"/>
        <v>27</v>
      </c>
      <c r="P367" s="13">
        <f t="shared" si="21"/>
        <v>0</v>
      </c>
      <c r="Q367" s="13" t="str">
        <f t="shared" si="22"/>
        <v/>
      </c>
      <c r="R367" s="13" t="str">
        <f t="shared" si="23"/>
        <v>Non diskon</v>
      </c>
    </row>
    <row r="368" spans="1:18" x14ac:dyDescent="0.25">
      <c r="A368" s="13" t="s">
        <v>380</v>
      </c>
      <c r="B368" s="13" t="s">
        <v>2190</v>
      </c>
      <c r="C368" s="13" t="s">
        <v>2198</v>
      </c>
      <c r="D368" s="13" t="s">
        <v>2204</v>
      </c>
      <c r="E368" s="13" t="s">
        <v>2209</v>
      </c>
      <c r="F368" s="13" t="s">
        <v>2217</v>
      </c>
      <c r="G368" s="13">
        <v>80.11</v>
      </c>
      <c r="H368" s="13">
        <v>0</v>
      </c>
      <c r="I368" s="13">
        <v>80.11</v>
      </c>
      <c r="J368" s="24">
        <v>45763</v>
      </c>
      <c r="K368" s="13">
        <v>34</v>
      </c>
      <c r="L368" s="44">
        <v>1.8</v>
      </c>
      <c r="M368" s="13" t="b">
        <v>0</v>
      </c>
      <c r="O368" s="25">
        <f t="shared" si="20"/>
        <v>139</v>
      </c>
      <c r="P368" s="13">
        <f t="shared" si="21"/>
        <v>0</v>
      </c>
      <c r="Q368" s="13" t="str">
        <f t="shared" si="22"/>
        <v/>
      </c>
      <c r="R368" s="13" t="str">
        <f t="shared" si="23"/>
        <v>Non diskon</v>
      </c>
    </row>
    <row r="369" spans="1:18" x14ac:dyDescent="0.25">
      <c r="A369" s="13" t="s">
        <v>381</v>
      </c>
      <c r="B369" s="13" t="s">
        <v>2191</v>
      </c>
      <c r="C369" s="13" t="s">
        <v>2201</v>
      </c>
      <c r="D369" s="13" t="s">
        <v>2206</v>
      </c>
      <c r="E369" s="13" t="s">
        <v>2209</v>
      </c>
      <c r="F369" s="13" t="s">
        <v>2217</v>
      </c>
      <c r="G369" s="13">
        <v>97.84</v>
      </c>
      <c r="H369" s="13">
        <v>0</v>
      </c>
      <c r="I369" s="13">
        <v>97.84</v>
      </c>
      <c r="J369" s="24">
        <v>45875</v>
      </c>
      <c r="K369" s="13">
        <v>16</v>
      </c>
      <c r="L369" s="44">
        <v>2.9846153846153847</v>
      </c>
      <c r="M369" s="13" t="b">
        <v>0</v>
      </c>
      <c r="O369" s="25">
        <f t="shared" si="20"/>
        <v>27</v>
      </c>
      <c r="P369" s="13">
        <f t="shared" si="21"/>
        <v>0</v>
      </c>
      <c r="Q369" s="13" t="str">
        <f t="shared" si="22"/>
        <v/>
      </c>
      <c r="R369" s="13" t="str">
        <f t="shared" si="23"/>
        <v>Non diskon</v>
      </c>
    </row>
    <row r="370" spans="1:18" x14ac:dyDescent="0.25">
      <c r="A370" s="13" t="s">
        <v>382</v>
      </c>
      <c r="B370" s="13" t="s">
        <v>2194</v>
      </c>
      <c r="C370" s="13" t="s">
        <v>2202</v>
      </c>
      <c r="D370" s="13" t="s">
        <v>2206</v>
      </c>
      <c r="E370" s="13" t="s">
        <v>2208</v>
      </c>
      <c r="F370" s="13" t="s">
        <v>2221</v>
      </c>
      <c r="G370" s="13">
        <v>77.37</v>
      </c>
      <c r="H370" s="13">
        <v>35.200000000000003</v>
      </c>
      <c r="I370" s="13">
        <v>50.14</v>
      </c>
      <c r="J370" s="24">
        <v>45875</v>
      </c>
      <c r="K370" s="13">
        <v>14</v>
      </c>
      <c r="L370" s="44">
        <v>2.2999999999999998</v>
      </c>
      <c r="M370" s="13" t="b">
        <v>0</v>
      </c>
      <c r="O370" s="25">
        <f t="shared" si="20"/>
        <v>27</v>
      </c>
      <c r="P370" s="13">
        <f t="shared" si="21"/>
        <v>492.80000000000007</v>
      </c>
      <c r="Q370" s="13" t="str">
        <f t="shared" si="22"/>
        <v/>
      </c>
      <c r="R370" s="13" t="str">
        <f t="shared" si="23"/>
        <v>Diskon</v>
      </c>
    </row>
    <row r="371" spans="1:18" x14ac:dyDescent="0.25">
      <c r="A371" s="13" t="s">
        <v>383</v>
      </c>
      <c r="B371" s="13" t="s">
        <v>2192</v>
      </c>
      <c r="C371" s="13" t="s">
        <v>2200</v>
      </c>
      <c r="D371" s="13" t="s">
        <v>2206</v>
      </c>
      <c r="F371" s="13" t="s">
        <v>2214</v>
      </c>
      <c r="G371" s="13">
        <v>36.35</v>
      </c>
      <c r="H371" s="13">
        <v>37.6</v>
      </c>
      <c r="I371" s="13">
        <v>22.68</v>
      </c>
      <c r="J371" s="24">
        <v>45875</v>
      </c>
      <c r="K371" s="13">
        <v>49</v>
      </c>
      <c r="L371" s="44">
        <v>4</v>
      </c>
      <c r="M371" s="13" t="b">
        <v>1</v>
      </c>
      <c r="N371" s="13" t="s">
        <v>2229</v>
      </c>
      <c r="O371" s="25">
        <f t="shared" si="20"/>
        <v>27</v>
      </c>
      <c r="P371" s="13">
        <f t="shared" si="21"/>
        <v>1842.4</v>
      </c>
      <c r="Q371" s="13">
        <f t="shared" si="22"/>
        <v>1</v>
      </c>
      <c r="R371" s="13" t="str">
        <f t="shared" si="23"/>
        <v>Diskon</v>
      </c>
    </row>
    <row r="372" spans="1:18" x14ac:dyDescent="0.25">
      <c r="A372" s="13" t="s">
        <v>384</v>
      </c>
      <c r="B372" s="13" t="s">
        <v>2190</v>
      </c>
      <c r="C372" s="13" t="s">
        <v>2198</v>
      </c>
      <c r="D372" s="13" t="s">
        <v>2205</v>
      </c>
      <c r="E372" s="13" t="s">
        <v>2211</v>
      </c>
      <c r="F372" s="13" t="s">
        <v>2220</v>
      </c>
      <c r="G372" s="13">
        <v>181.04</v>
      </c>
      <c r="H372" s="13">
        <v>20.2</v>
      </c>
      <c r="I372" s="13">
        <v>144.47</v>
      </c>
      <c r="J372" s="24">
        <v>45875</v>
      </c>
      <c r="K372" s="13">
        <v>17</v>
      </c>
      <c r="L372" s="44">
        <v>3.0177777777777774</v>
      </c>
      <c r="M372" s="13" t="b">
        <v>1</v>
      </c>
      <c r="N372" s="13" t="s">
        <v>2226</v>
      </c>
      <c r="O372" s="25">
        <f t="shared" si="20"/>
        <v>27</v>
      </c>
      <c r="P372" s="13">
        <f t="shared" si="21"/>
        <v>343.4</v>
      </c>
      <c r="Q372" s="13">
        <f t="shared" si="22"/>
        <v>1</v>
      </c>
      <c r="R372" s="13" t="str">
        <f t="shared" si="23"/>
        <v>Diskon</v>
      </c>
    </row>
    <row r="373" spans="1:18" x14ac:dyDescent="0.25">
      <c r="A373" s="13" t="s">
        <v>385</v>
      </c>
      <c r="B373" s="13" t="s">
        <v>2190</v>
      </c>
      <c r="C373" s="13" t="s">
        <v>2196</v>
      </c>
      <c r="D373" s="13" t="s">
        <v>2204</v>
      </c>
      <c r="E373" s="13" t="s">
        <v>2208</v>
      </c>
      <c r="F373" s="13" t="s">
        <v>2216</v>
      </c>
      <c r="G373" s="13">
        <v>158.37</v>
      </c>
      <c r="H373" s="13">
        <v>0</v>
      </c>
      <c r="I373" s="13">
        <v>158.37</v>
      </c>
      <c r="J373" s="24">
        <v>45703</v>
      </c>
      <c r="K373" s="13">
        <v>33</v>
      </c>
      <c r="L373" s="44">
        <v>2.7030303030303036</v>
      </c>
      <c r="M373" s="13" t="b">
        <v>0</v>
      </c>
      <c r="O373" s="25">
        <f t="shared" si="20"/>
        <v>199</v>
      </c>
      <c r="P373" s="13">
        <f t="shared" si="21"/>
        <v>0</v>
      </c>
      <c r="Q373" s="13" t="str">
        <f t="shared" si="22"/>
        <v/>
      </c>
      <c r="R373" s="13" t="str">
        <f t="shared" si="23"/>
        <v>Non diskon</v>
      </c>
    </row>
    <row r="374" spans="1:18" x14ac:dyDescent="0.25">
      <c r="A374" s="13" t="s">
        <v>386</v>
      </c>
      <c r="B374" s="13" t="s">
        <v>2193</v>
      </c>
      <c r="C374" s="13" t="s">
        <v>2203</v>
      </c>
      <c r="D374" s="13" t="s">
        <v>2207</v>
      </c>
      <c r="E374" s="13" t="s">
        <v>2211</v>
      </c>
      <c r="F374" s="13" t="s">
        <v>2223</v>
      </c>
      <c r="G374" s="13">
        <v>91.98</v>
      </c>
      <c r="H374" s="13">
        <v>0</v>
      </c>
      <c r="I374" s="13">
        <v>91.98</v>
      </c>
      <c r="J374" s="24">
        <v>45875</v>
      </c>
      <c r="K374" s="13">
        <v>48</v>
      </c>
      <c r="L374" s="44">
        <v>3.9</v>
      </c>
      <c r="M374" s="13" t="b">
        <v>0</v>
      </c>
      <c r="O374" s="25">
        <f t="shared" si="20"/>
        <v>27</v>
      </c>
      <c r="P374" s="13">
        <f t="shared" si="21"/>
        <v>0</v>
      </c>
      <c r="Q374" s="13" t="str">
        <f t="shared" si="22"/>
        <v/>
      </c>
      <c r="R374" s="13" t="str">
        <f t="shared" si="23"/>
        <v>Non diskon</v>
      </c>
    </row>
    <row r="375" spans="1:18" x14ac:dyDescent="0.25">
      <c r="A375" s="13" t="s">
        <v>387</v>
      </c>
      <c r="B375" s="13" t="s">
        <v>2193</v>
      </c>
      <c r="C375" s="13" t="s">
        <v>2196</v>
      </c>
      <c r="D375" s="13" t="s">
        <v>2205</v>
      </c>
      <c r="E375" s="13" t="s">
        <v>2210</v>
      </c>
      <c r="F375" s="13" t="s">
        <v>2224</v>
      </c>
      <c r="G375" s="13">
        <v>140.29</v>
      </c>
      <c r="H375" s="13">
        <v>55.3</v>
      </c>
      <c r="I375" s="13">
        <v>62.71</v>
      </c>
      <c r="J375" s="24">
        <v>45875</v>
      </c>
      <c r="K375" s="13">
        <v>5</v>
      </c>
      <c r="L375" s="44">
        <v>4.4000000000000004</v>
      </c>
      <c r="M375" s="13" t="b">
        <v>0</v>
      </c>
      <c r="O375" s="25">
        <f t="shared" si="20"/>
        <v>27</v>
      </c>
      <c r="P375" s="13">
        <f t="shared" si="21"/>
        <v>276.5</v>
      </c>
      <c r="Q375" s="13" t="str">
        <f t="shared" si="22"/>
        <v/>
      </c>
      <c r="R375" s="13" t="str">
        <f t="shared" si="23"/>
        <v>Diskon</v>
      </c>
    </row>
    <row r="376" spans="1:18" x14ac:dyDescent="0.25">
      <c r="A376" s="13" t="s">
        <v>388</v>
      </c>
      <c r="B376" s="13" t="s">
        <v>2191</v>
      </c>
      <c r="C376" s="13" t="s">
        <v>2197</v>
      </c>
      <c r="D376" s="13" t="s">
        <v>2204</v>
      </c>
      <c r="E376" s="13" t="s">
        <v>2208</v>
      </c>
      <c r="F376" s="13" t="s">
        <v>2214</v>
      </c>
      <c r="G376" s="13">
        <v>26.01</v>
      </c>
      <c r="H376" s="13">
        <v>0</v>
      </c>
      <c r="I376" s="13">
        <v>26.01</v>
      </c>
      <c r="J376" s="24">
        <v>45711</v>
      </c>
      <c r="K376" s="13">
        <v>9</v>
      </c>
      <c r="L376" s="44">
        <v>4</v>
      </c>
      <c r="M376" s="13" t="b">
        <v>0</v>
      </c>
      <c r="O376" s="25">
        <f t="shared" si="20"/>
        <v>191</v>
      </c>
      <c r="P376" s="13">
        <f t="shared" si="21"/>
        <v>0</v>
      </c>
      <c r="Q376" s="13" t="str">
        <f t="shared" si="22"/>
        <v/>
      </c>
      <c r="R376" s="13" t="str">
        <f t="shared" si="23"/>
        <v>Non diskon</v>
      </c>
    </row>
    <row r="377" spans="1:18" x14ac:dyDescent="0.25">
      <c r="A377" s="13" t="s">
        <v>389</v>
      </c>
      <c r="B377" s="13" t="s">
        <v>2191</v>
      </c>
      <c r="C377" s="13" t="s">
        <v>2203</v>
      </c>
      <c r="D377" s="13" t="s">
        <v>2205</v>
      </c>
      <c r="E377" s="13" t="s">
        <v>2208</v>
      </c>
      <c r="F377" s="13" t="s">
        <v>2219</v>
      </c>
      <c r="G377" s="13">
        <v>51.06</v>
      </c>
      <c r="H377" s="13">
        <v>9.5</v>
      </c>
      <c r="I377" s="13">
        <v>46.21</v>
      </c>
      <c r="J377" s="24">
        <v>45875</v>
      </c>
      <c r="K377" s="13">
        <v>34</v>
      </c>
      <c r="L377" s="44">
        <v>1.1000000000000001</v>
      </c>
      <c r="M377" s="13" t="b">
        <v>0</v>
      </c>
      <c r="O377" s="25">
        <f t="shared" si="20"/>
        <v>27</v>
      </c>
      <c r="P377" s="13">
        <f t="shared" si="21"/>
        <v>323</v>
      </c>
      <c r="Q377" s="13" t="str">
        <f t="shared" si="22"/>
        <v/>
      </c>
      <c r="R377" s="13" t="str">
        <f t="shared" si="23"/>
        <v>Diskon</v>
      </c>
    </row>
    <row r="378" spans="1:18" x14ac:dyDescent="0.25">
      <c r="A378" s="13" t="s">
        <v>390</v>
      </c>
      <c r="B378" s="13" t="s">
        <v>2190</v>
      </c>
      <c r="C378" s="13" t="s">
        <v>2202</v>
      </c>
      <c r="D378" s="13" t="s">
        <v>2206</v>
      </c>
      <c r="E378" s="13" t="s">
        <v>2212</v>
      </c>
      <c r="F378" s="13" t="s">
        <v>2214</v>
      </c>
      <c r="G378" s="13">
        <v>132.91999999999999</v>
      </c>
      <c r="H378" s="13">
        <v>0</v>
      </c>
      <c r="I378" s="13">
        <v>132.91999999999999</v>
      </c>
      <c r="J378" s="24">
        <v>45875</v>
      </c>
      <c r="K378" s="13">
        <v>36</v>
      </c>
      <c r="L378" s="44">
        <v>1.2</v>
      </c>
      <c r="M378" s="13" t="b">
        <v>0</v>
      </c>
      <c r="O378" s="25">
        <f t="shared" si="20"/>
        <v>27</v>
      </c>
      <c r="P378" s="13">
        <f t="shared" si="21"/>
        <v>0</v>
      </c>
      <c r="Q378" s="13" t="str">
        <f t="shared" si="22"/>
        <v/>
      </c>
      <c r="R378" s="13" t="str">
        <f t="shared" si="23"/>
        <v>Non diskon</v>
      </c>
    </row>
    <row r="379" spans="1:18" x14ac:dyDescent="0.25">
      <c r="A379" s="13" t="s">
        <v>391</v>
      </c>
      <c r="B379" s="13" t="s">
        <v>2192</v>
      </c>
      <c r="C379" s="13" t="s">
        <v>2202</v>
      </c>
      <c r="D379" s="13" t="s">
        <v>2206</v>
      </c>
      <c r="F379" s="13" t="s">
        <v>2223</v>
      </c>
      <c r="G379" s="13">
        <v>16.57</v>
      </c>
      <c r="H379" s="13">
        <v>0</v>
      </c>
      <c r="I379" s="13">
        <v>16.57</v>
      </c>
      <c r="J379" s="24">
        <v>45875</v>
      </c>
      <c r="K379" s="13">
        <v>17</v>
      </c>
      <c r="L379" s="44">
        <v>3.2720930232558145</v>
      </c>
      <c r="M379" s="13" t="b">
        <v>0</v>
      </c>
      <c r="O379" s="25">
        <f t="shared" si="20"/>
        <v>27</v>
      </c>
      <c r="P379" s="13">
        <f t="shared" si="21"/>
        <v>0</v>
      </c>
      <c r="Q379" s="13" t="str">
        <f t="shared" si="22"/>
        <v/>
      </c>
      <c r="R379" s="13" t="str">
        <f t="shared" si="23"/>
        <v>Non diskon</v>
      </c>
    </row>
    <row r="380" spans="1:18" x14ac:dyDescent="0.25">
      <c r="A380" s="13" t="s">
        <v>392</v>
      </c>
      <c r="B380" s="13" t="s">
        <v>2194</v>
      </c>
      <c r="C380" s="13" t="s">
        <v>2203</v>
      </c>
      <c r="D380" s="13" t="s">
        <v>2205</v>
      </c>
      <c r="E380" s="13" t="s">
        <v>2212</v>
      </c>
      <c r="F380" s="13" t="s">
        <v>2216</v>
      </c>
      <c r="G380" s="13">
        <v>78.599999999999994</v>
      </c>
      <c r="H380" s="13">
        <v>45.8</v>
      </c>
      <c r="I380" s="13">
        <v>42.6</v>
      </c>
      <c r="J380" s="24">
        <v>45875</v>
      </c>
      <c r="K380" s="13">
        <v>6</v>
      </c>
      <c r="L380" s="44">
        <v>2.7</v>
      </c>
      <c r="M380" s="13" t="b">
        <v>0</v>
      </c>
      <c r="O380" s="25">
        <f t="shared" si="20"/>
        <v>27</v>
      </c>
      <c r="P380" s="13">
        <f t="shared" si="21"/>
        <v>274.79999999999995</v>
      </c>
      <c r="Q380" s="13" t="str">
        <f t="shared" si="22"/>
        <v/>
      </c>
      <c r="R380" s="13" t="str">
        <f t="shared" si="23"/>
        <v>Diskon</v>
      </c>
    </row>
    <row r="381" spans="1:18" x14ac:dyDescent="0.25">
      <c r="A381" s="13" t="s">
        <v>393</v>
      </c>
      <c r="B381" s="13" t="s">
        <v>2192</v>
      </c>
      <c r="C381" s="13" t="s">
        <v>2199</v>
      </c>
      <c r="D381" s="13" t="s">
        <v>2207</v>
      </c>
      <c r="F381" s="13" t="s">
        <v>2224</v>
      </c>
      <c r="G381" s="13">
        <v>69.38</v>
      </c>
      <c r="H381" s="13">
        <v>0</v>
      </c>
      <c r="I381" s="13">
        <v>69.38</v>
      </c>
      <c r="J381" s="24">
        <v>45875</v>
      </c>
      <c r="K381" s="13">
        <v>43</v>
      </c>
      <c r="L381" s="44">
        <v>2.4</v>
      </c>
      <c r="M381" s="13" t="b">
        <v>0</v>
      </c>
      <c r="O381" s="25">
        <f t="shared" si="20"/>
        <v>27</v>
      </c>
      <c r="P381" s="13">
        <f t="shared" si="21"/>
        <v>0</v>
      </c>
      <c r="Q381" s="13" t="str">
        <f t="shared" si="22"/>
        <v/>
      </c>
      <c r="R381" s="13" t="str">
        <f t="shared" si="23"/>
        <v>Non diskon</v>
      </c>
    </row>
    <row r="382" spans="1:18" x14ac:dyDescent="0.25">
      <c r="A382" s="13" t="s">
        <v>394</v>
      </c>
      <c r="B382" s="13" t="s">
        <v>2192</v>
      </c>
      <c r="C382" s="13" t="s">
        <v>2199</v>
      </c>
      <c r="D382" s="13" t="s">
        <v>2206</v>
      </c>
      <c r="F382" s="13" t="s">
        <v>2215</v>
      </c>
      <c r="G382" s="13">
        <v>23.58</v>
      </c>
      <c r="H382" s="13">
        <v>0</v>
      </c>
      <c r="I382" s="13">
        <v>23.58</v>
      </c>
      <c r="J382" s="24">
        <v>45875</v>
      </c>
      <c r="K382" s="13">
        <v>16</v>
      </c>
      <c r="L382" s="44">
        <v>1.3</v>
      </c>
      <c r="M382" s="13" t="b">
        <v>0</v>
      </c>
      <c r="O382" s="25">
        <f t="shared" si="20"/>
        <v>27</v>
      </c>
      <c r="P382" s="13">
        <f t="shared" si="21"/>
        <v>0</v>
      </c>
      <c r="Q382" s="13" t="str">
        <f t="shared" si="22"/>
        <v/>
      </c>
      <c r="R382" s="13" t="str">
        <f t="shared" si="23"/>
        <v>Non diskon</v>
      </c>
    </row>
    <row r="383" spans="1:18" x14ac:dyDescent="0.25">
      <c r="A383" s="13" t="s">
        <v>395</v>
      </c>
      <c r="B383" s="13" t="s">
        <v>2191</v>
      </c>
      <c r="C383" s="13" t="s">
        <v>2200</v>
      </c>
      <c r="D383" s="13" t="s">
        <v>2204</v>
      </c>
      <c r="E383" s="13" t="s">
        <v>2212</v>
      </c>
      <c r="F383" s="13" t="s">
        <v>2222</v>
      </c>
      <c r="G383" s="13">
        <v>119.91</v>
      </c>
      <c r="H383" s="13">
        <v>27.8</v>
      </c>
      <c r="I383" s="13">
        <v>86.58</v>
      </c>
      <c r="J383" s="24">
        <v>45563</v>
      </c>
      <c r="K383" s="13">
        <v>12</v>
      </c>
      <c r="L383" s="44">
        <v>1.7</v>
      </c>
      <c r="M383" s="13" t="b">
        <v>0</v>
      </c>
      <c r="O383" s="25">
        <f t="shared" si="20"/>
        <v>339</v>
      </c>
      <c r="P383" s="13">
        <f t="shared" si="21"/>
        <v>333.6</v>
      </c>
      <c r="Q383" s="13" t="str">
        <f t="shared" si="22"/>
        <v/>
      </c>
      <c r="R383" s="13" t="str">
        <f t="shared" si="23"/>
        <v>Diskon</v>
      </c>
    </row>
    <row r="384" spans="1:18" x14ac:dyDescent="0.25">
      <c r="A384" s="13" t="s">
        <v>396</v>
      </c>
      <c r="B384" s="13" t="s">
        <v>2190</v>
      </c>
      <c r="C384" s="13" t="s">
        <v>2200</v>
      </c>
      <c r="D384" s="13" t="s">
        <v>2207</v>
      </c>
      <c r="E384" s="13" t="s">
        <v>2213</v>
      </c>
      <c r="F384" s="13" t="s">
        <v>2216</v>
      </c>
      <c r="G384" s="13">
        <v>111.05</v>
      </c>
      <c r="H384" s="13">
        <v>1.4</v>
      </c>
      <c r="I384" s="13">
        <v>109.5</v>
      </c>
      <c r="J384" s="24">
        <v>45875</v>
      </c>
      <c r="K384" s="13">
        <v>7</v>
      </c>
      <c r="L384" s="44">
        <v>2.8</v>
      </c>
      <c r="M384" s="13" t="b">
        <v>0</v>
      </c>
      <c r="O384" s="25">
        <f t="shared" si="20"/>
        <v>27</v>
      </c>
      <c r="P384" s="13">
        <f t="shared" si="21"/>
        <v>9.7999999999999989</v>
      </c>
      <c r="Q384" s="13" t="str">
        <f t="shared" si="22"/>
        <v/>
      </c>
      <c r="R384" s="13" t="str">
        <f t="shared" si="23"/>
        <v>Diskon</v>
      </c>
    </row>
    <row r="385" spans="1:18" x14ac:dyDescent="0.25">
      <c r="A385" s="13" t="s">
        <v>397</v>
      </c>
      <c r="B385" s="13" t="s">
        <v>2192</v>
      </c>
      <c r="C385" s="13" t="s">
        <v>2198</v>
      </c>
      <c r="D385" s="13" t="s">
        <v>2207</v>
      </c>
      <c r="F385" s="13" t="s">
        <v>2218</v>
      </c>
      <c r="G385" s="13">
        <v>60.22</v>
      </c>
      <c r="H385" s="13">
        <v>0</v>
      </c>
      <c r="I385" s="13">
        <v>60.22</v>
      </c>
      <c r="J385" s="24">
        <v>45875</v>
      </c>
      <c r="K385" s="13">
        <v>6</v>
      </c>
      <c r="L385" s="44">
        <v>2.1</v>
      </c>
      <c r="M385" s="13" t="b">
        <v>0</v>
      </c>
      <c r="O385" s="25">
        <f t="shared" si="20"/>
        <v>27</v>
      </c>
      <c r="P385" s="13">
        <f t="shared" si="21"/>
        <v>0</v>
      </c>
      <c r="Q385" s="13" t="str">
        <f t="shared" si="22"/>
        <v/>
      </c>
      <c r="R385" s="13" t="str">
        <f t="shared" si="23"/>
        <v>Non diskon</v>
      </c>
    </row>
    <row r="386" spans="1:18" x14ac:dyDescent="0.25">
      <c r="A386" s="13" t="s">
        <v>398</v>
      </c>
      <c r="B386" s="13" t="s">
        <v>2190</v>
      </c>
      <c r="C386" s="13" t="s">
        <v>2202</v>
      </c>
      <c r="D386" s="13" t="s">
        <v>2205</v>
      </c>
      <c r="E386" s="13" t="s">
        <v>2213</v>
      </c>
      <c r="F386" s="13" t="s">
        <v>2222</v>
      </c>
      <c r="G386" s="13">
        <v>133.52000000000001</v>
      </c>
      <c r="H386" s="13">
        <v>0</v>
      </c>
      <c r="I386" s="13">
        <v>133.52000000000001</v>
      </c>
      <c r="J386" s="24">
        <v>45875</v>
      </c>
      <c r="K386" s="13">
        <v>27</v>
      </c>
      <c r="L386" s="44">
        <v>3.6</v>
      </c>
      <c r="M386" s="13" t="b">
        <v>0</v>
      </c>
      <c r="O386" s="25">
        <f t="shared" si="20"/>
        <v>27</v>
      </c>
      <c r="P386" s="13">
        <f t="shared" si="21"/>
        <v>0</v>
      </c>
      <c r="Q386" s="13" t="str">
        <f t="shared" si="22"/>
        <v/>
      </c>
      <c r="R386" s="13" t="str">
        <f t="shared" si="23"/>
        <v>Non diskon</v>
      </c>
    </row>
    <row r="387" spans="1:18" x14ac:dyDescent="0.25">
      <c r="A387" s="13" t="s">
        <v>399</v>
      </c>
      <c r="B387" s="13" t="s">
        <v>2195</v>
      </c>
      <c r="C387" s="13" t="s">
        <v>2198</v>
      </c>
      <c r="D387" s="13" t="s">
        <v>2204</v>
      </c>
      <c r="E387" s="13" t="s">
        <v>2208</v>
      </c>
      <c r="F387" s="13" t="s">
        <v>2224</v>
      </c>
      <c r="G387" s="13">
        <v>54.97</v>
      </c>
      <c r="H387" s="13">
        <v>49.6</v>
      </c>
      <c r="I387" s="13">
        <v>27.7</v>
      </c>
      <c r="J387" s="24">
        <v>45573</v>
      </c>
      <c r="K387" s="13">
        <v>48</v>
      </c>
      <c r="L387" s="44">
        <v>4.5</v>
      </c>
      <c r="M387" s="13" t="b">
        <v>0</v>
      </c>
      <c r="O387" s="25">
        <f t="shared" ref="O387:O450" si="24">DATE(2025,9,2)-J387</f>
        <v>329</v>
      </c>
      <c r="P387" s="13">
        <f t="shared" ref="P387:P450" si="25">H387*K387</f>
        <v>2380.8000000000002</v>
      </c>
      <c r="Q387" s="13" t="str">
        <f t="shared" ref="Q387:Q450" si="26">IF(M387=FALSE,"",1)</f>
        <v/>
      </c>
      <c r="R387" s="13" t="str">
        <f t="shared" ref="R387:R450" si="27">IF(H387=0,"Non diskon","Diskon")</f>
        <v>Diskon</v>
      </c>
    </row>
    <row r="388" spans="1:18" x14ac:dyDescent="0.25">
      <c r="A388" s="13" t="s">
        <v>400</v>
      </c>
      <c r="B388" s="13" t="s">
        <v>2191</v>
      </c>
      <c r="C388" s="13" t="s">
        <v>2197</v>
      </c>
      <c r="D388" s="13" t="s">
        <v>2205</v>
      </c>
      <c r="E388" s="13" t="s">
        <v>2209</v>
      </c>
      <c r="F388" s="13" t="s">
        <v>2217</v>
      </c>
      <c r="G388" s="13">
        <v>85.94</v>
      </c>
      <c r="H388" s="13">
        <v>0</v>
      </c>
      <c r="I388" s="13">
        <v>85.94</v>
      </c>
      <c r="J388" s="24">
        <v>45875</v>
      </c>
      <c r="K388" s="13">
        <v>42</v>
      </c>
      <c r="L388" s="44">
        <v>4.3</v>
      </c>
      <c r="M388" s="13" t="b">
        <v>0</v>
      </c>
      <c r="O388" s="25">
        <f t="shared" si="24"/>
        <v>27</v>
      </c>
      <c r="P388" s="13">
        <f t="shared" si="25"/>
        <v>0</v>
      </c>
      <c r="Q388" s="13" t="str">
        <f t="shared" si="26"/>
        <v/>
      </c>
      <c r="R388" s="13" t="str">
        <f t="shared" si="27"/>
        <v>Non diskon</v>
      </c>
    </row>
    <row r="389" spans="1:18" x14ac:dyDescent="0.25">
      <c r="A389" s="13" t="s">
        <v>401</v>
      </c>
      <c r="B389" s="13" t="s">
        <v>2192</v>
      </c>
      <c r="C389" s="13" t="s">
        <v>2200</v>
      </c>
      <c r="D389" s="13" t="s">
        <v>2206</v>
      </c>
      <c r="F389" s="13" t="s">
        <v>2216</v>
      </c>
      <c r="G389" s="13">
        <v>24.64</v>
      </c>
      <c r="H389" s="13">
        <v>0</v>
      </c>
      <c r="I389" s="13">
        <v>24.64</v>
      </c>
      <c r="J389" s="24">
        <v>45875</v>
      </c>
      <c r="K389" s="13">
        <v>6</v>
      </c>
      <c r="L389" s="44">
        <v>4.4000000000000004</v>
      </c>
      <c r="M389" s="13" t="b">
        <v>0</v>
      </c>
      <c r="O389" s="25">
        <f t="shared" si="24"/>
        <v>27</v>
      </c>
      <c r="P389" s="13">
        <f t="shared" si="25"/>
        <v>0</v>
      </c>
      <c r="Q389" s="13" t="str">
        <f t="shared" si="26"/>
        <v/>
      </c>
      <c r="R389" s="13" t="str">
        <f t="shared" si="27"/>
        <v>Non diskon</v>
      </c>
    </row>
    <row r="390" spans="1:18" x14ac:dyDescent="0.25">
      <c r="A390" s="13" t="s">
        <v>402</v>
      </c>
      <c r="B390" s="13" t="s">
        <v>2192</v>
      </c>
      <c r="C390" s="13" t="s">
        <v>2198</v>
      </c>
      <c r="D390" s="13" t="s">
        <v>2204</v>
      </c>
      <c r="F390" s="13" t="s">
        <v>2219</v>
      </c>
      <c r="G390" s="13">
        <v>28.82</v>
      </c>
      <c r="H390" s="13">
        <v>0</v>
      </c>
      <c r="I390" s="13">
        <v>28.82</v>
      </c>
      <c r="J390" s="24">
        <v>45588</v>
      </c>
      <c r="K390" s="13">
        <v>30</v>
      </c>
      <c r="L390" s="44">
        <v>2.8</v>
      </c>
      <c r="M390" s="13" t="b">
        <v>0</v>
      </c>
      <c r="O390" s="25">
        <f t="shared" si="24"/>
        <v>314</v>
      </c>
      <c r="P390" s="13">
        <f t="shared" si="25"/>
        <v>0</v>
      </c>
      <c r="Q390" s="13" t="str">
        <f t="shared" si="26"/>
        <v/>
      </c>
      <c r="R390" s="13" t="str">
        <f t="shared" si="27"/>
        <v>Non diskon</v>
      </c>
    </row>
    <row r="391" spans="1:18" x14ac:dyDescent="0.25">
      <c r="A391" s="13" t="s">
        <v>403</v>
      </c>
      <c r="B391" s="13" t="s">
        <v>2193</v>
      </c>
      <c r="C391" s="13" t="s">
        <v>2203</v>
      </c>
      <c r="D391" s="13" t="s">
        <v>2207</v>
      </c>
      <c r="E391" s="13" t="s">
        <v>2209</v>
      </c>
      <c r="F391" s="13" t="s">
        <v>2215</v>
      </c>
      <c r="G391" s="13">
        <v>79.59</v>
      </c>
      <c r="H391" s="13">
        <v>24.3</v>
      </c>
      <c r="I391" s="13">
        <v>60.25</v>
      </c>
      <c r="J391" s="24">
        <v>45875</v>
      </c>
      <c r="K391" s="13">
        <v>37</v>
      </c>
      <c r="L391" s="44">
        <v>1.7</v>
      </c>
      <c r="M391" s="13" t="b">
        <v>0</v>
      </c>
      <c r="O391" s="25">
        <f t="shared" si="24"/>
        <v>27</v>
      </c>
      <c r="P391" s="13">
        <f t="shared" si="25"/>
        <v>899.1</v>
      </c>
      <c r="Q391" s="13" t="str">
        <f t="shared" si="26"/>
        <v/>
      </c>
      <c r="R391" s="13" t="str">
        <f t="shared" si="27"/>
        <v>Diskon</v>
      </c>
    </row>
    <row r="392" spans="1:18" x14ac:dyDescent="0.25">
      <c r="A392" s="13" t="s">
        <v>404</v>
      </c>
      <c r="B392" s="13" t="s">
        <v>2195</v>
      </c>
      <c r="C392" s="13" t="s">
        <v>2202</v>
      </c>
      <c r="D392" s="13" t="s">
        <v>2206</v>
      </c>
      <c r="E392" s="13" t="s">
        <v>2208</v>
      </c>
      <c r="F392" s="13" t="s">
        <v>2219</v>
      </c>
      <c r="G392" s="13">
        <v>49.44</v>
      </c>
      <c r="H392" s="13">
        <v>0</v>
      </c>
      <c r="I392" s="13">
        <v>49.44</v>
      </c>
      <c r="J392" s="24">
        <v>45875</v>
      </c>
      <c r="K392" s="13">
        <v>19</v>
      </c>
      <c r="L392" s="44">
        <v>3.4</v>
      </c>
      <c r="M392" s="13" t="b">
        <v>0</v>
      </c>
      <c r="O392" s="25">
        <f t="shared" si="24"/>
        <v>27</v>
      </c>
      <c r="P392" s="13">
        <f t="shared" si="25"/>
        <v>0</v>
      </c>
      <c r="Q392" s="13" t="str">
        <f t="shared" si="26"/>
        <v/>
      </c>
      <c r="R392" s="13" t="str">
        <f t="shared" si="27"/>
        <v>Non diskon</v>
      </c>
    </row>
    <row r="393" spans="1:18" x14ac:dyDescent="0.25">
      <c r="A393" s="13" t="s">
        <v>405</v>
      </c>
      <c r="B393" s="13" t="s">
        <v>2191</v>
      </c>
      <c r="C393" s="13" t="s">
        <v>2199</v>
      </c>
      <c r="D393" s="13" t="s">
        <v>2205</v>
      </c>
      <c r="E393" s="13" t="s">
        <v>2212</v>
      </c>
      <c r="F393" s="13" t="s">
        <v>2219</v>
      </c>
      <c r="G393" s="13">
        <v>41.46</v>
      </c>
      <c r="H393" s="13">
        <v>0</v>
      </c>
      <c r="I393" s="13">
        <v>41.46</v>
      </c>
      <c r="J393" s="24">
        <v>45875</v>
      </c>
      <c r="K393" s="13">
        <v>36</v>
      </c>
      <c r="L393" s="44">
        <v>3.5</v>
      </c>
      <c r="M393" s="13" t="b">
        <v>0</v>
      </c>
      <c r="O393" s="25">
        <f t="shared" si="24"/>
        <v>27</v>
      </c>
      <c r="P393" s="13">
        <f t="shared" si="25"/>
        <v>0</v>
      </c>
      <c r="Q393" s="13" t="str">
        <f t="shared" si="26"/>
        <v/>
      </c>
      <c r="R393" s="13" t="str">
        <f t="shared" si="27"/>
        <v>Non diskon</v>
      </c>
    </row>
    <row r="394" spans="1:18" x14ac:dyDescent="0.25">
      <c r="A394" s="13" t="s">
        <v>406</v>
      </c>
      <c r="B394" s="13" t="s">
        <v>2195</v>
      </c>
      <c r="C394" s="13" t="s">
        <v>2197</v>
      </c>
      <c r="D394" s="13" t="s">
        <v>2206</v>
      </c>
      <c r="E394" s="13" t="s">
        <v>2212</v>
      </c>
      <c r="F394" s="13" t="s">
        <v>2221</v>
      </c>
      <c r="G394" s="13">
        <v>131.76</v>
      </c>
      <c r="H394" s="13">
        <v>35.4</v>
      </c>
      <c r="I394" s="13">
        <v>85.12</v>
      </c>
      <c r="J394" s="24">
        <v>45875</v>
      </c>
      <c r="K394" s="13">
        <v>21</v>
      </c>
      <c r="L394" s="44">
        <v>4.7</v>
      </c>
      <c r="M394" s="13" t="b">
        <v>0</v>
      </c>
      <c r="O394" s="25">
        <f t="shared" si="24"/>
        <v>27</v>
      </c>
      <c r="P394" s="13">
        <f t="shared" si="25"/>
        <v>743.4</v>
      </c>
      <c r="Q394" s="13" t="str">
        <f t="shared" si="26"/>
        <v/>
      </c>
      <c r="R394" s="13" t="str">
        <f t="shared" si="27"/>
        <v>Diskon</v>
      </c>
    </row>
    <row r="395" spans="1:18" x14ac:dyDescent="0.25">
      <c r="A395" s="13" t="s">
        <v>407</v>
      </c>
      <c r="B395" s="13" t="s">
        <v>2194</v>
      </c>
      <c r="C395" s="13" t="s">
        <v>2199</v>
      </c>
      <c r="D395" s="13" t="s">
        <v>2206</v>
      </c>
      <c r="E395" s="13" t="s">
        <v>2213</v>
      </c>
      <c r="F395" s="13" t="s">
        <v>2219</v>
      </c>
      <c r="G395" s="13">
        <v>56.53</v>
      </c>
      <c r="H395" s="13">
        <v>27.9</v>
      </c>
      <c r="I395" s="13">
        <v>40.76</v>
      </c>
      <c r="J395" s="24">
        <v>45875</v>
      </c>
      <c r="K395" s="13">
        <v>22</v>
      </c>
      <c r="L395" s="44">
        <v>2.8142857142857149</v>
      </c>
      <c r="M395" s="13" t="b">
        <v>0</v>
      </c>
      <c r="O395" s="25">
        <f t="shared" si="24"/>
        <v>27</v>
      </c>
      <c r="P395" s="13">
        <f t="shared" si="25"/>
        <v>613.79999999999995</v>
      </c>
      <c r="Q395" s="13" t="str">
        <f t="shared" si="26"/>
        <v/>
      </c>
      <c r="R395" s="13" t="str">
        <f t="shared" si="27"/>
        <v>Diskon</v>
      </c>
    </row>
    <row r="396" spans="1:18" x14ac:dyDescent="0.25">
      <c r="A396" s="13" t="s">
        <v>408</v>
      </c>
      <c r="B396" s="13" t="s">
        <v>2191</v>
      </c>
      <c r="C396" s="13" t="s">
        <v>2196</v>
      </c>
      <c r="D396" s="13" t="s">
        <v>2205</v>
      </c>
      <c r="F396" s="13" t="s">
        <v>2219</v>
      </c>
      <c r="G396" s="13">
        <v>111.72</v>
      </c>
      <c r="H396" s="13">
        <v>33.299999999999997</v>
      </c>
      <c r="I396" s="13">
        <v>74.52</v>
      </c>
      <c r="J396" s="24">
        <v>45875</v>
      </c>
      <c r="K396" s="13">
        <v>47</v>
      </c>
      <c r="L396" s="44">
        <v>2</v>
      </c>
      <c r="M396" s="13" t="b">
        <v>1</v>
      </c>
      <c r="N396" s="13" t="s">
        <v>2228</v>
      </c>
      <c r="O396" s="25">
        <f t="shared" si="24"/>
        <v>27</v>
      </c>
      <c r="P396" s="13">
        <f t="shared" si="25"/>
        <v>1565.1</v>
      </c>
      <c r="Q396" s="13">
        <f t="shared" si="26"/>
        <v>1</v>
      </c>
      <c r="R396" s="13" t="str">
        <f t="shared" si="27"/>
        <v>Diskon</v>
      </c>
    </row>
    <row r="397" spans="1:18" x14ac:dyDescent="0.25">
      <c r="A397" s="13" t="s">
        <v>409</v>
      </c>
      <c r="B397" s="13" t="s">
        <v>2191</v>
      </c>
      <c r="C397" s="13" t="s">
        <v>2196</v>
      </c>
      <c r="D397" s="13" t="s">
        <v>2205</v>
      </c>
      <c r="E397" s="13" t="s">
        <v>2209</v>
      </c>
      <c r="F397" s="13" t="s">
        <v>2221</v>
      </c>
      <c r="G397" s="13">
        <v>99.96</v>
      </c>
      <c r="H397" s="13">
        <v>47.6</v>
      </c>
      <c r="I397" s="13">
        <v>52.38</v>
      </c>
      <c r="J397" s="24">
        <v>45875</v>
      </c>
      <c r="K397" s="13">
        <v>18</v>
      </c>
      <c r="L397" s="44">
        <v>2</v>
      </c>
      <c r="M397" s="13" t="b">
        <v>1</v>
      </c>
      <c r="N397" s="13" t="s">
        <v>2228</v>
      </c>
      <c r="O397" s="25">
        <f t="shared" si="24"/>
        <v>27</v>
      </c>
      <c r="P397" s="13">
        <f t="shared" si="25"/>
        <v>856.80000000000007</v>
      </c>
      <c r="Q397" s="13">
        <f t="shared" si="26"/>
        <v>1</v>
      </c>
      <c r="R397" s="13" t="str">
        <f t="shared" si="27"/>
        <v>Diskon</v>
      </c>
    </row>
    <row r="398" spans="1:18" x14ac:dyDescent="0.25">
      <c r="A398" s="13" t="s">
        <v>410</v>
      </c>
      <c r="B398" s="13" t="s">
        <v>2195</v>
      </c>
      <c r="C398" s="13" t="s">
        <v>2197</v>
      </c>
      <c r="D398" s="13" t="s">
        <v>2206</v>
      </c>
      <c r="E398" s="13" t="s">
        <v>2212</v>
      </c>
      <c r="F398" s="13" t="s">
        <v>2214</v>
      </c>
      <c r="G398" s="13">
        <v>110.04</v>
      </c>
      <c r="H398" s="13">
        <v>57.1</v>
      </c>
      <c r="I398" s="13">
        <v>47.21</v>
      </c>
      <c r="J398" s="24">
        <v>45875</v>
      </c>
      <c r="K398" s="13">
        <v>0</v>
      </c>
      <c r="L398" s="44">
        <v>4.7</v>
      </c>
      <c r="M398" s="13" t="b">
        <v>0</v>
      </c>
      <c r="O398" s="25">
        <f t="shared" si="24"/>
        <v>27</v>
      </c>
      <c r="P398" s="13">
        <f t="shared" si="25"/>
        <v>0</v>
      </c>
      <c r="Q398" s="13" t="str">
        <f t="shared" si="26"/>
        <v/>
      </c>
      <c r="R398" s="13" t="str">
        <f t="shared" si="27"/>
        <v>Diskon</v>
      </c>
    </row>
    <row r="399" spans="1:18" x14ac:dyDescent="0.25">
      <c r="A399" s="13" t="s">
        <v>411</v>
      </c>
      <c r="B399" s="13" t="s">
        <v>2195</v>
      </c>
      <c r="C399" s="13" t="s">
        <v>2203</v>
      </c>
      <c r="D399" s="13" t="s">
        <v>2205</v>
      </c>
      <c r="E399" s="13" t="s">
        <v>2209</v>
      </c>
      <c r="F399" s="13" t="s">
        <v>2219</v>
      </c>
      <c r="G399" s="13">
        <v>141.84</v>
      </c>
      <c r="H399" s="13">
        <v>0</v>
      </c>
      <c r="I399" s="13">
        <v>141.84</v>
      </c>
      <c r="J399" s="24">
        <v>45875</v>
      </c>
      <c r="K399" s="13">
        <v>39</v>
      </c>
      <c r="L399" s="44">
        <v>1.7</v>
      </c>
      <c r="M399" s="13" t="b">
        <v>0</v>
      </c>
      <c r="O399" s="25">
        <f t="shared" si="24"/>
        <v>27</v>
      </c>
      <c r="P399" s="13">
        <f t="shared" si="25"/>
        <v>0</v>
      </c>
      <c r="Q399" s="13" t="str">
        <f t="shared" si="26"/>
        <v/>
      </c>
      <c r="R399" s="13" t="str">
        <f t="shared" si="27"/>
        <v>Non diskon</v>
      </c>
    </row>
    <row r="400" spans="1:18" x14ac:dyDescent="0.25">
      <c r="A400" s="13" t="s">
        <v>412</v>
      </c>
      <c r="B400" s="13" t="s">
        <v>2192</v>
      </c>
      <c r="C400" s="13" t="s">
        <v>2200</v>
      </c>
      <c r="D400" s="13" t="s">
        <v>2205</v>
      </c>
      <c r="F400" s="13" t="s">
        <v>2224</v>
      </c>
      <c r="G400" s="13">
        <v>32.630000000000003</v>
      </c>
      <c r="H400" s="13">
        <v>42.9</v>
      </c>
      <c r="I400" s="13">
        <v>18.63</v>
      </c>
      <c r="J400" s="24">
        <v>45875</v>
      </c>
      <c r="K400" s="13">
        <v>5</v>
      </c>
      <c r="L400" s="44">
        <v>1.1000000000000001</v>
      </c>
      <c r="M400" s="13" t="b">
        <v>0</v>
      </c>
      <c r="O400" s="25">
        <f t="shared" si="24"/>
        <v>27</v>
      </c>
      <c r="P400" s="13">
        <f t="shared" si="25"/>
        <v>214.5</v>
      </c>
      <c r="Q400" s="13" t="str">
        <f t="shared" si="26"/>
        <v/>
      </c>
      <c r="R400" s="13" t="str">
        <f t="shared" si="27"/>
        <v>Diskon</v>
      </c>
    </row>
    <row r="401" spans="1:18" x14ac:dyDescent="0.25">
      <c r="A401" s="13" t="s">
        <v>413</v>
      </c>
      <c r="B401" s="13" t="s">
        <v>2190</v>
      </c>
      <c r="C401" s="13" t="s">
        <v>2196</v>
      </c>
      <c r="D401" s="13" t="s">
        <v>2204</v>
      </c>
      <c r="E401" s="13" t="s">
        <v>2209</v>
      </c>
      <c r="F401" s="13" t="s">
        <v>2216</v>
      </c>
      <c r="G401" s="13">
        <v>189.68</v>
      </c>
      <c r="H401" s="13">
        <v>40.799999999999997</v>
      </c>
      <c r="I401" s="13">
        <v>112.29</v>
      </c>
      <c r="J401" s="24">
        <v>45556</v>
      </c>
      <c r="K401" s="13">
        <v>27</v>
      </c>
      <c r="L401" s="44">
        <v>1.8</v>
      </c>
      <c r="M401" s="13" t="b">
        <v>1</v>
      </c>
      <c r="N401" s="13" t="s">
        <v>2227</v>
      </c>
      <c r="O401" s="25">
        <f t="shared" si="24"/>
        <v>346</v>
      </c>
      <c r="P401" s="13">
        <f t="shared" si="25"/>
        <v>1101.5999999999999</v>
      </c>
      <c r="Q401" s="13">
        <f t="shared" si="26"/>
        <v>1</v>
      </c>
      <c r="R401" s="13" t="str">
        <f t="shared" si="27"/>
        <v>Diskon</v>
      </c>
    </row>
    <row r="402" spans="1:18" x14ac:dyDescent="0.25">
      <c r="A402" s="13" t="s">
        <v>414</v>
      </c>
      <c r="B402" s="13" t="s">
        <v>2195</v>
      </c>
      <c r="C402" s="13" t="s">
        <v>2201</v>
      </c>
      <c r="D402" s="13" t="s">
        <v>2206</v>
      </c>
      <c r="E402" s="13" t="s">
        <v>2208</v>
      </c>
      <c r="F402" s="13" t="s">
        <v>2215</v>
      </c>
      <c r="G402" s="13">
        <v>150.88999999999999</v>
      </c>
      <c r="H402" s="13">
        <v>46.8</v>
      </c>
      <c r="I402" s="13">
        <v>80.27</v>
      </c>
      <c r="J402" s="24">
        <v>45875</v>
      </c>
      <c r="K402" s="13">
        <v>18</v>
      </c>
      <c r="L402" s="44">
        <v>4.9000000000000004</v>
      </c>
      <c r="M402" s="13" t="b">
        <v>0</v>
      </c>
      <c r="O402" s="25">
        <f t="shared" si="24"/>
        <v>27</v>
      </c>
      <c r="P402" s="13">
        <f t="shared" si="25"/>
        <v>842.4</v>
      </c>
      <c r="Q402" s="13" t="str">
        <f t="shared" si="26"/>
        <v/>
      </c>
      <c r="R402" s="13" t="str">
        <f t="shared" si="27"/>
        <v>Diskon</v>
      </c>
    </row>
    <row r="403" spans="1:18" x14ac:dyDescent="0.25">
      <c r="A403" s="13" t="s">
        <v>415</v>
      </c>
      <c r="B403" s="13" t="s">
        <v>2192</v>
      </c>
      <c r="C403" s="13" t="s">
        <v>2202</v>
      </c>
      <c r="D403" s="13" t="s">
        <v>2206</v>
      </c>
      <c r="F403" s="13" t="s">
        <v>2222</v>
      </c>
      <c r="G403" s="13">
        <v>42.66</v>
      </c>
      <c r="H403" s="13">
        <v>21.5</v>
      </c>
      <c r="I403" s="13">
        <v>33.49</v>
      </c>
      <c r="J403" s="24">
        <v>45875</v>
      </c>
      <c r="K403" s="13">
        <v>16</v>
      </c>
      <c r="L403" s="44">
        <v>3.2720930232558145</v>
      </c>
      <c r="M403" s="13" t="b">
        <v>0</v>
      </c>
      <c r="O403" s="25">
        <f t="shared" si="24"/>
        <v>27</v>
      </c>
      <c r="P403" s="13">
        <f t="shared" si="25"/>
        <v>344</v>
      </c>
      <c r="Q403" s="13" t="str">
        <f t="shared" si="26"/>
        <v/>
      </c>
      <c r="R403" s="13" t="str">
        <f t="shared" si="27"/>
        <v>Diskon</v>
      </c>
    </row>
    <row r="404" spans="1:18" x14ac:dyDescent="0.25">
      <c r="A404" s="13" t="s">
        <v>416</v>
      </c>
      <c r="B404" s="13" t="s">
        <v>2192</v>
      </c>
      <c r="C404" s="13" t="s">
        <v>2197</v>
      </c>
      <c r="D404" s="13" t="s">
        <v>2206</v>
      </c>
      <c r="F404" s="13" t="s">
        <v>2214</v>
      </c>
      <c r="G404" s="13">
        <v>62.05</v>
      </c>
      <c r="H404" s="13">
        <v>0</v>
      </c>
      <c r="I404" s="13">
        <v>62.05</v>
      </c>
      <c r="J404" s="24">
        <v>45875</v>
      </c>
      <c r="K404" s="13">
        <v>50</v>
      </c>
      <c r="L404" s="44">
        <v>1.4</v>
      </c>
      <c r="M404" s="13" t="b">
        <v>1</v>
      </c>
      <c r="N404" s="13" t="s">
        <v>2229</v>
      </c>
      <c r="O404" s="25">
        <f t="shared" si="24"/>
        <v>27</v>
      </c>
      <c r="P404" s="13">
        <f t="shared" si="25"/>
        <v>0</v>
      </c>
      <c r="Q404" s="13">
        <f t="shared" si="26"/>
        <v>1</v>
      </c>
      <c r="R404" s="13" t="str">
        <f t="shared" si="27"/>
        <v>Non diskon</v>
      </c>
    </row>
    <row r="405" spans="1:18" x14ac:dyDescent="0.25">
      <c r="A405" s="13" t="s">
        <v>417</v>
      </c>
      <c r="B405" s="13" t="s">
        <v>2192</v>
      </c>
      <c r="C405" s="13" t="s">
        <v>2198</v>
      </c>
      <c r="D405" s="13" t="s">
        <v>2205</v>
      </c>
      <c r="F405" s="13" t="s">
        <v>2220</v>
      </c>
      <c r="G405" s="13">
        <v>74.319999999999993</v>
      </c>
      <c r="H405" s="13">
        <v>0</v>
      </c>
      <c r="I405" s="13">
        <v>74.319999999999993</v>
      </c>
      <c r="J405" s="24">
        <v>45875</v>
      </c>
      <c r="K405" s="13">
        <v>4</v>
      </c>
      <c r="L405" s="44">
        <v>2.2000000000000002</v>
      </c>
      <c r="M405" s="13" t="b">
        <v>0</v>
      </c>
      <c r="O405" s="25">
        <f t="shared" si="24"/>
        <v>27</v>
      </c>
      <c r="P405" s="13">
        <f t="shared" si="25"/>
        <v>0</v>
      </c>
      <c r="Q405" s="13" t="str">
        <f t="shared" si="26"/>
        <v/>
      </c>
      <c r="R405" s="13" t="str">
        <f t="shared" si="27"/>
        <v>Non diskon</v>
      </c>
    </row>
    <row r="406" spans="1:18" x14ac:dyDescent="0.25">
      <c r="A406" s="13" t="s">
        <v>418</v>
      </c>
      <c r="B406" s="13" t="s">
        <v>2190</v>
      </c>
      <c r="C406" s="13" t="s">
        <v>2197</v>
      </c>
      <c r="D406" s="13" t="s">
        <v>2205</v>
      </c>
      <c r="E406" s="13" t="s">
        <v>2212</v>
      </c>
      <c r="F406" s="13" t="s">
        <v>2222</v>
      </c>
      <c r="G406" s="13">
        <v>217.34</v>
      </c>
      <c r="H406" s="13">
        <v>0</v>
      </c>
      <c r="I406" s="13">
        <v>217.34</v>
      </c>
      <c r="J406" s="24">
        <v>45875</v>
      </c>
      <c r="K406" s="13">
        <v>4</v>
      </c>
      <c r="L406" s="44">
        <v>4.2</v>
      </c>
      <c r="M406" s="13" t="b">
        <v>0</v>
      </c>
      <c r="O406" s="25">
        <f t="shared" si="24"/>
        <v>27</v>
      </c>
      <c r="P406" s="13">
        <f t="shared" si="25"/>
        <v>0</v>
      </c>
      <c r="Q406" s="13" t="str">
        <f t="shared" si="26"/>
        <v/>
      </c>
      <c r="R406" s="13" t="str">
        <f t="shared" si="27"/>
        <v>Non diskon</v>
      </c>
    </row>
    <row r="407" spans="1:18" x14ac:dyDescent="0.25">
      <c r="A407" s="13" t="s">
        <v>419</v>
      </c>
      <c r="B407" s="13" t="s">
        <v>2191</v>
      </c>
      <c r="C407" s="13" t="s">
        <v>2196</v>
      </c>
      <c r="D407" s="13" t="s">
        <v>2207</v>
      </c>
      <c r="E407" s="13" t="s">
        <v>2208</v>
      </c>
      <c r="F407" s="13" t="s">
        <v>2217</v>
      </c>
      <c r="G407" s="13">
        <v>111.14</v>
      </c>
      <c r="H407" s="13">
        <v>56.7</v>
      </c>
      <c r="I407" s="13">
        <v>48.12</v>
      </c>
      <c r="J407" s="24">
        <v>45875</v>
      </c>
      <c r="K407" s="13">
        <v>29</v>
      </c>
      <c r="L407" s="44">
        <v>1.5</v>
      </c>
      <c r="M407" s="13" t="b">
        <v>0</v>
      </c>
      <c r="O407" s="25">
        <f t="shared" si="24"/>
        <v>27</v>
      </c>
      <c r="P407" s="13">
        <f t="shared" si="25"/>
        <v>1644.3000000000002</v>
      </c>
      <c r="Q407" s="13" t="str">
        <f t="shared" si="26"/>
        <v/>
      </c>
      <c r="R407" s="13" t="str">
        <f t="shared" si="27"/>
        <v>Diskon</v>
      </c>
    </row>
    <row r="408" spans="1:18" x14ac:dyDescent="0.25">
      <c r="A408" s="13" t="s">
        <v>420</v>
      </c>
      <c r="B408" s="13" t="s">
        <v>2193</v>
      </c>
      <c r="C408" s="13" t="s">
        <v>2200</v>
      </c>
      <c r="D408" s="13" t="s">
        <v>2205</v>
      </c>
      <c r="E408" s="13" t="s">
        <v>2208</v>
      </c>
      <c r="F408" s="13" t="s">
        <v>2222</v>
      </c>
      <c r="G408" s="13">
        <v>62.5</v>
      </c>
      <c r="H408" s="13">
        <v>0</v>
      </c>
      <c r="I408" s="13">
        <v>62.5</v>
      </c>
      <c r="J408" s="24">
        <v>45875</v>
      </c>
      <c r="K408" s="13">
        <v>0</v>
      </c>
      <c r="L408" s="44">
        <v>1.9</v>
      </c>
      <c r="M408" s="13" t="b">
        <v>1</v>
      </c>
      <c r="N408" s="13" t="s">
        <v>2229</v>
      </c>
      <c r="O408" s="25">
        <f t="shared" si="24"/>
        <v>27</v>
      </c>
      <c r="P408" s="13">
        <f t="shared" si="25"/>
        <v>0</v>
      </c>
      <c r="Q408" s="13">
        <f t="shared" si="26"/>
        <v>1</v>
      </c>
      <c r="R408" s="13" t="str">
        <f t="shared" si="27"/>
        <v>Non diskon</v>
      </c>
    </row>
    <row r="409" spans="1:18" x14ac:dyDescent="0.25">
      <c r="A409" s="13" t="s">
        <v>421</v>
      </c>
      <c r="B409" s="13" t="s">
        <v>2190</v>
      </c>
      <c r="C409" s="13" t="s">
        <v>2198</v>
      </c>
      <c r="D409" s="13" t="s">
        <v>2205</v>
      </c>
      <c r="E409" s="13" t="s">
        <v>2212</v>
      </c>
      <c r="F409" s="13" t="s">
        <v>2219</v>
      </c>
      <c r="G409" s="13">
        <v>165.88</v>
      </c>
      <c r="H409" s="13">
        <v>3.4</v>
      </c>
      <c r="I409" s="13">
        <v>160.24</v>
      </c>
      <c r="J409" s="24">
        <v>45875</v>
      </c>
      <c r="K409" s="13">
        <v>42</v>
      </c>
      <c r="L409" s="44">
        <v>2.4</v>
      </c>
      <c r="M409" s="13" t="b">
        <v>0</v>
      </c>
      <c r="O409" s="25">
        <f t="shared" si="24"/>
        <v>27</v>
      </c>
      <c r="P409" s="13">
        <f t="shared" si="25"/>
        <v>142.79999999999998</v>
      </c>
      <c r="Q409" s="13" t="str">
        <f t="shared" si="26"/>
        <v/>
      </c>
      <c r="R409" s="13" t="str">
        <f t="shared" si="27"/>
        <v>Diskon</v>
      </c>
    </row>
    <row r="410" spans="1:18" x14ac:dyDescent="0.25">
      <c r="A410" s="13" t="s">
        <v>422</v>
      </c>
      <c r="B410" s="13" t="s">
        <v>2190</v>
      </c>
      <c r="C410" s="13" t="s">
        <v>2202</v>
      </c>
      <c r="D410" s="13" t="s">
        <v>2206</v>
      </c>
      <c r="E410" s="13" t="s">
        <v>2212</v>
      </c>
      <c r="F410" s="13" t="s">
        <v>2224</v>
      </c>
      <c r="G410" s="13">
        <v>179.8</v>
      </c>
      <c r="H410" s="13">
        <v>0</v>
      </c>
      <c r="I410" s="13">
        <v>179.8</v>
      </c>
      <c r="J410" s="24">
        <v>45875</v>
      </c>
      <c r="K410" s="13">
        <v>25</v>
      </c>
      <c r="L410" s="44">
        <v>1.7</v>
      </c>
      <c r="M410" s="13" t="b">
        <v>0</v>
      </c>
      <c r="O410" s="25">
        <f t="shared" si="24"/>
        <v>27</v>
      </c>
      <c r="P410" s="13">
        <f t="shared" si="25"/>
        <v>0</v>
      </c>
      <c r="Q410" s="13" t="str">
        <f t="shared" si="26"/>
        <v/>
      </c>
      <c r="R410" s="13" t="str">
        <f t="shared" si="27"/>
        <v>Non diskon</v>
      </c>
    </row>
    <row r="411" spans="1:18" x14ac:dyDescent="0.25">
      <c r="A411" s="13" t="s">
        <v>423</v>
      </c>
      <c r="B411" s="13" t="s">
        <v>2192</v>
      </c>
      <c r="C411" s="13" t="s">
        <v>2196</v>
      </c>
      <c r="D411" s="13" t="s">
        <v>2207</v>
      </c>
      <c r="F411" s="13" t="s">
        <v>2221</v>
      </c>
      <c r="G411" s="13">
        <v>34.15</v>
      </c>
      <c r="H411" s="13">
        <v>0</v>
      </c>
      <c r="I411" s="13">
        <v>34.15</v>
      </c>
      <c r="J411" s="24">
        <v>45875</v>
      </c>
      <c r="K411" s="13">
        <v>27</v>
      </c>
      <c r="L411" s="44">
        <v>4.0999999999999996</v>
      </c>
      <c r="M411" s="13" t="b">
        <v>0</v>
      </c>
      <c r="O411" s="25">
        <f t="shared" si="24"/>
        <v>27</v>
      </c>
      <c r="P411" s="13">
        <f t="shared" si="25"/>
        <v>0</v>
      </c>
      <c r="Q411" s="13" t="str">
        <f t="shared" si="26"/>
        <v/>
      </c>
      <c r="R411" s="13" t="str">
        <f t="shared" si="27"/>
        <v>Non diskon</v>
      </c>
    </row>
    <row r="412" spans="1:18" x14ac:dyDescent="0.25">
      <c r="A412" s="13" t="s">
        <v>424</v>
      </c>
      <c r="B412" s="13" t="s">
        <v>2191</v>
      </c>
      <c r="C412" s="13" t="s">
        <v>2202</v>
      </c>
      <c r="D412" s="13" t="s">
        <v>2204</v>
      </c>
      <c r="E412" s="13" t="s">
        <v>2212</v>
      </c>
      <c r="F412" s="13" t="s">
        <v>2220</v>
      </c>
      <c r="G412" s="13">
        <v>101.88</v>
      </c>
      <c r="H412" s="13">
        <v>0</v>
      </c>
      <c r="I412" s="13">
        <v>101.88</v>
      </c>
      <c r="J412" s="24">
        <v>45730</v>
      </c>
      <c r="K412" s="13">
        <v>46</v>
      </c>
      <c r="L412" s="44">
        <v>2.9074999999999998</v>
      </c>
      <c r="M412" s="13" t="b">
        <v>1</v>
      </c>
      <c r="N412" s="13" t="s">
        <v>2226</v>
      </c>
      <c r="O412" s="25">
        <f t="shared" si="24"/>
        <v>172</v>
      </c>
      <c r="P412" s="13">
        <f t="shared" si="25"/>
        <v>0</v>
      </c>
      <c r="Q412" s="13">
        <f t="shared" si="26"/>
        <v>1</v>
      </c>
      <c r="R412" s="13" t="str">
        <f t="shared" si="27"/>
        <v>Non diskon</v>
      </c>
    </row>
    <row r="413" spans="1:18" x14ac:dyDescent="0.25">
      <c r="A413" s="13" t="s">
        <v>425</v>
      </c>
      <c r="B413" s="13" t="s">
        <v>2193</v>
      </c>
      <c r="C413" s="13" t="s">
        <v>2198</v>
      </c>
      <c r="D413" s="13" t="s">
        <v>2207</v>
      </c>
      <c r="E413" s="13" t="s">
        <v>2208</v>
      </c>
      <c r="F413" s="13" t="s">
        <v>2219</v>
      </c>
      <c r="G413" s="13">
        <v>187.58</v>
      </c>
      <c r="H413" s="13">
        <v>0</v>
      </c>
      <c r="I413" s="13">
        <v>187.58</v>
      </c>
      <c r="J413" s="24">
        <v>45875</v>
      </c>
      <c r="K413" s="13">
        <v>46</v>
      </c>
      <c r="L413" s="44">
        <v>2.9</v>
      </c>
      <c r="M413" s="13" t="b">
        <v>0</v>
      </c>
      <c r="O413" s="25">
        <f t="shared" si="24"/>
        <v>27</v>
      </c>
      <c r="P413" s="13">
        <f t="shared" si="25"/>
        <v>0</v>
      </c>
      <c r="Q413" s="13" t="str">
        <f t="shared" si="26"/>
        <v/>
      </c>
      <c r="R413" s="13" t="str">
        <f t="shared" si="27"/>
        <v>Non diskon</v>
      </c>
    </row>
    <row r="414" spans="1:18" x14ac:dyDescent="0.25">
      <c r="A414" s="13" t="s">
        <v>426</v>
      </c>
      <c r="B414" s="13" t="s">
        <v>2190</v>
      </c>
      <c r="C414" s="13" t="s">
        <v>2201</v>
      </c>
      <c r="D414" s="13" t="s">
        <v>2206</v>
      </c>
      <c r="E414" s="13" t="s">
        <v>2209</v>
      </c>
      <c r="F414" s="13" t="s">
        <v>2215</v>
      </c>
      <c r="G414" s="13">
        <v>145.02000000000001</v>
      </c>
      <c r="H414" s="13">
        <v>0</v>
      </c>
      <c r="I414" s="13">
        <v>145.02000000000001</v>
      </c>
      <c r="J414" s="24">
        <v>45875</v>
      </c>
      <c r="K414" s="13">
        <v>36</v>
      </c>
      <c r="L414" s="44">
        <v>2.6</v>
      </c>
      <c r="M414" s="13" t="b">
        <v>0</v>
      </c>
      <c r="O414" s="25">
        <f t="shared" si="24"/>
        <v>27</v>
      </c>
      <c r="P414" s="13">
        <f t="shared" si="25"/>
        <v>0</v>
      </c>
      <c r="Q414" s="13" t="str">
        <f t="shared" si="26"/>
        <v/>
      </c>
      <c r="R414" s="13" t="str">
        <f t="shared" si="27"/>
        <v>Non diskon</v>
      </c>
    </row>
    <row r="415" spans="1:18" x14ac:dyDescent="0.25">
      <c r="A415" s="13" t="s">
        <v>427</v>
      </c>
      <c r="B415" s="13" t="s">
        <v>2194</v>
      </c>
      <c r="C415" s="13" t="s">
        <v>2202</v>
      </c>
      <c r="D415" s="13" t="s">
        <v>2207</v>
      </c>
      <c r="E415" s="13" t="s">
        <v>2212</v>
      </c>
      <c r="F415" s="13" t="s">
        <v>2219</v>
      </c>
      <c r="G415" s="13">
        <v>101.61</v>
      </c>
      <c r="H415" s="13">
        <v>26.9</v>
      </c>
      <c r="I415" s="13">
        <v>74.28</v>
      </c>
      <c r="J415" s="24">
        <v>45875</v>
      </c>
      <c r="K415" s="13">
        <v>38</v>
      </c>
      <c r="L415" s="44">
        <v>3.4</v>
      </c>
      <c r="M415" s="13" t="b">
        <v>1</v>
      </c>
      <c r="N415" s="13" t="s">
        <v>2227</v>
      </c>
      <c r="O415" s="25">
        <f t="shared" si="24"/>
        <v>27</v>
      </c>
      <c r="P415" s="13">
        <f t="shared" si="25"/>
        <v>1022.1999999999999</v>
      </c>
      <c r="Q415" s="13">
        <f t="shared" si="26"/>
        <v>1</v>
      </c>
      <c r="R415" s="13" t="str">
        <f t="shared" si="27"/>
        <v>Diskon</v>
      </c>
    </row>
    <row r="416" spans="1:18" x14ac:dyDescent="0.25">
      <c r="A416" s="13" t="s">
        <v>428</v>
      </c>
      <c r="B416" s="13" t="s">
        <v>2195</v>
      </c>
      <c r="C416" s="13" t="s">
        <v>2200</v>
      </c>
      <c r="D416" s="13" t="s">
        <v>2206</v>
      </c>
      <c r="E416" s="13" t="s">
        <v>2211</v>
      </c>
      <c r="F416" s="13" t="s">
        <v>2221</v>
      </c>
      <c r="G416" s="13">
        <v>71.14</v>
      </c>
      <c r="H416" s="13">
        <v>0</v>
      </c>
      <c r="I416" s="13">
        <v>71.14</v>
      </c>
      <c r="J416" s="24">
        <v>45875</v>
      </c>
      <c r="K416" s="13">
        <v>33</v>
      </c>
      <c r="L416" s="44">
        <v>3.1</v>
      </c>
      <c r="M416" s="13" t="b">
        <v>0</v>
      </c>
      <c r="O416" s="25">
        <f t="shared" si="24"/>
        <v>27</v>
      </c>
      <c r="P416" s="13">
        <f t="shared" si="25"/>
        <v>0</v>
      </c>
      <c r="Q416" s="13" t="str">
        <f t="shared" si="26"/>
        <v/>
      </c>
      <c r="R416" s="13" t="str">
        <f t="shared" si="27"/>
        <v>Non diskon</v>
      </c>
    </row>
    <row r="417" spans="1:18" x14ac:dyDescent="0.25">
      <c r="A417" s="13" t="s">
        <v>429</v>
      </c>
      <c r="B417" s="13" t="s">
        <v>2195</v>
      </c>
      <c r="C417" s="13" t="s">
        <v>2201</v>
      </c>
      <c r="D417" s="13" t="s">
        <v>2207</v>
      </c>
      <c r="E417" s="13" t="s">
        <v>2213</v>
      </c>
      <c r="F417" s="13" t="s">
        <v>2220</v>
      </c>
      <c r="G417" s="13">
        <v>55.21</v>
      </c>
      <c r="H417" s="13">
        <v>0</v>
      </c>
      <c r="I417" s="13">
        <v>55.21</v>
      </c>
      <c r="J417" s="24">
        <v>45875</v>
      </c>
      <c r="K417" s="13">
        <v>2</v>
      </c>
      <c r="L417" s="44">
        <v>3.8</v>
      </c>
      <c r="M417" s="13" t="b">
        <v>1</v>
      </c>
      <c r="N417" s="13" t="s">
        <v>2230</v>
      </c>
      <c r="O417" s="25">
        <f t="shared" si="24"/>
        <v>27</v>
      </c>
      <c r="P417" s="13">
        <f t="shared" si="25"/>
        <v>0</v>
      </c>
      <c r="Q417" s="13">
        <f t="shared" si="26"/>
        <v>1</v>
      </c>
      <c r="R417" s="13" t="str">
        <f t="shared" si="27"/>
        <v>Non diskon</v>
      </c>
    </row>
    <row r="418" spans="1:18" x14ac:dyDescent="0.25">
      <c r="A418" s="13" t="s">
        <v>430</v>
      </c>
      <c r="B418" s="13" t="s">
        <v>2191</v>
      </c>
      <c r="C418" s="13" t="s">
        <v>2196</v>
      </c>
      <c r="D418" s="13" t="s">
        <v>2207</v>
      </c>
      <c r="E418" s="13" t="s">
        <v>2211</v>
      </c>
      <c r="F418" s="13" t="s">
        <v>2216</v>
      </c>
      <c r="G418" s="13">
        <v>94.96</v>
      </c>
      <c r="H418" s="13">
        <v>35.4</v>
      </c>
      <c r="I418" s="13">
        <v>61.34</v>
      </c>
      <c r="J418" s="24">
        <v>45875</v>
      </c>
      <c r="K418" s="13">
        <v>34</v>
      </c>
      <c r="L418" s="44">
        <v>3.9</v>
      </c>
      <c r="M418" s="13" t="b">
        <v>0</v>
      </c>
      <c r="O418" s="25">
        <f t="shared" si="24"/>
        <v>27</v>
      </c>
      <c r="P418" s="13">
        <f t="shared" si="25"/>
        <v>1203.5999999999999</v>
      </c>
      <c r="Q418" s="13" t="str">
        <f t="shared" si="26"/>
        <v/>
      </c>
      <c r="R418" s="13" t="str">
        <f t="shared" si="27"/>
        <v>Diskon</v>
      </c>
    </row>
    <row r="419" spans="1:18" x14ac:dyDescent="0.25">
      <c r="A419" s="13" t="s">
        <v>431</v>
      </c>
      <c r="B419" s="13" t="s">
        <v>2193</v>
      </c>
      <c r="C419" s="13" t="s">
        <v>2199</v>
      </c>
      <c r="D419" s="13" t="s">
        <v>2204</v>
      </c>
      <c r="E419" s="13" t="s">
        <v>2213</v>
      </c>
      <c r="F419" s="13" t="s">
        <v>2223</v>
      </c>
      <c r="G419" s="13">
        <v>138.69</v>
      </c>
      <c r="H419" s="13">
        <v>0</v>
      </c>
      <c r="I419" s="13">
        <v>138.69</v>
      </c>
      <c r="J419" s="24">
        <v>45628</v>
      </c>
      <c r="K419" s="13">
        <v>0</v>
      </c>
      <c r="L419" s="44">
        <v>2.9</v>
      </c>
      <c r="M419" s="13" t="b">
        <v>0</v>
      </c>
      <c r="O419" s="25">
        <f t="shared" si="24"/>
        <v>274</v>
      </c>
      <c r="P419" s="13">
        <f t="shared" si="25"/>
        <v>0</v>
      </c>
      <c r="Q419" s="13" t="str">
        <f t="shared" si="26"/>
        <v/>
      </c>
      <c r="R419" s="13" t="str">
        <f t="shared" si="27"/>
        <v>Non diskon</v>
      </c>
    </row>
    <row r="420" spans="1:18" x14ac:dyDescent="0.25">
      <c r="A420" s="13" t="s">
        <v>432</v>
      </c>
      <c r="B420" s="13" t="s">
        <v>2190</v>
      </c>
      <c r="C420" s="13" t="s">
        <v>2202</v>
      </c>
      <c r="D420" s="13" t="s">
        <v>2204</v>
      </c>
      <c r="E420" s="13" t="s">
        <v>2211</v>
      </c>
      <c r="F420" s="13" t="s">
        <v>2222</v>
      </c>
      <c r="G420" s="13">
        <v>175.7</v>
      </c>
      <c r="H420" s="13">
        <v>0</v>
      </c>
      <c r="I420" s="13">
        <v>175.7</v>
      </c>
      <c r="J420" s="24">
        <v>45711</v>
      </c>
      <c r="K420" s="13">
        <v>20</v>
      </c>
      <c r="L420" s="44">
        <v>3</v>
      </c>
      <c r="M420" s="13" t="b">
        <v>0</v>
      </c>
      <c r="O420" s="25">
        <f t="shared" si="24"/>
        <v>191</v>
      </c>
      <c r="P420" s="13">
        <f t="shared" si="25"/>
        <v>0</v>
      </c>
      <c r="Q420" s="13" t="str">
        <f t="shared" si="26"/>
        <v/>
      </c>
      <c r="R420" s="13" t="str">
        <f t="shared" si="27"/>
        <v>Non diskon</v>
      </c>
    </row>
    <row r="421" spans="1:18" x14ac:dyDescent="0.25">
      <c r="A421" s="13" t="s">
        <v>433</v>
      </c>
      <c r="B421" s="13" t="s">
        <v>2193</v>
      </c>
      <c r="C421" s="13" t="s">
        <v>2197</v>
      </c>
      <c r="D421" s="13" t="s">
        <v>2207</v>
      </c>
      <c r="E421" s="13" t="s">
        <v>2212</v>
      </c>
      <c r="F421" s="13" t="s">
        <v>2216</v>
      </c>
      <c r="G421" s="13">
        <v>145.18</v>
      </c>
      <c r="H421" s="13">
        <v>35.700000000000003</v>
      </c>
      <c r="I421" s="13">
        <v>93.35</v>
      </c>
      <c r="J421" s="24">
        <v>45875</v>
      </c>
      <c r="K421" s="13">
        <v>25</v>
      </c>
      <c r="L421" s="44">
        <v>2.2000000000000002</v>
      </c>
      <c r="M421" s="13" t="b">
        <v>0</v>
      </c>
      <c r="O421" s="25">
        <f t="shared" si="24"/>
        <v>27</v>
      </c>
      <c r="P421" s="13">
        <f t="shared" si="25"/>
        <v>892.50000000000011</v>
      </c>
      <c r="Q421" s="13" t="str">
        <f t="shared" si="26"/>
        <v/>
      </c>
      <c r="R421" s="13" t="str">
        <f t="shared" si="27"/>
        <v>Diskon</v>
      </c>
    </row>
    <row r="422" spans="1:18" x14ac:dyDescent="0.25">
      <c r="A422" s="13" t="s">
        <v>434</v>
      </c>
      <c r="B422" s="13" t="s">
        <v>2195</v>
      </c>
      <c r="C422" s="13" t="s">
        <v>2199</v>
      </c>
      <c r="D422" s="13" t="s">
        <v>2207</v>
      </c>
      <c r="E422" s="13" t="s">
        <v>2213</v>
      </c>
      <c r="F422" s="13" t="s">
        <v>2216</v>
      </c>
      <c r="G422" s="13">
        <v>169.34</v>
      </c>
      <c r="H422" s="13">
        <v>44.6</v>
      </c>
      <c r="I422" s="13">
        <v>93.81</v>
      </c>
      <c r="J422" s="24">
        <v>45875</v>
      </c>
      <c r="K422" s="13">
        <v>37</v>
      </c>
      <c r="L422" s="44">
        <v>2.7</v>
      </c>
      <c r="M422" s="13" t="b">
        <v>0</v>
      </c>
      <c r="O422" s="25">
        <f t="shared" si="24"/>
        <v>27</v>
      </c>
      <c r="P422" s="13">
        <f t="shared" si="25"/>
        <v>1650.2</v>
      </c>
      <c r="Q422" s="13" t="str">
        <f t="shared" si="26"/>
        <v/>
      </c>
      <c r="R422" s="13" t="str">
        <f t="shared" si="27"/>
        <v>Diskon</v>
      </c>
    </row>
    <row r="423" spans="1:18" x14ac:dyDescent="0.25">
      <c r="A423" s="13" t="s">
        <v>435</v>
      </c>
      <c r="B423" s="13" t="s">
        <v>2191</v>
      </c>
      <c r="C423" s="13" t="s">
        <v>2197</v>
      </c>
      <c r="D423" s="13" t="s">
        <v>2207</v>
      </c>
      <c r="E423" s="13" t="s">
        <v>2209</v>
      </c>
      <c r="F423" s="13" t="s">
        <v>2214</v>
      </c>
      <c r="G423" s="13">
        <v>103.14</v>
      </c>
      <c r="H423" s="13">
        <v>0</v>
      </c>
      <c r="I423" s="13">
        <v>103.14</v>
      </c>
      <c r="J423" s="24">
        <v>45875</v>
      </c>
      <c r="K423" s="13">
        <v>13</v>
      </c>
      <c r="L423" s="44">
        <v>4.5</v>
      </c>
      <c r="M423" s="13" t="b">
        <v>0</v>
      </c>
      <c r="O423" s="25">
        <f t="shared" si="24"/>
        <v>27</v>
      </c>
      <c r="P423" s="13">
        <f t="shared" si="25"/>
        <v>0</v>
      </c>
      <c r="Q423" s="13" t="str">
        <f t="shared" si="26"/>
        <v/>
      </c>
      <c r="R423" s="13" t="str">
        <f t="shared" si="27"/>
        <v>Non diskon</v>
      </c>
    </row>
    <row r="424" spans="1:18" x14ac:dyDescent="0.25">
      <c r="A424" s="13" t="s">
        <v>436</v>
      </c>
      <c r="B424" s="13" t="s">
        <v>2191</v>
      </c>
      <c r="C424" s="13" t="s">
        <v>2199</v>
      </c>
      <c r="D424" s="13" t="s">
        <v>2206</v>
      </c>
      <c r="E424" s="13" t="s">
        <v>2213</v>
      </c>
      <c r="F424" s="13" t="s">
        <v>2221</v>
      </c>
      <c r="G424" s="13">
        <v>97.47</v>
      </c>
      <c r="H424" s="13">
        <v>32</v>
      </c>
      <c r="I424" s="13">
        <v>66.28</v>
      </c>
      <c r="J424" s="24">
        <v>45875</v>
      </c>
      <c r="K424" s="13">
        <v>27</v>
      </c>
      <c r="L424" s="44">
        <v>3</v>
      </c>
      <c r="M424" s="13" t="b">
        <v>0</v>
      </c>
      <c r="O424" s="25">
        <f t="shared" si="24"/>
        <v>27</v>
      </c>
      <c r="P424" s="13">
        <f t="shared" si="25"/>
        <v>864</v>
      </c>
      <c r="Q424" s="13" t="str">
        <f t="shared" si="26"/>
        <v/>
      </c>
      <c r="R424" s="13" t="str">
        <f t="shared" si="27"/>
        <v>Diskon</v>
      </c>
    </row>
    <row r="425" spans="1:18" x14ac:dyDescent="0.25">
      <c r="A425" s="13" t="s">
        <v>437</v>
      </c>
      <c r="B425" s="13" t="s">
        <v>2195</v>
      </c>
      <c r="C425" s="13" t="s">
        <v>2201</v>
      </c>
      <c r="D425" s="13" t="s">
        <v>2204</v>
      </c>
      <c r="E425" s="13" t="s">
        <v>2213</v>
      </c>
      <c r="F425" s="13" t="s">
        <v>2222</v>
      </c>
      <c r="G425" s="13">
        <v>50.69</v>
      </c>
      <c r="H425" s="13">
        <v>26.3</v>
      </c>
      <c r="I425" s="13">
        <v>37.36</v>
      </c>
      <c r="J425" s="24">
        <v>45594</v>
      </c>
      <c r="K425" s="13">
        <v>37</v>
      </c>
      <c r="L425" s="44">
        <v>4.0999999999999996</v>
      </c>
      <c r="M425" s="13" t="b">
        <v>0</v>
      </c>
      <c r="O425" s="25">
        <f t="shared" si="24"/>
        <v>308</v>
      </c>
      <c r="P425" s="13">
        <f t="shared" si="25"/>
        <v>973.1</v>
      </c>
      <c r="Q425" s="13" t="str">
        <f t="shared" si="26"/>
        <v/>
      </c>
      <c r="R425" s="13" t="str">
        <f t="shared" si="27"/>
        <v>Diskon</v>
      </c>
    </row>
    <row r="426" spans="1:18" x14ac:dyDescent="0.25">
      <c r="A426" s="13" t="s">
        <v>438</v>
      </c>
      <c r="B426" s="13" t="s">
        <v>2190</v>
      </c>
      <c r="C426" s="13" t="s">
        <v>2198</v>
      </c>
      <c r="D426" s="13" t="s">
        <v>2206</v>
      </c>
      <c r="E426" s="13" t="s">
        <v>2208</v>
      </c>
      <c r="F426" s="13" t="s">
        <v>2216</v>
      </c>
      <c r="G426" s="13">
        <v>127.75</v>
      </c>
      <c r="H426" s="13">
        <v>0</v>
      </c>
      <c r="I426" s="13">
        <v>127.75</v>
      </c>
      <c r="J426" s="24">
        <v>45875</v>
      </c>
      <c r="K426" s="13">
        <v>32</v>
      </c>
      <c r="L426" s="44">
        <v>3.6</v>
      </c>
      <c r="M426" s="13" t="b">
        <v>0</v>
      </c>
      <c r="O426" s="25">
        <f t="shared" si="24"/>
        <v>27</v>
      </c>
      <c r="P426" s="13">
        <f t="shared" si="25"/>
        <v>0</v>
      </c>
      <c r="Q426" s="13" t="str">
        <f t="shared" si="26"/>
        <v/>
      </c>
      <c r="R426" s="13" t="str">
        <f t="shared" si="27"/>
        <v>Non diskon</v>
      </c>
    </row>
    <row r="427" spans="1:18" x14ac:dyDescent="0.25">
      <c r="A427" s="13" t="s">
        <v>439</v>
      </c>
      <c r="B427" s="13" t="s">
        <v>2191</v>
      </c>
      <c r="C427" s="13" t="s">
        <v>2203</v>
      </c>
      <c r="D427" s="13" t="s">
        <v>2205</v>
      </c>
      <c r="E427" s="13" t="s">
        <v>2208</v>
      </c>
      <c r="F427" s="13" t="s">
        <v>2216</v>
      </c>
      <c r="G427" s="13">
        <v>111.64</v>
      </c>
      <c r="H427" s="13">
        <v>0</v>
      </c>
      <c r="I427" s="13">
        <v>111.64</v>
      </c>
      <c r="J427" s="24">
        <v>45875</v>
      </c>
      <c r="K427" s="13">
        <v>13</v>
      </c>
      <c r="L427" s="44">
        <v>4.8</v>
      </c>
      <c r="M427" s="13" t="b">
        <v>0</v>
      </c>
      <c r="O427" s="25">
        <f t="shared" si="24"/>
        <v>27</v>
      </c>
      <c r="P427" s="13">
        <f t="shared" si="25"/>
        <v>0</v>
      </c>
      <c r="Q427" s="13" t="str">
        <f t="shared" si="26"/>
        <v/>
      </c>
      <c r="R427" s="13" t="str">
        <f t="shared" si="27"/>
        <v>Non diskon</v>
      </c>
    </row>
    <row r="428" spans="1:18" x14ac:dyDescent="0.25">
      <c r="A428" s="13" t="s">
        <v>440</v>
      </c>
      <c r="B428" s="13" t="s">
        <v>2193</v>
      </c>
      <c r="C428" s="13" t="s">
        <v>2197</v>
      </c>
      <c r="D428" s="13" t="s">
        <v>2206</v>
      </c>
      <c r="F428" s="13" t="s">
        <v>2223</v>
      </c>
      <c r="G428" s="13">
        <v>134.6</v>
      </c>
      <c r="H428" s="13">
        <v>11.6</v>
      </c>
      <c r="I428" s="13">
        <v>118.99</v>
      </c>
      <c r="J428" s="24">
        <v>45875</v>
      </c>
      <c r="K428" s="13">
        <v>47</v>
      </c>
      <c r="L428" s="44">
        <v>3.9</v>
      </c>
      <c r="M428" s="13" t="b">
        <v>0</v>
      </c>
      <c r="O428" s="25">
        <f t="shared" si="24"/>
        <v>27</v>
      </c>
      <c r="P428" s="13">
        <f t="shared" si="25"/>
        <v>545.19999999999993</v>
      </c>
      <c r="Q428" s="13" t="str">
        <f t="shared" si="26"/>
        <v/>
      </c>
      <c r="R428" s="13" t="str">
        <f t="shared" si="27"/>
        <v>Diskon</v>
      </c>
    </row>
    <row r="429" spans="1:18" x14ac:dyDescent="0.25">
      <c r="A429" s="13" t="s">
        <v>441</v>
      </c>
      <c r="B429" s="13" t="s">
        <v>2194</v>
      </c>
      <c r="C429" s="13" t="s">
        <v>2196</v>
      </c>
      <c r="D429" s="13" t="s">
        <v>2204</v>
      </c>
      <c r="E429" s="13" t="s">
        <v>2211</v>
      </c>
      <c r="F429" s="13" t="s">
        <v>2223</v>
      </c>
      <c r="G429" s="13">
        <v>56.05</v>
      </c>
      <c r="H429" s="13">
        <v>0</v>
      </c>
      <c r="I429" s="13">
        <v>56.05</v>
      </c>
      <c r="J429" s="24">
        <v>45854</v>
      </c>
      <c r="K429" s="13">
        <v>9</v>
      </c>
      <c r="L429" s="44">
        <v>2.9210526315789478</v>
      </c>
      <c r="M429" s="13" t="b">
        <v>0</v>
      </c>
      <c r="O429" s="25">
        <f t="shared" si="24"/>
        <v>48</v>
      </c>
      <c r="P429" s="13">
        <f t="shared" si="25"/>
        <v>0</v>
      </c>
      <c r="Q429" s="13" t="str">
        <f t="shared" si="26"/>
        <v/>
      </c>
      <c r="R429" s="13" t="str">
        <f t="shared" si="27"/>
        <v>Non diskon</v>
      </c>
    </row>
    <row r="430" spans="1:18" x14ac:dyDescent="0.25">
      <c r="A430" s="13" t="s">
        <v>442</v>
      </c>
      <c r="B430" s="13" t="s">
        <v>2195</v>
      </c>
      <c r="C430" s="13" t="s">
        <v>2198</v>
      </c>
      <c r="D430" s="13" t="s">
        <v>2206</v>
      </c>
      <c r="E430" s="13" t="s">
        <v>2208</v>
      </c>
      <c r="F430" s="13" t="s">
        <v>2223</v>
      </c>
      <c r="G430" s="13">
        <v>106.2</v>
      </c>
      <c r="H430" s="13">
        <v>0</v>
      </c>
      <c r="I430" s="13">
        <v>106.2</v>
      </c>
      <c r="J430" s="24">
        <v>45875</v>
      </c>
      <c r="K430" s="13">
        <v>35</v>
      </c>
      <c r="L430" s="44">
        <v>4.5</v>
      </c>
      <c r="M430" s="13" t="b">
        <v>0</v>
      </c>
      <c r="O430" s="25">
        <f t="shared" si="24"/>
        <v>27</v>
      </c>
      <c r="P430" s="13">
        <f t="shared" si="25"/>
        <v>0</v>
      </c>
      <c r="Q430" s="13" t="str">
        <f t="shared" si="26"/>
        <v/>
      </c>
      <c r="R430" s="13" t="str">
        <f t="shared" si="27"/>
        <v>Non diskon</v>
      </c>
    </row>
    <row r="431" spans="1:18" x14ac:dyDescent="0.25">
      <c r="A431" s="13" t="s">
        <v>443</v>
      </c>
      <c r="B431" s="13" t="s">
        <v>2193</v>
      </c>
      <c r="C431" s="13" t="s">
        <v>2199</v>
      </c>
      <c r="D431" s="13" t="s">
        <v>2206</v>
      </c>
      <c r="F431" s="13" t="s">
        <v>2220</v>
      </c>
      <c r="G431" s="13">
        <v>104.26</v>
      </c>
      <c r="H431" s="13">
        <v>20.6</v>
      </c>
      <c r="I431" s="13">
        <v>82.78</v>
      </c>
      <c r="J431" s="24">
        <v>45875</v>
      </c>
      <c r="K431" s="13">
        <v>31</v>
      </c>
      <c r="L431" s="44">
        <v>3</v>
      </c>
      <c r="M431" s="13" t="b">
        <v>0</v>
      </c>
      <c r="O431" s="25">
        <f t="shared" si="24"/>
        <v>27</v>
      </c>
      <c r="P431" s="13">
        <f t="shared" si="25"/>
        <v>638.6</v>
      </c>
      <c r="Q431" s="13" t="str">
        <f t="shared" si="26"/>
        <v/>
      </c>
      <c r="R431" s="13" t="str">
        <f t="shared" si="27"/>
        <v>Diskon</v>
      </c>
    </row>
    <row r="432" spans="1:18" x14ac:dyDescent="0.25">
      <c r="A432" s="13" t="s">
        <v>444</v>
      </c>
      <c r="B432" s="13" t="s">
        <v>2192</v>
      </c>
      <c r="C432" s="13" t="s">
        <v>2197</v>
      </c>
      <c r="D432" s="13" t="s">
        <v>2204</v>
      </c>
      <c r="F432" s="13" t="s">
        <v>2223</v>
      </c>
      <c r="G432" s="13">
        <v>24.53</v>
      </c>
      <c r="H432" s="13">
        <v>0</v>
      </c>
      <c r="I432" s="13">
        <v>24.53</v>
      </c>
      <c r="J432" s="24">
        <v>45524</v>
      </c>
      <c r="K432" s="13">
        <v>44</v>
      </c>
      <c r="L432" s="44">
        <v>4.2</v>
      </c>
      <c r="M432" s="13" t="b">
        <v>0</v>
      </c>
      <c r="O432" s="25">
        <f t="shared" si="24"/>
        <v>378</v>
      </c>
      <c r="P432" s="13">
        <f t="shared" si="25"/>
        <v>0</v>
      </c>
      <c r="Q432" s="13" t="str">
        <f t="shared" si="26"/>
        <v/>
      </c>
      <c r="R432" s="13" t="str">
        <f t="shared" si="27"/>
        <v>Non diskon</v>
      </c>
    </row>
    <row r="433" spans="1:18" x14ac:dyDescent="0.25">
      <c r="A433" s="13" t="s">
        <v>445</v>
      </c>
      <c r="B433" s="13" t="s">
        <v>2193</v>
      </c>
      <c r="C433" s="13" t="s">
        <v>2199</v>
      </c>
      <c r="D433" s="13" t="s">
        <v>2204</v>
      </c>
      <c r="E433" s="13" t="s">
        <v>2209</v>
      </c>
      <c r="F433" s="13" t="s">
        <v>2220</v>
      </c>
      <c r="G433" s="13">
        <v>131.25</v>
      </c>
      <c r="H433" s="13">
        <v>0</v>
      </c>
      <c r="I433" s="13">
        <v>131.25</v>
      </c>
      <c r="J433" s="24">
        <v>45826</v>
      </c>
      <c r="K433" s="13">
        <v>12</v>
      </c>
      <c r="L433" s="44">
        <v>1.6</v>
      </c>
      <c r="M433" s="13" t="b">
        <v>0</v>
      </c>
      <c r="O433" s="25">
        <f t="shared" si="24"/>
        <v>76</v>
      </c>
      <c r="P433" s="13">
        <f t="shared" si="25"/>
        <v>0</v>
      </c>
      <c r="Q433" s="13" t="str">
        <f t="shared" si="26"/>
        <v/>
      </c>
      <c r="R433" s="13" t="str">
        <f t="shared" si="27"/>
        <v>Non diskon</v>
      </c>
    </row>
    <row r="434" spans="1:18" x14ac:dyDescent="0.25">
      <c r="A434" s="13" t="s">
        <v>446</v>
      </c>
      <c r="B434" s="13" t="s">
        <v>2194</v>
      </c>
      <c r="C434" s="13" t="s">
        <v>2203</v>
      </c>
      <c r="D434" s="13" t="s">
        <v>2206</v>
      </c>
      <c r="E434" s="13" t="s">
        <v>2213</v>
      </c>
      <c r="F434" s="13" t="s">
        <v>2214</v>
      </c>
      <c r="G434" s="13">
        <v>72.849999999999994</v>
      </c>
      <c r="H434" s="13">
        <v>0</v>
      </c>
      <c r="I434" s="13">
        <v>72.849999999999994</v>
      </c>
      <c r="J434" s="24">
        <v>45875</v>
      </c>
      <c r="K434" s="13">
        <v>25</v>
      </c>
      <c r="L434" s="44">
        <v>3.8</v>
      </c>
      <c r="M434" s="13" t="b">
        <v>0</v>
      </c>
      <c r="O434" s="25">
        <f t="shared" si="24"/>
        <v>27</v>
      </c>
      <c r="P434" s="13">
        <f t="shared" si="25"/>
        <v>0</v>
      </c>
      <c r="Q434" s="13" t="str">
        <f t="shared" si="26"/>
        <v/>
      </c>
      <c r="R434" s="13" t="str">
        <f t="shared" si="27"/>
        <v>Non diskon</v>
      </c>
    </row>
    <row r="435" spans="1:18" x14ac:dyDescent="0.25">
      <c r="A435" s="13" t="s">
        <v>447</v>
      </c>
      <c r="B435" s="13" t="s">
        <v>2193</v>
      </c>
      <c r="C435" s="13" t="s">
        <v>2196</v>
      </c>
      <c r="D435" s="13" t="s">
        <v>2205</v>
      </c>
      <c r="E435" s="13" t="s">
        <v>2212</v>
      </c>
      <c r="F435" s="13" t="s">
        <v>2220</v>
      </c>
      <c r="G435" s="13">
        <v>135.38999999999999</v>
      </c>
      <c r="H435" s="13">
        <v>0</v>
      </c>
      <c r="I435" s="13">
        <v>135.38999999999999</v>
      </c>
      <c r="J435" s="24">
        <v>45875</v>
      </c>
      <c r="K435" s="13">
        <v>26</v>
      </c>
      <c r="L435" s="44">
        <v>3.9</v>
      </c>
      <c r="M435" s="13" t="b">
        <v>0</v>
      </c>
      <c r="O435" s="25">
        <f t="shared" si="24"/>
        <v>27</v>
      </c>
      <c r="P435" s="13">
        <f t="shared" si="25"/>
        <v>0</v>
      </c>
      <c r="Q435" s="13" t="str">
        <f t="shared" si="26"/>
        <v/>
      </c>
      <c r="R435" s="13" t="str">
        <f t="shared" si="27"/>
        <v>Non diskon</v>
      </c>
    </row>
    <row r="436" spans="1:18" x14ac:dyDescent="0.25">
      <c r="A436" s="13" t="s">
        <v>448</v>
      </c>
      <c r="B436" s="13" t="s">
        <v>2193</v>
      </c>
      <c r="C436" s="13" t="s">
        <v>2196</v>
      </c>
      <c r="D436" s="13" t="s">
        <v>2205</v>
      </c>
      <c r="E436" s="13" t="s">
        <v>2208</v>
      </c>
      <c r="F436" s="13" t="s">
        <v>2222</v>
      </c>
      <c r="G436" s="13">
        <v>166.94</v>
      </c>
      <c r="H436" s="13">
        <v>4.2</v>
      </c>
      <c r="I436" s="13">
        <v>159.93</v>
      </c>
      <c r="J436" s="24">
        <v>45875</v>
      </c>
      <c r="K436" s="13">
        <v>17</v>
      </c>
      <c r="L436" s="44">
        <v>2.6</v>
      </c>
      <c r="M436" s="13" t="b">
        <v>1</v>
      </c>
      <c r="N436" s="13" t="s">
        <v>2225</v>
      </c>
      <c r="O436" s="25">
        <f t="shared" si="24"/>
        <v>27</v>
      </c>
      <c r="P436" s="13">
        <f t="shared" si="25"/>
        <v>71.400000000000006</v>
      </c>
      <c r="Q436" s="13">
        <f t="shared" si="26"/>
        <v>1</v>
      </c>
      <c r="R436" s="13" t="str">
        <f t="shared" si="27"/>
        <v>Diskon</v>
      </c>
    </row>
    <row r="437" spans="1:18" x14ac:dyDescent="0.25">
      <c r="A437" s="13" t="s">
        <v>449</v>
      </c>
      <c r="B437" s="13" t="s">
        <v>2193</v>
      </c>
      <c r="C437" s="13" t="s">
        <v>2198</v>
      </c>
      <c r="D437" s="13" t="s">
        <v>2204</v>
      </c>
      <c r="E437" s="13" t="s">
        <v>2208</v>
      </c>
      <c r="F437" s="13" t="s">
        <v>2220</v>
      </c>
      <c r="G437" s="13">
        <v>135.36000000000001</v>
      </c>
      <c r="H437" s="13">
        <v>41.7</v>
      </c>
      <c r="I437" s="13">
        <v>78.91</v>
      </c>
      <c r="J437" s="24">
        <v>45646</v>
      </c>
      <c r="K437" s="13">
        <v>17</v>
      </c>
      <c r="L437" s="44">
        <v>4.3</v>
      </c>
      <c r="M437" s="13" t="b">
        <v>0</v>
      </c>
      <c r="O437" s="25">
        <f t="shared" si="24"/>
        <v>256</v>
      </c>
      <c r="P437" s="13">
        <f t="shared" si="25"/>
        <v>708.90000000000009</v>
      </c>
      <c r="Q437" s="13" t="str">
        <f t="shared" si="26"/>
        <v/>
      </c>
      <c r="R437" s="13" t="str">
        <f t="shared" si="27"/>
        <v>Diskon</v>
      </c>
    </row>
    <row r="438" spans="1:18" x14ac:dyDescent="0.25">
      <c r="A438" s="13" t="s">
        <v>450</v>
      </c>
      <c r="B438" s="13" t="s">
        <v>2194</v>
      </c>
      <c r="C438" s="13" t="s">
        <v>2201</v>
      </c>
      <c r="D438" s="13" t="s">
        <v>2204</v>
      </c>
      <c r="E438" s="13" t="s">
        <v>2209</v>
      </c>
      <c r="F438" s="13" t="s">
        <v>2219</v>
      </c>
      <c r="G438" s="13">
        <v>96.05</v>
      </c>
      <c r="H438" s="13">
        <v>0</v>
      </c>
      <c r="I438" s="13">
        <v>96.05</v>
      </c>
      <c r="J438" s="24">
        <v>45544</v>
      </c>
      <c r="K438" s="13">
        <v>15</v>
      </c>
      <c r="L438" s="44">
        <v>4</v>
      </c>
      <c r="M438" s="13" t="b">
        <v>0</v>
      </c>
      <c r="O438" s="25">
        <f t="shared" si="24"/>
        <v>358</v>
      </c>
      <c r="P438" s="13">
        <f t="shared" si="25"/>
        <v>0</v>
      </c>
      <c r="Q438" s="13" t="str">
        <f t="shared" si="26"/>
        <v/>
      </c>
      <c r="R438" s="13" t="str">
        <f t="shared" si="27"/>
        <v>Non diskon</v>
      </c>
    </row>
    <row r="439" spans="1:18" x14ac:dyDescent="0.25">
      <c r="A439" s="13" t="s">
        <v>451</v>
      </c>
      <c r="B439" s="13" t="s">
        <v>2190</v>
      </c>
      <c r="C439" s="13" t="s">
        <v>2200</v>
      </c>
      <c r="D439" s="13" t="s">
        <v>2207</v>
      </c>
      <c r="E439" s="13" t="s">
        <v>2209</v>
      </c>
      <c r="F439" s="13" t="s">
        <v>2214</v>
      </c>
      <c r="G439" s="13">
        <v>116.1</v>
      </c>
      <c r="H439" s="13">
        <v>0</v>
      </c>
      <c r="I439" s="13">
        <v>116.1</v>
      </c>
      <c r="J439" s="24">
        <v>45875</v>
      </c>
      <c r="K439" s="13">
        <v>27</v>
      </c>
      <c r="L439" s="44">
        <v>3.6</v>
      </c>
      <c r="M439" s="13" t="b">
        <v>1</v>
      </c>
      <c r="N439" s="13" t="s">
        <v>2229</v>
      </c>
      <c r="O439" s="25">
        <f t="shared" si="24"/>
        <v>27</v>
      </c>
      <c r="P439" s="13">
        <f t="shared" si="25"/>
        <v>0</v>
      </c>
      <c r="Q439" s="13">
        <f t="shared" si="26"/>
        <v>1</v>
      </c>
      <c r="R439" s="13" t="str">
        <f t="shared" si="27"/>
        <v>Non diskon</v>
      </c>
    </row>
    <row r="440" spans="1:18" x14ac:dyDescent="0.25">
      <c r="A440" s="13" t="s">
        <v>452</v>
      </c>
      <c r="B440" s="13" t="s">
        <v>2193</v>
      </c>
      <c r="C440" s="13" t="s">
        <v>2199</v>
      </c>
      <c r="D440" s="13" t="s">
        <v>2206</v>
      </c>
      <c r="E440" s="13" t="s">
        <v>2209</v>
      </c>
      <c r="F440" s="13" t="s">
        <v>2216</v>
      </c>
      <c r="G440" s="13">
        <v>91.53</v>
      </c>
      <c r="H440" s="13">
        <v>0</v>
      </c>
      <c r="I440" s="13">
        <v>91.53</v>
      </c>
      <c r="J440" s="24">
        <v>45875</v>
      </c>
      <c r="K440" s="13">
        <v>8</v>
      </c>
      <c r="L440" s="44">
        <v>1.5</v>
      </c>
      <c r="M440" s="13" t="b">
        <v>0</v>
      </c>
      <c r="O440" s="25">
        <f t="shared" si="24"/>
        <v>27</v>
      </c>
      <c r="P440" s="13">
        <f t="shared" si="25"/>
        <v>0</v>
      </c>
      <c r="Q440" s="13" t="str">
        <f t="shared" si="26"/>
        <v/>
      </c>
      <c r="R440" s="13" t="str">
        <f t="shared" si="27"/>
        <v>Non diskon</v>
      </c>
    </row>
    <row r="441" spans="1:18" x14ac:dyDescent="0.25">
      <c r="A441" s="13" t="s">
        <v>453</v>
      </c>
      <c r="B441" s="13" t="s">
        <v>2194</v>
      </c>
      <c r="C441" s="13" t="s">
        <v>2196</v>
      </c>
      <c r="D441" s="13" t="s">
        <v>2205</v>
      </c>
      <c r="E441" s="13" t="s">
        <v>2212</v>
      </c>
      <c r="F441" s="13" t="s">
        <v>2218</v>
      </c>
      <c r="G441" s="13">
        <v>102.16</v>
      </c>
      <c r="H441" s="13">
        <v>0</v>
      </c>
      <c r="I441" s="13">
        <v>102.16</v>
      </c>
      <c r="J441" s="24">
        <v>45875</v>
      </c>
      <c r="K441" s="13">
        <v>50</v>
      </c>
      <c r="L441" s="44">
        <v>2.9210526315789478</v>
      </c>
      <c r="M441" s="13" t="b">
        <v>0</v>
      </c>
      <c r="O441" s="25">
        <f t="shared" si="24"/>
        <v>27</v>
      </c>
      <c r="P441" s="13">
        <f t="shared" si="25"/>
        <v>0</v>
      </c>
      <c r="Q441" s="13" t="str">
        <f t="shared" si="26"/>
        <v/>
      </c>
      <c r="R441" s="13" t="str">
        <f t="shared" si="27"/>
        <v>Non diskon</v>
      </c>
    </row>
    <row r="442" spans="1:18" x14ac:dyDescent="0.25">
      <c r="A442" s="13" t="s">
        <v>454</v>
      </c>
      <c r="B442" s="13" t="s">
        <v>2193</v>
      </c>
      <c r="C442" s="13" t="s">
        <v>2197</v>
      </c>
      <c r="D442" s="13" t="s">
        <v>2205</v>
      </c>
      <c r="E442" s="13" t="s">
        <v>2209</v>
      </c>
      <c r="F442" s="13" t="s">
        <v>2218</v>
      </c>
      <c r="G442" s="13">
        <v>67.739999999999995</v>
      </c>
      <c r="H442" s="13">
        <v>3.3</v>
      </c>
      <c r="I442" s="13">
        <v>65.5</v>
      </c>
      <c r="J442" s="24">
        <v>45875</v>
      </c>
      <c r="K442" s="13">
        <v>23</v>
      </c>
      <c r="L442" s="44">
        <v>1.5</v>
      </c>
      <c r="M442" s="13" t="b">
        <v>0</v>
      </c>
      <c r="O442" s="25">
        <f t="shared" si="24"/>
        <v>27</v>
      </c>
      <c r="P442" s="13">
        <f t="shared" si="25"/>
        <v>75.899999999999991</v>
      </c>
      <c r="Q442" s="13" t="str">
        <f t="shared" si="26"/>
        <v/>
      </c>
      <c r="R442" s="13" t="str">
        <f t="shared" si="27"/>
        <v>Diskon</v>
      </c>
    </row>
    <row r="443" spans="1:18" x14ac:dyDescent="0.25">
      <c r="A443" s="13" t="s">
        <v>455</v>
      </c>
      <c r="B443" s="13" t="s">
        <v>2192</v>
      </c>
      <c r="C443" s="13" t="s">
        <v>2198</v>
      </c>
      <c r="D443" s="13" t="s">
        <v>2205</v>
      </c>
      <c r="F443" s="13" t="s">
        <v>2220</v>
      </c>
      <c r="G443" s="13">
        <v>38.340000000000003</v>
      </c>
      <c r="H443" s="13">
        <v>0</v>
      </c>
      <c r="I443" s="13">
        <v>38.340000000000003</v>
      </c>
      <c r="J443" s="24">
        <v>45875</v>
      </c>
      <c r="K443" s="13">
        <v>14</v>
      </c>
      <c r="L443" s="44">
        <v>1.4</v>
      </c>
      <c r="M443" s="13" t="b">
        <v>0</v>
      </c>
      <c r="O443" s="25">
        <f t="shared" si="24"/>
        <v>27</v>
      </c>
      <c r="P443" s="13">
        <f t="shared" si="25"/>
        <v>0</v>
      </c>
      <c r="Q443" s="13" t="str">
        <f t="shared" si="26"/>
        <v/>
      </c>
      <c r="R443" s="13" t="str">
        <f t="shared" si="27"/>
        <v>Non diskon</v>
      </c>
    </row>
    <row r="444" spans="1:18" x14ac:dyDescent="0.25">
      <c r="A444" s="13" t="s">
        <v>456</v>
      </c>
      <c r="B444" s="13" t="s">
        <v>2192</v>
      </c>
      <c r="C444" s="13" t="s">
        <v>2196</v>
      </c>
      <c r="D444" s="13" t="s">
        <v>2205</v>
      </c>
      <c r="F444" s="13" t="s">
        <v>2218</v>
      </c>
      <c r="G444" s="13">
        <v>60.49</v>
      </c>
      <c r="H444" s="13">
        <v>0</v>
      </c>
      <c r="I444" s="13">
        <v>60.49</v>
      </c>
      <c r="J444" s="24">
        <v>45875</v>
      </c>
      <c r="K444" s="13">
        <v>30</v>
      </c>
      <c r="L444" s="44">
        <v>2.5</v>
      </c>
      <c r="M444" s="13" t="b">
        <v>0</v>
      </c>
      <c r="O444" s="25">
        <f t="shared" si="24"/>
        <v>27</v>
      </c>
      <c r="P444" s="13">
        <f t="shared" si="25"/>
        <v>0</v>
      </c>
      <c r="Q444" s="13" t="str">
        <f t="shared" si="26"/>
        <v/>
      </c>
      <c r="R444" s="13" t="str">
        <f t="shared" si="27"/>
        <v>Non diskon</v>
      </c>
    </row>
    <row r="445" spans="1:18" x14ac:dyDescent="0.25">
      <c r="A445" s="13" t="s">
        <v>457</v>
      </c>
      <c r="B445" s="13" t="s">
        <v>2190</v>
      </c>
      <c r="C445" s="13" t="s">
        <v>2198</v>
      </c>
      <c r="D445" s="13" t="s">
        <v>2204</v>
      </c>
      <c r="E445" s="13" t="s">
        <v>2209</v>
      </c>
      <c r="F445" s="13" t="s">
        <v>2222</v>
      </c>
      <c r="G445" s="13">
        <v>90.27</v>
      </c>
      <c r="H445" s="13">
        <v>0</v>
      </c>
      <c r="I445" s="13">
        <v>90.27</v>
      </c>
      <c r="J445" s="24">
        <v>45763</v>
      </c>
      <c r="K445" s="13">
        <v>35</v>
      </c>
      <c r="L445" s="44">
        <v>4.2</v>
      </c>
      <c r="M445" s="13" t="b">
        <v>0</v>
      </c>
      <c r="O445" s="25">
        <f t="shared" si="24"/>
        <v>139</v>
      </c>
      <c r="P445" s="13">
        <f t="shared" si="25"/>
        <v>0</v>
      </c>
      <c r="Q445" s="13" t="str">
        <f t="shared" si="26"/>
        <v/>
      </c>
      <c r="R445" s="13" t="str">
        <f t="shared" si="27"/>
        <v>Non diskon</v>
      </c>
    </row>
    <row r="446" spans="1:18" x14ac:dyDescent="0.25">
      <c r="A446" s="13" t="s">
        <v>458</v>
      </c>
      <c r="B446" s="13" t="s">
        <v>2192</v>
      </c>
      <c r="C446" s="13" t="s">
        <v>2198</v>
      </c>
      <c r="D446" s="13" t="s">
        <v>2207</v>
      </c>
      <c r="F446" s="13" t="s">
        <v>2214</v>
      </c>
      <c r="G446" s="13">
        <v>45.42</v>
      </c>
      <c r="H446" s="13">
        <v>0</v>
      </c>
      <c r="I446" s="13">
        <v>45.42</v>
      </c>
      <c r="J446" s="24">
        <v>45875</v>
      </c>
      <c r="K446" s="13">
        <v>36</v>
      </c>
      <c r="L446" s="44">
        <v>1.3</v>
      </c>
      <c r="M446" s="13" t="b">
        <v>0</v>
      </c>
      <c r="O446" s="25">
        <f t="shared" si="24"/>
        <v>27</v>
      </c>
      <c r="P446" s="13">
        <f t="shared" si="25"/>
        <v>0</v>
      </c>
      <c r="Q446" s="13" t="str">
        <f t="shared" si="26"/>
        <v/>
      </c>
      <c r="R446" s="13" t="str">
        <f t="shared" si="27"/>
        <v>Non diskon</v>
      </c>
    </row>
    <row r="447" spans="1:18" x14ac:dyDescent="0.25">
      <c r="A447" s="13" t="s">
        <v>459</v>
      </c>
      <c r="B447" s="13" t="s">
        <v>2191</v>
      </c>
      <c r="C447" s="13" t="s">
        <v>2201</v>
      </c>
      <c r="D447" s="13" t="s">
        <v>2204</v>
      </c>
      <c r="F447" s="13" t="s">
        <v>2223</v>
      </c>
      <c r="G447" s="13">
        <v>58.56</v>
      </c>
      <c r="H447" s="13">
        <v>0</v>
      </c>
      <c r="I447" s="13">
        <v>58.56</v>
      </c>
      <c r="J447" s="24">
        <v>45680</v>
      </c>
      <c r="K447" s="13">
        <v>21</v>
      </c>
      <c r="L447" s="44">
        <v>2.2999999999999998</v>
      </c>
      <c r="M447" s="13" t="b">
        <v>0</v>
      </c>
      <c r="O447" s="25">
        <f t="shared" si="24"/>
        <v>222</v>
      </c>
      <c r="P447" s="13">
        <f t="shared" si="25"/>
        <v>0</v>
      </c>
      <c r="Q447" s="13" t="str">
        <f t="shared" si="26"/>
        <v/>
      </c>
      <c r="R447" s="13" t="str">
        <f t="shared" si="27"/>
        <v>Non diskon</v>
      </c>
    </row>
    <row r="448" spans="1:18" x14ac:dyDescent="0.25">
      <c r="A448" s="13" t="s">
        <v>460</v>
      </c>
      <c r="B448" s="13" t="s">
        <v>2195</v>
      </c>
      <c r="C448" s="13" t="s">
        <v>2200</v>
      </c>
      <c r="D448" s="13" t="s">
        <v>2207</v>
      </c>
      <c r="E448" s="13" t="s">
        <v>2209</v>
      </c>
      <c r="F448" s="13" t="s">
        <v>2215</v>
      </c>
      <c r="G448" s="13">
        <v>167.64</v>
      </c>
      <c r="H448" s="13">
        <v>0</v>
      </c>
      <c r="I448" s="13">
        <v>167.64</v>
      </c>
      <c r="J448" s="24">
        <v>45875</v>
      </c>
      <c r="K448" s="13">
        <v>18</v>
      </c>
      <c r="L448" s="44">
        <v>4.0999999999999996</v>
      </c>
      <c r="M448" s="13" t="b">
        <v>0</v>
      </c>
      <c r="O448" s="25">
        <f t="shared" si="24"/>
        <v>27</v>
      </c>
      <c r="P448" s="13">
        <f t="shared" si="25"/>
        <v>0</v>
      </c>
      <c r="Q448" s="13" t="str">
        <f t="shared" si="26"/>
        <v/>
      </c>
      <c r="R448" s="13" t="str">
        <f t="shared" si="27"/>
        <v>Non diskon</v>
      </c>
    </row>
    <row r="449" spans="1:18" x14ac:dyDescent="0.25">
      <c r="A449" s="13" t="s">
        <v>461</v>
      </c>
      <c r="B449" s="13" t="s">
        <v>2190</v>
      </c>
      <c r="C449" s="13" t="s">
        <v>2196</v>
      </c>
      <c r="D449" s="13" t="s">
        <v>2206</v>
      </c>
      <c r="E449" s="13" t="s">
        <v>2211</v>
      </c>
      <c r="F449" s="13" t="s">
        <v>2214</v>
      </c>
      <c r="G449" s="13">
        <v>193.14</v>
      </c>
      <c r="H449" s="13">
        <v>0</v>
      </c>
      <c r="I449" s="13">
        <v>193.14</v>
      </c>
      <c r="J449" s="24">
        <v>45875</v>
      </c>
      <c r="K449" s="13">
        <v>7</v>
      </c>
      <c r="L449" s="44">
        <v>3.5</v>
      </c>
      <c r="M449" s="13" t="b">
        <v>0</v>
      </c>
      <c r="O449" s="25">
        <f t="shared" si="24"/>
        <v>27</v>
      </c>
      <c r="P449" s="13">
        <f t="shared" si="25"/>
        <v>0</v>
      </c>
      <c r="Q449" s="13" t="str">
        <f t="shared" si="26"/>
        <v/>
      </c>
      <c r="R449" s="13" t="str">
        <f t="shared" si="27"/>
        <v>Non diskon</v>
      </c>
    </row>
    <row r="450" spans="1:18" x14ac:dyDescent="0.25">
      <c r="A450" s="13" t="s">
        <v>462</v>
      </c>
      <c r="B450" s="13" t="s">
        <v>2192</v>
      </c>
      <c r="C450" s="13" t="s">
        <v>2202</v>
      </c>
      <c r="D450" s="13" t="s">
        <v>2205</v>
      </c>
      <c r="F450" s="13" t="s">
        <v>2218</v>
      </c>
      <c r="G450" s="13">
        <v>60.06</v>
      </c>
      <c r="H450" s="13">
        <v>15.6</v>
      </c>
      <c r="I450" s="13">
        <v>50.69</v>
      </c>
      <c r="J450" s="24">
        <v>45875</v>
      </c>
      <c r="K450" s="13">
        <v>49</v>
      </c>
      <c r="L450" s="44">
        <v>2</v>
      </c>
      <c r="M450" s="13" t="b">
        <v>1</v>
      </c>
      <c r="N450" s="13" t="s">
        <v>2225</v>
      </c>
      <c r="O450" s="25">
        <f t="shared" si="24"/>
        <v>27</v>
      </c>
      <c r="P450" s="13">
        <f t="shared" si="25"/>
        <v>764.4</v>
      </c>
      <c r="Q450" s="13">
        <f t="shared" si="26"/>
        <v>1</v>
      </c>
      <c r="R450" s="13" t="str">
        <f t="shared" si="27"/>
        <v>Diskon</v>
      </c>
    </row>
    <row r="451" spans="1:18" x14ac:dyDescent="0.25">
      <c r="A451" s="13" t="s">
        <v>463</v>
      </c>
      <c r="B451" s="13" t="s">
        <v>2194</v>
      </c>
      <c r="C451" s="13" t="s">
        <v>2198</v>
      </c>
      <c r="D451" s="13" t="s">
        <v>2206</v>
      </c>
      <c r="E451" s="13" t="s">
        <v>2213</v>
      </c>
      <c r="F451" s="13" t="s">
        <v>2218</v>
      </c>
      <c r="G451" s="13">
        <v>35.369999999999997</v>
      </c>
      <c r="H451" s="13">
        <v>0</v>
      </c>
      <c r="I451" s="13">
        <v>35.369999999999997</v>
      </c>
      <c r="J451" s="24">
        <v>45875</v>
      </c>
      <c r="K451" s="13">
        <v>29</v>
      </c>
      <c r="L451" s="44">
        <v>4.7</v>
      </c>
      <c r="M451" s="13" t="b">
        <v>0</v>
      </c>
      <c r="O451" s="25">
        <f t="shared" ref="O451:O514" si="28">DATE(2025,9,2)-J451</f>
        <v>27</v>
      </c>
      <c r="P451" s="13">
        <f t="shared" ref="P451:P514" si="29">H451*K451</f>
        <v>0</v>
      </c>
      <c r="Q451" s="13" t="str">
        <f t="shared" ref="Q451:Q514" si="30">IF(M451=FALSE,"",1)</f>
        <v/>
      </c>
      <c r="R451" s="13" t="str">
        <f t="shared" ref="R451:R514" si="31">IF(H451=0,"Non diskon","Diskon")</f>
        <v>Non diskon</v>
      </c>
    </row>
    <row r="452" spans="1:18" x14ac:dyDescent="0.25">
      <c r="A452" s="13" t="s">
        <v>464</v>
      </c>
      <c r="B452" s="13" t="s">
        <v>2192</v>
      </c>
      <c r="C452" s="13" t="s">
        <v>2199</v>
      </c>
      <c r="D452" s="13" t="s">
        <v>2207</v>
      </c>
      <c r="F452" s="13" t="s">
        <v>2223</v>
      </c>
      <c r="G452" s="13">
        <v>39.85</v>
      </c>
      <c r="H452" s="13">
        <v>0</v>
      </c>
      <c r="I452" s="13">
        <v>39.85</v>
      </c>
      <c r="J452" s="24">
        <v>45875</v>
      </c>
      <c r="K452" s="13">
        <v>28</v>
      </c>
      <c r="L452" s="44">
        <v>2.4</v>
      </c>
      <c r="M452" s="13" t="b">
        <v>0</v>
      </c>
      <c r="O452" s="25">
        <f t="shared" si="28"/>
        <v>27</v>
      </c>
      <c r="P452" s="13">
        <f t="shared" si="29"/>
        <v>0</v>
      </c>
      <c r="Q452" s="13" t="str">
        <f t="shared" si="30"/>
        <v/>
      </c>
      <c r="R452" s="13" t="str">
        <f t="shared" si="31"/>
        <v>Non diskon</v>
      </c>
    </row>
    <row r="453" spans="1:18" x14ac:dyDescent="0.25">
      <c r="A453" s="13" t="s">
        <v>465</v>
      </c>
      <c r="B453" s="13" t="s">
        <v>2191</v>
      </c>
      <c r="C453" s="13" t="s">
        <v>2196</v>
      </c>
      <c r="D453" s="13" t="s">
        <v>2205</v>
      </c>
      <c r="E453" s="13" t="s">
        <v>2208</v>
      </c>
      <c r="F453" s="13" t="s">
        <v>2216</v>
      </c>
      <c r="G453" s="13">
        <v>85.34</v>
      </c>
      <c r="H453" s="13">
        <v>59.4</v>
      </c>
      <c r="I453" s="13">
        <v>34.65</v>
      </c>
      <c r="J453" s="24">
        <v>45875</v>
      </c>
      <c r="K453" s="13">
        <v>5</v>
      </c>
      <c r="L453" s="44">
        <v>4.9000000000000004</v>
      </c>
      <c r="M453" s="13" t="b">
        <v>0</v>
      </c>
      <c r="O453" s="25">
        <f t="shared" si="28"/>
        <v>27</v>
      </c>
      <c r="P453" s="13">
        <f t="shared" si="29"/>
        <v>297</v>
      </c>
      <c r="Q453" s="13" t="str">
        <f t="shared" si="30"/>
        <v/>
      </c>
      <c r="R453" s="13" t="str">
        <f t="shared" si="31"/>
        <v>Diskon</v>
      </c>
    </row>
    <row r="454" spans="1:18" x14ac:dyDescent="0.25">
      <c r="A454" s="13" t="s">
        <v>466</v>
      </c>
      <c r="B454" s="13" t="s">
        <v>2194</v>
      </c>
      <c r="C454" s="13" t="s">
        <v>2203</v>
      </c>
      <c r="D454" s="13" t="s">
        <v>2206</v>
      </c>
      <c r="E454" s="13" t="s">
        <v>2211</v>
      </c>
      <c r="F454" s="13" t="s">
        <v>2217</v>
      </c>
      <c r="G454" s="13">
        <v>81.17</v>
      </c>
      <c r="H454" s="13">
        <v>0</v>
      </c>
      <c r="I454" s="13">
        <v>81.17</v>
      </c>
      <c r="J454" s="24">
        <v>45875</v>
      </c>
      <c r="K454" s="13">
        <v>21</v>
      </c>
      <c r="L454" s="44">
        <v>1.2</v>
      </c>
      <c r="M454" s="13" t="b">
        <v>0</v>
      </c>
      <c r="O454" s="25">
        <f t="shared" si="28"/>
        <v>27</v>
      </c>
      <c r="P454" s="13">
        <f t="shared" si="29"/>
        <v>0</v>
      </c>
      <c r="Q454" s="13" t="str">
        <f t="shared" si="30"/>
        <v/>
      </c>
      <c r="R454" s="13" t="str">
        <f t="shared" si="31"/>
        <v>Non diskon</v>
      </c>
    </row>
    <row r="455" spans="1:18" x14ac:dyDescent="0.25">
      <c r="A455" s="13" t="s">
        <v>467</v>
      </c>
      <c r="B455" s="13" t="s">
        <v>2192</v>
      </c>
      <c r="C455" s="13" t="s">
        <v>2201</v>
      </c>
      <c r="D455" s="13" t="s">
        <v>2204</v>
      </c>
      <c r="F455" s="13" t="s">
        <v>2217</v>
      </c>
      <c r="G455" s="13">
        <v>16.809999999999999</v>
      </c>
      <c r="H455" s="13">
        <v>0</v>
      </c>
      <c r="I455" s="13">
        <v>16.809999999999999</v>
      </c>
      <c r="J455" s="24">
        <v>45869</v>
      </c>
      <c r="K455" s="13">
        <v>16</v>
      </c>
      <c r="L455" s="44">
        <v>2.8</v>
      </c>
      <c r="M455" s="13" t="b">
        <v>0</v>
      </c>
      <c r="O455" s="25">
        <f t="shared" si="28"/>
        <v>33</v>
      </c>
      <c r="P455" s="13">
        <f t="shared" si="29"/>
        <v>0</v>
      </c>
      <c r="Q455" s="13" t="str">
        <f t="shared" si="30"/>
        <v/>
      </c>
      <c r="R455" s="13" t="str">
        <f t="shared" si="31"/>
        <v>Non diskon</v>
      </c>
    </row>
    <row r="456" spans="1:18" x14ac:dyDescent="0.25">
      <c r="A456" s="13" t="s">
        <v>468</v>
      </c>
      <c r="B456" s="13" t="s">
        <v>2191</v>
      </c>
      <c r="C456" s="13" t="s">
        <v>2201</v>
      </c>
      <c r="D456" s="13" t="s">
        <v>2205</v>
      </c>
      <c r="E456" s="13" t="s">
        <v>2208</v>
      </c>
      <c r="F456" s="13" t="s">
        <v>2216</v>
      </c>
      <c r="G456" s="13">
        <v>115.71</v>
      </c>
      <c r="H456" s="13">
        <v>55</v>
      </c>
      <c r="I456" s="13">
        <v>52.07</v>
      </c>
      <c r="J456" s="24">
        <v>45875</v>
      </c>
      <c r="K456" s="13">
        <v>6</v>
      </c>
      <c r="L456" s="44">
        <v>1.6</v>
      </c>
      <c r="M456" s="13" t="b">
        <v>0</v>
      </c>
      <c r="O456" s="25">
        <f t="shared" si="28"/>
        <v>27</v>
      </c>
      <c r="P456" s="13">
        <f t="shared" si="29"/>
        <v>330</v>
      </c>
      <c r="Q456" s="13" t="str">
        <f t="shared" si="30"/>
        <v/>
      </c>
      <c r="R456" s="13" t="str">
        <f t="shared" si="31"/>
        <v>Diskon</v>
      </c>
    </row>
    <row r="457" spans="1:18" x14ac:dyDescent="0.25">
      <c r="A457" s="13" t="s">
        <v>469</v>
      </c>
      <c r="B457" s="13" t="s">
        <v>2194</v>
      </c>
      <c r="C457" s="13" t="s">
        <v>2199</v>
      </c>
      <c r="D457" s="13" t="s">
        <v>2207</v>
      </c>
      <c r="E457" s="13" t="s">
        <v>2211</v>
      </c>
      <c r="F457" s="13" t="s">
        <v>2215</v>
      </c>
      <c r="G457" s="13">
        <v>49.87</v>
      </c>
      <c r="H457" s="13">
        <v>0</v>
      </c>
      <c r="I457" s="13">
        <v>49.87</v>
      </c>
      <c r="J457" s="24">
        <v>45875</v>
      </c>
      <c r="K457" s="13">
        <v>17</v>
      </c>
      <c r="L457" s="44">
        <v>2.1</v>
      </c>
      <c r="M457" s="13" t="b">
        <v>0</v>
      </c>
      <c r="O457" s="25">
        <f t="shared" si="28"/>
        <v>27</v>
      </c>
      <c r="P457" s="13">
        <f t="shared" si="29"/>
        <v>0</v>
      </c>
      <c r="Q457" s="13" t="str">
        <f t="shared" si="30"/>
        <v/>
      </c>
      <c r="R457" s="13" t="str">
        <f t="shared" si="31"/>
        <v>Non diskon</v>
      </c>
    </row>
    <row r="458" spans="1:18" x14ac:dyDescent="0.25">
      <c r="A458" s="13" t="s">
        <v>470</v>
      </c>
      <c r="B458" s="13" t="s">
        <v>2193</v>
      </c>
      <c r="C458" s="13" t="s">
        <v>2199</v>
      </c>
      <c r="D458" s="13" t="s">
        <v>2206</v>
      </c>
      <c r="E458" s="13" t="s">
        <v>2212</v>
      </c>
      <c r="F458" s="13" t="s">
        <v>2221</v>
      </c>
      <c r="G458" s="13">
        <v>107.96</v>
      </c>
      <c r="H458" s="13">
        <v>52.9</v>
      </c>
      <c r="I458" s="13">
        <v>50.85</v>
      </c>
      <c r="J458" s="24">
        <v>45875</v>
      </c>
      <c r="K458" s="13">
        <v>2</v>
      </c>
      <c r="L458" s="44">
        <v>4.9000000000000004</v>
      </c>
      <c r="M458" s="13" t="b">
        <v>0</v>
      </c>
      <c r="O458" s="25">
        <f t="shared" si="28"/>
        <v>27</v>
      </c>
      <c r="P458" s="13">
        <f t="shared" si="29"/>
        <v>105.8</v>
      </c>
      <c r="Q458" s="13" t="str">
        <f t="shared" si="30"/>
        <v/>
      </c>
      <c r="R458" s="13" t="str">
        <f t="shared" si="31"/>
        <v>Diskon</v>
      </c>
    </row>
    <row r="459" spans="1:18" x14ac:dyDescent="0.25">
      <c r="A459" s="13" t="s">
        <v>471</v>
      </c>
      <c r="B459" s="13" t="s">
        <v>2193</v>
      </c>
      <c r="C459" s="13" t="s">
        <v>2199</v>
      </c>
      <c r="D459" s="13" t="s">
        <v>2207</v>
      </c>
      <c r="E459" s="13" t="s">
        <v>2213</v>
      </c>
      <c r="F459" s="13" t="s">
        <v>2216</v>
      </c>
      <c r="G459" s="13">
        <v>138.35</v>
      </c>
      <c r="H459" s="13">
        <v>31.7</v>
      </c>
      <c r="I459" s="13">
        <v>94.49</v>
      </c>
      <c r="J459" s="24">
        <v>45875</v>
      </c>
      <c r="K459" s="13">
        <v>3</v>
      </c>
      <c r="L459" s="44">
        <v>2.5</v>
      </c>
      <c r="M459" s="13" t="b">
        <v>0</v>
      </c>
      <c r="O459" s="25">
        <f t="shared" si="28"/>
        <v>27</v>
      </c>
      <c r="P459" s="13">
        <f t="shared" si="29"/>
        <v>95.1</v>
      </c>
      <c r="Q459" s="13" t="str">
        <f t="shared" si="30"/>
        <v/>
      </c>
      <c r="R459" s="13" t="str">
        <f t="shared" si="31"/>
        <v>Diskon</v>
      </c>
    </row>
    <row r="460" spans="1:18" x14ac:dyDescent="0.25">
      <c r="A460" s="13" t="s">
        <v>472</v>
      </c>
      <c r="B460" s="13" t="s">
        <v>2191</v>
      </c>
      <c r="C460" s="13" t="s">
        <v>2202</v>
      </c>
      <c r="D460" s="13" t="s">
        <v>2204</v>
      </c>
      <c r="E460" s="13" t="s">
        <v>2212</v>
      </c>
      <c r="F460" s="13" t="s">
        <v>2214</v>
      </c>
      <c r="G460" s="13">
        <v>32.01</v>
      </c>
      <c r="H460" s="13">
        <v>0</v>
      </c>
      <c r="I460" s="13">
        <v>32.01</v>
      </c>
      <c r="J460" s="24">
        <v>45786</v>
      </c>
      <c r="K460" s="13">
        <v>43</v>
      </c>
      <c r="L460" s="44">
        <v>3.4</v>
      </c>
      <c r="M460" s="13" t="b">
        <v>1</v>
      </c>
      <c r="N460" s="13" t="s">
        <v>2230</v>
      </c>
      <c r="O460" s="25">
        <f t="shared" si="28"/>
        <v>116</v>
      </c>
      <c r="P460" s="13">
        <f t="shared" si="29"/>
        <v>0</v>
      </c>
      <c r="Q460" s="13">
        <f t="shared" si="30"/>
        <v>1</v>
      </c>
      <c r="R460" s="13" t="str">
        <f t="shared" si="31"/>
        <v>Non diskon</v>
      </c>
    </row>
    <row r="461" spans="1:18" x14ac:dyDescent="0.25">
      <c r="A461" s="13" t="s">
        <v>473</v>
      </c>
      <c r="B461" s="13" t="s">
        <v>2195</v>
      </c>
      <c r="C461" s="13" t="s">
        <v>2200</v>
      </c>
      <c r="D461" s="13" t="s">
        <v>2206</v>
      </c>
      <c r="E461" s="13" t="s">
        <v>2212</v>
      </c>
      <c r="F461" s="13" t="s">
        <v>2216</v>
      </c>
      <c r="G461" s="13">
        <v>129.08000000000001</v>
      </c>
      <c r="H461" s="13">
        <v>50.6</v>
      </c>
      <c r="I461" s="13">
        <v>63.77</v>
      </c>
      <c r="J461" s="24">
        <v>45875</v>
      </c>
      <c r="K461" s="13">
        <v>10</v>
      </c>
      <c r="L461" s="44">
        <v>4.4000000000000004</v>
      </c>
      <c r="M461" s="13" t="b">
        <v>0</v>
      </c>
      <c r="O461" s="25">
        <f t="shared" si="28"/>
        <v>27</v>
      </c>
      <c r="P461" s="13">
        <f t="shared" si="29"/>
        <v>506</v>
      </c>
      <c r="Q461" s="13" t="str">
        <f t="shared" si="30"/>
        <v/>
      </c>
      <c r="R461" s="13" t="str">
        <f t="shared" si="31"/>
        <v>Diskon</v>
      </c>
    </row>
    <row r="462" spans="1:18" x14ac:dyDescent="0.25">
      <c r="A462" s="13" t="s">
        <v>474</v>
      </c>
      <c r="B462" s="13" t="s">
        <v>2195</v>
      </c>
      <c r="C462" s="13" t="s">
        <v>2198</v>
      </c>
      <c r="D462" s="13" t="s">
        <v>2205</v>
      </c>
      <c r="E462" s="13" t="s">
        <v>2213</v>
      </c>
      <c r="F462" s="13" t="s">
        <v>2218</v>
      </c>
      <c r="G462" s="13">
        <v>68.569999999999993</v>
      </c>
      <c r="H462" s="13">
        <v>56.4</v>
      </c>
      <c r="I462" s="13">
        <v>29.9</v>
      </c>
      <c r="J462" s="24">
        <v>45875</v>
      </c>
      <c r="K462" s="13">
        <v>30</v>
      </c>
      <c r="L462" s="44">
        <v>1.8</v>
      </c>
      <c r="M462" s="13" t="b">
        <v>0</v>
      </c>
      <c r="O462" s="25">
        <f t="shared" si="28"/>
        <v>27</v>
      </c>
      <c r="P462" s="13">
        <f t="shared" si="29"/>
        <v>1692</v>
      </c>
      <c r="Q462" s="13" t="str">
        <f t="shared" si="30"/>
        <v/>
      </c>
      <c r="R462" s="13" t="str">
        <f t="shared" si="31"/>
        <v>Diskon</v>
      </c>
    </row>
    <row r="463" spans="1:18" x14ac:dyDescent="0.25">
      <c r="A463" s="13" t="s">
        <v>475</v>
      </c>
      <c r="B463" s="13" t="s">
        <v>2192</v>
      </c>
      <c r="C463" s="13" t="s">
        <v>2200</v>
      </c>
      <c r="D463" s="13" t="s">
        <v>2205</v>
      </c>
      <c r="F463" s="13" t="s">
        <v>2218</v>
      </c>
      <c r="G463" s="13">
        <v>46.46</v>
      </c>
      <c r="H463" s="13">
        <v>0</v>
      </c>
      <c r="I463" s="13">
        <v>46.46</v>
      </c>
      <c r="J463" s="24">
        <v>45875</v>
      </c>
      <c r="K463" s="13">
        <v>30</v>
      </c>
      <c r="L463" s="44">
        <v>2.7333333333333334</v>
      </c>
      <c r="M463" s="13" t="b">
        <v>0</v>
      </c>
      <c r="O463" s="25">
        <f t="shared" si="28"/>
        <v>27</v>
      </c>
      <c r="P463" s="13">
        <f t="shared" si="29"/>
        <v>0</v>
      </c>
      <c r="Q463" s="13" t="str">
        <f t="shared" si="30"/>
        <v/>
      </c>
      <c r="R463" s="13" t="str">
        <f t="shared" si="31"/>
        <v>Non diskon</v>
      </c>
    </row>
    <row r="464" spans="1:18" x14ac:dyDescent="0.25">
      <c r="A464" s="13" t="s">
        <v>476</v>
      </c>
      <c r="B464" s="13" t="s">
        <v>2190</v>
      </c>
      <c r="C464" s="13" t="s">
        <v>2198</v>
      </c>
      <c r="D464" s="13" t="s">
        <v>2206</v>
      </c>
      <c r="E464" s="13" t="s">
        <v>2211</v>
      </c>
      <c r="F464" s="13" t="s">
        <v>2217</v>
      </c>
      <c r="G464" s="13">
        <v>124.68</v>
      </c>
      <c r="H464" s="13">
        <v>58.2</v>
      </c>
      <c r="I464" s="13">
        <v>52.12</v>
      </c>
      <c r="J464" s="24">
        <v>45875</v>
      </c>
      <c r="K464" s="13">
        <v>44</v>
      </c>
      <c r="L464" s="44">
        <v>3.2</v>
      </c>
      <c r="M464" s="13" t="b">
        <v>0</v>
      </c>
      <c r="O464" s="25">
        <f t="shared" si="28"/>
        <v>27</v>
      </c>
      <c r="P464" s="13">
        <f t="shared" si="29"/>
        <v>2560.8000000000002</v>
      </c>
      <c r="Q464" s="13" t="str">
        <f t="shared" si="30"/>
        <v/>
      </c>
      <c r="R464" s="13" t="str">
        <f t="shared" si="31"/>
        <v>Diskon</v>
      </c>
    </row>
    <row r="465" spans="1:18" x14ac:dyDescent="0.25">
      <c r="A465" s="13" t="s">
        <v>477</v>
      </c>
      <c r="B465" s="13" t="s">
        <v>2194</v>
      </c>
      <c r="C465" s="13" t="s">
        <v>2200</v>
      </c>
      <c r="D465" s="13" t="s">
        <v>2204</v>
      </c>
      <c r="E465" s="13" t="s">
        <v>2208</v>
      </c>
      <c r="F465" s="13" t="s">
        <v>2214</v>
      </c>
      <c r="G465" s="13">
        <v>36.85</v>
      </c>
      <c r="H465" s="13">
        <v>0</v>
      </c>
      <c r="I465" s="13">
        <v>36.85</v>
      </c>
      <c r="J465" s="24">
        <v>45841</v>
      </c>
      <c r="K465" s="13">
        <v>0</v>
      </c>
      <c r="L465" s="44">
        <v>4.4000000000000004</v>
      </c>
      <c r="M465" s="13" t="b">
        <v>0</v>
      </c>
      <c r="O465" s="25">
        <f t="shared" si="28"/>
        <v>61</v>
      </c>
      <c r="P465" s="13">
        <f t="shared" si="29"/>
        <v>0</v>
      </c>
      <c r="Q465" s="13" t="str">
        <f t="shared" si="30"/>
        <v/>
      </c>
      <c r="R465" s="13" t="str">
        <f t="shared" si="31"/>
        <v>Non diskon</v>
      </c>
    </row>
    <row r="466" spans="1:18" x14ac:dyDescent="0.25">
      <c r="A466" s="13" t="s">
        <v>478</v>
      </c>
      <c r="B466" s="13" t="s">
        <v>2190</v>
      </c>
      <c r="C466" s="13" t="s">
        <v>2201</v>
      </c>
      <c r="D466" s="13" t="s">
        <v>2205</v>
      </c>
      <c r="E466" s="13" t="s">
        <v>2212</v>
      </c>
      <c r="F466" s="13" t="s">
        <v>2216</v>
      </c>
      <c r="G466" s="13">
        <v>229.63</v>
      </c>
      <c r="H466" s="13">
        <v>0.3</v>
      </c>
      <c r="I466" s="13">
        <v>228.94</v>
      </c>
      <c r="J466" s="24">
        <v>45875</v>
      </c>
      <c r="K466" s="13">
        <v>30</v>
      </c>
      <c r="L466" s="44">
        <v>3.4</v>
      </c>
      <c r="M466" s="13" t="b">
        <v>0</v>
      </c>
      <c r="O466" s="25">
        <f t="shared" si="28"/>
        <v>27</v>
      </c>
      <c r="P466" s="13">
        <f t="shared" si="29"/>
        <v>9</v>
      </c>
      <c r="Q466" s="13" t="str">
        <f t="shared" si="30"/>
        <v/>
      </c>
      <c r="R466" s="13" t="str">
        <f t="shared" si="31"/>
        <v>Diskon</v>
      </c>
    </row>
    <row r="467" spans="1:18" x14ac:dyDescent="0.25">
      <c r="A467" s="13" t="s">
        <v>479</v>
      </c>
      <c r="B467" s="13" t="s">
        <v>2191</v>
      </c>
      <c r="C467" s="13" t="s">
        <v>2201</v>
      </c>
      <c r="D467" s="13" t="s">
        <v>2204</v>
      </c>
      <c r="E467" s="13" t="s">
        <v>2210</v>
      </c>
      <c r="F467" s="13" t="s">
        <v>2222</v>
      </c>
      <c r="G467" s="13">
        <v>74.09</v>
      </c>
      <c r="H467" s="13">
        <v>0</v>
      </c>
      <c r="I467" s="13">
        <v>74.09</v>
      </c>
      <c r="J467" s="24">
        <v>45542</v>
      </c>
      <c r="K467" s="13">
        <v>35</v>
      </c>
      <c r="L467" s="44">
        <v>3.4</v>
      </c>
      <c r="M467" s="13" t="b">
        <v>0</v>
      </c>
      <c r="O467" s="25">
        <f t="shared" si="28"/>
        <v>360</v>
      </c>
      <c r="P467" s="13">
        <f t="shared" si="29"/>
        <v>0</v>
      </c>
      <c r="Q467" s="13" t="str">
        <f t="shared" si="30"/>
        <v/>
      </c>
      <c r="R467" s="13" t="str">
        <f t="shared" si="31"/>
        <v>Non diskon</v>
      </c>
    </row>
    <row r="468" spans="1:18" x14ac:dyDescent="0.25">
      <c r="A468" s="13" t="s">
        <v>480</v>
      </c>
      <c r="B468" s="13" t="s">
        <v>2194</v>
      </c>
      <c r="C468" s="13" t="s">
        <v>2198</v>
      </c>
      <c r="D468" s="13" t="s">
        <v>2204</v>
      </c>
      <c r="E468" s="13" t="s">
        <v>2212</v>
      </c>
      <c r="F468" s="13" t="s">
        <v>2224</v>
      </c>
      <c r="G468" s="13">
        <v>27.22</v>
      </c>
      <c r="H468" s="13">
        <v>0</v>
      </c>
      <c r="I468" s="13">
        <v>27.22</v>
      </c>
      <c r="J468" s="24">
        <v>45544</v>
      </c>
      <c r="K468" s="13">
        <v>14</v>
      </c>
      <c r="L468" s="44">
        <v>2.4</v>
      </c>
      <c r="M468" s="13" t="b">
        <v>0</v>
      </c>
      <c r="O468" s="25">
        <f t="shared" si="28"/>
        <v>358</v>
      </c>
      <c r="P468" s="13">
        <f t="shared" si="29"/>
        <v>0</v>
      </c>
      <c r="Q468" s="13" t="str">
        <f t="shared" si="30"/>
        <v/>
      </c>
      <c r="R468" s="13" t="str">
        <f t="shared" si="31"/>
        <v>Non diskon</v>
      </c>
    </row>
    <row r="469" spans="1:18" x14ac:dyDescent="0.25">
      <c r="A469" s="13" t="s">
        <v>481</v>
      </c>
      <c r="B469" s="13" t="s">
        <v>2191</v>
      </c>
      <c r="C469" s="13" t="s">
        <v>2201</v>
      </c>
      <c r="D469" s="13" t="s">
        <v>2204</v>
      </c>
      <c r="E469" s="13" t="s">
        <v>2209</v>
      </c>
      <c r="F469" s="13" t="s">
        <v>2223</v>
      </c>
      <c r="G469" s="13">
        <v>32.64</v>
      </c>
      <c r="H469" s="13">
        <v>1.4</v>
      </c>
      <c r="I469" s="13">
        <v>32.18</v>
      </c>
      <c r="J469" s="24">
        <v>45783</v>
      </c>
      <c r="K469" s="13">
        <v>29</v>
      </c>
      <c r="L469" s="44">
        <v>1.5</v>
      </c>
      <c r="M469" s="13" t="b">
        <v>1</v>
      </c>
      <c r="N469" s="13" t="s">
        <v>2229</v>
      </c>
      <c r="O469" s="25">
        <f t="shared" si="28"/>
        <v>119</v>
      </c>
      <c r="P469" s="13">
        <f t="shared" si="29"/>
        <v>40.599999999999994</v>
      </c>
      <c r="Q469" s="13">
        <f t="shared" si="30"/>
        <v>1</v>
      </c>
      <c r="R469" s="13" t="str">
        <f t="shared" si="31"/>
        <v>Diskon</v>
      </c>
    </row>
    <row r="470" spans="1:18" x14ac:dyDescent="0.25">
      <c r="A470" s="13" t="s">
        <v>482</v>
      </c>
      <c r="B470" s="13" t="s">
        <v>2192</v>
      </c>
      <c r="C470" s="13" t="s">
        <v>2196</v>
      </c>
      <c r="D470" s="13" t="s">
        <v>2207</v>
      </c>
      <c r="F470" s="13" t="s">
        <v>2223</v>
      </c>
      <c r="G470" s="13">
        <v>30.25</v>
      </c>
      <c r="H470" s="13">
        <v>11.8</v>
      </c>
      <c r="I470" s="13">
        <v>26.68</v>
      </c>
      <c r="J470" s="24">
        <v>45875</v>
      </c>
      <c r="K470" s="13">
        <v>30</v>
      </c>
      <c r="L470" s="44">
        <v>3.4</v>
      </c>
      <c r="M470" s="13" t="b">
        <v>0</v>
      </c>
      <c r="O470" s="25">
        <f t="shared" si="28"/>
        <v>27</v>
      </c>
      <c r="P470" s="13">
        <f t="shared" si="29"/>
        <v>354</v>
      </c>
      <c r="Q470" s="13" t="str">
        <f t="shared" si="30"/>
        <v/>
      </c>
      <c r="R470" s="13" t="str">
        <f t="shared" si="31"/>
        <v>Diskon</v>
      </c>
    </row>
    <row r="471" spans="1:18" x14ac:dyDescent="0.25">
      <c r="A471" s="13" t="s">
        <v>483</v>
      </c>
      <c r="B471" s="13" t="s">
        <v>2190</v>
      </c>
      <c r="C471" s="13" t="s">
        <v>2197</v>
      </c>
      <c r="D471" s="13" t="s">
        <v>2207</v>
      </c>
      <c r="E471" s="13" t="s">
        <v>2210</v>
      </c>
      <c r="F471" s="13" t="s">
        <v>2224</v>
      </c>
      <c r="G471" s="13">
        <v>180.57</v>
      </c>
      <c r="H471" s="13">
        <v>0</v>
      </c>
      <c r="I471" s="13">
        <v>180.57</v>
      </c>
      <c r="J471" s="24">
        <v>45875</v>
      </c>
      <c r="K471" s="13">
        <v>28</v>
      </c>
      <c r="L471" s="44">
        <v>3.15</v>
      </c>
      <c r="M471" s="13" t="b">
        <v>0</v>
      </c>
      <c r="O471" s="25">
        <f t="shared" si="28"/>
        <v>27</v>
      </c>
      <c r="P471" s="13">
        <f t="shared" si="29"/>
        <v>0</v>
      </c>
      <c r="Q471" s="13" t="str">
        <f t="shared" si="30"/>
        <v/>
      </c>
      <c r="R471" s="13" t="str">
        <f t="shared" si="31"/>
        <v>Non diskon</v>
      </c>
    </row>
    <row r="472" spans="1:18" x14ac:dyDescent="0.25">
      <c r="A472" s="13" t="s">
        <v>484</v>
      </c>
      <c r="B472" s="13" t="s">
        <v>2194</v>
      </c>
      <c r="C472" s="13" t="s">
        <v>2197</v>
      </c>
      <c r="D472" s="13" t="s">
        <v>2207</v>
      </c>
      <c r="E472" s="13" t="s">
        <v>2212</v>
      </c>
      <c r="F472" s="13" t="s">
        <v>2217</v>
      </c>
      <c r="G472" s="13">
        <v>96.55</v>
      </c>
      <c r="H472" s="13">
        <v>0</v>
      </c>
      <c r="I472" s="13">
        <v>96.55</v>
      </c>
      <c r="J472" s="24">
        <v>45875</v>
      </c>
      <c r="K472" s="13">
        <v>17</v>
      </c>
      <c r="L472" s="44">
        <v>4.4000000000000004</v>
      </c>
      <c r="M472" s="13" t="b">
        <v>0</v>
      </c>
      <c r="O472" s="25">
        <f t="shared" si="28"/>
        <v>27</v>
      </c>
      <c r="P472" s="13">
        <f t="shared" si="29"/>
        <v>0</v>
      </c>
      <c r="Q472" s="13" t="str">
        <f t="shared" si="30"/>
        <v/>
      </c>
      <c r="R472" s="13" t="str">
        <f t="shared" si="31"/>
        <v>Non diskon</v>
      </c>
    </row>
    <row r="473" spans="1:18" x14ac:dyDescent="0.25">
      <c r="A473" s="13" t="s">
        <v>485</v>
      </c>
      <c r="B473" s="13" t="s">
        <v>2194</v>
      </c>
      <c r="C473" s="13" t="s">
        <v>2201</v>
      </c>
      <c r="D473" s="13" t="s">
        <v>2206</v>
      </c>
      <c r="F473" s="13" t="s">
        <v>2215</v>
      </c>
      <c r="G473" s="13">
        <v>68.53</v>
      </c>
      <c r="H473" s="13">
        <v>54.3</v>
      </c>
      <c r="I473" s="13">
        <v>31.32</v>
      </c>
      <c r="J473" s="24">
        <v>45875</v>
      </c>
      <c r="K473" s="13">
        <v>38</v>
      </c>
      <c r="L473" s="44">
        <v>2.9</v>
      </c>
      <c r="M473" s="13" t="b">
        <v>0</v>
      </c>
      <c r="O473" s="25">
        <f t="shared" si="28"/>
        <v>27</v>
      </c>
      <c r="P473" s="13">
        <f t="shared" si="29"/>
        <v>2063.4</v>
      </c>
      <c r="Q473" s="13" t="str">
        <f t="shared" si="30"/>
        <v/>
      </c>
      <c r="R473" s="13" t="str">
        <f t="shared" si="31"/>
        <v>Diskon</v>
      </c>
    </row>
    <row r="474" spans="1:18" x14ac:dyDescent="0.25">
      <c r="A474" s="13" t="s">
        <v>486</v>
      </c>
      <c r="B474" s="13" t="s">
        <v>2193</v>
      </c>
      <c r="C474" s="13" t="s">
        <v>2202</v>
      </c>
      <c r="D474" s="13" t="s">
        <v>2206</v>
      </c>
      <c r="E474" s="13" t="s">
        <v>2212</v>
      </c>
      <c r="F474" s="13" t="s">
        <v>2217</v>
      </c>
      <c r="G474" s="13">
        <v>71.94</v>
      </c>
      <c r="H474" s="13">
        <v>0</v>
      </c>
      <c r="I474" s="13">
        <v>71.94</v>
      </c>
      <c r="J474" s="24">
        <v>45875</v>
      </c>
      <c r="K474" s="13">
        <v>45</v>
      </c>
      <c r="L474" s="44">
        <v>3.3</v>
      </c>
      <c r="M474" s="13" t="b">
        <v>0</v>
      </c>
      <c r="O474" s="25">
        <f t="shared" si="28"/>
        <v>27</v>
      </c>
      <c r="P474" s="13">
        <f t="shared" si="29"/>
        <v>0</v>
      </c>
      <c r="Q474" s="13" t="str">
        <f t="shared" si="30"/>
        <v/>
      </c>
      <c r="R474" s="13" t="str">
        <f t="shared" si="31"/>
        <v>Non diskon</v>
      </c>
    </row>
    <row r="475" spans="1:18" x14ac:dyDescent="0.25">
      <c r="A475" s="13" t="s">
        <v>487</v>
      </c>
      <c r="B475" s="13" t="s">
        <v>2193</v>
      </c>
      <c r="C475" s="13" t="s">
        <v>2202</v>
      </c>
      <c r="D475" s="13" t="s">
        <v>2206</v>
      </c>
      <c r="E475" s="13" t="s">
        <v>2209</v>
      </c>
      <c r="F475" s="13" t="s">
        <v>2219</v>
      </c>
      <c r="G475" s="13">
        <v>80.72</v>
      </c>
      <c r="H475" s="13">
        <v>9.9</v>
      </c>
      <c r="I475" s="13">
        <v>72.73</v>
      </c>
      <c r="J475" s="24">
        <v>45875</v>
      </c>
      <c r="K475" s="13">
        <v>37</v>
      </c>
      <c r="L475" s="44">
        <v>2.5</v>
      </c>
      <c r="M475" s="13" t="b">
        <v>0</v>
      </c>
      <c r="O475" s="25">
        <f t="shared" si="28"/>
        <v>27</v>
      </c>
      <c r="P475" s="13">
        <f t="shared" si="29"/>
        <v>366.3</v>
      </c>
      <c r="Q475" s="13" t="str">
        <f t="shared" si="30"/>
        <v/>
      </c>
      <c r="R475" s="13" t="str">
        <f t="shared" si="31"/>
        <v>Diskon</v>
      </c>
    </row>
    <row r="476" spans="1:18" x14ac:dyDescent="0.25">
      <c r="A476" s="13" t="s">
        <v>488</v>
      </c>
      <c r="B476" s="13" t="s">
        <v>2190</v>
      </c>
      <c r="C476" s="13" t="s">
        <v>2196</v>
      </c>
      <c r="D476" s="13" t="s">
        <v>2205</v>
      </c>
      <c r="E476" s="13" t="s">
        <v>2209</v>
      </c>
      <c r="F476" s="13" t="s">
        <v>2220</v>
      </c>
      <c r="G476" s="13">
        <v>208.8</v>
      </c>
      <c r="H476" s="13">
        <v>0</v>
      </c>
      <c r="I476" s="13">
        <v>208.8</v>
      </c>
      <c r="J476" s="24">
        <v>45875</v>
      </c>
      <c r="K476" s="13">
        <v>13</v>
      </c>
      <c r="L476" s="44">
        <v>1.6</v>
      </c>
      <c r="M476" s="13" t="b">
        <v>0</v>
      </c>
      <c r="O476" s="25">
        <f t="shared" si="28"/>
        <v>27</v>
      </c>
      <c r="P476" s="13">
        <f t="shared" si="29"/>
        <v>0</v>
      </c>
      <c r="Q476" s="13" t="str">
        <f t="shared" si="30"/>
        <v/>
      </c>
      <c r="R476" s="13" t="str">
        <f t="shared" si="31"/>
        <v>Non diskon</v>
      </c>
    </row>
    <row r="477" spans="1:18" x14ac:dyDescent="0.25">
      <c r="A477" s="13" t="s">
        <v>489</v>
      </c>
      <c r="B477" s="13" t="s">
        <v>2193</v>
      </c>
      <c r="C477" s="13" t="s">
        <v>2199</v>
      </c>
      <c r="D477" s="13" t="s">
        <v>2207</v>
      </c>
      <c r="E477" s="13" t="s">
        <v>2213</v>
      </c>
      <c r="F477" s="13" t="s">
        <v>2222</v>
      </c>
      <c r="G477" s="13">
        <v>158.15</v>
      </c>
      <c r="H477" s="13">
        <v>54.1</v>
      </c>
      <c r="I477" s="13">
        <v>72.59</v>
      </c>
      <c r="J477" s="24">
        <v>45875</v>
      </c>
      <c r="K477" s="13">
        <v>36</v>
      </c>
      <c r="L477" s="44">
        <v>4.5</v>
      </c>
      <c r="M477" s="13" t="b">
        <v>0</v>
      </c>
      <c r="O477" s="25">
        <f t="shared" si="28"/>
        <v>27</v>
      </c>
      <c r="P477" s="13">
        <f t="shared" si="29"/>
        <v>1947.6000000000001</v>
      </c>
      <c r="Q477" s="13" t="str">
        <f t="shared" si="30"/>
        <v/>
      </c>
      <c r="R477" s="13" t="str">
        <f t="shared" si="31"/>
        <v>Diskon</v>
      </c>
    </row>
    <row r="478" spans="1:18" x14ac:dyDescent="0.25">
      <c r="A478" s="13" t="s">
        <v>490</v>
      </c>
      <c r="B478" s="13" t="s">
        <v>2191</v>
      </c>
      <c r="C478" s="13" t="s">
        <v>2196</v>
      </c>
      <c r="D478" s="13" t="s">
        <v>2206</v>
      </c>
      <c r="E478" s="13" t="s">
        <v>2210</v>
      </c>
      <c r="F478" s="13" t="s">
        <v>2217</v>
      </c>
      <c r="G478" s="13">
        <v>85.92</v>
      </c>
      <c r="H478" s="13">
        <v>0</v>
      </c>
      <c r="I478" s="13">
        <v>85.92</v>
      </c>
      <c r="J478" s="24">
        <v>45875</v>
      </c>
      <c r="K478" s="13">
        <v>12</v>
      </c>
      <c r="L478" s="44">
        <v>2.9181818181818175</v>
      </c>
      <c r="M478" s="13" t="b">
        <v>0</v>
      </c>
      <c r="O478" s="25">
        <f t="shared" si="28"/>
        <v>27</v>
      </c>
      <c r="P478" s="13">
        <f t="shared" si="29"/>
        <v>0</v>
      </c>
      <c r="Q478" s="13" t="str">
        <f t="shared" si="30"/>
        <v/>
      </c>
      <c r="R478" s="13" t="str">
        <f t="shared" si="31"/>
        <v>Non diskon</v>
      </c>
    </row>
    <row r="479" spans="1:18" x14ac:dyDescent="0.25">
      <c r="A479" s="13" t="s">
        <v>491</v>
      </c>
      <c r="B479" s="13" t="s">
        <v>2192</v>
      </c>
      <c r="C479" s="13" t="s">
        <v>2202</v>
      </c>
      <c r="D479" s="13" t="s">
        <v>2204</v>
      </c>
      <c r="F479" s="13" t="s">
        <v>2215</v>
      </c>
      <c r="G479" s="13">
        <v>69.59</v>
      </c>
      <c r="H479" s="13">
        <v>0</v>
      </c>
      <c r="I479" s="13">
        <v>69.59</v>
      </c>
      <c r="J479" s="24">
        <v>45561</v>
      </c>
      <c r="K479" s="13">
        <v>38</v>
      </c>
      <c r="L479" s="44">
        <v>1.5</v>
      </c>
      <c r="M479" s="13" t="b">
        <v>0</v>
      </c>
      <c r="O479" s="25">
        <f t="shared" si="28"/>
        <v>341</v>
      </c>
      <c r="P479" s="13">
        <f t="shared" si="29"/>
        <v>0</v>
      </c>
      <c r="Q479" s="13" t="str">
        <f t="shared" si="30"/>
        <v/>
      </c>
      <c r="R479" s="13" t="str">
        <f t="shared" si="31"/>
        <v>Non diskon</v>
      </c>
    </row>
    <row r="480" spans="1:18" x14ac:dyDescent="0.25">
      <c r="A480" s="13" t="s">
        <v>492</v>
      </c>
      <c r="B480" s="13" t="s">
        <v>2195</v>
      </c>
      <c r="C480" s="13" t="s">
        <v>2196</v>
      </c>
      <c r="D480" s="13" t="s">
        <v>2205</v>
      </c>
      <c r="E480" s="13" t="s">
        <v>2208</v>
      </c>
      <c r="F480" s="13" t="s">
        <v>2214</v>
      </c>
      <c r="G480" s="13">
        <v>136.16999999999999</v>
      </c>
      <c r="H480" s="13">
        <v>19.100000000000001</v>
      </c>
      <c r="I480" s="13">
        <v>110.16</v>
      </c>
      <c r="J480" s="24">
        <v>45875</v>
      </c>
      <c r="K480" s="13">
        <v>14</v>
      </c>
      <c r="L480" s="44">
        <v>3.0424242424242425</v>
      </c>
      <c r="M480" s="13" t="b">
        <v>0</v>
      </c>
      <c r="O480" s="25">
        <f t="shared" si="28"/>
        <v>27</v>
      </c>
      <c r="P480" s="13">
        <f t="shared" si="29"/>
        <v>267.40000000000003</v>
      </c>
      <c r="Q480" s="13" t="str">
        <f t="shared" si="30"/>
        <v/>
      </c>
      <c r="R480" s="13" t="str">
        <f t="shared" si="31"/>
        <v>Diskon</v>
      </c>
    </row>
    <row r="481" spans="1:18" x14ac:dyDescent="0.25">
      <c r="A481" s="13" t="s">
        <v>493</v>
      </c>
      <c r="B481" s="13" t="s">
        <v>2193</v>
      </c>
      <c r="C481" s="13" t="s">
        <v>2199</v>
      </c>
      <c r="D481" s="13" t="s">
        <v>2204</v>
      </c>
      <c r="E481" s="13" t="s">
        <v>2212</v>
      </c>
      <c r="F481" s="13" t="s">
        <v>2215</v>
      </c>
      <c r="G481" s="13">
        <v>124.26</v>
      </c>
      <c r="H481" s="13">
        <v>0</v>
      </c>
      <c r="I481" s="13">
        <v>124.26</v>
      </c>
      <c r="J481" s="24">
        <v>45512</v>
      </c>
      <c r="K481" s="13">
        <v>44</v>
      </c>
      <c r="L481" s="44">
        <v>4</v>
      </c>
      <c r="M481" s="13" t="b">
        <v>0</v>
      </c>
      <c r="O481" s="25">
        <f t="shared" si="28"/>
        <v>390</v>
      </c>
      <c r="P481" s="13">
        <f t="shared" si="29"/>
        <v>0</v>
      </c>
      <c r="Q481" s="13" t="str">
        <f t="shared" si="30"/>
        <v/>
      </c>
      <c r="R481" s="13" t="str">
        <f t="shared" si="31"/>
        <v>Non diskon</v>
      </c>
    </row>
    <row r="482" spans="1:18" x14ac:dyDescent="0.25">
      <c r="A482" s="13" t="s">
        <v>494</v>
      </c>
      <c r="B482" s="13" t="s">
        <v>2193</v>
      </c>
      <c r="C482" s="13" t="s">
        <v>2198</v>
      </c>
      <c r="D482" s="13" t="s">
        <v>2205</v>
      </c>
      <c r="E482" s="13" t="s">
        <v>2210</v>
      </c>
      <c r="F482" s="13" t="s">
        <v>2216</v>
      </c>
      <c r="G482" s="13">
        <v>129.33000000000001</v>
      </c>
      <c r="H482" s="13">
        <v>0</v>
      </c>
      <c r="I482" s="13">
        <v>129.33000000000001</v>
      </c>
      <c r="J482" s="24">
        <v>45875</v>
      </c>
      <c r="K482" s="13">
        <v>15</v>
      </c>
      <c r="L482" s="44">
        <v>3.1</v>
      </c>
      <c r="M482" s="13" t="b">
        <v>0</v>
      </c>
      <c r="O482" s="25">
        <f t="shared" si="28"/>
        <v>27</v>
      </c>
      <c r="P482" s="13">
        <f t="shared" si="29"/>
        <v>0</v>
      </c>
      <c r="Q482" s="13" t="str">
        <f t="shared" si="30"/>
        <v/>
      </c>
      <c r="R482" s="13" t="str">
        <f t="shared" si="31"/>
        <v>Non diskon</v>
      </c>
    </row>
    <row r="483" spans="1:18" x14ac:dyDescent="0.25">
      <c r="A483" s="13" t="s">
        <v>495</v>
      </c>
      <c r="B483" s="13" t="s">
        <v>2195</v>
      </c>
      <c r="C483" s="13" t="s">
        <v>2200</v>
      </c>
      <c r="D483" s="13" t="s">
        <v>2204</v>
      </c>
      <c r="E483" s="13" t="s">
        <v>2210</v>
      </c>
      <c r="F483" s="13" t="s">
        <v>2222</v>
      </c>
      <c r="G483" s="13">
        <v>123.93</v>
      </c>
      <c r="H483" s="13">
        <v>30</v>
      </c>
      <c r="I483" s="13">
        <v>86.75</v>
      </c>
      <c r="J483" s="24">
        <v>45869</v>
      </c>
      <c r="K483" s="13">
        <v>39</v>
      </c>
      <c r="L483" s="44">
        <v>1.9</v>
      </c>
      <c r="M483" s="13" t="b">
        <v>0</v>
      </c>
      <c r="O483" s="25">
        <f t="shared" si="28"/>
        <v>33</v>
      </c>
      <c r="P483" s="13">
        <f t="shared" si="29"/>
        <v>1170</v>
      </c>
      <c r="Q483" s="13" t="str">
        <f t="shared" si="30"/>
        <v/>
      </c>
      <c r="R483" s="13" t="str">
        <f t="shared" si="31"/>
        <v>Diskon</v>
      </c>
    </row>
    <row r="484" spans="1:18" x14ac:dyDescent="0.25">
      <c r="A484" s="13" t="s">
        <v>496</v>
      </c>
      <c r="B484" s="13" t="s">
        <v>2193</v>
      </c>
      <c r="C484" s="13" t="s">
        <v>2196</v>
      </c>
      <c r="D484" s="13" t="s">
        <v>2207</v>
      </c>
      <c r="E484" s="13" t="s">
        <v>2212</v>
      </c>
      <c r="F484" s="13" t="s">
        <v>2221</v>
      </c>
      <c r="G484" s="13">
        <v>62.76</v>
      </c>
      <c r="H484" s="13">
        <v>0</v>
      </c>
      <c r="I484" s="13">
        <v>62.76</v>
      </c>
      <c r="J484" s="24">
        <v>45875</v>
      </c>
      <c r="K484" s="13">
        <v>12</v>
      </c>
      <c r="L484" s="44">
        <v>4.7</v>
      </c>
      <c r="M484" s="13" t="b">
        <v>0</v>
      </c>
      <c r="O484" s="25">
        <f t="shared" si="28"/>
        <v>27</v>
      </c>
      <c r="P484" s="13">
        <f t="shared" si="29"/>
        <v>0</v>
      </c>
      <c r="Q484" s="13" t="str">
        <f t="shared" si="30"/>
        <v/>
      </c>
      <c r="R484" s="13" t="str">
        <f t="shared" si="31"/>
        <v>Non diskon</v>
      </c>
    </row>
    <row r="485" spans="1:18" x14ac:dyDescent="0.25">
      <c r="A485" s="13" t="s">
        <v>497</v>
      </c>
      <c r="B485" s="13" t="s">
        <v>2193</v>
      </c>
      <c r="C485" s="13" t="s">
        <v>2197</v>
      </c>
      <c r="D485" s="13" t="s">
        <v>2204</v>
      </c>
      <c r="E485" s="13" t="s">
        <v>2212</v>
      </c>
      <c r="F485" s="13" t="s">
        <v>2219</v>
      </c>
      <c r="G485" s="13">
        <v>74.540000000000006</v>
      </c>
      <c r="H485" s="13">
        <v>0</v>
      </c>
      <c r="I485" s="13">
        <v>74.540000000000006</v>
      </c>
      <c r="J485" s="24">
        <v>45603</v>
      </c>
      <c r="K485" s="13">
        <v>4</v>
      </c>
      <c r="L485" s="44">
        <v>3.5</v>
      </c>
      <c r="M485" s="13" t="b">
        <v>0</v>
      </c>
      <c r="O485" s="25">
        <f t="shared" si="28"/>
        <v>299</v>
      </c>
      <c r="P485" s="13">
        <f t="shared" si="29"/>
        <v>0</v>
      </c>
      <c r="Q485" s="13" t="str">
        <f t="shared" si="30"/>
        <v/>
      </c>
      <c r="R485" s="13" t="str">
        <f t="shared" si="31"/>
        <v>Non diskon</v>
      </c>
    </row>
    <row r="486" spans="1:18" x14ac:dyDescent="0.25">
      <c r="A486" s="13" t="s">
        <v>498</v>
      </c>
      <c r="B486" s="13" t="s">
        <v>2191</v>
      </c>
      <c r="C486" s="13" t="s">
        <v>2202</v>
      </c>
      <c r="D486" s="13" t="s">
        <v>2207</v>
      </c>
      <c r="E486" s="13" t="s">
        <v>2210</v>
      </c>
      <c r="F486" s="13" t="s">
        <v>2215</v>
      </c>
      <c r="G486" s="13">
        <v>114.03</v>
      </c>
      <c r="H486" s="13">
        <v>0</v>
      </c>
      <c r="I486" s="13">
        <v>114.03</v>
      </c>
      <c r="J486" s="24">
        <v>45875</v>
      </c>
      <c r="K486" s="13">
        <v>2</v>
      </c>
      <c r="L486" s="44">
        <v>2.9074999999999998</v>
      </c>
      <c r="M486" s="13" t="b">
        <v>0</v>
      </c>
      <c r="O486" s="25">
        <f t="shared" si="28"/>
        <v>27</v>
      </c>
      <c r="P486" s="13">
        <f t="shared" si="29"/>
        <v>0</v>
      </c>
      <c r="Q486" s="13" t="str">
        <f t="shared" si="30"/>
        <v/>
      </c>
      <c r="R486" s="13" t="str">
        <f t="shared" si="31"/>
        <v>Non diskon</v>
      </c>
    </row>
    <row r="487" spans="1:18" x14ac:dyDescent="0.25">
      <c r="A487" s="13" t="s">
        <v>499</v>
      </c>
      <c r="B487" s="13" t="s">
        <v>2192</v>
      </c>
      <c r="C487" s="13" t="s">
        <v>2202</v>
      </c>
      <c r="D487" s="13" t="s">
        <v>2206</v>
      </c>
      <c r="F487" s="13" t="s">
        <v>2217</v>
      </c>
      <c r="G487" s="13">
        <v>20.59</v>
      </c>
      <c r="H487" s="13">
        <v>27.6</v>
      </c>
      <c r="I487" s="13">
        <v>14.91</v>
      </c>
      <c r="J487" s="24">
        <v>45875</v>
      </c>
      <c r="K487" s="13">
        <v>36</v>
      </c>
      <c r="L487" s="44">
        <v>3.2720930232558145</v>
      </c>
      <c r="M487" s="13" t="b">
        <v>0</v>
      </c>
      <c r="O487" s="25">
        <f t="shared" si="28"/>
        <v>27</v>
      </c>
      <c r="P487" s="13">
        <f t="shared" si="29"/>
        <v>993.6</v>
      </c>
      <c r="Q487" s="13" t="str">
        <f t="shared" si="30"/>
        <v/>
      </c>
      <c r="R487" s="13" t="str">
        <f t="shared" si="31"/>
        <v>Diskon</v>
      </c>
    </row>
    <row r="488" spans="1:18" x14ac:dyDescent="0.25">
      <c r="A488" s="13" t="s">
        <v>500</v>
      </c>
      <c r="B488" s="13" t="s">
        <v>2193</v>
      </c>
      <c r="C488" s="13" t="s">
        <v>2198</v>
      </c>
      <c r="D488" s="13" t="s">
        <v>2207</v>
      </c>
      <c r="E488" s="13" t="s">
        <v>2208</v>
      </c>
      <c r="F488" s="13" t="s">
        <v>2219</v>
      </c>
      <c r="G488" s="13">
        <v>167.86</v>
      </c>
      <c r="H488" s="13">
        <v>0</v>
      </c>
      <c r="I488" s="13">
        <v>167.86</v>
      </c>
      <c r="J488" s="24">
        <v>45875</v>
      </c>
      <c r="K488" s="13">
        <v>17</v>
      </c>
      <c r="L488" s="44">
        <v>3.2</v>
      </c>
      <c r="M488" s="13" t="b">
        <v>0</v>
      </c>
      <c r="O488" s="25">
        <f t="shared" si="28"/>
        <v>27</v>
      </c>
      <c r="P488" s="13">
        <f t="shared" si="29"/>
        <v>0</v>
      </c>
      <c r="Q488" s="13" t="str">
        <f t="shared" si="30"/>
        <v/>
      </c>
      <c r="R488" s="13" t="str">
        <f t="shared" si="31"/>
        <v>Non diskon</v>
      </c>
    </row>
    <row r="489" spans="1:18" x14ac:dyDescent="0.25">
      <c r="A489" s="13" t="s">
        <v>501</v>
      </c>
      <c r="B489" s="13" t="s">
        <v>2192</v>
      </c>
      <c r="C489" s="13" t="s">
        <v>2197</v>
      </c>
      <c r="D489" s="13" t="s">
        <v>2206</v>
      </c>
      <c r="F489" s="13" t="s">
        <v>2218</v>
      </c>
      <c r="G489" s="13">
        <v>62.2</v>
      </c>
      <c r="H489" s="13">
        <v>37.700000000000003</v>
      </c>
      <c r="I489" s="13">
        <v>38.75</v>
      </c>
      <c r="J489" s="24">
        <v>45875</v>
      </c>
      <c r="K489" s="13">
        <v>16</v>
      </c>
      <c r="L489" s="44">
        <v>3.1</v>
      </c>
      <c r="M489" s="13" t="b">
        <v>0</v>
      </c>
      <c r="O489" s="25">
        <f t="shared" si="28"/>
        <v>27</v>
      </c>
      <c r="P489" s="13">
        <f t="shared" si="29"/>
        <v>603.20000000000005</v>
      </c>
      <c r="Q489" s="13" t="str">
        <f t="shared" si="30"/>
        <v/>
      </c>
      <c r="R489" s="13" t="str">
        <f t="shared" si="31"/>
        <v>Diskon</v>
      </c>
    </row>
    <row r="490" spans="1:18" x14ac:dyDescent="0.25">
      <c r="A490" s="13" t="s">
        <v>502</v>
      </c>
      <c r="B490" s="13" t="s">
        <v>2190</v>
      </c>
      <c r="C490" s="13" t="s">
        <v>2198</v>
      </c>
      <c r="D490" s="13" t="s">
        <v>2206</v>
      </c>
      <c r="F490" s="13" t="s">
        <v>2215</v>
      </c>
      <c r="G490" s="13">
        <v>223.69</v>
      </c>
      <c r="H490" s="13">
        <v>6.3</v>
      </c>
      <c r="I490" s="13">
        <v>209.6</v>
      </c>
      <c r="J490" s="24">
        <v>45875</v>
      </c>
      <c r="K490" s="13">
        <v>18</v>
      </c>
      <c r="L490" s="44">
        <v>1.9</v>
      </c>
      <c r="M490" s="13" t="b">
        <v>0</v>
      </c>
      <c r="O490" s="25">
        <f t="shared" si="28"/>
        <v>27</v>
      </c>
      <c r="P490" s="13">
        <f t="shared" si="29"/>
        <v>113.39999999999999</v>
      </c>
      <c r="Q490" s="13" t="str">
        <f t="shared" si="30"/>
        <v/>
      </c>
      <c r="R490" s="13" t="str">
        <f t="shared" si="31"/>
        <v>Diskon</v>
      </c>
    </row>
    <row r="491" spans="1:18" x14ac:dyDescent="0.25">
      <c r="A491" s="13" t="s">
        <v>503</v>
      </c>
      <c r="B491" s="13" t="s">
        <v>2192</v>
      </c>
      <c r="C491" s="13" t="s">
        <v>2199</v>
      </c>
      <c r="D491" s="13" t="s">
        <v>2207</v>
      </c>
      <c r="F491" s="13" t="s">
        <v>2219</v>
      </c>
      <c r="G491" s="13">
        <v>67.13</v>
      </c>
      <c r="H491" s="13">
        <v>0</v>
      </c>
      <c r="I491" s="13">
        <v>67.13</v>
      </c>
      <c r="J491" s="24">
        <v>45875</v>
      </c>
      <c r="K491" s="13">
        <v>3</v>
      </c>
      <c r="L491" s="44">
        <v>1.4</v>
      </c>
      <c r="M491" s="13" t="b">
        <v>0</v>
      </c>
      <c r="O491" s="25">
        <f t="shared" si="28"/>
        <v>27</v>
      </c>
      <c r="P491" s="13">
        <f t="shared" si="29"/>
        <v>0</v>
      </c>
      <c r="Q491" s="13" t="str">
        <f t="shared" si="30"/>
        <v/>
      </c>
      <c r="R491" s="13" t="str">
        <f t="shared" si="31"/>
        <v>Non diskon</v>
      </c>
    </row>
    <row r="492" spans="1:18" x14ac:dyDescent="0.25">
      <c r="A492" s="13" t="s">
        <v>504</v>
      </c>
      <c r="B492" s="13" t="s">
        <v>2195</v>
      </c>
      <c r="C492" s="13" t="s">
        <v>2196</v>
      </c>
      <c r="D492" s="13" t="s">
        <v>2207</v>
      </c>
      <c r="E492" s="13" t="s">
        <v>2213</v>
      </c>
      <c r="F492" s="13" t="s">
        <v>2214</v>
      </c>
      <c r="G492" s="13">
        <v>144.81</v>
      </c>
      <c r="H492" s="13">
        <v>33.299999999999997</v>
      </c>
      <c r="I492" s="13">
        <v>96.59</v>
      </c>
      <c r="J492" s="24">
        <v>45875</v>
      </c>
      <c r="K492" s="13">
        <v>33</v>
      </c>
      <c r="L492" s="44">
        <v>2.8</v>
      </c>
      <c r="M492" s="13" t="b">
        <v>0</v>
      </c>
      <c r="O492" s="25">
        <f t="shared" si="28"/>
        <v>27</v>
      </c>
      <c r="P492" s="13">
        <f t="shared" si="29"/>
        <v>1098.8999999999999</v>
      </c>
      <c r="Q492" s="13" t="str">
        <f t="shared" si="30"/>
        <v/>
      </c>
      <c r="R492" s="13" t="str">
        <f t="shared" si="31"/>
        <v>Diskon</v>
      </c>
    </row>
    <row r="493" spans="1:18" x14ac:dyDescent="0.25">
      <c r="A493" s="13" t="s">
        <v>505</v>
      </c>
      <c r="B493" s="13" t="s">
        <v>2190</v>
      </c>
      <c r="C493" s="13" t="s">
        <v>2202</v>
      </c>
      <c r="D493" s="13" t="s">
        <v>2205</v>
      </c>
      <c r="E493" s="13" t="s">
        <v>2212</v>
      </c>
      <c r="F493" s="13" t="s">
        <v>2223</v>
      </c>
      <c r="G493" s="13">
        <v>152.93</v>
      </c>
      <c r="H493" s="13">
        <v>53</v>
      </c>
      <c r="I493" s="13">
        <v>71.88</v>
      </c>
      <c r="J493" s="24">
        <v>45875</v>
      </c>
      <c r="K493" s="13">
        <v>2</v>
      </c>
      <c r="L493" s="44">
        <v>4.5999999999999996</v>
      </c>
      <c r="M493" s="13" t="b">
        <v>1</v>
      </c>
      <c r="N493" s="13" t="s">
        <v>2229</v>
      </c>
      <c r="O493" s="25">
        <f t="shared" si="28"/>
        <v>27</v>
      </c>
      <c r="P493" s="13">
        <f t="shared" si="29"/>
        <v>106</v>
      </c>
      <c r="Q493" s="13">
        <f t="shared" si="30"/>
        <v>1</v>
      </c>
      <c r="R493" s="13" t="str">
        <f t="shared" si="31"/>
        <v>Diskon</v>
      </c>
    </row>
    <row r="494" spans="1:18" x14ac:dyDescent="0.25">
      <c r="A494" s="13" t="s">
        <v>506</v>
      </c>
      <c r="B494" s="13" t="s">
        <v>2195</v>
      </c>
      <c r="C494" s="13" t="s">
        <v>2203</v>
      </c>
      <c r="D494" s="13" t="s">
        <v>2207</v>
      </c>
      <c r="E494" s="13" t="s">
        <v>2211</v>
      </c>
      <c r="F494" s="13" t="s">
        <v>2217</v>
      </c>
      <c r="G494" s="13">
        <v>111.29</v>
      </c>
      <c r="H494" s="13">
        <v>0</v>
      </c>
      <c r="I494" s="13">
        <v>111.29</v>
      </c>
      <c r="J494" s="24">
        <v>45875</v>
      </c>
      <c r="K494" s="13">
        <v>48</v>
      </c>
      <c r="L494" s="44">
        <v>4.9000000000000004</v>
      </c>
      <c r="M494" s="13" t="b">
        <v>0</v>
      </c>
      <c r="O494" s="25">
        <f t="shared" si="28"/>
        <v>27</v>
      </c>
      <c r="P494" s="13">
        <f t="shared" si="29"/>
        <v>0</v>
      </c>
      <c r="Q494" s="13" t="str">
        <f t="shared" si="30"/>
        <v/>
      </c>
      <c r="R494" s="13" t="str">
        <f t="shared" si="31"/>
        <v>Non diskon</v>
      </c>
    </row>
    <row r="495" spans="1:18" x14ac:dyDescent="0.25">
      <c r="A495" s="13" t="s">
        <v>507</v>
      </c>
      <c r="B495" s="13" t="s">
        <v>2190</v>
      </c>
      <c r="C495" s="13" t="s">
        <v>2198</v>
      </c>
      <c r="D495" s="13" t="s">
        <v>2205</v>
      </c>
      <c r="E495" s="13" t="s">
        <v>2212</v>
      </c>
      <c r="F495" s="13" t="s">
        <v>2215</v>
      </c>
      <c r="G495" s="13">
        <v>159.18</v>
      </c>
      <c r="H495" s="13">
        <v>0</v>
      </c>
      <c r="I495" s="13">
        <v>159.18</v>
      </c>
      <c r="J495" s="24">
        <v>45875</v>
      </c>
      <c r="K495" s="13">
        <v>38</v>
      </c>
      <c r="L495" s="44">
        <v>2.4</v>
      </c>
      <c r="M495" s="13" t="b">
        <v>1</v>
      </c>
      <c r="N495" s="13" t="s">
        <v>2228</v>
      </c>
      <c r="O495" s="25">
        <f t="shared" si="28"/>
        <v>27</v>
      </c>
      <c r="P495" s="13">
        <f t="shared" si="29"/>
        <v>0</v>
      </c>
      <c r="Q495" s="13">
        <f t="shared" si="30"/>
        <v>1</v>
      </c>
      <c r="R495" s="13" t="str">
        <f t="shared" si="31"/>
        <v>Non diskon</v>
      </c>
    </row>
    <row r="496" spans="1:18" x14ac:dyDescent="0.25">
      <c r="A496" s="13" t="s">
        <v>508</v>
      </c>
      <c r="B496" s="13" t="s">
        <v>2190</v>
      </c>
      <c r="C496" s="13" t="s">
        <v>2196</v>
      </c>
      <c r="D496" s="13" t="s">
        <v>2205</v>
      </c>
      <c r="E496" s="13" t="s">
        <v>2211</v>
      </c>
      <c r="F496" s="13" t="s">
        <v>2217</v>
      </c>
      <c r="G496" s="13">
        <v>215.93</v>
      </c>
      <c r="H496" s="13">
        <v>0</v>
      </c>
      <c r="I496" s="13">
        <v>215.93</v>
      </c>
      <c r="J496" s="24">
        <v>45875</v>
      </c>
      <c r="K496" s="13">
        <v>43</v>
      </c>
      <c r="L496" s="44">
        <v>3.5</v>
      </c>
      <c r="M496" s="13" t="b">
        <v>0</v>
      </c>
      <c r="O496" s="25">
        <f t="shared" si="28"/>
        <v>27</v>
      </c>
      <c r="P496" s="13">
        <f t="shared" si="29"/>
        <v>0</v>
      </c>
      <c r="Q496" s="13" t="str">
        <f t="shared" si="30"/>
        <v/>
      </c>
      <c r="R496" s="13" t="str">
        <f t="shared" si="31"/>
        <v>Non diskon</v>
      </c>
    </row>
    <row r="497" spans="1:18" x14ac:dyDescent="0.25">
      <c r="A497" s="13" t="s">
        <v>509</v>
      </c>
      <c r="B497" s="13" t="s">
        <v>2191</v>
      </c>
      <c r="C497" s="13" t="s">
        <v>2201</v>
      </c>
      <c r="D497" s="13" t="s">
        <v>2204</v>
      </c>
      <c r="F497" s="13" t="s">
        <v>2221</v>
      </c>
      <c r="G497" s="13">
        <v>51.69</v>
      </c>
      <c r="H497" s="13">
        <v>33.4</v>
      </c>
      <c r="I497" s="13">
        <v>34.43</v>
      </c>
      <c r="J497" s="24">
        <v>45511</v>
      </c>
      <c r="K497" s="13">
        <v>36</v>
      </c>
      <c r="L497" s="44">
        <v>3.4</v>
      </c>
      <c r="M497" s="13" t="b">
        <v>0</v>
      </c>
      <c r="O497" s="25">
        <f t="shared" si="28"/>
        <v>391</v>
      </c>
      <c r="P497" s="13">
        <f t="shared" si="29"/>
        <v>1202.3999999999999</v>
      </c>
      <c r="Q497" s="13" t="str">
        <f t="shared" si="30"/>
        <v/>
      </c>
      <c r="R497" s="13" t="str">
        <f t="shared" si="31"/>
        <v>Diskon</v>
      </c>
    </row>
    <row r="498" spans="1:18" x14ac:dyDescent="0.25">
      <c r="A498" s="13" t="s">
        <v>510</v>
      </c>
      <c r="B498" s="13" t="s">
        <v>2190</v>
      </c>
      <c r="C498" s="13" t="s">
        <v>2201</v>
      </c>
      <c r="D498" s="13" t="s">
        <v>2207</v>
      </c>
      <c r="E498" s="13" t="s">
        <v>2209</v>
      </c>
      <c r="F498" s="13" t="s">
        <v>2215</v>
      </c>
      <c r="G498" s="13">
        <v>137.38</v>
      </c>
      <c r="H498" s="13">
        <v>0</v>
      </c>
      <c r="I498" s="13">
        <v>137.38</v>
      </c>
      <c r="J498" s="24">
        <v>45875</v>
      </c>
      <c r="K498" s="13">
        <v>43</v>
      </c>
      <c r="L498" s="44">
        <v>3.5</v>
      </c>
      <c r="M498" s="13" t="b">
        <v>0</v>
      </c>
      <c r="O498" s="25">
        <f t="shared" si="28"/>
        <v>27</v>
      </c>
      <c r="P498" s="13">
        <f t="shared" si="29"/>
        <v>0</v>
      </c>
      <c r="Q498" s="13" t="str">
        <f t="shared" si="30"/>
        <v/>
      </c>
      <c r="R498" s="13" t="str">
        <f t="shared" si="31"/>
        <v>Non diskon</v>
      </c>
    </row>
    <row r="499" spans="1:18" x14ac:dyDescent="0.25">
      <c r="A499" s="13" t="s">
        <v>511</v>
      </c>
      <c r="B499" s="13" t="s">
        <v>2194</v>
      </c>
      <c r="C499" s="13" t="s">
        <v>2203</v>
      </c>
      <c r="D499" s="13" t="s">
        <v>2206</v>
      </c>
      <c r="E499" s="13" t="s">
        <v>2211</v>
      </c>
      <c r="F499" s="13" t="s">
        <v>2220</v>
      </c>
      <c r="G499" s="13">
        <v>96.7</v>
      </c>
      <c r="H499" s="13">
        <v>38.799999999999997</v>
      </c>
      <c r="I499" s="13">
        <v>59.18</v>
      </c>
      <c r="J499" s="24">
        <v>45875</v>
      </c>
      <c r="K499" s="13">
        <v>46</v>
      </c>
      <c r="L499" s="44">
        <v>1.7</v>
      </c>
      <c r="M499" s="13" t="b">
        <v>0</v>
      </c>
      <c r="O499" s="25">
        <f t="shared" si="28"/>
        <v>27</v>
      </c>
      <c r="P499" s="13">
        <f t="shared" si="29"/>
        <v>1784.8</v>
      </c>
      <c r="Q499" s="13" t="str">
        <f t="shared" si="30"/>
        <v/>
      </c>
      <c r="R499" s="13" t="str">
        <f t="shared" si="31"/>
        <v>Diskon</v>
      </c>
    </row>
    <row r="500" spans="1:18" x14ac:dyDescent="0.25">
      <c r="A500" s="13" t="s">
        <v>512</v>
      </c>
      <c r="B500" s="13" t="s">
        <v>2194</v>
      </c>
      <c r="C500" s="13" t="s">
        <v>2200</v>
      </c>
      <c r="D500" s="13" t="s">
        <v>2204</v>
      </c>
      <c r="E500" s="13" t="s">
        <v>2213</v>
      </c>
      <c r="F500" s="13" t="s">
        <v>2223</v>
      </c>
      <c r="G500" s="13">
        <v>58.73</v>
      </c>
      <c r="H500" s="13">
        <v>38.1</v>
      </c>
      <c r="I500" s="13">
        <v>36.35</v>
      </c>
      <c r="J500" s="24">
        <v>45653</v>
      </c>
      <c r="K500" s="13">
        <v>50</v>
      </c>
      <c r="L500" s="44">
        <v>1.2</v>
      </c>
      <c r="M500" s="13" t="b">
        <v>0</v>
      </c>
      <c r="O500" s="25">
        <f t="shared" si="28"/>
        <v>249</v>
      </c>
      <c r="P500" s="13">
        <f t="shared" si="29"/>
        <v>1905</v>
      </c>
      <c r="Q500" s="13" t="str">
        <f t="shared" si="30"/>
        <v/>
      </c>
      <c r="R500" s="13" t="str">
        <f t="shared" si="31"/>
        <v>Diskon</v>
      </c>
    </row>
    <row r="501" spans="1:18" x14ac:dyDescent="0.25">
      <c r="A501" s="13" t="s">
        <v>513</v>
      </c>
      <c r="B501" s="13" t="s">
        <v>2190</v>
      </c>
      <c r="C501" s="13" t="s">
        <v>2202</v>
      </c>
      <c r="D501" s="13" t="s">
        <v>2205</v>
      </c>
      <c r="E501" s="13" t="s">
        <v>2210</v>
      </c>
      <c r="F501" s="13" t="s">
        <v>2220</v>
      </c>
      <c r="G501" s="13">
        <v>204.68</v>
      </c>
      <c r="H501" s="13">
        <v>0</v>
      </c>
      <c r="I501" s="13">
        <v>204.68</v>
      </c>
      <c r="J501" s="24">
        <v>45875</v>
      </c>
      <c r="K501" s="13">
        <v>33</v>
      </c>
      <c r="L501" s="44">
        <v>3.1</v>
      </c>
      <c r="M501" s="13" t="b">
        <v>0</v>
      </c>
      <c r="O501" s="25">
        <f t="shared" si="28"/>
        <v>27</v>
      </c>
      <c r="P501" s="13">
        <f t="shared" si="29"/>
        <v>0</v>
      </c>
      <c r="Q501" s="13" t="str">
        <f t="shared" si="30"/>
        <v/>
      </c>
      <c r="R501" s="13" t="str">
        <f t="shared" si="31"/>
        <v>Non diskon</v>
      </c>
    </row>
    <row r="502" spans="1:18" x14ac:dyDescent="0.25">
      <c r="A502" s="13" t="s">
        <v>514</v>
      </c>
      <c r="B502" s="13" t="s">
        <v>2194</v>
      </c>
      <c r="C502" s="13" t="s">
        <v>2203</v>
      </c>
      <c r="D502" s="13" t="s">
        <v>2204</v>
      </c>
      <c r="E502" s="13" t="s">
        <v>2209</v>
      </c>
      <c r="F502" s="13" t="s">
        <v>2217</v>
      </c>
      <c r="G502" s="13">
        <v>117.26</v>
      </c>
      <c r="H502" s="13">
        <v>0</v>
      </c>
      <c r="I502" s="13">
        <v>117.26</v>
      </c>
      <c r="J502" s="24">
        <v>45560</v>
      </c>
      <c r="K502" s="13">
        <v>29</v>
      </c>
      <c r="L502" s="44">
        <v>3.1021739130434773</v>
      </c>
      <c r="M502" s="13" t="b">
        <v>0</v>
      </c>
      <c r="O502" s="25">
        <f t="shared" si="28"/>
        <v>342</v>
      </c>
      <c r="P502" s="13">
        <f t="shared" si="29"/>
        <v>0</v>
      </c>
      <c r="Q502" s="13" t="str">
        <f t="shared" si="30"/>
        <v/>
      </c>
      <c r="R502" s="13" t="str">
        <f t="shared" si="31"/>
        <v>Non diskon</v>
      </c>
    </row>
    <row r="503" spans="1:18" x14ac:dyDescent="0.25">
      <c r="A503" s="13" t="s">
        <v>515</v>
      </c>
      <c r="B503" s="13" t="s">
        <v>2190</v>
      </c>
      <c r="C503" s="13" t="s">
        <v>2202</v>
      </c>
      <c r="D503" s="13" t="s">
        <v>2207</v>
      </c>
      <c r="E503" s="13" t="s">
        <v>2211</v>
      </c>
      <c r="F503" s="13" t="s">
        <v>2217</v>
      </c>
      <c r="G503" s="13">
        <v>91.95</v>
      </c>
      <c r="H503" s="13">
        <v>0</v>
      </c>
      <c r="I503" s="13">
        <v>91.95</v>
      </c>
      <c r="J503" s="24">
        <v>45875</v>
      </c>
      <c r="K503" s="13">
        <v>1</v>
      </c>
      <c r="L503" s="44">
        <v>2.5</v>
      </c>
      <c r="M503" s="13" t="b">
        <v>0</v>
      </c>
      <c r="O503" s="25">
        <f t="shared" si="28"/>
        <v>27</v>
      </c>
      <c r="P503" s="13">
        <f t="shared" si="29"/>
        <v>0</v>
      </c>
      <c r="Q503" s="13" t="str">
        <f t="shared" si="30"/>
        <v/>
      </c>
      <c r="R503" s="13" t="str">
        <f t="shared" si="31"/>
        <v>Non diskon</v>
      </c>
    </row>
    <row r="504" spans="1:18" x14ac:dyDescent="0.25">
      <c r="A504" s="13" t="s">
        <v>516</v>
      </c>
      <c r="B504" s="13" t="s">
        <v>2194</v>
      </c>
      <c r="C504" s="13" t="s">
        <v>2202</v>
      </c>
      <c r="D504" s="13" t="s">
        <v>2206</v>
      </c>
      <c r="E504" s="13" t="s">
        <v>2208</v>
      </c>
      <c r="F504" s="13" t="s">
        <v>2222</v>
      </c>
      <c r="G504" s="13">
        <v>94.53</v>
      </c>
      <c r="H504" s="13">
        <v>0</v>
      </c>
      <c r="I504" s="13">
        <v>94.53</v>
      </c>
      <c r="J504" s="24">
        <v>45875</v>
      </c>
      <c r="K504" s="13">
        <v>13</v>
      </c>
      <c r="L504" s="44">
        <v>2.4</v>
      </c>
      <c r="M504" s="13" t="b">
        <v>0</v>
      </c>
      <c r="O504" s="25">
        <f t="shared" si="28"/>
        <v>27</v>
      </c>
      <c r="P504" s="13">
        <f t="shared" si="29"/>
        <v>0</v>
      </c>
      <c r="Q504" s="13" t="str">
        <f t="shared" si="30"/>
        <v/>
      </c>
      <c r="R504" s="13" t="str">
        <f t="shared" si="31"/>
        <v>Non diskon</v>
      </c>
    </row>
    <row r="505" spans="1:18" x14ac:dyDescent="0.25">
      <c r="A505" s="13" t="s">
        <v>517</v>
      </c>
      <c r="B505" s="13" t="s">
        <v>2195</v>
      </c>
      <c r="C505" s="13" t="s">
        <v>2199</v>
      </c>
      <c r="D505" s="13" t="s">
        <v>2206</v>
      </c>
      <c r="E505" s="13" t="s">
        <v>2211</v>
      </c>
      <c r="F505" s="13" t="s">
        <v>2217</v>
      </c>
      <c r="G505" s="13">
        <v>71.94</v>
      </c>
      <c r="H505" s="13">
        <v>3</v>
      </c>
      <c r="I505" s="13">
        <v>69.78</v>
      </c>
      <c r="J505" s="24">
        <v>45875</v>
      </c>
      <c r="K505" s="13">
        <v>45</v>
      </c>
      <c r="L505" s="44">
        <v>1.4</v>
      </c>
      <c r="M505" s="13" t="b">
        <v>0</v>
      </c>
      <c r="O505" s="25">
        <f t="shared" si="28"/>
        <v>27</v>
      </c>
      <c r="P505" s="13">
        <f t="shared" si="29"/>
        <v>135</v>
      </c>
      <c r="Q505" s="13" t="str">
        <f t="shared" si="30"/>
        <v/>
      </c>
      <c r="R505" s="13" t="str">
        <f t="shared" si="31"/>
        <v>Diskon</v>
      </c>
    </row>
    <row r="506" spans="1:18" x14ac:dyDescent="0.25">
      <c r="A506" s="13" t="s">
        <v>518</v>
      </c>
      <c r="B506" s="13" t="s">
        <v>2195</v>
      </c>
      <c r="C506" s="13" t="s">
        <v>2201</v>
      </c>
      <c r="D506" s="13" t="s">
        <v>2205</v>
      </c>
      <c r="E506" s="13" t="s">
        <v>2208</v>
      </c>
      <c r="F506" s="13" t="s">
        <v>2220</v>
      </c>
      <c r="G506" s="13">
        <v>177.72</v>
      </c>
      <c r="H506" s="13">
        <v>5.9</v>
      </c>
      <c r="I506" s="13">
        <v>167.23</v>
      </c>
      <c r="J506" s="24">
        <v>45875</v>
      </c>
      <c r="K506" s="13">
        <v>47</v>
      </c>
      <c r="L506" s="44">
        <v>3.1874999999999991</v>
      </c>
      <c r="M506" s="13" t="b">
        <v>0</v>
      </c>
      <c r="O506" s="25">
        <f t="shared" si="28"/>
        <v>27</v>
      </c>
      <c r="P506" s="13">
        <f t="shared" si="29"/>
        <v>277.3</v>
      </c>
      <c r="Q506" s="13" t="str">
        <f t="shared" si="30"/>
        <v/>
      </c>
      <c r="R506" s="13" t="str">
        <f t="shared" si="31"/>
        <v>Diskon</v>
      </c>
    </row>
    <row r="507" spans="1:18" x14ac:dyDescent="0.25">
      <c r="A507" s="13" t="s">
        <v>519</v>
      </c>
      <c r="B507" s="13" t="s">
        <v>2192</v>
      </c>
      <c r="C507" s="13" t="s">
        <v>2196</v>
      </c>
      <c r="D507" s="13" t="s">
        <v>2207</v>
      </c>
      <c r="F507" s="13" t="s">
        <v>2217</v>
      </c>
      <c r="G507" s="13">
        <v>34.4</v>
      </c>
      <c r="H507" s="13">
        <v>0</v>
      </c>
      <c r="I507" s="13">
        <v>34.4</v>
      </c>
      <c r="J507" s="24">
        <v>45875</v>
      </c>
      <c r="K507" s="13">
        <v>43</v>
      </c>
      <c r="L507" s="44">
        <v>3</v>
      </c>
      <c r="M507" s="13" t="b">
        <v>1</v>
      </c>
      <c r="N507" s="13" t="s">
        <v>2230</v>
      </c>
      <c r="O507" s="25">
        <f t="shared" si="28"/>
        <v>27</v>
      </c>
      <c r="P507" s="13">
        <f t="shared" si="29"/>
        <v>0</v>
      </c>
      <c r="Q507" s="13">
        <f t="shared" si="30"/>
        <v>1</v>
      </c>
      <c r="R507" s="13" t="str">
        <f t="shared" si="31"/>
        <v>Non diskon</v>
      </c>
    </row>
    <row r="508" spans="1:18" x14ac:dyDescent="0.25">
      <c r="A508" s="13" t="s">
        <v>520</v>
      </c>
      <c r="B508" s="13" t="s">
        <v>2194</v>
      </c>
      <c r="C508" s="13" t="s">
        <v>2198</v>
      </c>
      <c r="D508" s="13" t="s">
        <v>2204</v>
      </c>
      <c r="E508" s="13" t="s">
        <v>2213</v>
      </c>
      <c r="F508" s="13" t="s">
        <v>2218</v>
      </c>
      <c r="G508" s="13">
        <v>119.72</v>
      </c>
      <c r="H508" s="13">
        <v>0</v>
      </c>
      <c r="I508" s="13">
        <v>119.72</v>
      </c>
      <c r="J508" s="24">
        <v>45675</v>
      </c>
      <c r="K508" s="13">
        <v>18</v>
      </c>
      <c r="L508" s="44">
        <v>3.7</v>
      </c>
      <c r="M508" s="13" t="b">
        <v>0</v>
      </c>
      <c r="O508" s="25">
        <f t="shared" si="28"/>
        <v>227</v>
      </c>
      <c r="P508" s="13">
        <f t="shared" si="29"/>
        <v>0</v>
      </c>
      <c r="Q508" s="13" t="str">
        <f t="shared" si="30"/>
        <v/>
      </c>
      <c r="R508" s="13" t="str">
        <f t="shared" si="31"/>
        <v>Non diskon</v>
      </c>
    </row>
    <row r="509" spans="1:18" x14ac:dyDescent="0.25">
      <c r="A509" s="13" t="s">
        <v>521</v>
      </c>
      <c r="B509" s="13" t="s">
        <v>2192</v>
      </c>
      <c r="C509" s="13" t="s">
        <v>2200</v>
      </c>
      <c r="D509" s="13" t="s">
        <v>2207</v>
      </c>
      <c r="F509" s="13" t="s">
        <v>2224</v>
      </c>
      <c r="G509" s="13">
        <v>44.09</v>
      </c>
      <c r="H509" s="13">
        <v>0</v>
      </c>
      <c r="I509" s="13">
        <v>44.09</v>
      </c>
      <c r="J509" s="24">
        <v>45875</v>
      </c>
      <c r="K509" s="13">
        <v>2</v>
      </c>
      <c r="L509" s="44">
        <v>2</v>
      </c>
      <c r="M509" s="13" t="b">
        <v>0</v>
      </c>
      <c r="O509" s="25">
        <f t="shared" si="28"/>
        <v>27</v>
      </c>
      <c r="P509" s="13">
        <f t="shared" si="29"/>
        <v>0</v>
      </c>
      <c r="Q509" s="13" t="str">
        <f t="shared" si="30"/>
        <v/>
      </c>
      <c r="R509" s="13" t="str">
        <f t="shared" si="31"/>
        <v>Non diskon</v>
      </c>
    </row>
    <row r="510" spans="1:18" x14ac:dyDescent="0.25">
      <c r="A510" s="13" t="s">
        <v>522</v>
      </c>
      <c r="B510" s="13" t="s">
        <v>2194</v>
      </c>
      <c r="C510" s="13" t="s">
        <v>2199</v>
      </c>
      <c r="D510" s="13" t="s">
        <v>2204</v>
      </c>
      <c r="E510" s="13" t="s">
        <v>2208</v>
      </c>
      <c r="F510" s="13" t="s">
        <v>2223</v>
      </c>
      <c r="G510" s="13">
        <v>42.47</v>
      </c>
      <c r="H510" s="13">
        <v>0</v>
      </c>
      <c r="I510" s="13">
        <v>42.47</v>
      </c>
      <c r="J510" s="24">
        <v>45610</v>
      </c>
      <c r="K510" s="13">
        <v>33</v>
      </c>
      <c r="L510" s="44">
        <v>4.5</v>
      </c>
      <c r="M510" s="13" t="b">
        <v>1</v>
      </c>
      <c r="N510" s="13" t="s">
        <v>2229</v>
      </c>
      <c r="O510" s="25">
        <f t="shared" si="28"/>
        <v>292</v>
      </c>
      <c r="P510" s="13">
        <f t="shared" si="29"/>
        <v>0</v>
      </c>
      <c r="Q510" s="13">
        <f t="shared" si="30"/>
        <v>1</v>
      </c>
      <c r="R510" s="13" t="str">
        <f t="shared" si="31"/>
        <v>Non diskon</v>
      </c>
    </row>
    <row r="511" spans="1:18" x14ac:dyDescent="0.25">
      <c r="A511" s="13" t="s">
        <v>523</v>
      </c>
      <c r="B511" s="13" t="s">
        <v>2195</v>
      </c>
      <c r="C511" s="13" t="s">
        <v>2198</v>
      </c>
      <c r="D511" s="13" t="s">
        <v>2207</v>
      </c>
      <c r="E511" s="13" t="s">
        <v>2208</v>
      </c>
      <c r="F511" s="13" t="s">
        <v>2223</v>
      </c>
      <c r="G511" s="13">
        <v>68.430000000000007</v>
      </c>
      <c r="H511" s="13">
        <v>0</v>
      </c>
      <c r="I511" s="13">
        <v>68.430000000000007</v>
      </c>
      <c r="J511" s="24">
        <v>45875</v>
      </c>
      <c r="K511" s="13">
        <v>16</v>
      </c>
      <c r="L511" s="44">
        <v>2.9000000000000008</v>
      </c>
      <c r="M511" s="13" t="b">
        <v>0</v>
      </c>
      <c r="O511" s="25">
        <f t="shared" si="28"/>
        <v>27</v>
      </c>
      <c r="P511" s="13">
        <f t="shared" si="29"/>
        <v>0</v>
      </c>
      <c r="Q511" s="13" t="str">
        <f t="shared" si="30"/>
        <v/>
      </c>
      <c r="R511" s="13" t="str">
        <f t="shared" si="31"/>
        <v>Non diskon</v>
      </c>
    </row>
    <row r="512" spans="1:18" x14ac:dyDescent="0.25">
      <c r="A512" s="13" t="s">
        <v>524</v>
      </c>
      <c r="B512" s="13" t="s">
        <v>2193</v>
      </c>
      <c r="C512" s="13" t="s">
        <v>2196</v>
      </c>
      <c r="D512" s="13" t="s">
        <v>2206</v>
      </c>
      <c r="E512" s="13" t="s">
        <v>2212</v>
      </c>
      <c r="F512" s="13" t="s">
        <v>2220</v>
      </c>
      <c r="G512" s="13">
        <v>165.39</v>
      </c>
      <c r="H512" s="13">
        <v>31.8</v>
      </c>
      <c r="I512" s="13">
        <v>112.8</v>
      </c>
      <c r="J512" s="24">
        <v>45875</v>
      </c>
      <c r="K512" s="13">
        <v>9</v>
      </c>
      <c r="L512" s="44">
        <v>4.5999999999999996</v>
      </c>
      <c r="M512" s="13" t="b">
        <v>0</v>
      </c>
      <c r="O512" s="25">
        <f t="shared" si="28"/>
        <v>27</v>
      </c>
      <c r="P512" s="13">
        <f t="shared" si="29"/>
        <v>286.2</v>
      </c>
      <c r="Q512" s="13" t="str">
        <f t="shared" si="30"/>
        <v/>
      </c>
      <c r="R512" s="13" t="str">
        <f t="shared" si="31"/>
        <v>Diskon</v>
      </c>
    </row>
    <row r="513" spans="1:18" x14ac:dyDescent="0.25">
      <c r="A513" s="13" t="s">
        <v>525</v>
      </c>
      <c r="B513" s="13" t="s">
        <v>2192</v>
      </c>
      <c r="C513" s="13" t="s">
        <v>2201</v>
      </c>
      <c r="D513" s="13" t="s">
        <v>2205</v>
      </c>
      <c r="F513" s="13" t="s">
        <v>2220</v>
      </c>
      <c r="G513" s="13">
        <v>35.36</v>
      </c>
      <c r="H513" s="13">
        <v>0</v>
      </c>
      <c r="I513" s="13">
        <v>35.36</v>
      </c>
      <c r="J513" s="24">
        <v>45875</v>
      </c>
      <c r="K513" s="13">
        <v>42</v>
      </c>
      <c r="L513" s="44">
        <v>4.5</v>
      </c>
      <c r="M513" s="13" t="b">
        <v>0</v>
      </c>
      <c r="O513" s="25">
        <f t="shared" si="28"/>
        <v>27</v>
      </c>
      <c r="P513" s="13">
        <f t="shared" si="29"/>
        <v>0</v>
      </c>
      <c r="Q513" s="13" t="str">
        <f t="shared" si="30"/>
        <v/>
      </c>
      <c r="R513" s="13" t="str">
        <f t="shared" si="31"/>
        <v>Non diskon</v>
      </c>
    </row>
    <row r="514" spans="1:18" x14ac:dyDescent="0.25">
      <c r="A514" s="13" t="s">
        <v>526</v>
      </c>
      <c r="B514" s="13" t="s">
        <v>2195</v>
      </c>
      <c r="C514" s="13" t="s">
        <v>2200</v>
      </c>
      <c r="D514" s="13" t="s">
        <v>2207</v>
      </c>
      <c r="E514" s="13" t="s">
        <v>2213</v>
      </c>
      <c r="F514" s="13" t="s">
        <v>2222</v>
      </c>
      <c r="G514" s="13">
        <v>95.73</v>
      </c>
      <c r="H514" s="13">
        <v>0</v>
      </c>
      <c r="I514" s="13">
        <v>95.73</v>
      </c>
      <c r="J514" s="24">
        <v>45875</v>
      </c>
      <c r="K514" s="13">
        <v>6</v>
      </c>
      <c r="L514" s="44">
        <v>4.5999999999999996</v>
      </c>
      <c r="M514" s="13" t="b">
        <v>0</v>
      </c>
      <c r="O514" s="25">
        <f t="shared" si="28"/>
        <v>27</v>
      </c>
      <c r="P514" s="13">
        <f t="shared" si="29"/>
        <v>0</v>
      </c>
      <c r="Q514" s="13" t="str">
        <f t="shared" si="30"/>
        <v/>
      </c>
      <c r="R514" s="13" t="str">
        <f t="shared" si="31"/>
        <v>Non diskon</v>
      </c>
    </row>
    <row r="515" spans="1:18" x14ac:dyDescent="0.25">
      <c r="A515" s="13" t="s">
        <v>527</v>
      </c>
      <c r="B515" s="13" t="s">
        <v>2192</v>
      </c>
      <c r="C515" s="13" t="s">
        <v>2198</v>
      </c>
      <c r="D515" s="13" t="s">
        <v>2204</v>
      </c>
      <c r="F515" s="13" t="s">
        <v>2224</v>
      </c>
      <c r="G515" s="13">
        <v>72.28</v>
      </c>
      <c r="H515" s="13">
        <v>51.3</v>
      </c>
      <c r="I515" s="13">
        <v>35.200000000000003</v>
      </c>
      <c r="J515" s="24">
        <v>45703</v>
      </c>
      <c r="K515" s="13">
        <v>31</v>
      </c>
      <c r="L515" s="44">
        <v>1.9</v>
      </c>
      <c r="M515" s="13" t="b">
        <v>0</v>
      </c>
      <c r="O515" s="25">
        <f t="shared" ref="O515:O578" si="32">DATE(2025,9,2)-J515</f>
        <v>199</v>
      </c>
      <c r="P515" s="13">
        <f t="shared" ref="P515:P578" si="33">H515*K515</f>
        <v>1590.3</v>
      </c>
      <c r="Q515" s="13" t="str">
        <f t="shared" ref="Q515:Q578" si="34">IF(M515=FALSE,"",1)</f>
        <v/>
      </c>
      <c r="R515" s="13" t="str">
        <f t="shared" ref="R515:R578" si="35">IF(H515=0,"Non diskon","Diskon")</f>
        <v>Diskon</v>
      </c>
    </row>
    <row r="516" spans="1:18" x14ac:dyDescent="0.25">
      <c r="A516" s="13" t="s">
        <v>528</v>
      </c>
      <c r="B516" s="13" t="s">
        <v>2190</v>
      </c>
      <c r="C516" s="13" t="s">
        <v>2201</v>
      </c>
      <c r="D516" s="13" t="s">
        <v>2207</v>
      </c>
      <c r="F516" s="13" t="s">
        <v>2217</v>
      </c>
      <c r="G516" s="13">
        <v>80.349999999999994</v>
      </c>
      <c r="H516" s="13">
        <v>0</v>
      </c>
      <c r="I516" s="13">
        <v>80.349999999999994</v>
      </c>
      <c r="J516" s="24">
        <v>45875</v>
      </c>
      <c r="K516" s="13">
        <v>28</v>
      </c>
      <c r="L516" s="44">
        <v>2.9</v>
      </c>
      <c r="M516" s="13" t="b">
        <v>0</v>
      </c>
      <c r="O516" s="25">
        <f t="shared" si="32"/>
        <v>27</v>
      </c>
      <c r="P516" s="13">
        <f t="shared" si="33"/>
        <v>0</v>
      </c>
      <c r="Q516" s="13" t="str">
        <f t="shared" si="34"/>
        <v/>
      </c>
      <c r="R516" s="13" t="str">
        <f t="shared" si="35"/>
        <v>Non diskon</v>
      </c>
    </row>
    <row r="517" spans="1:18" x14ac:dyDescent="0.25">
      <c r="A517" s="13" t="s">
        <v>529</v>
      </c>
      <c r="B517" s="13" t="s">
        <v>2194</v>
      </c>
      <c r="C517" s="13" t="s">
        <v>2198</v>
      </c>
      <c r="D517" s="13" t="s">
        <v>2205</v>
      </c>
      <c r="E517" s="13" t="s">
        <v>2208</v>
      </c>
      <c r="F517" s="13" t="s">
        <v>2218</v>
      </c>
      <c r="G517" s="13">
        <v>119.04</v>
      </c>
      <c r="H517" s="13">
        <v>0</v>
      </c>
      <c r="I517" s="13">
        <v>119.04</v>
      </c>
      <c r="J517" s="24">
        <v>45875</v>
      </c>
      <c r="K517" s="13">
        <v>35</v>
      </c>
      <c r="L517" s="44">
        <v>1.4</v>
      </c>
      <c r="M517" s="13" t="b">
        <v>0</v>
      </c>
      <c r="O517" s="25">
        <f t="shared" si="32"/>
        <v>27</v>
      </c>
      <c r="P517" s="13">
        <f t="shared" si="33"/>
        <v>0</v>
      </c>
      <c r="Q517" s="13" t="str">
        <f t="shared" si="34"/>
        <v/>
      </c>
      <c r="R517" s="13" t="str">
        <f t="shared" si="35"/>
        <v>Non diskon</v>
      </c>
    </row>
    <row r="518" spans="1:18" x14ac:dyDescent="0.25">
      <c r="A518" s="13" t="s">
        <v>530</v>
      </c>
      <c r="B518" s="13" t="s">
        <v>2191</v>
      </c>
      <c r="C518" s="13" t="s">
        <v>2202</v>
      </c>
      <c r="D518" s="13" t="s">
        <v>2205</v>
      </c>
      <c r="E518" s="13" t="s">
        <v>2212</v>
      </c>
      <c r="F518" s="13" t="s">
        <v>2224</v>
      </c>
      <c r="G518" s="13">
        <v>60.53</v>
      </c>
      <c r="H518" s="13">
        <v>42.5</v>
      </c>
      <c r="I518" s="13">
        <v>34.799999999999997</v>
      </c>
      <c r="J518" s="24">
        <v>45875</v>
      </c>
      <c r="K518" s="13">
        <v>8</v>
      </c>
      <c r="L518" s="44">
        <v>2.9074999999999998</v>
      </c>
      <c r="M518" s="13" t="b">
        <v>1</v>
      </c>
      <c r="N518" s="13" t="s">
        <v>2225</v>
      </c>
      <c r="O518" s="25">
        <f t="shared" si="32"/>
        <v>27</v>
      </c>
      <c r="P518" s="13">
        <f t="shared" si="33"/>
        <v>340</v>
      </c>
      <c r="Q518" s="13">
        <f t="shared" si="34"/>
        <v>1</v>
      </c>
      <c r="R518" s="13" t="str">
        <f t="shared" si="35"/>
        <v>Diskon</v>
      </c>
    </row>
    <row r="519" spans="1:18" x14ac:dyDescent="0.25">
      <c r="A519" s="13" t="s">
        <v>531</v>
      </c>
      <c r="B519" s="13" t="s">
        <v>2190</v>
      </c>
      <c r="C519" s="13" t="s">
        <v>2200</v>
      </c>
      <c r="D519" s="13" t="s">
        <v>2206</v>
      </c>
      <c r="E519" s="13" t="s">
        <v>2213</v>
      </c>
      <c r="F519" s="13" t="s">
        <v>2222</v>
      </c>
      <c r="G519" s="13">
        <v>92.54</v>
      </c>
      <c r="H519" s="13">
        <v>43.8</v>
      </c>
      <c r="I519" s="13">
        <v>52.01</v>
      </c>
      <c r="J519" s="24">
        <v>45875</v>
      </c>
      <c r="K519" s="13">
        <v>33</v>
      </c>
      <c r="L519" s="44">
        <v>1.5</v>
      </c>
      <c r="M519" s="13" t="b">
        <v>1</v>
      </c>
      <c r="N519" s="13" t="s">
        <v>2227</v>
      </c>
      <c r="O519" s="25">
        <f t="shared" si="32"/>
        <v>27</v>
      </c>
      <c r="P519" s="13">
        <f t="shared" si="33"/>
        <v>1445.3999999999999</v>
      </c>
      <c r="Q519" s="13">
        <f t="shared" si="34"/>
        <v>1</v>
      </c>
      <c r="R519" s="13" t="str">
        <f t="shared" si="35"/>
        <v>Diskon</v>
      </c>
    </row>
    <row r="520" spans="1:18" x14ac:dyDescent="0.25">
      <c r="A520" s="13" t="s">
        <v>532</v>
      </c>
      <c r="B520" s="13" t="s">
        <v>2192</v>
      </c>
      <c r="C520" s="13" t="s">
        <v>2197</v>
      </c>
      <c r="D520" s="13" t="s">
        <v>2206</v>
      </c>
      <c r="F520" s="13" t="s">
        <v>2215</v>
      </c>
      <c r="G520" s="13">
        <v>28.4</v>
      </c>
      <c r="H520" s="13">
        <v>0</v>
      </c>
      <c r="I520" s="13">
        <v>28.4</v>
      </c>
      <c r="J520" s="24">
        <v>45875</v>
      </c>
      <c r="K520" s="13">
        <v>4</v>
      </c>
      <c r="L520" s="44">
        <v>3.1</v>
      </c>
      <c r="M520" s="13" t="b">
        <v>0</v>
      </c>
      <c r="O520" s="25">
        <f t="shared" si="32"/>
        <v>27</v>
      </c>
      <c r="P520" s="13">
        <f t="shared" si="33"/>
        <v>0</v>
      </c>
      <c r="Q520" s="13" t="str">
        <f t="shared" si="34"/>
        <v/>
      </c>
      <c r="R520" s="13" t="str">
        <f t="shared" si="35"/>
        <v>Non diskon</v>
      </c>
    </row>
    <row r="521" spans="1:18" x14ac:dyDescent="0.25">
      <c r="A521" s="13" t="s">
        <v>533</v>
      </c>
      <c r="B521" s="13" t="s">
        <v>2194</v>
      </c>
      <c r="C521" s="13" t="s">
        <v>2196</v>
      </c>
      <c r="D521" s="13" t="s">
        <v>2207</v>
      </c>
      <c r="E521" s="13" t="s">
        <v>2213</v>
      </c>
      <c r="F521" s="13" t="s">
        <v>2218</v>
      </c>
      <c r="G521" s="13">
        <v>91.65</v>
      </c>
      <c r="H521" s="13">
        <v>0</v>
      </c>
      <c r="I521" s="13">
        <v>91.65</v>
      </c>
      <c r="J521" s="24">
        <v>45875</v>
      </c>
      <c r="K521" s="13">
        <v>40</v>
      </c>
      <c r="L521" s="44">
        <v>3.8</v>
      </c>
      <c r="M521" s="13" t="b">
        <v>0</v>
      </c>
      <c r="O521" s="25">
        <f t="shared" si="32"/>
        <v>27</v>
      </c>
      <c r="P521" s="13">
        <f t="shared" si="33"/>
        <v>0</v>
      </c>
      <c r="Q521" s="13" t="str">
        <f t="shared" si="34"/>
        <v/>
      </c>
      <c r="R521" s="13" t="str">
        <f t="shared" si="35"/>
        <v>Non diskon</v>
      </c>
    </row>
    <row r="522" spans="1:18" x14ac:dyDescent="0.25">
      <c r="A522" s="13" t="s">
        <v>534</v>
      </c>
      <c r="B522" s="13" t="s">
        <v>2192</v>
      </c>
      <c r="C522" s="13" t="s">
        <v>2199</v>
      </c>
      <c r="D522" s="13" t="s">
        <v>2206</v>
      </c>
      <c r="F522" s="13" t="s">
        <v>2222</v>
      </c>
      <c r="G522" s="13">
        <v>72.569999999999993</v>
      </c>
      <c r="H522" s="13">
        <v>0</v>
      </c>
      <c r="I522" s="13">
        <v>72.569999999999993</v>
      </c>
      <c r="J522" s="24">
        <v>45875</v>
      </c>
      <c r="K522" s="13">
        <v>27</v>
      </c>
      <c r="L522" s="44">
        <v>2.5</v>
      </c>
      <c r="M522" s="13" t="b">
        <v>0</v>
      </c>
      <c r="O522" s="25">
        <f t="shared" si="32"/>
        <v>27</v>
      </c>
      <c r="P522" s="13">
        <f t="shared" si="33"/>
        <v>0</v>
      </c>
      <c r="Q522" s="13" t="str">
        <f t="shared" si="34"/>
        <v/>
      </c>
      <c r="R522" s="13" t="str">
        <f t="shared" si="35"/>
        <v>Non diskon</v>
      </c>
    </row>
    <row r="523" spans="1:18" x14ac:dyDescent="0.25">
      <c r="A523" s="13" t="s">
        <v>535</v>
      </c>
      <c r="B523" s="13" t="s">
        <v>2194</v>
      </c>
      <c r="C523" s="13" t="s">
        <v>2200</v>
      </c>
      <c r="D523" s="13" t="s">
        <v>2206</v>
      </c>
      <c r="E523" s="13" t="s">
        <v>2209</v>
      </c>
      <c r="F523" s="13" t="s">
        <v>2219</v>
      </c>
      <c r="G523" s="13">
        <v>39.049999999999997</v>
      </c>
      <c r="H523" s="13">
        <v>0</v>
      </c>
      <c r="I523" s="13">
        <v>39.049999999999997</v>
      </c>
      <c r="J523" s="24">
        <v>45875</v>
      </c>
      <c r="K523" s="13">
        <v>10</v>
      </c>
      <c r="L523" s="44">
        <v>3.5</v>
      </c>
      <c r="M523" s="13" t="b">
        <v>0</v>
      </c>
      <c r="O523" s="25">
        <f t="shared" si="32"/>
        <v>27</v>
      </c>
      <c r="P523" s="13">
        <f t="shared" si="33"/>
        <v>0</v>
      </c>
      <c r="Q523" s="13" t="str">
        <f t="shared" si="34"/>
        <v/>
      </c>
      <c r="R523" s="13" t="str">
        <f t="shared" si="35"/>
        <v>Non diskon</v>
      </c>
    </row>
    <row r="524" spans="1:18" x14ac:dyDescent="0.25">
      <c r="A524" s="13" t="s">
        <v>536</v>
      </c>
      <c r="B524" s="13" t="s">
        <v>2195</v>
      </c>
      <c r="C524" s="13" t="s">
        <v>2196</v>
      </c>
      <c r="D524" s="13" t="s">
        <v>2205</v>
      </c>
      <c r="E524" s="13" t="s">
        <v>2210</v>
      </c>
      <c r="F524" s="13" t="s">
        <v>2218</v>
      </c>
      <c r="G524" s="13">
        <v>113.21</v>
      </c>
      <c r="H524" s="13">
        <v>0</v>
      </c>
      <c r="I524" s="13">
        <v>113.21</v>
      </c>
      <c r="J524" s="24">
        <v>45875</v>
      </c>
      <c r="K524" s="13">
        <v>12</v>
      </c>
      <c r="L524" s="44">
        <v>4.4000000000000004</v>
      </c>
      <c r="M524" s="13" t="b">
        <v>0</v>
      </c>
      <c r="O524" s="25">
        <f t="shared" si="32"/>
        <v>27</v>
      </c>
      <c r="P524" s="13">
        <f t="shared" si="33"/>
        <v>0</v>
      </c>
      <c r="Q524" s="13" t="str">
        <f t="shared" si="34"/>
        <v/>
      </c>
      <c r="R524" s="13" t="str">
        <f t="shared" si="35"/>
        <v>Non diskon</v>
      </c>
    </row>
    <row r="525" spans="1:18" x14ac:dyDescent="0.25">
      <c r="A525" s="13" t="s">
        <v>537</v>
      </c>
      <c r="B525" s="13" t="s">
        <v>2192</v>
      </c>
      <c r="C525" s="13" t="s">
        <v>2203</v>
      </c>
      <c r="D525" s="13" t="s">
        <v>2204</v>
      </c>
      <c r="F525" s="13" t="s">
        <v>2222</v>
      </c>
      <c r="G525" s="13">
        <v>25.34</v>
      </c>
      <c r="H525" s="13">
        <v>0</v>
      </c>
      <c r="I525" s="13">
        <v>25.34</v>
      </c>
      <c r="J525" s="24">
        <v>45869</v>
      </c>
      <c r="K525" s="13">
        <v>17</v>
      </c>
      <c r="L525" s="44">
        <v>3.3</v>
      </c>
      <c r="M525" s="13" t="b">
        <v>0</v>
      </c>
      <c r="O525" s="25">
        <f t="shared" si="32"/>
        <v>33</v>
      </c>
      <c r="P525" s="13">
        <f t="shared" si="33"/>
        <v>0</v>
      </c>
      <c r="Q525" s="13" t="str">
        <f t="shared" si="34"/>
        <v/>
      </c>
      <c r="R525" s="13" t="str">
        <f t="shared" si="35"/>
        <v>Non diskon</v>
      </c>
    </row>
    <row r="526" spans="1:18" x14ac:dyDescent="0.25">
      <c r="A526" s="13" t="s">
        <v>538</v>
      </c>
      <c r="B526" s="13" t="s">
        <v>2191</v>
      </c>
      <c r="C526" s="13" t="s">
        <v>2199</v>
      </c>
      <c r="D526" s="13" t="s">
        <v>2204</v>
      </c>
      <c r="E526" s="13" t="s">
        <v>2209</v>
      </c>
      <c r="F526" s="13" t="s">
        <v>2216</v>
      </c>
      <c r="G526" s="13">
        <v>98.16</v>
      </c>
      <c r="H526" s="13">
        <v>56.7</v>
      </c>
      <c r="I526" s="13">
        <v>42.5</v>
      </c>
      <c r="J526" s="24">
        <v>45693</v>
      </c>
      <c r="K526" s="13">
        <v>44</v>
      </c>
      <c r="L526" s="44">
        <v>2.6</v>
      </c>
      <c r="M526" s="13" t="b">
        <v>0</v>
      </c>
      <c r="O526" s="25">
        <f t="shared" si="32"/>
        <v>209</v>
      </c>
      <c r="P526" s="13">
        <f t="shared" si="33"/>
        <v>2494.8000000000002</v>
      </c>
      <c r="Q526" s="13" t="str">
        <f t="shared" si="34"/>
        <v/>
      </c>
      <c r="R526" s="13" t="str">
        <f t="shared" si="35"/>
        <v>Diskon</v>
      </c>
    </row>
    <row r="527" spans="1:18" x14ac:dyDescent="0.25">
      <c r="A527" s="13" t="s">
        <v>539</v>
      </c>
      <c r="B527" s="13" t="s">
        <v>2191</v>
      </c>
      <c r="C527" s="13" t="s">
        <v>2198</v>
      </c>
      <c r="D527" s="13" t="s">
        <v>2204</v>
      </c>
      <c r="E527" s="13" t="s">
        <v>2212</v>
      </c>
      <c r="F527" s="13" t="s">
        <v>2223</v>
      </c>
      <c r="G527" s="13">
        <v>60.54</v>
      </c>
      <c r="H527" s="13">
        <v>0</v>
      </c>
      <c r="I527" s="13">
        <v>60.54</v>
      </c>
      <c r="J527" s="24">
        <v>45757</v>
      </c>
      <c r="K527" s="13">
        <v>35</v>
      </c>
      <c r="L527" s="44">
        <v>1.7</v>
      </c>
      <c r="M527" s="13" t="b">
        <v>0</v>
      </c>
      <c r="O527" s="25">
        <f t="shared" si="32"/>
        <v>145</v>
      </c>
      <c r="P527" s="13">
        <f t="shared" si="33"/>
        <v>0</v>
      </c>
      <c r="Q527" s="13" t="str">
        <f t="shared" si="34"/>
        <v/>
      </c>
      <c r="R527" s="13" t="str">
        <f t="shared" si="35"/>
        <v>Non diskon</v>
      </c>
    </row>
    <row r="528" spans="1:18" x14ac:dyDescent="0.25">
      <c r="A528" s="13" t="s">
        <v>540</v>
      </c>
      <c r="B528" s="13" t="s">
        <v>2195</v>
      </c>
      <c r="C528" s="13" t="s">
        <v>2196</v>
      </c>
      <c r="D528" s="13" t="s">
        <v>2205</v>
      </c>
      <c r="E528" s="13" t="s">
        <v>2210</v>
      </c>
      <c r="F528" s="13" t="s">
        <v>2215</v>
      </c>
      <c r="G528" s="13">
        <v>132.61000000000001</v>
      </c>
      <c r="H528" s="13">
        <v>7.4</v>
      </c>
      <c r="I528" s="13">
        <v>122.8</v>
      </c>
      <c r="J528" s="24">
        <v>45875</v>
      </c>
      <c r="K528" s="13">
        <v>0</v>
      </c>
      <c r="L528" s="44">
        <v>4.2</v>
      </c>
      <c r="M528" s="13" t="b">
        <v>0</v>
      </c>
      <c r="O528" s="25">
        <f t="shared" si="32"/>
        <v>27</v>
      </c>
      <c r="P528" s="13">
        <f t="shared" si="33"/>
        <v>0</v>
      </c>
      <c r="Q528" s="13" t="str">
        <f t="shared" si="34"/>
        <v/>
      </c>
      <c r="R528" s="13" t="str">
        <f t="shared" si="35"/>
        <v>Diskon</v>
      </c>
    </row>
    <row r="529" spans="1:18" x14ac:dyDescent="0.25">
      <c r="A529" s="13" t="s">
        <v>541</v>
      </c>
      <c r="B529" s="13" t="s">
        <v>2190</v>
      </c>
      <c r="C529" s="13" t="s">
        <v>2201</v>
      </c>
      <c r="D529" s="13" t="s">
        <v>2206</v>
      </c>
      <c r="E529" s="13" t="s">
        <v>2208</v>
      </c>
      <c r="F529" s="13" t="s">
        <v>2215</v>
      </c>
      <c r="G529" s="13">
        <v>234.14</v>
      </c>
      <c r="H529" s="13">
        <v>0</v>
      </c>
      <c r="I529" s="13">
        <v>234.14</v>
      </c>
      <c r="J529" s="24">
        <v>45875</v>
      </c>
      <c r="K529" s="13">
        <v>40</v>
      </c>
      <c r="L529" s="44">
        <v>1.7</v>
      </c>
      <c r="M529" s="13" t="b">
        <v>0</v>
      </c>
      <c r="O529" s="25">
        <f t="shared" si="32"/>
        <v>27</v>
      </c>
      <c r="P529" s="13">
        <f t="shared" si="33"/>
        <v>0</v>
      </c>
      <c r="Q529" s="13" t="str">
        <f t="shared" si="34"/>
        <v/>
      </c>
      <c r="R529" s="13" t="str">
        <f t="shared" si="35"/>
        <v>Non diskon</v>
      </c>
    </row>
    <row r="530" spans="1:18" x14ac:dyDescent="0.25">
      <c r="A530" s="13" t="s">
        <v>542</v>
      </c>
      <c r="B530" s="13" t="s">
        <v>2192</v>
      </c>
      <c r="C530" s="13" t="s">
        <v>2200</v>
      </c>
      <c r="D530" s="13" t="s">
        <v>2206</v>
      </c>
      <c r="F530" s="13" t="s">
        <v>2216</v>
      </c>
      <c r="G530" s="13">
        <v>31.86</v>
      </c>
      <c r="H530" s="13">
        <v>48.2</v>
      </c>
      <c r="I530" s="13">
        <v>16.5</v>
      </c>
      <c r="J530" s="24">
        <v>45875</v>
      </c>
      <c r="K530" s="13">
        <v>32</v>
      </c>
      <c r="L530" s="44">
        <v>4.5</v>
      </c>
      <c r="M530" s="13" t="b">
        <v>0</v>
      </c>
      <c r="O530" s="25">
        <f t="shared" si="32"/>
        <v>27</v>
      </c>
      <c r="P530" s="13">
        <f t="shared" si="33"/>
        <v>1542.4</v>
      </c>
      <c r="Q530" s="13" t="str">
        <f t="shared" si="34"/>
        <v/>
      </c>
      <c r="R530" s="13" t="str">
        <f t="shared" si="35"/>
        <v>Diskon</v>
      </c>
    </row>
    <row r="531" spans="1:18" x14ac:dyDescent="0.25">
      <c r="A531" s="13" t="s">
        <v>543</v>
      </c>
      <c r="B531" s="13" t="s">
        <v>2192</v>
      </c>
      <c r="C531" s="13" t="s">
        <v>2197</v>
      </c>
      <c r="D531" s="13" t="s">
        <v>2204</v>
      </c>
      <c r="F531" s="13" t="s">
        <v>2218</v>
      </c>
      <c r="G531" s="13">
        <v>15.14</v>
      </c>
      <c r="H531" s="13">
        <v>36.700000000000003</v>
      </c>
      <c r="I531" s="13">
        <v>9.58</v>
      </c>
      <c r="J531" s="24">
        <v>45861</v>
      </c>
      <c r="K531" s="13">
        <v>41</v>
      </c>
      <c r="L531" s="44">
        <v>3.8</v>
      </c>
      <c r="M531" s="13" t="b">
        <v>0</v>
      </c>
      <c r="O531" s="25">
        <f t="shared" si="32"/>
        <v>41</v>
      </c>
      <c r="P531" s="13">
        <f t="shared" si="33"/>
        <v>1504.7</v>
      </c>
      <c r="Q531" s="13" t="str">
        <f t="shared" si="34"/>
        <v/>
      </c>
      <c r="R531" s="13" t="str">
        <f t="shared" si="35"/>
        <v>Diskon</v>
      </c>
    </row>
    <row r="532" spans="1:18" x14ac:dyDescent="0.25">
      <c r="A532" s="13" t="s">
        <v>544</v>
      </c>
      <c r="B532" s="13" t="s">
        <v>2193</v>
      </c>
      <c r="C532" s="13" t="s">
        <v>2200</v>
      </c>
      <c r="D532" s="13" t="s">
        <v>2205</v>
      </c>
      <c r="E532" s="13" t="s">
        <v>2212</v>
      </c>
      <c r="F532" s="13" t="s">
        <v>2223</v>
      </c>
      <c r="G532" s="13">
        <v>77.72</v>
      </c>
      <c r="H532" s="13">
        <v>0</v>
      </c>
      <c r="I532" s="13">
        <v>77.72</v>
      </c>
      <c r="J532" s="24">
        <v>45875</v>
      </c>
      <c r="K532" s="13">
        <v>48</v>
      </c>
      <c r="L532" s="44">
        <v>1.1000000000000001</v>
      </c>
      <c r="M532" s="13" t="b">
        <v>0</v>
      </c>
      <c r="O532" s="25">
        <f t="shared" si="32"/>
        <v>27</v>
      </c>
      <c r="P532" s="13">
        <f t="shared" si="33"/>
        <v>0</v>
      </c>
      <c r="Q532" s="13" t="str">
        <f t="shared" si="34"/>
        <v/>
      </c>
      <c r="R532" s="13" t="str">
        <f t="shared" si="35"/>
        <v>Non diskon</v>
      </c>
    </row>
    <row r="533" spans="1:18" x14ac:dyDescent="0.25">
      <c r="A533" s="13" t="s">
        <v>545</v>
      </c>
      <c r="B533" s="13" t="s">
        <v>2192</v>
      </c>
      <c r="C533" s="13" t="s">
        <v>2196</v>
      </c>
      <c r="D533" s="13" t="s">
        <v>2204</v>
      </c>
      <c r="F533" s="13" t="s">
        <v>2218</v>
      </c>
      <c r="G533" s="13">
        <v>78.040000000000006</v>
      </c>
      <c r="H533" s="13">
        <v>0</v>
      </c>
      <c r="I533" s="13">
        <v>78.040000000000006</v>
      </c>
      <c r="J533" s="24">
        <v>45756</v>
      </c>
      <c r="K533" s="13">
        <v>38</v>
      </c>
      <c r="L533" s="44">
        <v>4.9000000000000004</v>
      </c>
      <c r="M533" s="13" t="b">
        <v>0</v>
      </c>
      <c r="O533" s="25">
        <f t="shared" si="32"/>
        <v>146</v>
      </c>
      <c r="P533" s="13">
        <f t="shared" si="33"/>
        <v>0</v>
      </c>
      <c r="Q533" s="13" t="str">
        <f t="shared" si="34"/>
        <v/>
      </c>
      <c r="R533" s="13" t="str">
        <f t="shared" si="35"/>
        <v>Non diskon</v>
      </c>
    </row>
    <row r="534" spans="1:18" x14ac:dyDescent="0.25">
      <c r="A534" s="13" t="s">
        <v>546</v>
      </c>
      <c r="B534" s="13" t="s">
        <v>2190</v>
      </c>
      <c r="C534" s="13" t="s">
        <v>2202</v>
      </c>
      <c r="D534" s="13" t="s">
        <v>2206</v>
      </c>
      <c r="E534" s="13" t="s">
        <v>2213</v>
      </c>
      <c r="F534" s="13" t="s">
        <v>2224</v>
      </c>
      <c r="G534" s="13">
        <v>169.82</v>
      </c>
      <c r="H534" s="13">
        <v>0</v>
      </c>
      <c r="I534" s="13">
        <v>169.82</v>
      </c>
      <c r="J534" s="24">
        <v>45875</v>
      </c>
      <c r="K534" s="13">
        <v>28</v>
      </c>
      <c r="L534" s="44">
        <v>4</v>
      </c>
      <c r="M534" s="13" t="b">
        <v>0</v>
      </c>
      <c r="O534" s="25">
        <f t="shared" si="32"/>
        <v>27</v>
      </c>
      <c r="P534" s="13">
        <f t="shared" si="33"/>
        <v>0</v>
      </c>
      <c r="Q534" s="13" t="str">
        <f t="shared" si="34"/>
        <v/>
      </c>
      <c r="R534" s="13" t="str">
        <f t="shared" si="35"/>
        <v>Non diskon</v>
      </c>
    </row>
    <row r="535" spans="1:18" x14ac:dyDescent="0.25">
      <c r="A535" s="13" t="s">
        <v>547</v>
      </c>
      <c r="B535" s="13" t="s">
        <v>2194</v>
      </c>
      <c r="C535" s="13" t="s">
        <v>2200</v>
      </c>
      <c r="D535" s="13" t="s">
        <v>2204</v>
      </c>
      <c r="E535" s="13" t="s">
        <v>2209</v>
      </c>
      <c r="F535" s="13" t="s">
        <v>2217</v>
      </c>
      <c r="G535" s="13">
        <v>94.71</v>
      </c>
      <c r="H535" s="13">
        <v>38.9</v>
      </c>
      <c r="I535" s="13">
        <v>57.87</v>
      </c>
      <c r="J535" s="24">
        <v>45520</v>
      </c>
      <c r="K535" s="13">
        <v>39</v>
      </c>
      <c r="L535" s="44">
        <v>4.7</v>
      </c>
      <c r="M535" s="13" t="b">
        <v>0</v>
      </c>
      <c r="O535" s="25">
        <f t="shared" si="32"/>
        <v>382</v>
      </c>
      <c r="P535" s="13">
        <f t="shared" si="33"/>
        <v>1517.1</v>
      </c>
      <c r="Q535" s="13" t="str">
        <f t="shared" si="34"/>
        <v/>
      </c>
      <c r="R535" s="13" t="str">
        <f t="shared" si="35"/>
        <v>Diskon</v>
      </c>
    </row>
    <row r="536" spans="1:18" x14ac:dyDescent="0.25">
      <c r="A536" s="13" t="s">
        <v>548</v>
      </c>
      <c r="B536" s="13" t="s">
        <v>2193</v>
      </c>
      <c r="C536" s="13" t="s">
        <v>2201</v>
      </c>
      <c r="D536" s="13" t="s">
        <v>2204</v>
      </c>
      <c r="E536" s="13" t="s">
        <v>2208</v>
      </c>
      <c r="F536" s="13" t="s">
        <v>2214</v>
      </c>
      <c r="G536" s="13">
        <v>112.6</v>
      </c>
      <c r="H536" s="13">
        <v>22</v>
      </c>
      <c r="I536" s="13">
        <v>87.83</v>
      </c>
      <c r="J536" s="24">
        <v>45860</v>
      </c>
      <c r="K536" s="13">
        <v>29</v>
      </c>
      <c r="L536" s="44">
        <v>2.1</v>
      </c>
      <c r="M536" s="13" t="b">
        <v>1</v>
      </c>
      <c r="N536" s="13" t="s">
        <v>2225</v>
      </c>
      <c r="O536" s="25">
        <f t="shared" si="32"/>
        <v>42</v>
      </c>
      <c r="P536" s="13">
        <f t="shared" si="33"/>
        <v>638</v>
      </c>
      <c r="Q536" s="13">
        <f t="shared" si="34"/>
        <v>1</v>
      </c>
      <c r="R536" s="13" t="str">
        <f t="shared" si="35"/>
        <v>Diskon</v>
      </c>
    </row>
    <row r="537" spans="1:18" x14ac:dyDescent="0.25">
      <c r="A537" s="13" t="s">
        <v>549</v>
      </c>
      <c r="B537" s="13" t="s">
        <v>2194</v>
      </c>
      <c r="C537" s="13" t="s">
        <v>2196</v>
      </c>
      <c r="D537" s="13" t="s">
        <v>2207</v>
      </c>
      <c r="E537" s="13" t="s">
        <v>2209</v>
      </c>
      <c r="F537" s="13" t="s">
        <v>2223</v>
      </c>
      <c r="G537" s="13">
        <v>104.16</v>
      </c>
      <c r="H537" s="13">
        <v>0</v>
      </c>
      <c r="I537" s="13">
        <v>104.16</v>
      </c>
      <c r="J537" s="24">
        <v>45875</v>
      </c>
      <c r="K537" s="13">
        <v>21</v>
      </c>
      <c r="L537" s="44">
        <v>1.6</v>
      </c>
      <c r="M537" s="13" t="b">
        <v>0</v>
      </c>
      <c r="O537" s="25">
        <f t="shared" si="32"/>
        <v>27</v>
      </c>
      <c r="P537" s="13">
        <f t="shared" si="33"/>
        <v>0</v>
      </c>
      <c r="Q537" s="13" t="str">
        <f t="shared" si="34"/>
        <v/>
      </c>
      <c r="R537" s="13" t="str">
        <f t="shared" si="35"/>
        <v>Non diskon</v>
      </c>
    </row>
    <row r="538" spans="1:18" x14ac:dyDescent="0.25">
      <c r="A538" s="13" t="s">
        <v>550</v>
      </c>
      <c r="B538" s="13" t="s">
        <v>2190</v>
      </c>
      <c r="C538" s="13" t="s">
        <v>2202</v>
      </c>
      <c r="D538" s="13" t="s">
        <v>2205</v>
      </c>
      <c r="E538" s="13" t="s">
        <v>2211</v>
      </c>
      <c r="F538" s="13" t="s">
        <v>2218</v>
      </c>
      <c r="G538" s="13">
        <v>174.86</v>
      </c>
      <c r="H538" s="13">
        <v>0</v>
      </c>
      <c r="I538" s="13">
        <v>174.86</v>
      </c>
      <c r="J538" s="24">
        <v>45875</v>
      </c>
      <c r="K538" s="13">
        <v>15</v>
      </c>
      <c r="L538" s="44">
        <v>1.7</v>
      </c>
      <c r="M538" s="13" t="b">
        <v>0</v>
      </c>
      <c r="O538" s="25">
        <f t="shared" si="32"/>
        <v>27</v>
      </c>
      <c r="P538" s="13">
        <f t="shared" si="33"/>
        <v>0</v>
      </c>
      <c r="Q538" s="13" t="str">
        <f t="shared" si="34"/>
        <v/>
      </c>
      <c r="R538" s="13" t="str">
        <f t="shared" si="35"/>
        <v>Non diskon</v>
      </c>
    </row>
    <row r="539" spans="1:18" x14ac:dyDescent="0.25">
      <c r="A539" s="13" t="s">
        <v>551</v>
      </c>
      <c r="B539" s="13" t="s">
        <v>2190</v>
      </c>
      <c r="C539" s="13" t="s">
        <v>2197</v>
      </c>
      <c r="D539" s="13" t="s">
        <v>2204</v>
      </c>
      <c r="E539" s="13" t="s">
        <v>2209</v>
      </c>
      <c r="F539" s="13" t="s">
        <v>2223</v>
      </c>
      <c r="G539" s="13">
        <v>217.89</v>
      </c>
      <c r="H539" s="13">
        <v>49.4</v>
      </c>
      <c r="I539" s="13">
        <v>110.25</v>
      </c>
      <c r="J539" s="24">
        <v>45623</v>
      </c>
      <c r="K539" s="13">
        <v>42</v>
      </c>
      <c r="L539" s="44">
        <v>2.9</v>
      </c>
      <c r="M539" s="13" t="b">
        <v>0</v>
      </c>
      <c r="O539" s="25">
        <f t="shared" si="32"/>
        <v>279</v>
      </c>
      <c r="P539" s="13">
        <f t="shared" si="33"/>
        <v>2074.7999999999997</v>
      </c>
      <c r="Q539" s="13" t="str">
        <f t="shared" si="34"/>
        <v/>
      </c>
      <c r="R539" s="13" t="str">
        <f t="shared" si="35"/>
        <v>Diskon</v>
      </c>
    </row>
    <row r="540" spans="1:18" x14ac:dyDescent="0.25">
      <c r="A540" s="13" t="s">
        <v>552</v>
      </c>
      <c r="B540" s="13" t="s">
        <v>2193</v>
      </c>
      <c r="C540" s="13" t="s">
        <v>2199</v>
      </c>
      <c r="D540" s="13" t="s">
        <v>2205</v>
      </c>
      <c r="E540" s="13" t="s">
        <v>2209</v>
      </c>
      <c r="F540" s="13" t="s">
        <v>2216</v>
      </c>
      <c r="G540" s="13">
        <v>123.14</v>
      </c>
      <c r="H540" s="13">
        <v>0</v>
      </c>
      <c r="I540" s="13">
        <v>123.14</v>
      </c>
      <c r="J540" s="24">
        <v>45875</v>
      </c>
      <c r="K540" s="13">
        <v>15</v>
      </c>
      <c r="L540" s="44">
        <v>1.8</v>
      </c>
      <c r="M540" s="13" t="b">
        <v>1</v>
      </c>
      <c r="N540" s="13" t="s">
        <v>2230</v>
      </c>
      <c r="O540" s="25">
        <f t="shared" si="32"/>
        <v>27</v>
      </c>
      <c r="P540" s="13">
        <f t="shared" si="33"/>
        <v>0</v>
      </c>
      <c r="Q540" s="13">
        <f t="shared" si="34"/>
        <v>1</v>
      </c>
      <c r="R540" s="13" t="str">
        <f t="shared" si="35"/>
        <v>Non diskon</v>
      </c>
    </row>
    <row r="541" spans="1:18" x14ac:dyDescent="0.25">
      <c r="A541" s="13" t="s">
        <v>553</v>
      </c>
      <c r="B541" s="13" t="s">
        <v>2191</v>
      </c>
      <c r="C541" s="13" t="s">
        <v>2201</v>
      </c>
      <c r="D541" s="13" t="s">
        <v>2205</v>
      </c>
      <c r="E541" s="13" t="s">
        <v>2208</v>
      </c>
      <c r="F541" s="13" t="s">
        <v>2222</v>
      </c>
      <c r="G541" s="13">
        <v>103.96</v>
      </c>
      <c r="H541" s="13">
        <v>0</v>
      </c>
      <c r="I541" s="13">
        <v>103.96</v>
      </c>
      <c r="J541" s="24">
        <v>45875</v>
      </c>
      <c r="K541" s="13">
        <v>23</v>
      </c>
      <c r="L541" s="44">
        <v>3.3</v>
      </c>
      <c r="M541" s="13" t="b">
        <v>0</v>
      </c>
      <c r="O541" s="25">
        <f t="shared" si="32"/>
        <v>27</v>
      </c>
      <c r="P541" s="13">
        <f t="shared" si="33"/>
        <v>0</v>
      </c>
      <c r="Q541" s="13" t="str">
        <f t="shared" si="34"/>
        <v/>
      </c>
      <c r="R541" s="13" t="str">
        <f t="shared" si="35"/>
        <v>Non diskon</v>
      </c>
    </row>
    <row r="542" spans="1:18" x14ac:dyDescent="0.25">
      <c r="A542" s="13" t="s">
        <v>554</v>
      </c>
      <c r="B542" s="13" t="s">
        <v>2195</v>
      </c>
      <c r="C542" s="13" t="s">
        <v>2200</v>
      </c>
      <c r="D542" s="13" t="s">
        <v>2204</v>
      </c>
      <c r="E542" s="13" t="s">
        <v>2208</v>
      </c>
      <c r="F542" s="13" t="s">
        <v>2219</v>
      </c>
      <c r="G542" s="13">
        <v>138.44999999999999</v>
      </c>
      <c r="H542" s="13">
        <v>0</v>
      </c>
      <c r="I542" s="13">
        <v>138.44999999999999</v>
      </c>
      <c r="J542" s="24">
        <v>45744</v>
      </c>
      <c r="K542" s="13">
        <v>18</v>
      </c>
      <c r="L542" s="44">
        <v>3.3</v>
      </c>
      <c r="M542" s="13" t="b">
        <v>0</v>
      </c>
      <c r="O542" s="25">
        <f t="shared" si="32"/>
        <v>158</v>
      </c>
      <c r="P542" s="13">
        <f t="shared" si="33"/>
        <v>0</v>
      </c>
      <c r="Q542" s="13" t="str">
        <f t="shared" si="34"/>
        <v/>
      </c>
      <c r="R542" s="13" t="str">
        <f t="shared" si="35"/>
        <v>Non diskon</v>
      </c>
    </row>
    <row r="543" spans="1:18" x14ac:dyDescent="0.25">
      <c r="A543" s="13" t="s">
        <v>555</v>
      </c>
      <c r="B543" s="13" t="s">
        <v>2193</v>
      </c>
      <c r="C543" s="13" t="s">
        <v>2202</v>
      </c>
      <c r="D543" s="13" t="s">
        <v>2207</v>
      </c>
      <c r="E543" s="13" t="s">
        <v>2210</v>
      </c>
      <c r="F543" s="13" t="s">
        <v>2216</v>
      </c>
      <c r="G543" s="13">
        <v>165.1</v>
      </c>
      <c r="H543" s="13">
        <v>0</v>
      </c>
      <c r="I543" s="13">
        <v>165.1</v>
      </c>
      <c r="J543" s="24">
        <v>45875</v>
      </c>
      <c r="K543" s="13">
        <v>7</v>
      </c>
      <c r="L543" s="44">
        <v>2.9083333333333328</v>
      </c>
      <c r="M543" s="13" t="b">
        <v>0</v>
      </c>
      <c r="O543" s="25">
        <f t="shared" si="32"/>
        <v>27</v>
      </c>
      <c r="P543" s="13">
        <f t="shared" si="33"/>
        <v>0</v>
      </c>
      <c r="Q543" s="13" t="str">
        <f t="shared" si="34"/>
        <v/>
      </c>
      <c r="R543" s="13" t="str">
        <f t="shared" si="35"/>
        <v>Non diskon</v>
      </c>
    </row>
    <row r="544" spans="1:18" x14ac:dyDescent="0.25">
      <c r="A544" s="13" t="s">
        <v>556</v>
      </c>
      <c r="B544" s="13" t="s">
        <v>2193</v>
      </c>
      <c r="C544" s="13" t="s">
        <v>2202</v>
      </c>
      <c r="D544" s="13" t="s">
        <v>2205</v>
      </c>
      <c r="E544" s="13" t="s">
        <v>2211</v>
      </c>
      <c r="F544" s="13" t="s">
        <v>2218</v>
      </c>
      <c r="G544" s="13">
        <v>147.25</v>
      </c>
      <c r="H544" s="13">
        <v>0</v>
      </c>
      <c r="I544" s="13">
        <v>147.25</v>
      </c>
      <c r="J544" s="24">
        <v>45875</v>
      </c>
      <c r="K544" s="13">
        <v>15</v>
      </c>
      <c r="L544" s="44">
        <v>2.7</v>
      </c>
      <c r="M544" s="13" t="b">
        <v>0</v>
      </c>
      <c r="O544" s="25">
        <f t="shared" si="32"/>
        <v>27</v>
      </c>
      <c r="P544" s="13">
        <f t="shared" si="33"/>
        <v>0</v>
      </c>
      <c r="Q544" s="13" t="str">
        <f t="shared" si="34"/>
        <v/>
      </c>
      <c r="R544" s="13" t="str">
        <f t="shared" si="35"/>
        <v>Non diskon</v>
      </c>
    </row>
    <row r="545" spans="1:18" x14ac:dyDescent="0.25">
      <c r="A545" s="13" t="s">
        <v>557</v>
      </c>
      <c r="B545" s="13" t="s">
        <v>2193</v>
      </c>
      <c r="C545" s="13" t="s">
        <v>2197</v>
      </c>
      <c r="D545" s="13" t="s">
        <v>2206</v>
      </c>
      <c r="E545" s="13" t="s">
        <v>2209</v>
      </c>
      <c r="F545" s="13" t="s">
        <v>2215</v>
      </c>
      <c r="G545" s="13">
        <v>126.23</v>
      </c>
      <c r="H545" s="13">
        <v>0</v>
      </c>
      <c r="I545" s="13">
        <v>126.23</v>
      </c>
      <c r="J545" s="24">
        <v>45875</v>
      </c>
      <c r="K545" s="13">
        <v>48</v>
      </c>
      <c r="L545" s="44">
        <v>2.1</v>
      </c>
      <c r="M545" s="13" t="b">
        <v>0</v>
      </c>
      <c r="O545" s="25">
        <f t="shared" si="32"/>
        <v>27</v>
      </c>
      <c r="P545" s="13">
        <f t="shared" si="33"/>
        <v>0</v>
      </c>
      <c r="Q545" s="13" t="str">
        <f t="shared" si="34"/>
        <v/>
      </c>
      <c r="R545" s="13" t="str">
        <f t="shared" si="35"/>
        <v>Non diskon</v>
      </c>
    </row>
    <row r="546" spans="1:18" x14ac:dyDescent="0.25">
      <c r="A546" s="13" t="s">
        <v>558</v>
      </c>
      <c r="B546" s="13" t="s">
        <v>2190</v>
      </c>
      <c r="C546" s="13" t="s">
        <v>2201</v>
      </c>
      <c r="D546" s="13" t="s">
        <v>2206</v>
      </c>
      <c r="E546" s="13" t="s">
        <v>2213</v>
      </c>
      <c r="F546" s="13" t="s">
        <v>2222</v>
      </c>
      <c r="G546" s="13">
        <v>229.04</v>
      </c>
      <c r="H546" s="13">
        <v>0</v>
      </c>
      <c r="I546" s="13">
        <v>229.04</v>
      </c>
      <c r="J546" s="24">
        <v>45875</v>
      </c>
      <c r="K546" s="13">
        <v>5</v>
      </c>
      <c r="L546" s="44">
        <v>4.5</v>
      </c>
      <c r="M546" s="13" t="b">
        <v>0</v>
      </c>
      <c r="O546" s="25">
        <f t="shared" si="32"/>
        <v>27</v>
      </c>
      <c r="P546" s="13">
        <f t="shared" si="33"/>
        <v>0</v>
      </c>
      <c r="Q546" s="13" t="str">
        <f t="shared" si="34"/>
        <v/>
      </c>
      <c r="R546" s="13" t="str">
        <f t="shared" si="35"/>
        <v>Non diskon</v>
      </c>
    </row>
    <row r="547" spans="1:18" x14ac:dyDescent="0.25">
      <c r="A547" s="13" t="s">
        <v>559</v>
      </c>
      <c r="B547" s="13" t="s">
        <v>2192</v>
      </c>
      <c r="C547" s="13" t="s">
        <v>2201</v>
      </c>
      <c r="D547" s="13" t="s">
        <v>2205</v>
      </c>
      <c r="F547" s="13" t="s">
        <v>2218</v>
      </c>
      <c r="G547" s="13">
        <v>38.65</v>
      </c>
      <c r="H547" s="13">
        <v>32.6</v>
      </c>
      <c r="I547" s="13">
        <v>26.05</v>
      </c>
      <c r="J547" s="24">
        <v>45875</v>
      </c>
      <c r="K547" s="13">
        <v>46</v>
      </c>
      <c r="L547" s="44">
        <v>1.1000000000000001</v>
      </c>
      <c r="M547" s="13" t="b">
        <v>0</v>
      </c>
      <c r="O547" s="25">
        <f t="shared" si="32"/>
        <v>27</v>
      </c>
      <c r="P547" s="13">
        <f t="shared" si="33"/>
        <v>1499.6000000000001</v>
      </c>
      <c r="Q547" s="13" t="str">
        <f t="shared" si="34"/>
        <v/>
      </c>
      <c r="R547" s="13" t="str">
        <f t="shared" si="35"/>
        <v>Diskon</v>
      </c>
    </row>
    <row r="548" spans="1:18" x14ac:dyDescent="0.25">
      <c r="A548" s="13" t="s">
        <v>560</v>
      </c>
      <c r="B548" s="13" t="s">
        <v>2194</v>
      </c>
      <c r="C548" s="13" t="s">
        <v>2198</v>
      </c>
      <c r="D548" s="13" t="s">
        <v>2204</v>
      </c>
      <c r="E548" s="13" t="s">
        <v>2212</v>
      </c>
      <c r="F548" s="13" t="s">
        <v>2215</v>
      </c>
      <c r="G548" s="13">
        <v>80.819999999999993</v>
      </c>
      <c r="H548" s="13">
        <v>0</v>
      </c>
      <c r="I548" s="13">
        <v>80.819999999999993</v>
      </c>
      <c r="J548" s="24">
        <v>45699</v>
      </c>
      <c r="K548" s="13">
        <v>42</v>
      </c>
      <c r="L548" s="44">
        <v>3.0384615384615379</v>
      </c>
      <c r="M548" s="13" t="b">
        <v>0</v>
      </c>
      <c r="O548" s="25">
        <f t="shared" si="32"/>
        <v>203</v>
      </c>
      <c r="P548" s="13">
        <f t="shared" si="33"/>
        <v>0</v>
      </c>
      <c r="Q548" s="13" t="str">
        <f t="shared" si="34"/>
        <v/>
      </c>
      <c r="R548" s="13" t="str">
        <f t="shared" si="35"/>
        <v>Non diskon</v>
      </c>
    </row>
    <row r="549" spans="1:18" x14ac:dyDescent="0.25">
      <c r="A549" s="13" t="s">
        <v>561</v>
      </c>
      <c r="B549" s="13" t="s">
        <v>2192</v>
      </c>
      <c r="C549" s="13" t="s">
        <v>2197</v>
      </c>
      <c r="D549" s="13" t="s">
        <v>2204</v>
      </c>
      <c r="F549" s="13" t="s">
        <v>2221</v>
      </c>
      <c r="G549" s="13">
        <v>56.44</v>
      </c>
      <c r="H549" s="13">
        <v>0</v>
      </c>
      <c r="I549" s="13">
        <v>56.44</v>
      </c>
      <c r="J549" s="24">
        <v>45734</v>
      </c>
      <c r="K549" s="13">
        <v>35</v>
      </c>
      <c r="L549" s="44">
        <v>4</v>
      </c>
      <c r="M549" s="13" t="b">
        <v>0</v>
      </c>
      <c r="O549" s="25">
        <f t="shared" si="32"/>
        <v>168</v>
      </c>
      <c r="P549" s="13">
        <f t="shared" si="33"/>
        <v>0</v>
      </c>
      <c r="Q549" s="13" t="str">
        <f t="shared" si="34"/>
        <v/>
      </c>
      <c r="R549" s="13" t="str">
        <f t="shared" si="35"/>
        <v>Non diskon</v>
      </c>
    </row>
    <row r="550" spans="1:18" x14ac:dyDescent="0.25">
      <c r="A550" s="13" t="s">
        <v>562</v>
      </c>
      <c r="B550" s="13" t="s">
        <v>2195</v>
      </c>
      <c r="C550" s="13" t="s">
        <v>2196</v>
      </c>
      <c r="D550" s="13" t="s">
        <v>2206</v>
      </c>
      <c r="E550" s="13" t="s">
        <v>2213</v>
      </c>
      <c r="F550" s="13" t="s">
        <v>2221</v>
      </c>
      <c r="G550" s="13">
        <v>121.3</v>
      </c>
      <c r="H550" s="13">
        <v>0</v>
      </c>
      <c r="I550" s="13">
        <v>121.3</v>
      </c>
      <c r="J550" s="24">
        <v>45875</v>
      </c>
      <c r="K550" s="13">
        <v>33</v>
      </c>
      <c r="L550" s="44">
        <v>2.2999999999999998</v>
      </c>
      <c r="M550" s="13" t="b">
        <v>0</v>
      </c>
      <c r="O550" s="25">
        <f t="shared" si="32"/>
        <v>27</v>
      </c>
      <c r="P550" s="13">
        <f t="shared" si="33"/>
        <v>0</v>
      </c>
      <c r="Q550" s="13" t="str">
        <f t="shared" si="34"/>
        <v/>
      </c>
      <c r="R550" s="13" t="str">
        <f t="shared" si="35"/>
        <v>Non diskon</v>
      </c>
    </row>
    <row r="551" spans="1:18" x14ac:dyDescent="0.25">
      <c r="A551" s="13" t="s">
        <v>563</v>
      </c>
      <c r="B551" s="13" t="s">
        <v>2194</v>
      </c>
      <c r="C551" s="13" t="s">
        <v>2202</v>
      </c>
      <c r="D551" s="13" t="s">
        <v>2206</v>
      </c>
      <c r="F551" s="13" t="s">
        <v>2216</v>
      </c>
      <c r="G551" s="13">
        <v>101.98</v>
      </c>
      <c r="H551" s="13">
        <v>28.4</v>
      </c>
      <c r="I551" s="13">
        <v>73.02</v>
      </c>
      <c r="J551" s="24">
        <v>45875</v>
      </c>
      <c r="K551" s="13">
        <v>40</v>
      </c>
      <c r="L551" s="44">
        <v>4.5</v>
      </c>
      <c r="M551" s="13" t="b">
        <v>0</v>
      </c>
      <c r="O551" s="25">
        <f t="shared" si="32"/>
        <v>27</v>
      </c>
      <c r="P551" s="13">
        <f t="shared" si="33"/>
        <v>1136</v>
      </c>
      <c r="Q551" s="13" t="str">
        <f t="shared" si="34"/>
        <v/>
      </c>
      <c r="R551" s="13" t="str">
        <f t="shared" si="35"/>
        <v>Diskon</v>
      </c>
    </row>
    <row r="552" spans="1:18" x14ac:dyDescent="0.25">
      <c r="A552" s="13" t="s">
        <v>564</v>
      </c>
      <c r="B552" s="13" t="s">
        <v>2194</v>
      </c>
      <c r="C552" s="13" t="s">
        <v>2198</v>
      </c>
      <c r="D552" s="13" t="s">
        <v>2204</v>
      </c>
      <c r="E552" s="13" t="s">
        <v>2209</v>
      </c>
      <c r="F552" s="13" t="s">
        <v>2214</v>
      </c>
      <c r="G552" s="13">
        <v>89.99</v>
      </c>
      <c r="H552" s="13">
        <v>0</v>
      </c>
      <c r="I552" s="13">
        <v>89.99</v>
      </c>
      <c r="J552" s="24">
        <v>45716</v>
      </c>
      <c r="K552" s="13">
        <v>26</v>
      </c>
      <c r="L552" s="44">
        <v>4.0999999999999996</v>
      </c>
      <c r="M552" s="13" t="b">
        <v>0</v>
      </c>
      <c r="O552" s="25">
        <f t="shared" si="32"/>
        <v>186</v>
      </c>
      <c r="P552" s="13">
        <f t="shared" si="33"/>
        <v>0</v>
      </c>
      <c r="Q552" s="13" t="str">
        <f t="shared" si="34"/>
        <v/>
      </c>
      <c r="R552" s="13" t="str">
        <f t="shared" si="35"/>
        <v>Non diskon</v>
      </c>
    </row>
    <row r="553" spans="1:18" x14ac:dyDescent="0.25">
      <c r="A553" s="13" t="s">
        <v>565</v>
      </c>
      <c r="B553" s="13" t="s">
        <v>2193</v>
      </c>
      <c r="C553" s="13" t="s">
        <v>2203</v>
      </c>
      <c r="D553" s="13" t="s">
        <v>2207</v>
      </c>
      <c r="E553" s="13" t="s">
        <v>2211</v>
      </c>
      <c r="F553" s="13" t="s">
        <v>2220</v>
      </c>
      <c r="G553" s="13">
        <v>64.31</v>
      </c>
      <c r="H553" s="13">
        <v>34.5</v>
      </c>
      <c r="I553" s="13">
        <v>42.12</v>
      </c>
      <c r="J553" s="24">
        <v>45875</v>
      </c>
      <c r="K553" s="13">
        <v>48</v>
      </c>
      <c r="L553" s="44">
        <v>4.5</v>
      </c>
      <c r="M553" s="13" t="b">
        <v>0</v>
      </c>
      <c r="O553" s="25">
        <f t="shared" si="32"/>
        <v>27</v>
      </c>
      <c r="P553" s="13">
        <f t="shared" si="33"/>
        <v>1656</v>
      </c>
      <c r="Q553" s="13" t="str">
        <f t="shared" si="34"/>
        <v/>
      </c>
      <c r="R553" s="13" t="str">
        <f t="shared" si="35"/>
        <v>Diskon</v>
      </c>
    </row>
    <row r="554" spans="1:18" x14ac:dyDescent="0.25">
      <c r="A554" s="13" t="s">
        <v>566</v>
      </c>
      <c r="B554" s="13" t="s">
        <v>2195</v>
      </c>
      <c r="C554" s="13" t="s">
        <v>2196</v>
      </c>
      <c r="D554" s="13" t="s">
        <v>2204</v>
      </c>
      <c r="E554" s="13" t="s">
        <v>2209</v>
      </c>
      <c r="F554" s="13" t="s">
        <v>2221</v>
      </c>
      <c r="G554" s="13">
        <v>168.92</v>
      </c>
      <c r="H554" s="13">
        <v>0</v>
      </c>
      <c r="I554" s="13">
        <v>168.92</v>
      </c>
      <c r="J554" s="24">
        <v>45852</v>
      </c>
      <c r="K554" s="13">
        <v>11</v>
      </c>
      <c r="L554" s="44">
        <v>4.4000000000000004</v>
      </c>
      <c r="M554" s="13" t="b">
        <v>0</v>
      </c>
      <c r="O554" s="25">
        <f t="shared" si="32"/>
        <v>50</v>
      </c>
      <c r="P554" s="13">
        <f t="shared" si="33"/>
        <v>0</v>
      </c>
      <c r="Q554" s="13" t="str">
        <f t="shared" si="34"/>
        <v/>
      </c>
      <c r="R554" s="13" t="str">
        <f t="shared" si="35"/>
        <v>Non diskon</v>
      </c>
    </row>
    <row r="555" spans="1:18" x14ac:dyDescent="0.25">
      <c r="A555" s="13" t="s">
        <v>567</v>
      </c>
      <c r="B555" s="13" t="s">
        <v>2194</v>
      </c>
      <c r="C555" s="13" t="s">
        <v>2202</v>
      </c>
      <c r="D555" s="13" t="s">
        <v>2207</v>
      </c>
      <c r="E555" s="13" t="s">
        <v>2208</v>
      </c>
      <c r="F555" s="13" t="s">
        <v>2222</v>
      </c>
      <c r="G555" s="13">
        <v>86.46</v>
      </c>
      <c r="H555" s="13">
        <v>49.5</v>
      </c>
      <c r="I555" s="13">
        <v>43.66</v>
      </c>
      <c r="J555" s="24">
        <v>45875</v>
      </c>
      <c r="K555" s="13">
        <v>19</v>
      </c>
      <c r="L555" s="44">
        <v>4.3</v>
      </c>
      <c r="M555" s="13" t="b">
        <v>0</v>
      </c>
      <c r="O555" s="25">
        <f t="shared" si="32"/>
        <v>27</v>
      </c>
      <c r="P555" s="13">
        <f t="shared" si="33"/>
        <v>940.5</v>
      </c>
      <c r="Q555" s="13" t="str">
        <f t="shared" si="34"/>
        <v/>
      </c>
      <c r="R555" s="13" t="str">
        <f t="shared" si="35"/>
        <v>Diskon</v>
      </c>
    </row>
    <row r="556" spans="1:18" x14ac:dyDescent="0.25">
      <c r="A556" s="13" t="s">
        <v>568</v>
      </c>
      <c r="B556" s="13" t="s">
        <v>2191</v>
      </c>
      <c r="C556" s="13" t="s">
        <v>2203</v>
      </c>
      <c r="D556" s="13" t="s">
        <v>2205</v>
      </c>
      <c r="E556" s="13" t="s">
        <v>2212</v>
      </c>
      <c r="F556" s="13" t="s">
        <v>2214</v>
      </c>
      <c r="G556" s="13">
        <v>36.840000000000003</v>
      </c>
      <c r="H556" s="13">
        <v>18.899999999999999</v>
      </c>
      <c r="I556" s="13">
        <v>29.88</v>
      </c>
      <c r="J556" s="24">
        <v>45875</v>
      </c>
      <c r="K556" s="13">
        <v>39</v>
      </c>
      <c r="L556" s="44">
        <v>1.2</v>
      </c>
      <c r="M556" s="13" t="b">
        <v>0</v>
      </c>
      <c r="O556" s="25">
        <f t="shared" si="32"/>
        <v>27</v>
      </c>
      <c r="P556" s="13">
        <f t="shared" si="33"/>
        <v>737.09999999999991</v>
      </c>
      <c r="Q556" s="13" t="str">
        <f t="shared" si="34"/>
        <v/>
      </c>
      <c r="R556" s="13" t="str">
        <f t="shared" si="35"/>
        <v>Diskon</v>
      </c>
    </row>
    <row r="557" spans="1:18" x14ac:dyDescent="0.25">
      <c r="A557" s="13" t="s">
        <v>569</v>
      </c>
      <c r="B557" s="13" t="s">
        <v>2191</v>
      </c>
      <c r="C557" s="13" t="s">
        <v>2201</v>
      </c>
      <c r="D557" s="13" t="s">
        <v>2204</v>
      </c>
      <c r="E557" s="13" t="s">
        <v>2212</v>
      </c>
      <c r="F557" s="13" t="s">
        <v>2215</v>
      </c>
      <c r="G557" s="13">
        <v>38.5</v>
      </c>
      <c r="H557" s="13">
        <v>0</v>
      </c>
      <c r="I557" s="13">
        <v>38.5</v>
      </c>
      <c r="J557" s="24">
        <v>45722</v>
      </c>
      <c r="K557" s="13">
        <v>2</v>
      </c>
      <c r="L557" s="44">
        <v>3.2</v>
      </c>
      <c r="M557" s="13" t="b">
        <v>0</v>
      </c>
      <c r="O557" s="25">
        <f t="shared" si="32"/>
        <v>180</v>
      </c>
      <c r="P557" s="13">
        <f t="shared" si="33"/>
        <v>0</v>
      </c>
      <c r="Q557" s="13" t="str">
        <f t="shared" si="34"/>
        <v/>
      </c>
      <c r="R557" s="13" t="str">
        <f t="shared" si="35"/>
        <v>Non diskon</v>
      </c>
    </row>
    <row r="558" spans="1:18" x14ac:dyDescent="0.25">
      <c r="A558" s="13" t="s">
        <v>570</v>
      </c>
      <c r="B558" s="13" t="s">
        <v>2194</v>
      </c>
      <c r="C558" s="13" t="s">
        <v>2199</v>
      </c>
      <c r="D558" s="13" t="s">
        <v>2205</v>
      </c>
      <c r="F558" s="13" t="s">
        <v>2221</v>
      </c>
      <c r="G558" s="13">
        <v>68.02</v>
      </c>
      <c r="H558" s="13">
        <v>37.700000000000003</v>
      </c>
      <c r="I558" s="13">
        <v>42.38</v>
      </c>
      <c r="J558" s="24">
        <v>45875</v>
      </c>
      <c r="K558" s="13">
        <v>40</v>
      </c>
      <c r="L558" s="44">
        <v>2.1</v>
      </c>
      <c r="M558" s="13" t="b">
        <v>0</v>
      </c>
      <c r="O558" s="25">
        <f t="shared" si="32"/>
        <v>27</v>
      </c>
      <c r="P558" s="13">
        <f t="shared" si="33"/>
        <v>1508</v>
      </c>
      <c r="Q558" s="13" t="str">
        <f t="shared" si="34"/>
        <v/>
      </c>
      <c r="R558" s="13" t="str">
        <f t="shared" si="35"/>
        <v>Diskon</v>
      </c>
    </row>
    <row r="559" spans="1:18" x14ac:dyDescent="0.25">
      <c r="A559" s="13" t="s">
        <v>571</v>
      </c>
      <c r="B559" s="13" t="s">
        <v>2195</v>
      </c>
      <c r="C559" s="13" t="s">
        <v>2197</v>
      </c>
      <c r="D559" s="13" t="s">
        <v>2206</v>
      </c>
      <c r="E559" s="13" t="s">
        <v>2213</v>
      </c>
      <c r="F559" s="13" t="s">
        <v>2224</v>
      </c>
      <c r="G559" s="13">
        <v>117.23</v>
      </c>
      <c r="H559" s="13">
        <v>0</v>
      </c>
      <c r="I559" s="13">
        <v>117.23</v>
      </c>
      <c r="J559" s="24">
        <v>45875</v>
      </c>
      <c r="K559" s="13">
        <v>30</v>
      </c>
      <c r="L559" s="44">
        <v>3.1666666666666665</v>
      </c>
      <c r="M559" s="13" t="b">
        <v>1</v>
      </c>
      <c r="N559" s="13" t="s">
        <v>2229</v>
      </c>
      <c r="O559" s="25">
        <f t="shared" si="32"/>
        <v>27</v>
      </c>
      <c r="P559" s="13">
        <f t="shared" si="33"/>
        <v>0</v>
      </c>
      <c r="Q559" s="13">
        <f t="shared" si="34"/>
        <v>1</v>
      </c>
      <c r="R559" s="13" t="str">
        <f t="shared" si="35"/>
        <v>Non diskon</v>
      </c>
    </row>
    <row r="560" spans="1:18" x14ac:dyDescent="0.25">
      <c r="A560" s="13" t="s">
        <v>572</v>
      </c>
      <c r="B560" s="13" t="s">
        <v>2191</v>
      </c>
      <c r="C560" s="13" t="s">
        <v>2201</v>
      </c>
      <c r="D560" s="13" t="s">
        <v>2204</v>
      </c>
      <c r="E560" s="13" t="s">
        <v>2210</v>
      </c>
      <c r="F560" s="13" t="s">
        <v>2222</v>
      </c>
      <c r="G560" s="13">
        <v>79.33</v>
      </c>
      <c r="H560" s="13">
        <v>0</v>
      </c>
      <c r="I560" s="13">
        <v>79.33</v>
      </c>
      <c r="J560" s="24">
        <v>45687</v>
      </c>
      <c r="K560" s="13">
        <v>10</v>
      </c>
      <c r="L560" s="44">
        <v>3.4</v>
      </c>
      <c r="M560" s="13" t="b">
        <v>1</v>
      </c>
      <c r="N560" s="13" t="s">
        <v>2229</v>
      </c>
      <c r="O560" s="25">
        <f t="shared" si="32"/>
        <v>215</v>
      </c>
      <c r="P560" s="13">
        <f t="shared" si="33"/>
        <v>0</v>
      </c>
      <c r="Q560" s="13">
        <f t="shared" si="34"/>
        <v>1</v>
      </c>
      <c r="R560" s="13" t="str">
        <f t="shared" si="35"/>
        <v>Non diskon</v>
      </c>
    </row>
    <row r="561" spans="1:18" x14ac:dyDescent="0.25">
      <c r="A561" s="13" t="s">
        <v>573</v>
      </c>
      <c r="B561" s="13" t="s">
        <v>2194</v>
      </c>
      <c r="C561" s="13" t="s">
        <v>2199</v>
      </c>
      <c r="D561" s="13" t="s">
        <v>2207</v>
      </c>
      <c r="E561" s="13" t="s">
        <v>2209</v>
      </c>
      <c r="F561" s="13" t="s">
        <v>2220</v>
      </c>
      <c r="G561" s="13">
        <v>75.819999999999993</v>
      </c>
      <c r="H561" s="13">
        <v>42.7</v>
      </c>
      <c r="I561" s="13">
        <v>43.44</v>
      </c>
      <c r="J561" s="24">
        <v>45875</v>
      </c>
      <c r="K561" s="13">
        <v>11</v>
      </c>
      <c r="L561" s="44">
        <v>2</v>
      </c>
      <c r="M561" s="13" t="b">
        <v>0</v>
      </c>
      <c r="O561" s="25">
        <f t="shared" si="32"/>
        <v>27</v>
      </c>
      <c r="P561" s="13">
        <f t="shared" si="33"/>
        <v>469.70000000000005</v>
      </c>
      <c r="Q561" s="13" t="str">
        <f t="shared" si="34"/>
        <v/>
      </c>
      <c r="R561" s="13" t="str">
        <f t="shared" si="35"/>
        <v>Diskon</v>
      </c>
    </row>
    <row r="562" spans="1:18" x14ac:dyDescent="0.25">
      <c r="A562" s="13" t="s">
        <v>574</v>
      </c>
      <c r="B562" s="13" t="s">
        <v>2195</v>
      </c>
      <c r="C562" s="13" t="s">
        <v>2201</v>
      </c>
      <c r="D562" s="13" t="s">
        <v>2204</v>
      </c>
      <c r="E562" s="13" t="s">
        <v>2213</v>
      </c>
      <c r="F562" s="13" t="s">
        <v>2217</v>
      </c>
      <c r="G562" s="13">
        <v>141.41999999999999</v>
      </c>
      <c r="H562" s="13">
        <v>0</v>
      </c>
      <c r="I562" s="13">
        <v>141.41999999999999</v>
      </c>
      <c r="J562" s="24">
        <v>45741</v>
      </c>
      <c r="K562" s="13">
        <v>10</v>
      </c>
      <c r="L562" s="44">
        <v>2.5</v>
      </c>
      <c r="M562" s="13" t="b">
        <v>0</v>
      </c>
      <c r="O562" s="25">
        <f t="shared" si="32"/>
        <v>161</v>
      </c>
      <c r="P562" s="13">
        <f t="shared" si="33"/>
        <v>0</v>
      </c>
      <c r="Q562" s="13" t="str">
        <f t="shared" si="34"/>
        <v/>
      </c>
      <c r="R562" s="13" t="str">
        <f t="shared" si="35"/>
        <v>Non diskon</v>
      </c>
    </row>
    <row r="563" spans="1:18" x14ac:dyDescent="0.25">
      <c r="A563" s="13" t="s">
        <v>575</v>
      </c>
      <c r="B563" s="13" t="s">
        <v>2193</v>
      </c>
      <c r="C563" s="13" t="s">
        <v>2197</v>
      </c>
      <c r="D563" s="13" t="s">
        <v>2204</v>
      </c>
      <c r="E563" s="13" t="s">
        <v>2209</v>
      </c>
      <c r="F563" s="13" t="s">
        <v>2216</v>
      </c>
      <c r="G563" s="13">
        <v>124.2</v>
      </c>
      <c r="H563" s="13">
        <v>0</v>
      </c>
      <c r="I563" s="13">
        <v>124.2</v>
      </c>
      <c r="J563" s="24">
        <v>45532</v>
      </c>
      <c r="K563" s="13">
        <v>24</v>
      </c>
      <c r="L563" s="44">
        <v>1</v>
      </c>
      <c r="M563" s="13" t="b">
        <v>0</v>
      </c>
      <c r="O563" s="25">
        <f t="shared" si="32"/>
        <v>370</v>
      </c>
      <c r="P563" s="13">
        <f t="shared" si="33"/>
        <v>0</v>
      </c>
      <c r="Q563" s="13" t="str">
        <f t="shared" si="34"/>
        <v/>
      </c>
      <c r="R563" s="13" t="str">
        <f t="shared" si="35"/>
        <v>Non diskon</v>
      </c>
    </row>
    <row r="564" spans="1:18" x14ac:dyDescent="0.25">
      <c r="A564" s="13" t="s">
        <v>576</v>
      </c>
      <c r="B564" s="13" t="s">
        <v>2194</v>
      </c>
      <c r="C564" s="13" t="s">
        <v>2203</v>
      </c>
      <c r="D564" s="13" t="s">
        <v>2205</v>
      </c>
      <c r="E564" s="13" t="s">
        <v>2209</v>
      </c>
      <c r="F564" s="13" t="s">
        <v>2222</v>
      </c>
      <c r="G564" s="13">
        <v>48.42</v>
      </c>
      <c r="H564" s="13">
        <v>0</v>
      </c>
      <c r="I564" s="13">
        <v>48.42</v>
      </c>
      <c r="J564" s="24">
        <v>45875</v>
      </c>
      <c r="K564" s="13">
        <v>6</v>
      </c>
      <c r="L564" s="44">
        <v>4.3</v>
      </c>
      <c r="M564" s="13" t="b">
        <v>0</v>
      </c>
      <c r="O564" s="25">
        <f t="shared" si="32"/>
        <v>27</v>
      </c>
      <c r="P564" s="13">
        <f t="shared" si="33"/>
        <v>0</v>
      </c>
      <c r="Q564" s="13" t="str">
        <f t="shared" si="34"/>
        <v/>
      </c>
      <c r="R564" s="13" t="str">
        <f t="shared" si="35"/>
        <v>Non diskon</v>
      </c>
    </row>
    <row r="565" spans="1:18" x14ac:dyDescent="0.25">
      <c r="A565" s="13" t="s">
        <v>577</v>
      </c>
      <c r="B565" s="13" t="s">
        <v>2195</v>
      </c>
      <c r="C565" s="13" t="s">
        <v>2200</v>
      </c>
      <c r="D565" s="13" t="s">
        <v>2206</v>
      </c>
      <c r="E565" s="13" t="s">
        <v>2212</v>
      </c>
      <c r="F565" s="13" t="s">
        <v>2218</v>
      </c>
      <c r="G565" s="13">
        <v>119.4</v>
      </c>
      <c r="H565" s="13">
        <v>0</v>
      </c>
      <c r="I565" s="13">
        <v>119.4</v>
      </c>
      <c r="J565" s="24">
        <v>45875</v>
      </c>
      <c r="K565" s="13">
        <v>45</v>
      </c>
      <c r="L565" s="44">
        <v>4.2</v>
      </c>
      <c r="M565" s="13" t="b">
        <v>0</v>
      </c>
      <c r="O565" s="25">
        <f t="shared" si="32"/>
        <v>27</v>
      </c>
      <c r="P565" s="13">
        <f t="shared" si="33"/>
        <v>0</v>
      </c>
      <c r="Q565" s="13" t="str">
        <f t="shared" si="34"/>
        <v/>
      </c>
      <c r="R565" s="13" t="str">
        <f t="shared" si="35"/>
        <v>Non diskon</v>
      </c>
    </row>
    <row r="566" spans="1:18" x14ac:dyDescent="0.25">
      <c r="A566" s="13" t="s">
        <v>578</v>
      </c>
      <c r="B566" s="13" t="s">
        <v>2193</v>
      </c>
      <c r="C566" s="13" t="s">
        <v>2199</v>
      </c>
      <c r="D566" s="13" t="s">
        <v>2207</v>
      </c>
      <c r="E566" s="13" t="s">
        <v>2213</v>
      </c>
      <c r="F566" s="13" t="s">
        <v>2224</v>
      </c>
      <c r="G566" s="13">
        <v>186.07</v>
      </c>
      <c r="H566" s="13">
        <v>0</v>
      </c>
      <c r="I566" s="13">
        <v>186.07</v>
      </c>
      <c r="J566" s="24">
        <v>45875</v>
      </c>
      <c r="K566" s="13">
        <v>41</v>
      </c>
      <c r="L566" s="44">
        <v>2.6</v>
      </c>
      <c r="M566" s="13" t="b">
        <v>0</v>
      </c>
      <c r="O566" s="25">
        <f t="shared" si="32"/>
        <v>27</v>
      </c>
      <c r="P566" s="13">
        <f t="shared" si="33"/>
        <v>0</v>
      </c>
      <c r="Q566" s="13" t="str">
        <f t="shared" si="34"/>
        <v/>
      </c>
      <c r="R566" s="13" t="str">
        <f t="shared" si="35"/>
        <v>Non diskon</v>
      </c>
    </row>
    <row r="567" spans="1:18" x14ac:dyDescent="0.25">
      <c r="A567" s="13" t="s">
        <v>579</v>
      </c>
      <c r="B567" s="13" t="s">
        <v>2193</v>
      </c>
      <c r="C567" s="13" t="s">
        <v>2199</v>
      </c>
      <c r="D567" s="13" t="s">
        <v>2207</v>
      </c>
      <c r="E567" s="13" t="s">
        <v>2208</v>
      </c>
      <c r="F567" s="13" t="s">
        <v>2224</v>
      </c>
      <c r="G567" s="13">
        <v>109.46</v>
      </c>
      <c r="H567" s="13">
        <v>0</v>
      </c>
      <c r="I567" s="13">
        <v>109.46</v>
      </c>
      <c r="J567" s="24">
        <v>45875</v>
      </c>
      <c r="K567" s="13">
        <v>38</v>
      </c>
      <c r="L567" s="44">
        <v>4.0999999999999996</v>
      </c>
      <c r="M567" s="13" t="b">
        <v>0</v>
      </c>
      <c r="O567" s="25">
        <f t="shared" si="32"/>
        <v>27</v>
      </c>
      <c r="P567" s="13">
        <f t="shared" si="33"/>
        <v>0</v>
      </c>
      <c r="Q567" s="13" t="str">
        <f t="shared" si="34"/>
        <v/>
      </c>
      <c r="R567" s="13" t="str">
        <f t="shared" si="35"/>
        <v>Non diskon</v>
      </c>
    </row>
    <row r="568" spans="1:18" x14ac:dyDescent="0.25">
      <c r="A568" s="13" t="s">
        <v>580</v>
      </c>
      <c r="B568" s="13" t="s">
        <v>2195</v>
      </c>
      <c r="C568" s="13" t="s">
        <v>2202</v>
      </c>
      <c r="D568" s="13" t="s">
        <v>2205</v>
      </c>
      <c r="E568" s="13" t="s">
        <v>2210</v>
      </c>
      <c r="F568" s="13" t="s">
        <v>2218</v>
      </c>
      <c r="G568" s="13">
        <v>116.18</v>
      </c>
      <c r="H568" s="13">
        <v>42.7</v>
      </c>
      <c r="I568" s="13">
        <v>66.569999999999993</v>
      </c>
      <c r="J568" s="24">
        <v>45875</v>
      </c>
      <c r="K568" s="13">
        <v>3</v>
      </c>
      <c r="L568" s="44">
        <v>3.5</v>
      </c>
      <c r="M568" s="13" t="b">
        <v>0</v>
      </c>
      <c r="O568" s="25">
        <f t="shared" si="32"/>
        <v>27</v>
      </c>
      <c r="P568" s="13">
        <f t="shared" si="33"/>
        <v>128.10000000000002</v>
      </c>
      <c r="Q568" s="13" t="str">
        <f t="shared" si="34"/>
        <v/>
      </c>
      <c r="R568" s="13" t="str">
        <f t="shared" si="35"/>
        <v>Diskon</v>
      </c>
    </row>
    <row r="569" spans="1:18" x14ac:dyDescent="0.25">
      <c r="A569" s="13" t="s">
        <v>581</v>
      </c>
      <c r="B569" s="13" t="s">
        <v>2192</v>
      </c>
      <c r="C569" s="13" t="s">
        <v>2196</v>
      </c>
      <c r="D569" s="13" t="s">
        <v>2205</v>
      </c>
      <c r="F569" s="13" t="s">
        <v>2220</v>
      </c>
      <c r="G569" s="13">
        <v>41.29</v>
      </c>
      <c r="H569" s="13">
        <v>26.3</v>
      </c>
      <c r="I569" s="13">
        <v>30.43</v>
      </c>
      <c r="J569" s="24">
        <v>45875</v>
      </c>
      <c r="K569" s="13">
        <v>5</v>
      </c>
      <c r="L569" s="44">
        <v>4.7</v>
      </c>
      <c r="M569" s="13" t="b">
        <v>0</v>
      </c>
      <c r="O569" s="25">
        <f t="shared" si="32"/>
        <v>27</v>
      </c>
      <c r="P569" s="13">
        <f t="shared" si="33"/>
        <v>131.5</v>
      </c>
      <c r="Q569" s="13" t="str">
        <f t="shared" si="34"/>
        <v/>
      </c>
      <c r="R569" s="13" t="str">
        <f t="shared" si="35"/>
        <v>Diskon</v>
      </c>
    </row>
    <row r="570" spans="1:18" x14ac:dyDescent="0.25">
      <c r="A570" s="13" t="s">
        <v>582</v>
      </c>
      <c r="B570" s="13" t="s">
        <v>2191</v>
      </c>
      <c r="C570" s="13" t="s">
        <v>2197</v>
      </c>
      <c r="D570" s="13" t="s">
        <v>2205</v>
      </c>
      <c r="E570" s="13" t="s">
        <v>2210</v>
      </c>
      <c r="F570" s="13" t="s">
        <v>2220</v>
      </c>
      <c r="G570" s="13">
        <v>94.68</v>
      </c>
      <c r="H570" s="13">
        <v>45</v>
      </c>
      <c r="I570" s="13">
        <v>52.07</v>
      </c>
      <c r="J570" s="24">
        <v>45875</v>
      </c>
      <c r="K570" s="13">
        <v>47</v>
      </c>
      <c r="L570" s="44">
        <v>2.6</v>
      </c>
      <c r="M570" s="13" t="b">
        <v>0</v>
      </c>
      <c r="O570" s="25">
        <f t="shared" si="32"/>
        <v>27</v>
      </c>
      <c r="P570" s="13">
        <f t="shared" si="33"/>
        <v>2115</v>
      </c>
      <c r="Q570" s="13" t="str">
        <f t="shared" si="34"/>
        <v/>
      </c>
      <c r="R570" s="13" t="str">
        <f t="shared" si="35"/>
        <v>Diskon</v>
      </c>
    </row>
    <row r="571" spans="1:18" x14ac:dyDescent="0.25">
      <c r="A571" s="13" t="s">
        <v>583</v>
      </c>
      <c r="B571" s="13" t="s">
        <v>2192</v>
      </c>
      <c r="C571" s="13" t="s">
        <v>2196</v>
      </c>
      <c r="D571" s="13" t="s">
        <v>2204</v>
      </c>
      <c r="F571" s="13" t="s">
        <v>2217</v>
      </c>
      <c r="G571" s="13">
        <v>48.55</v>
      </c>
      <c r="H571" s="13">
        <v>32.700000000000003</v>
      </c>
      <c r="I571" s="13">
        <v>32.67</v>
      </c>
      <c r="J571" s="24">
        <v>45566</v>
      </c>
      <c r="K571" s="13">
        <v>39</v>
      </c>
      <c r="L571" s="44">
        <v>2.8</v>
      </c>
      <c r="M571" s="13" t="b">
        <v>0</v>
      </c>
      <c r="O571" s="25">
        <f t="shared" si="32"/>
        <v>336</v>
      </c>
      <c r="P571" s="13">
        <f t="shared" si="33"/>
        <v>1275.3000000000002</v>
      </c>
      <c r="Q571" s="13" t="str">
        <f t="shared" si="34"/>
        <v/>
      </c>
      <c r="R571" s="13" t="str">
        <f t="shared" si="35"/>
        <v>Diskon</v>
      </c>
    </row>
    <row r="572" spans="1:18" x14ac:dyDescent="0.25">
      <c r="A572" s="13" t="s">
        <v>584</v>
      </c>
      <c r="B572" s="13" t="s">
        <v>2191</v>
      </c>
      <c r="C572" s="13" t="s">
        <v>2202</v>
      </c>
      <c r="D572" s="13" t="s">
        <v>2207</v>
      </c>
      <c r="E572" s="13" t="s">
        <v>2213</v>
      </c>
      <c r="F572" s="13" t="s">
        <v>2223</v>
      </c>
      <c r="G572" s="13">
        <v>75.22</v>
      </c>
      <c r="H572" s="13">
        <v>0</v>
      </c>
      <c r="I572" s="13">
        <v>75.22</v>
      </c>
      <c r="J572" s="24">
        <v>45875</v>
      </c>
      <c r="K572" s="13">
        <v>22</v>
      </c>
      <c r="L572" s="44">
        <v>2.1</v>
      </c>
      <c r="M572" s="13" t="b">
        <v>1</v>
      </c>
      <c r="N572" s="13" t="s">
        <v>2226</v>
      </c>
      <c r="O572" s="25">
        <f t="shared" si="32"/>
        <v>27</v>
      </c>
      <c r="P572" s="13">
        <f t="shared" si="33"/>
        <v>0</v>
      </c>
      <c r="Q572" s="13">
        <f t="shared" si="34"/>
        <v>1</v>
      </c>
      <c r="R572" s="13" t="str">
        <f t="shared" si="35"/>
        <v>Non diskon</v>
      </c>
    </row>
    <row r="573" spans="1:18" x14ac:dyDescent="0.25">
      <c r="A573" s="13" t="s">
        <v>585</v>
      </c>
      <c r="B573" s="13" t="s">
        <v>2193</v>
      </c>
      <c r="C573" s="13" t="s">
        <v>2200</v>
      </c>
      <c r="D573" s="13" t="s">
        <v>2207</v>
      </c>
      <c r="E573" s="13" t="s">
        <v>2212</v>
      </c>
      <c r="F573" s="13" t="s">
        <v>2217</v>
      </c>
      <c r="G573" s="13">
        <v>98.95</v>
      </c>
      <c r="H573" s="13">
        <v>30.3</v>
      </c>
      <c r="I573" s="13">
        <v>68.97</v>
      </c>
      <c r="J573" s="24">
        <v>45875</v>
      </c>
      <c r="K573" s="13">
        <v>16</v>
      </c>
      <c r="L573" s="44">
        <v>3.3021276595744684</v>
      </c>
      <c r="M573" s="13" t="b">
        <v>0</v>
      </c>
      <c r="O573" s="25">
        <f t="shared" si="32"/>
        <v>27</v>
      </c>
      <c r="P573" s="13">
        <f t="shared" si="33"/>
        <v>484.8</v>
      </c>
      <c r="Q573" s="13" t="str">
        <f t="shared" si="34"/>
        <v/>
      </c>
      <c r="R573" s="13" t="str">
        <f t="shared" si="35"/>
        <v>Diskon</v>
      </c>
    </row>
    <row r="574" spans="1:18" x14ac:dyDescent="0.25">
      <c r="A574" s="13" t="s">
        <v>586</v>
      </c>
      <c r="B574" s="13" t="s">
        <v>2191</v>
      </c>
      <c r="C574" s="13" t="s">
        <v>2200</v>
      </c>
      <c r="D574" s="13" t="s">
        <v>2204</v>
      </c>
      <c r="E574" s="13" t="s">
        <v>2208</v>
      </c>
      <c r="F574" s="13" t="s">
        <v>2224</v>
      </c>
      <c r="G574" s="13">
        <v>39.56</v>
      </c>
      <c r="H574" s="13">
        <v>0</v>
      </c>
      <c r="I574" s="13">
        <v>39.56</v>
      </c>
      <c r="J574" s="24">
        <v>45678</v>
      </c>
      <c r="K574" s="13">
        <v>15</v>
      </c>
      <c r="L574" s="44">
        <v>2.9657142857142857</v>
      </c>
      <c r="M574" s="13" t="b">
        <v>0</v>
      </c>
      <c r="O574" s="25">
        <f t="shared" si="32"/>
        <v>224</v>
      </c>
      <c r="P574" s="13">
        <f t="shared" si="33"/>
        <v>0</v>
      </c>
      <c r="Q574" s="13" t="str">
        <f t="shared" si="34"/>
        <v/>
      </c>
      <c r="R574" s="13" t="str">
        <f t="shared" si="35"/>
        <v>Non diskon</v>
      </c>
    </row>
    <row r="575" spans="1:18" x14ac:dyDescent="0.25">
      <c r="A575" s="13" t="s">
        <v>587</v>
      </c>
      <c r="B575" s="13" t="s">
        <v>2190</v>
      </c>
      <c r="C575" s="13" t="s">
        <v>2197</v>
      </c>
      <c r="D575" s="13" t="s">
        <v>2205</v>
      </c>
      <c r="E575" s="13" t="s">
        <v>2210</v>
      </c>
      <c r="F575" s="13" t="s">
        <v>2217</v>
      </c>
      <c r="G575" s="13">
        <v>153.88</v>
      </c>
      <c r="H575" s="13">
        <v>0</v>
      </c>
      <c r="I575" s="13">
        <v>153.88</v>
      </c>
      <c r="J575" s="24">
        <v>45875</v>
      </c>
      <c r="K575" s="13">
        <v>42</v>
      </c>
      <c r="L575" s="44">
        <v>2.2000000000000002</v>
      </c>
      <c r="M575" s="13" t="b">
        <v>0</v>
      </c>
      <c r="O575" s="25">
        <f t="shared" si="32"/>
        <v>27</v>
      </c>
      <c r="P575" s="13">
        <f t="shared" si="33"/>
        <v>0</v>
      </c>
      <c r="Q575" s="13" t="str">
        <f t="shared" si="34"/>
        <v/>
      </c>
      <c r="R575" s="13" t="str">
        <f t="shared" si="35"/>
        <v>Non diskon</v>
      </c>
    </row>
    <row r="576" spans="1:18" x14ac:dyDescent="0.25">
      <c r="A576" s="13" t="s">
        <v>588</v>
      </c>
      <c r="B576" s="13" t="s">
        <v>2192</v>
      </c>
      <c r="C576" s="13" t="s">
        <v>2201</v>
      </c>
      <c r="D576" s="13" t="s">
        <v>2207</v>
      </c>
      <c r="F576" s="13" t="s">
        <v>2221</v>
      </c>
      <c r="G576" s="13">
        <v>68.87</v>
      </c>
      <c r="H576" s="13">
        <v>0</v>
      </c>
      <c r="I576" s="13">
        <v>68.87</v>
      </c>
      <c r="J576" s="24">
        <v>45875</v>
      </c>
      <c r="K576" s="13">
        <v>9</v>
      </c>
      <c r="L576" s="44">
        <v>1.1000000000000001</v>
      </c>
      <c r="M576" s="13" t="b">
        <v>0</v>
      </c>
      <c r="O576" s="25">
        <f t="shared" si="32"/>
        <v>27</v>
      </c>
      <c r="P576" s="13">
        <f t="shared" si="33"/>
        <v>0</v>
      </c>
      <c r="Q576" s="13" t="str">
        <f t="shared" si="34"/>
        <v/>
      </c>
      <c r="R576" s="13" t="str">
        <f t="shared" si="35"/>
        <v>Non diskon</v>
      </c>
    </row>
    <row r="577" spans="1:18" x14ac:dyDescent="0.25">
      <c r="A577" s="13" t="s">
        <v>589</v>
      </c>
      <c r="B577" s="13" t="s">
        <v>2194</v>
      </c>
      <c r="C577" s="13" t="s">
        <v>2201</v>
      </c>
      <c r="D577" s="13" t="s">
        <v>2206</v>
      </c>
      <c r="E577" s="13" t="s">
        <v>2213</v>
      </c>
      <c r="F577" s="13" t="s">
        <v>2215</v>
      </c>
      <c r="G577" s="13">
        <v>25.56</v>
      </c>
      <c r="H577" s="13">
        <v>38.9</v>
      </c>
      <c r="I577" s="13">
        <v>15.62</v>
      </c>
      <c r="J577" s="24">
        <v>45875</v>
      </c>
      <c r="K577" s="13">
        <v>48</v>
      </c>
      <c r="L577" s="44">
        <v>3.0575757575757576</v>
      </c>
      <c r="M577" s="13" t="b">
        <v>0</v>
      </c>
      <c r="O577" s="25">
        <f t="shared" si="32"/>
        <v>27</v>
      </c>
      <c r="P577" s="13">
        <f t="shared" si="33"/>
        <v>1867.1999999999998</v>
      </c>
      <c r="Q577" s="13" t="str">
        <f t="shared" si="34"/>
        <v/>
      </c>
      <c r="R577" s="13" t="str">
        <f t="shared" si="35"/>
        <v>Diskon</v>
      </c>
    </row>
    <row r="578" spans="1:18" x14ac:dyDescent="0.25">
      <c r="A578" s="13" t="s">
        <v>590</v>
      </c>
      <c r="B578" s="13" t="s">
        <v>2190</v>
      </c>
      <c r="C578" s="13" t="s">
        <v>2200</v>
      </c>
      <c r="D578" s="13" t="s">
        <v>2206</v>
      </c>
      <c r="E578" s="13" t="s">
        <v>2211</v>
      </c>
      <c r="F578" s="13" t="s">
        <v>2217</v>
      </c>
      <c r="G578" s="13">
        <v>246.49</v>
      </c>
      <c r="H578" s="13">
        <v>0</v>
      </c>
      <c r="I578" s="13">
        <v>246.49</v>
      </c>
      <c r="J578" s="24">
        <v>45875</v>
      </c>
      <c r="K578" s="13">
        <v>20</v>
      </c>
      <c r="L578" s="44">
        <v>4.8</v>
      </c>
      <c r="M578" s="13" t="b">
        <v>0</v>
      </c>
      <c r="O578" s="25">
        <f t="shared" si="32"/>
        <v>27</v>
      </c>
      <c r="P578" s="13">
        <f t="shared" si="33"/>
        <v>0</v>
      </c>
      <c r="Q578" s="13" t="str">
        <f t="shared" si="34"/>
        <v/>
      </c>
      <c r="R578" s="13" t="str">
        <f t="shared" si="35"/>
        <v>Non diskon</v>
      </c>
    </row>
    <row r="579" spans="1:18" x14ac:dyDescent="0.25">
      <c r="A579" s="13" t="s">
        <v>591</v>
      </c>
      <c r="B579" s="13" t="s">
        <v>2192</v>
      </c>
      <c r="C579" s="13" t="s">
        <v>2200</v>
      </c>
      <c r="D579" s="13" t="s">
        <v>2206</v>
      </c>
      <c r="F579" s="13" t="s">
        <v>2220</v>
      </c>
      <c r="G579" s="13">
        <v>52.41</v>
      </c>
      <c r="H579" s="13">
        <v>0</v>
      </c>
      <c r="I579" s="13">
        <v>52.41</v>
      </c>
      <c r="J579" s="24">
        <v>45875</v>
      </c>
      <c r="K579" s="13">
        <v>14</v>
      </c>
      <c r="L579" s="44">
        <v>2.7333333333333334</v>
      </c>
      <c r="M579" s="13" t="b">
        <v>0</v>
      </c>
      <c r="O579" s="25">
        <f t="shared" ref="O579:O642" si="36">DATE(2025,9,2)-J579</f>
        <v>27</v>
      </c>
      <c r="P579" s="13">
        <f t="shared" ref="P579:P642" si="37">H579*K579</f>
        <v>0</v>
      </c>
      <c r="Q579" s="13" t="str">
        <f t="shared" ref="Q579:Q642" si="38">IF(M579=FALSE,"",1)</f>
        <v/>
      </c>
      <c r="R579" s="13" t="str">
        <f t="shared" ref="R579:R642" si="39">IF(H579=0,"Non diskon","Diskon")</f>
        <v>Non diskon</v>
      </c>
    </row>
    <row r="580" spans="1:18" x14ac:dyDescent="0.25">
      <c r="A580" s="13" t="s">
        <v>592</v>
      </c>
      <c r="B580" s="13" t="s">
        <v>2191</v>
      </c>
      <c r="C580" s="13" t="s">
        <v>2196</v>
      </c>
      <c r="D580" s="13" t="s">
        <v>2207</v>
      </c>
      <c r="E580" s="13" t="s">
        <v>2213</v>
      </c>
      <c r="F580" s="13" t="s">
        <v>2222</v>
      </c>
      <c r="G580" s="13">
        <v>33.770000000000003</v>
      </c>
      <c r="H580" s="13">
        <v>0</v>
      </c>
      <c r="I580" s="13">
        <v>33.770000000000003</v>
      </c>
      <c r="J580" s="24">
        <v>45875</v>
      </c>
      <c r="K580" s="13">
        <v>12</v>
      </c>
      <c r="L580" s="44">
        <v>3.8</v>
      </c>
      <c r="M580" s="13" t="b">
        <v>0</v>
      </c>
      <c r="O580" s="25">
        <f t="shared" si="36"/>
        <v>27</v>
      </c>
      <c r="P580" s="13">
        <f t="shared" si="37"/>
        <v>0</v>
      </c>
      <c r="Q580" s="13" t="str">
        <f t="shared" si="38"/>
        <v/>
      </c>
      <c r="R580" s="13" t="str">
        <f t="shared" si="39"/>
        <v>Non diskon</v>
      </c>
    </row>
    <row r="581" spans="1:18" x14ac:dyDescent="0.25">
      <c r="A581" s="13" t="s">
        <v>593</v>
      </c>
      <c r="B581" s="13" t="s">
        <v>2193</v>
      </c>
      <c r="C581" s="13" t="s">
        <v>2200</v>
      </c>
      <c r="D581" s="13" t="s">
        <v>2207</v>
      </c>
      <c r="E581" s="13" t="s">
        <v>2213</v>
      </c>
      <c r="F581" s="13" t="s">
        <v>2215</v>
      </c>
      <c r="G581" s="13">
        <v>96.7</v>
      </c>
      <c r="H581" s="13">
        <v>0</v>
      </c>
      <c r="I581" s="13">
        <v>96.7</v>
      </c>
      <c r="J581" s="24">
        <v>45875</v>
      </c>
      <c r="K581" s="13">
        <v>28</v>
      </c>
      <c r="L581" s="44">
        <v>3</v>
      </c>
      <c r="M581" s="13" t="b">
        <v>0</v>
      </c>
      <c r="O581" s="25">
        <f t="shared" si="36"/>
        <v>27</v>
      </c>
      <c r="P581" s="13">
        <f t="shared" si="37"/>
        <v>0</v>
      </c>
      <c r="Q581" s="13" t="str">
        <f t="shared" si="38"/>
        <v/>
      </c>
      <c r="R581" s="13" t="str">
        <f t="shared" si="39"/>
        <v>Non diskon</v>
      </c>
    </row>
    <row r="582" spans="1:18" x14ac:dyDescent="0.25">
      <c r="A582" s="13" t="s">
        <v>594</v>
      </c>
      <c r="B582" s="13" t="s">
        <v>2195</v>
      </c>
      <c r="C582" s="13" t="s">
        <v>2200</v>
      </c>
      <c r="D582" s="13" t="s">
        <v>2204</v>
      </c>
      <c r="E582" s="13" t="s">
        <v>2213</v>
      </c>
      <c r="F582" s="13" t="s">
        <v>2214</v>
      </c>
      <c r="G582" s="13">
        <v>95.81</v>
      </c>
      <c r="H582" s="13">
        <v>0</v>
      </c>
      <c r="I582" s="13">
        <v>95.81</v>
      </c>
      <c r="J582" s="24">
        <v>45786</v>
      </c>
      <c r="K582" s="13">
        <v>47</v>
      </c>
      <c r="L582" s="44">
        <v>4.9000000000000004</v>
      </c>
      <c r="M582" s="13" t="b">
        <v>0</v>
      </c>
      <c r="O582" s="25">
        <f t="shared" si="36"/>
        <v>116</v>
      </c>
      <c r="P582" s="13">
        <f t="shared" si="37"/>
        <v>0</v>
      </c>
      <c r="Q582" s="13" t="str">
        <f t="shared" si="38"/>
        <v/>
      </c>
      <c r="R582" s="13" t="str">
        <f t="shared" si="39"/>
        <v>Non diskon</v>
      </c>
    </row>
    <row r="583" spans="1:18" x14ac:dyDescent="0.25">
      <c r="A583" s="13" t="s">
        <v>595</v>
      </c>
      <c r="B583" s="13" t="s">
        <v>2191</v>
      </c>
      <c r="C583" s="13" t="s">
        <v>2202</v>
      </c>
      <c r="D583" s="13" t="s">
        <v>2206</v>
      </c>
      <c r="E583" s="13" t="s">
        <v>2213</v>
      </c>
      <c r="F583" s="13" t="s">
        <v>2224</v>
      </c>
      <c r="G583" s="13">
        <v>41.58</v>
      </c>
      <c r="H583" s="13">
        <v>0</v>
      </c>
      <c r="I583" s="13">
        <v>41.58</v>
      </c>
      <c r="J583" s="24">
        <v>45875</v>
      </c>
      <c r="K583" s="13">
        <v>3</v>
      </c>
      <c r="L583" s="44">
        <v>1.6</v>
      </c>
      <c r="M583" s="13" t="b">
        <v>0</v>
      </c>
      <c r="O583" s="25">
        <f t="shared" si="36"/>
        <v>27</v>
      </c>
      <c r="P583" s="13">
        <f t="shared" si="37"/>
        <v>0</v>
      </c>
      <c r="Q583" s="13" t="str">
        <f t="shared" si="38"/>
        <v/>
      </c>
      <c r="R583" s="13" t="str">
        <f t="shared" si="39"/>
        <v>Non diskon</v>
      </c>
    </row>
    <row r="584" spans="1:18" x14ac:dyDescent="0.25">
      <c r="A584" s="13" t="s">
        <v>596</v>
      </c>
      <c r="B584" s="13" t="s">
        <v>2191</v>
      </c>
      <c r="C584" s="13" t="s">
        <v>2197</v>
      </c>
      <c r="D584" s="13" t="s">
        <v>2207</v>
      </c>
      <c r="E584" s="13" t="s">
        <v>2208</v>
      </c>
      <c r="F584" s="13" t="s">
        <v>2218</v>
      </c>
      <c r="G584" s="13">
        <v>46.67</v>
      </c>
      <c r="H584" s="13">
        <v>6.6</v>
      </c>
      <c r="I584" s="13">
        <v>43.59</v>
      </c>
      <c r="J584" s="24">
        <v>45875</v>
      </c>
      <c r="K584" s="13">
        <v>35</v>
      </c>
      <c r="L584" s="44">
        <v>1.3</v>
      </c>
      <c r="M584" s="13" t="b">
        <v>1</v>
      </c>
      <c r="N584" s="13" t="s">
        <v>2228</v>
      </c>
      <c r="O584" s="25">
        <f t="shared" si="36"/>
        <v>27</v>
      </c>
      <c r="P584" s="13">
        <f t="shared" si="37"/>
        <v>231</v>
      </c>
      <c r="Q584" s="13">
        <f t="shared" si="38"/>
        <v>1</v>
      </c>
      <c r="R584" s="13" t="str">
        <f t="shared" si="39"/>
        <v>Diskon</v>
      </c>
    </row>
    <row r="585" spans="1:18" x14ac:dyDescent="0.25">
      <c r="A585" s="13" t="s">
        <v>597</v>
      </c>
      <c r="B585" s="13" t="s">
        <v>2194</v>
      </c>
      <c r="C585" s="13" t="s">
        <v>2196</v>
      </c>
      <c r="D585" s="13" t="s">
        <v>2205</v>
      </c>
      <c r="E585" s="13" t="s">
        <v>2209</v>
      </c>
      <c r="F585" s="13" t="s">
        <v>2221</v>
      </c>
      <c r="G585" s="13">
        <v>25.98</v>
      </c>
      <c r="H585" s="13">
        <v>59.4</v>
      </c>
      <c r="I585" s="13">
        <v>10.55</v>
      </c>
      <c r="J585" s="24">
        <v>45875</v>
      </c>
      <c r="K585" s="13">
        <v>40</v>
      </c>
      <c r="L585" s="44">
        <v>2.9210526315789478</v>
      </c>
      <c r="M585" s="13" t="b">
        <v>0</v>
      </c>
      <c r="O585" s="25">
        <f t="shared" si="36"/>
        <v>27</v>
      </c>
      <c r="P585" s="13">
        <f t="shared" si="37"/>
        <v>2376</v>
      </c>
      <c r="Q585" s="13" t="str">
        <f t="shared" si="38"/>
        <v/>
      </c>
      <c r="R585" s="13" t="str">
        <f t="shared" si="39"/>
        <v>Diskon</v>
      </c>
    </row>
    <row r="586" spans="1:18" x14ac:dyDescent="0.25">
      <c r="A586" s="13" t="s">
        <v>598</v>
      </c>
      <c r="B586" s="13" t="s">
        <v>2190</v>
      </c>
      <c r="C586" s="13" t="s">
        <v>2197</v>
      </c>
      <c r="D586" s="13" t="s">
        <v>2207</v>
      </c>
      <c r="E586" s="13" t="s">
        <v>2209</v>
      </c>
      <c r="F586" s="13" t="s">
        <v>2221</v>
      </c>
      <c r="G586" s="13">
        <v>204.82</v>
      </c>
      <c r="H586" s="13">
        <v>14</v>
      </c>
      <c r="I586" s="13">
        <v>176.15</v>
      </c>
      <c r="J586" s="24">
        <v>45875</v>
      </c>
      <c r="K586" s="13">
        <v>27</v>
      </c>
      <c r="L586" s="44">
        <v>3.8</v>
      </c>
      <c r="M586" s="13" t="b">
        <v>0</v>
      </c>
      <c r="O586" s="25">
        <f t="shared" si="36"/>
        <v>27</v>
      </c>
      <c r="P586" s="13">
        <f t="shared" si="37"/>
        <v>378</v>
      </c>
      <c r="Q586" s="13" t="str">
        <f t="shared" si="38"/>
        <v/>
      </c>
      <c r="R586" s="13" t="str">
        <f t="shared" si="39"/>
        <v>Diskon</v>
      </c>
    </row>
    <row r="587" spans="1:18" x14ac:dyDescent="0.25">
      <c r="A587" s="13" t="s">
        <v>599</v>
      </c>
      <c r="B587" s="13" t="s">
        <v>2191</v>
      </c>
      <c r="C587" s="13" t="s">
        <v>2196</v>
      </c>
      <c r="D587" s="13" t="s">
        <v>2205</v>
      </c>
      <c r="E587" s="13" t="s">
        <v>2211</v>
      </c>
      <c r="F587" s="13" t="s">
        <v>2215</v>
      </c>
      <c r="G587" s="13">
        <v>43.43</v>
      </c>
      <c r="H587" s="13">
        <v>47.1</v>
      </c>
      <c r="I587" s="13">
        <v>22.97</v>
      </c>
      <c r="J587" s="24">
        <v>45875</v>
      </c>
      <c r="K587" s="13">
        <v>44</v>
      </c>
      <c r="L587" s="44">
        <v>4.7</v>
      </c>
      <c r="M587" s="13" t="b">
        <v>0</v>
      </c>
      <c r="O587" s="25">
        <f t="shared" si="36"/>
        <v>27</v>
      </c>
      <c r="P587" s="13">
        <f t="shared" si="37"/>
        <v>2072.4</v>
      </c>
      <c r="Q587" s="13" t="str">
        <f t="shared" si="38"/>
        <v/>
      </c>
      <c r="R587" s="13" t="str">
        <f t="shared" si="39"/>
        <v>Diskon</v>
      </c>
    </row>
    <row r="588" spans="1:18" x14ac:dyDescent="0.25">
      <c r="A588" s="13" t="s">
        <v>600</v>
      </c>
      <c r="B588" s="13" t="s">
        <v>2192</v>
      </c>
      <c r="C588" s="13" t="s">
        <v>2200</v>
      </c>
      <c r="D588" s="13" t="s">
        <v>2207</v>
      </c>
      <c r="F588" s="13" t="s">
        <v>2219</v>
      </c>
      <c r="G588" s="13">
        <v>40.5</v>
      </c>
      <c r="H588" s="13">
        <v>40.5</v>
      </c>
      <c r="I588" s="13">
        <v>24.1</v>
      </c>
      <c r="J588" s="24">
        <v>45875</v>
      </c>
      <c r="K588" s="13">
        <v>25</v>
      </c>
      <c r="L588" s="44">
        <v>2.9</v>
      </c>
      <c r="M588" s="13" t="b">
        <v>0</v>
      </c>
      <c r="O588" s="25">
        <f t="shared" si="36"/>
        <v>27</v>
      </c>
      <c r="P588" s="13">
        <f t="shared" si="37"/>
        <v>1012.5</v>
      </c>
      <c r="Q588" s="13" t="str">
        <f t="shared" si="38"/>
        <v/>
      </c>
      <c r="R588" s="13" t="str">
        <f t="shared" si="39"/>
        <v>Diskon</v>
      </c>
    </row>
    <row r="589" spans="1:18" x14ac:dyDescent="0.25">
      <c r="A589" s="13" t="s">
        <v>601</v>
      </c>
      <c r="B589" s="13" t="s">
        <v>2194</v>
      </c>
      <c r="C589" s="13" t="s">
        <v>2203</v>
      </c>
      <c r="D589" s="13" t="s">
        <v>2205</v>
      </c>
      <c r="E589" s="13" t="s">
        <v>2213</v>
      </c>
      <c r="F589" s="13" t="s">
        <v>2214</v>
      </c>
      <c r="G589" s="13">
        <v>73.59</v>
      </c>
      <c r="H589" s="13">
        <v>16.600000000000001</v>
      </c>
      <c r="I589" s="13">
        <v>61.37</v>
      </c>
      <c r="J589" s="24">
        <v>45875</v>
      </c>
      <c r="K589" s="13">
        <v>34</v>
      </c>
      <c r="L589" s="44">
        <v>4</v>
      </c>
      <c r="M589" s="13" t="b">
        <v>0</v>
      </c>
      <c r="O589" s="25">
        <f t="shared" si="36"/>
        <v>27</v>
      </c>
      <c r="P589" s="13">
        <f t="shared" si="37"/>
        <v>564.40000000000009</v>
      </c>
      <c r="Q589" s="13" t="str">
        <f t="shared" si="38"/>
        <v/>
      </c>
      <c r="R589" s="13" t="str">
        <f t="shared" si="39"/>
        <v>Diskon</v>
      </c>
    </row>
    <row r="590" spans="1:18" x14ac:dyDescent="0.25">
      <c r="A590" s="13" t="s">
        <v>602</v>
      </c>
      <c r="B590" s="13" t="s">
        <v>2192</v>
      </c>
      <c r="C590" s="13" t="s">
        <v>2201</v>
      </c>
      <c r="D590" s="13" t="s">
        <v>2207</v>
      </c>
      <c r="F590" s="13" t="s">
        <v>2222</v>
      </c>
      <c r="G590" s="13">
        <v>17.670000000000002</v>
      </c>
      <c r="H590" s="13">
        <v>0</v>
      </c>
      <c r="I590" s="13">
        <v>17.670000000000002</v>
      </c>
      <c r="J590" s="24">
        <v>45875</v>
      </c>
      <c r="K590" s="13">
        <v>29</v>
      </c>
      <c r="L590" s="44">
        <v>4.3</v>
      </c>
      <c r="M590" s="13" t="b">
        <v>0</v>
      </c>
      <c r="O590" s="25">
        <f t="shared" si="36"/>
        <v>27</v>
      </c>
      <c r="P590" s="13">
        <f t="shared" si="37"/>
        <v>0</v>
      </c>
      <c r="Q590" s="13" t="str">
        <f t="shared" si="38"/>
        <v/>
      </c>
      <c r="R590" s="13" t="str">
        <f t="shared" si="39"/>
        <v>Non diskon</v>
      </c>
    </row>
    <row r="591" spans="1:18" x14ac:dyDescent="0.25">
      <c r="A591" s="13" t="s">
        <v>603</v>
      </c>
      <c r="B591" s="13" t="s">
        <v>2195</v>
      </c>
      <c r="C591" s="13" t="s">
        <v>2202</v>
      </c>
      <c r="D591" s="13" t="s">
        <v>2205</v>
      </c>
      <c r="E591" s="13" t="s">
        <v>2210</v>
      </c>
      <c r="F591" s="13" t="s">
        <v>2220</v>
      </c>
      <c r="G591" s="13">
        <v>70.010000000000005</v>
      </c>
      <c r="H591" s="13">
        <v>28</v>
      </c>
      <c r="I591" s="13">
        <v>50.41</v>
      </c>
      <c r="J591" s="24">
        <v>45875</v>
      </c>
      <c r="K591" s="13">
        <v>23</v>
      </c>
      <c r="L591" s="44">
        <v>2.980952380952381</v>
      </c>
      <c r="M591" s="13" t="b">
        <v>0</v>
      </c>
      <c r="O591" s="25">
        <f t="shared" si="36"/>
        <v>27</v>
      </c>
      <c r="P591" s="13">
        <f t="shared" si="37"/>
        <v>644</v>
      </c>
      <c r="Q591" s="13" t="str">
        <f t="shared" si="38"/>
        <v/>
      </c>
      <c r="R591" s="13" t="str">
        <f t="shared" si="39"/>
        <v>Diskon</v>
      </c>
    </row>
    <row r="592" spans="1:18" x14ac:dyDescent="0.25">
      <c r="A592" s="13" t="s">
        <v>604</v>
      </c>
      <c r="B592" s="13" t="s">
        <v>2193</v>
      </c>
      <c r="C592" s="13" t="s">
        <v>2199</v>
      </c>
      <c r="D592" s="13" t="s">
        <v>2206</v>
      </c>
      <c r="E592" s="13" t="s">
        <v>2212</v>
      </c>
      <c r="F592" s="13" t="s">
        <v>2214</v>
      </c>
      <c r="G592" s="13">
        <v>79.319999999999993</v>
      </c>
      <c r="H592" s="13">
        <v>33.700000000000003</v>
      </c>
      <c r="I592" s="13">
        <v>52.59</v>
      </c>
      <c r="J592" s="24">
        <v>45875</v>
      </c>
      <c r="K592" s="13">
        <v>38</v>
      </c>
      <c r="L592" s="44">
        <v>3</v>
      </c>
      <c r="M592" s="13" t="b">
        <v>1</v>
      </c>
      <c r="N592" s="13" t="s">
        <v>2226</v>
      </c>
      <c r="O592" s="25">
        <f t="shared" si="36"/>
        <v>27</v>
      </c>
      <c r="P592" s="13">
        <f t="shared" si="37"/>
        <v>1280.6000000000001</v>
      </c>
      <c r="Q592" s="13">
        <f t="shared" si="38"/>
        <v>1</v>
      </c>
      <c r="R592" s="13" t="str">
        <f t="shared" si="39"/>
        <v>Diskon</v>
      </c>
    </row>
    <row r="593" spans="1:18" x14ac:dyDescent="0.25">
      <c r="A593" s="13" t="s">
        <v>605</v>
      </c>
      <c r="B593" s="13" t="s">
        <v>2192</v>
      </c>
      <c r="C593" s="13" t="s">
        <v>2196</v>
      </c>
      <c r="D593" s="13" t="s">
        <v>2207</v>
      </c>
      <c r="F593" s="13" t="s">
        <v>2221</v>
      </c>
      <c r="G593" s="13">
        <v>45.24</v>
      </c>
      <c r="H593" s="13">
        <v>0</v>
      </c>
      <c r="I593" s="13">
        <v>45.24</v>
      </c>
      <c r="J593" s="24">
        <v>45875</v>
      </c>
      <c r="K593" s="13">
        <v>20</v>
      </c>
      <c r="L593" s="44">
        <v>3</v>
      </c>
      <c r="M593" s="13" t="b">
        <v>1</v>
      </c>
      <c r="N593" s="13" t="s">
        <v>2228</v>
      </c>
      <c r="O593" s="25">
        <f t="shared" si="36"/>
        <v>27</v>
      </c>
      <c r="P593" s="13">
        <f t="shared" si="37"/>
        <v>0</v>
      </c>
      <c r="Q593" s="13">
        <f t="shared" si="38"/>
        <v>1</v>
      </c>
      <c r="R593" s="13" t="str">
        <f t="shared" si="39"/>
        <v>Non diskon</v>
      </c>
    </row>
    <row r="594" spans="1:18" x14ac:dyDescent="0.25">
      <c r="A594" s="13" t="s">
        <v>606</v>
      </c>
      <c r="B594" s="13" t="s">
        <v>2191</v>
      </c>
      <c r="C594" s="13" t="s">
        <v>2200</v>
      </c>
      <c r="D594" s="13" t="s">
        <v>2207</v>
      </c>
      <c r="E594" s="13" t="s">
        <v>2211</v>
      </c>
      <c r="F594" s="13" t="s">
        <v>2214</v>
      </c>
      <c r="G594" s="13">
        <v>63.51</v>
      </c>
      <c r="H594" s="13">
        <v>13.6</v>
      </c>
      <c r="I594" s="13">
        <v>54.87</v>
      </c>
      <c r="J594" s="24">
        <v>45875</v>
      </c>
      <c r="K594" s="13">
        <v>19</v>
      </c>
      <c r="L594" s="44">
        <v>2.9657142857142857</v>
      </c>
      <c r="M594" s="13" t="b">
        <v>0</v>
      </c>
      <c r="O594" s="25">
        <f t="shared" si="36"/>
        <v>27</v>
      </c>
      <c r="P594" s="13">
        <f t="shared" si="37"/>
        <v>258.39999999999998</v>
      </c>
      <c r="Q594" s="13" t="str">
        <f t="shared" si="38"/>
        <v/>
      </c>
      <c r="R594" s="13" t="str">
        <f t="shared" si="39"/>
        <v>Diskon</v>
      </c>
    </row>
    <row r="595" spans="1:18" x14ac:dyDescent="0.25">
      <c r="A595" s="13" t="s">
        <v>607</v>
      </c>
      <c r="B595" s="13" t="s">
        <v>2194</v>
      </c>
      <c r="C595" s="13" t="s">
        <v>2201</v>
      </c>
      <c r="D595" s="13" t="s">
        <v>2205</v>
      </c>
      <c r="E595" s="13" t="s">
        <v>2211</v>
      </c>
      <c r="F595" s="13" t="s">
        <v>2217</v>
      </c>
      <c r="G595" s="13">
        <v>55.23</v>
      </c>
      <c r="H595" s="13">
        <v>33.6</v>
      </c>
      <c r="I595" s="13">
        <v>36.67</v>
      </c>
      <c r="J595" s="24">
        <v>45875</v>
      </c>
      <c r="K595" s="13">
        <v>9</v>
      </c>
      <c r="L595" s="44">
        <v>3.0575757575757576</v>
      </c>
      <c r="M595" s="13" t="b">
        <v>0</v>
      </c>
      <c r="O595" s="25">
        <f t="shared" si="36"/>
        <v>27</v>
      </c>
      <c r="P595" s="13">
        <f t="shared" si="37"/>
        <v>302.40000000000003</v>
      </c>
      <c r="Q595" s="13" t="str">
        <f t="shared" si="38"/>
        <v/>
      </c>
      <c r="R595" s="13" t="str">
        <f t="shared" si="39"/>
        <v>Diskon</v>
      </c>
    </row>
    <row r="596" spans="1:18" x14ac:dyDescent="0.25">
      <c r="A596" s="13" t="s">
        <v>608</v>
      </c>
      <c r="B596" s="13" t="s">
        <v>2195</v>
      </c>
      <c r="C596" s="13" t="s">
        <v>2198</v>
      </c>
      <c r="D596" s="13" t="s">
        <v>2206</v>
      </c>
      <c r="E596" s="13" t="s">
        <v>2213</v>
      </c>
      <c r="F596" s="13" t="s">
        <v>2222</v>
      </c>
      <c r="G596" s="13">
        <v>137.59</v>
      </c>
      <c r="H596" s="13">
        <v>0</v>
      </c>
      <c r="I596" s="13">
        <v>137.59</v>
      </c>
      <c r="J596" s="24">
        <v>45875</v>
      </c>
      <c r="K596" s="13">
        <v>18</v>
      </c>
      <c r="L596" s="44">
        <v>2.9000000000000008</v>
      </c>
      <c r="M596" s="13" t="b">
        <v>0</v>
      </c>
      <c r="O596" s="25">
        <f t="shared" si="36"/>
        <v>27</v>
      </c>
      <c r="P596" s="13">
        <f t="shared" si="37"/>
        <v>0</v>
      </c>
      <c r="Q596" s="13" t="str">
        <f t="shared" si="38"/>
        <v/>
      </c>
      <c r="R596" s="13" t="str">
        <f t="shared" si="39"/>
        <v>Non diskon</v>
      </c>
    </row>
    <row r="597" spans="1:18" x14ac:dyDescent="0.25">
      <c r="A597" s="13" t="s">
        <v>609</v>
      </c>
      <c r="B597" s="13" t="s">
        <v>2193</v>
      </c>
      <c r="C597" s="13" t="s">
        <v>2200</v>
      </c>
      <c r="D597" s="13" t="s">
        <v>2206</v>
      </c>
      <c r="F597" s="13" t="s">
        <v>2217</v>
      </c>
      <c r="G597" s="13">
        <v>65.8</v>
      </c>
      <c r="H597" s="13">
        <v>0</v>
      </c>
      <c r="I597" s="13">
        <v>65.8</v>
      </c>
      <c r="J597" s="24">
        <v>45875</v>
      </c>
      <c r="K597" s="13">
        <v>46</v>
      </c>
      <c r="L597" s="44">
        <v>3.2</v>
      </c>
      <c r="M597" s="13" t="b">
        <v>0</v>
      </c>
      <c r="O597" s="25">
        <f t="shared" si="36"/>
        <v>27</v>
      </c>
      <c r="P597" s="13">
        <f t="shared" si="37"/>
        <v>0</v>
      </c>
      <c r="Q597" s="13" t="str">
        <f t="shared" si="38"/>
        <v/>
      </c>
      <c r="R597" s="13" t="str">
        <f t="shared" si="39"/>
        <v>Non diskon</v>
      </c>
    </row>
    <row r="598" spans="1:18" x14ac:dyDescent="0.25">
      <c r="A598" s="13" t="s">
        <v>610</v>
      </c>
      <c r="B598" s="13" t="s">
        <v>2193</v>
      </c>
      <c r="C598" s="13" t="s">
        <v>2197</v>
      </c>
      <c r="D598" s="13" t="s">
        <v>2205</v>
      </c>
      <c r="E598" s="13" t="s">
        <v>2208</v>
      </c>
      <c r="F598" s="13" t="s">
        <v>2219</v>
      </c>
      <c r="G598" s="13">
        <v>88.42</v>
      </c>
      <c r="H598" s="13">
        <v>0</v>
      </c>
      <c r="I598" s="13">
        <v>88.42</v>
      </c>
      <c r="J598" s="24">
        <v>45875</v>
      </c>
      <c r="K598" s="13">
        <v>44</v>
      </c>
      <c r="L598" s="44">
        <v>3.4</v>
      </c>
      <c r="M598" s="13" t="b">
        <v>1</v>
      </c>
      <c r="N598" s="13" t="s">
        <v>2227</v>
      </c>
      <c r="O598" s="25">
        <f t="shared" si="36"/>
        <v>27</v>
      </c>
      <c r="P598" s="13">
        <f t="shared" si="37"/>
        <v>0</v>
      </c>
      <c r="Q598" s="13">
        <f t="shared" si="38"/>
        <v>1</v>
      </c>
      <c r="R598" s="13" t="str">
        <f t="shared" si="39"/>
        <v>Non diskon</v>
      </c>
    </row>
    <row r="599" spans="1:18" x14ac:dyDescent="0.25">
      <c r="A599" s="13" t="s">
        <v>611</v>
      </c>
      <c r="B599" s="13" t="s">
        <v>2195</v>
      </c>
      <c r="C599" s="13" t="s">
        <v>2199</v>
      </c>
      <c r="D599" s="13" t="s">
        <v>2206</v>
      </c>
      <c r="E599" s="13" t="s">
        <v>2213</v>
      </c>
      <c r="F599" s="13" t="s">
        <v>2214</v>
      </c>
      <c r="G599" s="13">
        <v>75.540000000000006</v>
      </c>
      <c r="H599" s="13">
        <v>0</v>
      </c>
      <c r="I599" s="13">
        <v>75.540000000000006</v>
      </c>
      <c r="J599" s="24">
        <v>45875</v>
      </c>
      <c r="K599" s="13">
        <v>6</v>
      </c>
      <c r="L599" s="44">
        <v>4.5999999999999996</v>
      </c>
      <c r="M599" s="13" t="b">
        <v>0</v>
      </c>
      <c r="O599" s="25">
        <f t="shared" si="36"/>
        <v>27</v>
      </c>
      <c r="P599" s="13">
        <f t="shared" si="37"/>
        <v>0</v>
      </c>
      <c r="Q599" s="13" t="str">
        <f t="shared" si="38"/>
        <v/>
      </c>
      <c r="R599" s="13" t="str">
        <f t="shared" si="39"/>
        <v>Non diskon</v>
      </c>
    </row>
    <row r="600" spans="1:18" x14ac:dyDescent="0.25">
      <c r="A600" s="13" t="s">
        <v>612</v>
      </c>
      <c r="B600" s="13" t="s">
        <v>2193</v>
      </c>
      <c r="C600" s="13" t="s">
        <v>2200</v>
      </c>
      <c r="D600" s="13" t="s">
        <v>2204</v>
      </c>
      <c r="E600" s="13" t="s">
        <v>2209</v>
      </c>
      <c r="F600" s="13" t="s">
        <v>2217</v>
      </c>
      <c r="G600" s="13">
        <v>185.13</v>
      </c>
      <c r="H600" s="13">
        <v>0</v>
      </c>
      <c r="I600" s="13">
        <v>185.13</v>
      </c>
      <c r="J600" s="24">
        <v>45786</v>
      </c>
      <c r="K600" s="13">
        <v>49</v>
      </c>
      <c r="L600" s="44">
        <v>4.9000000000000004</v>
      </c>
      <c r="M600" s="13" t="b">
        <v>0</v>
      </c>
      <c r="O600" s="25">
        <f t="shared" si="36"/>
        <v>116</v>
      </c>
      <c r="P600" s="13">
        <f t="shared" si="37"/>
        <v>0</v>
      </c>
      <c r="Q600" s="13" t="str">
        <f t="shared" si="38"/>
        <v/>
      </c>
      <c r="R600" s="13" t="str">
        <f t="shared" si="39"/>
        <v>Non diskon</v>
      </c>
    </row>
    <row r="601" spans="1:18" x14ac:dyDescent="0.25">
      <c r="A601" s="13" t="s">
        <v>613</v>
      </c>
      <c r="B601" s="13" t="s">
        <v>2190</v>
      </c>
      <c r="C601" s="13" t="s">
        <v>2199</v>
      </c>
      <c r="D601" s="13" t="s">
        <v>2206</v>
      </c>
      <c r="E601" s="13" t="s">
        <v>2209</v>
      </c>
      <c r="F601" s="13" t="s">
        <v>2216</v>
      </c>
      <c r="G601" s="13">
        <v>132.58000000000001</v>
      </c>
      <c r="H601" s="13">
        <v>0</v>
      </c>
      <c r="I601" s="13">
        <v>132.58000000000001</v>
      </c>
      <c r="J601" s="24">
        <v>45875</v>
      </c>
      <c r="K601" s="13">
        <v>45</v>
      </c>
      <c r="L601" s="44">
        <v>1.6</v>
      </c>
      <c r="M601" s="13" t="b">
        <v>0</v>
      </c>
      <c r="O601" s="25">
        <f t="shared" si="36"/>
        <v>27</v>
      </c>
      <c r="P601" s="13">
        <f t="shared" si="37"/>
        <v>0</v>
      </c>
      <c r="Q601" s="13" t="str">
        <f t="shared" si="38"/>
        <v/>
      </c>
      <c r="R601" s="13" t="str">
        <f t="shared" si="39"/>
        <v>Non diskon</v>
      </c>
    </row>
    <row r="602" spans="1:18" x14ac:dyDescent="0.25">
      <c r="A602" s="13" t="s">
        <v>614</v>
      </c>
      <c r="B602" s="13" t="s">
        <v>2194</v>
      </c>
      <c r="C602" s="13" t="s">
        <v>2196</v>
      </c>
      <c r="D602" s="13" t="s">
        <v>2206</v>
      </c>
      <c r="E602" s="13" t="s">
        <v>2213</v>
      </c>
      <c r="F602" s="13" t="s">
        <v>2217</v>
      </c>
      <c r="G602" s="13">
        <v>93.38</v>
      </c>
      <c r="H602" s="13">
        <v>0</v>
      </c>
      <c r="I602" s="13">
        <v>93.38</v>
      </c>
      <c r="J602" s="24">
        <v>45875</v>
      </c>
      <c r="K602" s="13">
        <v>7</v>
      </c>
      <c r="L602" s="44">
        <v>3.5</v>
      </c>
      <c r="M602" s="13" t="b">
        <v>0</v>
      </c>
      <c r="O602" s="25">
        <f t="shared" si="36"/>
        <v>27</v>
      </c>
      <c r="P602" s="13">
        <f t="shared" si="37"/>
        <v>0</v>
      </c>
      <c r="Q602" s="13" t="str">
        <f t="shared" si="38"/>
        <v/>
      </c>
      <c r="R602" s="13" t="str">
        <f t="shared" si="39"/>
        <v>Non diskon</v>
      </c>
    </row>
    <row r="603" spans="1:18" x14ac:dyDescent="0.25">
      <c r="A603" s="13" t="s">
        <v>615</v>
      </c>
      <c r="B603" s="13" t="s">
        <v>2192</v>
      </c>
      <c r="C603" s="13" t="s">
        <v>2201</v>
      </c>
      <c r="D603" s="13" t="s">
        <v>2206</v>
      </c>
      <c r="F603" s="13" t="s">
        <v>2216</v>
      </c>
      <c r="G603" s="13">
        <v>47.28</v>
      </c>
      <c r="H603" s="13">
        <v>0</v>
      </c>
      <c r="I603" s="13">
        <v>47.28</v>
      </c>
      <c r="J603" s="24">
        <v>45875</v>
      </c>
      <c r="K603" s="13">
        <v>38</v>
      </c>
      <c r="L603" s="44">
        <v>4.2</v>
      </c>
      <c r="M603" s="13" t="b">
        <v>0</v>
      </c>
      <c r="O603" s="25">
        <f t="shared" si="36"/>
        <v>27</v>
      </c>
      <c r="P603" s="13">
        <f t="shared" si="37"/>
        <v>0</v>
      </c>
      <c r="Q603" s="13" t="str">
        <f t="shared" si="38"/>
        <v/>
      </c>
      <c r="R603" s="13" t="str">
        <f t="shared" si="39"/>
        <v>Non diskon</v>
      </c>
    </row>
    <row r="604" spans="1:18" x14ac:dyDescent="0.25">
      <c r="A604" s="13" t="s">
        <v>616</v>
      </c>
      <c r="B604" s="13" t="s">
        <v>2194</v>
      </c>
      <c r="C604" s="13" t="s">
        <v>2198</v>
      </c>
      <c r="D604" s="13" t="s">
        <v>2204</v>
      </c>
      <c r="E604" s="13" t="s">
        <v>2209</v>
      </c>
      <c r="F604" s="13" t="s">
        <v>2220</v>
      </c>
      <c r="G604" s="13">
        <v>59.88</v>
      </c>
      <c r="H604" s="13">
        <v>0</v>
      </c>
      <c r="I604" s="13">
        <v>59.88</v>
      </c>
      <c r="J604" s="24">
        <v>45577</v>
      </c>
      <c r="K604" s="13">
        <v>33</v>
      </c>
      <c r="L604" s="44">
        <v>2.9</v>
      </c>
      <c r="M604" s="13" t="b">
        <v>0</v>
      </c>
      <c r="O604" s="25">
        <f t="shared" si="36"/>
        <v>325</v>
      </c>
      <c r="P604" s="13">
        <f t="shared" si="37"/>
        <v>0</v>
      </c>
      <c r="Q604" s="13" t="str">
        <f t="shared" si="38"/>
        <v/>
      </c>
      <c r="R604" s="13" t="str">
        <f t="shared" si="39"/>
        <v>Non diskon</v>
      </c>
    </row>
    <row r="605" spans="1:18" x14ac:dyDescent="0.25">
      <c r="A605" s="13" t="s">
        <v>617</v>
      </c>
      <c r="B605" s="13" t="s">
        <v>2195</v>
      </c>
      <c r="C605" s="13" t="s">
        <v>2200</v>
      </c>
      <c r="D605" s="13" t="s">
        <v>2205</v>
      </c>
      <c r="E605" s="13" t="s">
        <v>2211</v>
      </c>
      <c r="F605" s="13" t="s">
        <v>2216</v>
      </c>
      <c r="G605" s="13">
        <v>140.07</v>
      </c>
      <c r="H605" s="13">
        <v>0</v>
      </c>
      <c r="I605" s="13">
        <v>140.07</v>
      </c>
      <c r="J605" s="24">
        <v>45875</v>
      </c>
      <c r="K605" s="13">
        <v>15</v>
      </c>
      <c r="L605" s="44">
        <v>2.7</v>
      </c>
      <c r="M605" s="13" t="b">
        <v>0</v>
      </c>
      <c r="O605" s="25">
        <f t="shared" si="36"/>
        <v>27</v>
      </c>
      <c r="P605" s="13">
        <f t="shared" si="37"/>
        <v>0</v>
      </c>
      <c r="Q605" s="13" t="str">
        <f t="shared" si="38"/>
        <v/>
      </c>
      <c r="R605" s="13" t="str">
        <f t="shared" si="39"/>
        <v>Non diskon</v>
      </c>
    </row>
    <row r="606" spans="1:18" x14ac:dyDescent="0.25">
      <c r="A606" s="13" t="s">
        <v>618</v>
      </c>
      <c r="B606" s="13" t="s">
        <v>2192</v>
      </c>
      <c r="C606" s="13" t="s">
        <v>2197</v>
      </c>
      <c r="D606" s="13" t="s">
        <v>2205</v>
      </c>
      <c r="F606" s="13" t="s">
        <v>2216</v>
      </c>
      <c r="G606" s="13">
        <v>66.599999999999994</v>
      </c>
      <c r="H606" s="13">
        <v>0</v>
      </c>
      <c r="I606" s="13">
        <v>66.599999999999994</v>
      </c>
      <c r="J606" s="24">
        <v>45875</v>
      </c>
      <c r="K606" s="13">
        <v>47</v>
      </c>
      <c r="L606" s="44">
        <v>4</v>
      </c>
      <c r="M606" s="13" t="b">
        <v>0</v>
      </c>
      <c r="O606" s="25">
        <f t="shared" si="36"/>
        <v>27</v>
      </c>
      <c r="P606" s="13">
        <f t="shared" si="37"/>
        <v>0</v>
      </c>
      <c r="Q606" s="13" t="str">
        <f t="shared" si="38"/>
        <v/>
      </c>
      <c r="R606" s="13" t="str">
        <f t="shared" si="39"/>
        <v>Non diskon</v>
      </c>
    </row>
    <row r="607" spans="1:18" x14ac:dyDescent="0.25">
      <c r="A607" s="13" t="s">
        <v>619</v>
      </c>
      <c r="B607" s="13" t="s">
        <v>2192</v>
      </c>
      <c r="C607" s="13" t="s">
        <v>2202</v>
      </c>
      <c r="D607" s="13" t="s">
        <v>2207</v>
      </c>
      <c r="F607" s="13" t="s">
        <v>2223</v>
      </c>
      <c r="G607" s="13">
        <v>39.82</v>
      </c>
      <c r="H607" s="13">
        <v>35.4</v>
      </c>
      <c r="I607" s="13">
        <v>25.72</v>
      </c>
      <c r="J607" s="24">
        <v>45875</v>
      </c>
      <c r="K607" s="13">
        <v>9</v>
      </c>
      <c r="L607" s="44">
        <v>4.5999999999999996</v>
      </c>
      <c r="M607" s="13" t="b">
        <v>0</v>
      </c>
      <c r="O607" s="25">
        <f t="shared" si="36"/>
        <v>27</v>
      </c>
      <c r="P607" s="13">
        <f t="shared" si="37"/>
        <v>318.59999999999997</v>
      </c>
      <c r="Q607" s="13" t="str">
        <f t="shared" si="38"/>
        <v/>
      </c>
      <c r="R607" s="13" t="str">
        <f t="shared" si="39"/>
        <v>Diskon</v>
      </c>
    </row>
    <row r="608" spans="1:18" x14ac:dyDescent="0.25">
      <c r="A608" s="13" t="s">
        <v>620</v>
      </c>
      <c r="B608" s="13" t="s">
        <v>2192</v>
      </c>
      <c r="C608" s="13" t="s">
        <v>2196</v>
      </c>
      <c r="D608" s="13" t="s">
        <v>2206</v>
      </c>
      <c r="F608" s="13" t="s">
        <v>2214</v>
      </c>
      <c r="G608" s="13">
        <v>70.739999999999995</v>
      </c>
      <c r="H608" s="13">
        <v>0</v>
      </c>
      <c r="I608" s="13">
        <v>70.739999999999995</v>
      </c>
      <c r="J608" s="24">
        <v>45875</v>
      </c>
      <c r="K608" s="13">
        <v>49</v>
      </c>
      <c r="L608" s="44">
        <v>1.8</v>
      </c>
      <c r="M608" s="13" t="b">
        <v>0</v>
      </c>
      <c r="O608" s="25">
        <f t="shared" si="36"/>
        <v>27</v>
      </c>
      <c r="P608" s="13">
        <f t="shared" si="37"/>
        <v>0</v>
      </c>
      <c r="Q608" s="13" t="str">
        <f t="shared" si="38"/>
        <v/>
      </c>
      <c r="R608" s="13" t="str">
        <f t="shared" si="39"/>
        <v>Non diskon</v>
      </c>
    </row>
    <row r="609" spans="1:18" x14ac:dyDescent="0.25">
      <c r="A609" s="13" t="s">
        <v>621</v>
      </c>
      <c r="B609" s="13" t="s">
        <v>2195</v>
      </c>
      <c r="C609" s="13" t="s">
        <v>2196</v>
      </c>
      <c r="D609" s="13" t="s">
        <v>2204</v>
      </c>
      <c r="E609" s="13" t="s">
        <v>2213</v>
      </c>
      <c r="F609" s="13" t="s">
        <v>2214</v>
      </c>
      <c r="G609" s="13">
        <v>95.33</v>
      </c>
      <c r="H609" s="13">
        <v>0</v>
      </c>
      <c r="I609" s="13">
        <v>95.33</v>
      </c>
      <c r="J609" s="24">
        <v>45815</v>
      </c>
      <c r="K609" s="13">
        <v>36</v>
      </c>
      <c r="L609" s="44">
        <v>3.0424242424242425</v>
      </c>
      <c r="M609" s="13" t="b">
        <v>1</v>
      </c>
      <c r="N609" s="13" t="s">
        <v>2228</v>
      </c>
      <c r="O609" s="25">
        <f t="shared" si="36"/>
        <v>87</v>
      </c>
      <c r="P609" s="13">
        <f t="shared" si="37"/>
        <v>0</v>
      </c>
      <c r="Q609" s="13">
        <f t="shared" si="38"/>
        <v>1</v>
      </c>
      <c r="R609" s="13" t="str">
        <f t="shared" si="39"/>
        <v>Non diskon</v>
      </c>
    </row>
    <row r="610" spans="1:18" x14ac:dyDescent="0.25">
      <c r="A610" s="13" t="s">
        <v>622</v>
      </c>
      <c r="B610" s="13" t="s">
        <v>2192</v>
      </c>
      <c r="C610" s="13" t="s">
        <v>2203</v>
      </c>
      <c r="D610" s="13" t="s">
        <v>2204</v>
      </c>
      <c r="F610" s="13" t="s">
        <v>2214</v>
      </c>
      <c r="G610" s="13">
        <v>32.619999999999997</v>
      </c>
      <c r="H610" s="13">
        <v>29.1</v>
      </c>
      <c r="I610" s="13">
        <v>23.13</v>
      </c>
      <c r="J610" s="24">
        <v>45865</v>
      </c>
      <c r="K610" s="13">
        <v>9</v>
      </c>
      <c r="L610" s="44">
        <v>1.4</v>
      </c>
      <c r="M610" s="13" t="b">
        <v>0</v>
      </c>
      <c r="O610" s="25">
        <f t="shared" si="36"/>
        <v>37</v>
      </c>
      <c r="P610" s="13">
        <f t="shared" si="37"/>
        <v>261.90000000000003</v>
      </c>
      <c r="Q610" s="13" t="str">
        <f t="shared" si="38"/>
        <v/>
      </c>
      <c r="R610" s="13" t="str">
        <f t="shared" si="39"/>
        <v>Diskon</v>
      </c>
    </row>
    <row r="611" spans="1:18" x14ac:dyDescent="0.25">
      <c r="A611" s="13" t="s">
        <v>623</v>
      </c>
      <c r="B611" s="13" t="s">
        <v>2194</v>
      </c>
      <c r="C611" s="13" t="s">
        <v>2199</v>
      </c>
      <c r="D611" s="13" t="s">
        <v>2207</v>
      </c>
      <c r="E611" s="13" t="s">
        <v>2208</v>
      </c>
      <c r="F611" s="13" t="s">
        <v>2223</v>
      </c>
      <c r="G611" s="13">
        <v>41.07</v>
      </c>
      <c r="H611" s="13">
        <v>0</v>
      </c>
      <c r="I611" s="13">
        <v>41.07</v>
      </c>
      <c r="J611" s="24">
        <v>45875</v>
      </c>
      <c r="K611" s="13">
        <v>10</v>
      </c>
      <c r="L611" s="44">
        <v>4.8</v>
      </c>
      <c r="M611" s="13" t="b">
        <v>0</v>
      </c>
      <c r="O611" s="25">
        <f t="shared" si="36"/>
        <v>27</v>
      </c>
      <c r="P611" s="13">
        <f t="shared" si="37"/>
        <v>0</v>
      </c>
      <c r="Q611" s="13" t="str">
        <f t="shared" si="38"/>
        <v/>
      </c>
      <c r="R611" s="13" t="str">
        <f t="shared" si="39"/>
        <v>Non diskon</v>
      </c>
    </row>
    <row r="612" spans="1:18" x14ac:dyDescent="0.25">
      <c r="A612" s="13" t="s">
        <v>624</v>
      </c>
      <c r="B612" s="13" t="s">
        <v>2194</v>
      </c>
      <c r="C612" s="13" t="s">
        <v>2196</v>
      </c>
      <c r="D612" s="13" t="s">
        <v>2205</v>
      </c>
      <c r="E612" s="13" t="s">
        <v>2208</v>
      </c>
      <c r="F612" s="13" t="s">
        <v>2218</v>
      </c>
      <c r="G612" s="13">
        <v>43.1</v>
      </c>
      <c r="H612" s="13">
        <v>0</v>
      </c>
      <c r="I612" s="13">
        <v>43.1</v>
      </c>
      <c r="J612" s="24">
        <v>45875</v>
      </c>
      <c r="K612" s="13">
        <v>34</v>
      </c>
      <c r="L612" s="44">
        <v>4.9000000000000004</v>
      </c>
      <c r="M612" s="13" t="b">
        <v>0</v>
      </c>
      <c r="O612" s="25">
        <f t="shared" si="36"/>
        <v>27</v>
      </c>
      <c r="P612" s="13">
        <f t="shared" si="37"/>
        <v>0</v>
      </c>
      <c r="Q612" s="13" t="str">
        <f t="shared" si="38"/>
        <v/>
      </c>
      <c r="R612" s="13" t="str">
        <f t="shared" si="39"/>
        <v>Non diskon</v>
      </c>
    </row>
    <row r="613" spans="1:18" x14ac:dyDescent="0.25">
      <c r="A613" s="13" t="s">
        <v>625</v>
      </c>
      <c r="B613" s="13" t="s">
        <v>2190</v>
      </c>
      <c r="C613" s="13" t="s">
        <v>2201</v>
      </c>
      <c r="D613" s="13" t="s">
        <v>2205</v>
      </c>
      <c r="E613" s="13" t="s">
        <v>2211</v>
      </c>
      <c r="F613" s="13" t="s">
        <v>2222</v>
      </c>
      <c r="G613" s="13">
        <v>102.03</v>
      </c>
      <c r="H613" s="13">
        <v>27.9</v>
      </c>
      <c r="I613" s="13">
        <v>73.56</v>
      </c>
      <c r="J613" s="24">
        <v>45875</v>
      </c>
      <c r="K613" s="13">
        <v>21</v>
      </c>
      <c r="L613" s="44">
        <v>2.2000000000000002</v>
      </c>
      <c r="M613" s="13" t="b">
        <v>1</v>
      </c>
      <c r="N613" s="13" t="s">
        <v>2226</v>
      </c>
      <c r="O613" s="25">
        <f t="shared" si="36"/>
        <v>27</v>
      </c>
      <c r="P613" s="13">
        <f t="shared" si="37"/>
        <v>585.9</v>
      </c>
      <c r="Q613" s="13">
        <f t="shared" si="38"/>
        <v>1</v>
      </c>
      <c r="R613" s="13" t="str">
        <f t="shared" si="39"/>
        <v>Diskon</v>
      </c>
    </row>
    <row r="614" spans="1:18" x14ac:dyDescent="0.25">
      <c r="A614" s="13" t="s">
        <v>626</v>
      </c>
      <c r="B614" s="13" t="s">
        <v>2192</v>
      </c>
      <c r="C614" s="13" t="s">
        <v>2199</v>
      </c>
      <c r="D614" s="13" t="s">
        <v>2205</v>
      </c>
      <c r="F614" s="13" t="s">
        <v>2214</v>
      </c>
      <c r="G614" s="13">
        <v>54.11</v>
      </c>
      <c r="H614" s="13">
        <v>0</v>
      </c>
      <c r="I614" s="13">
        <v>54.11</v>
      </c>
      <c r="J614" s="24">
        <v>45875</v>
      </c>
      <c r="K614" s="13">
        <v>15</v>
      </c>
      <c r="L614" s="44">
        <v>2.6</v>
      </c>
      <c r="M614" s="13" t="b">
        <v>0</v>
      </c>
      <c r="O614" s="25">
        <f t="shared" si="36"/>
        <v>27</v>
      </c>
      <c r="P614" s="13">
        <f t="shared" si="37"/>
        <v>0</v>
      </c>
      <c r="Q614" s="13" t="str">
        <f t="shared" si="38"/>
        <v/>
      </c>
      <c r="R614" s="13" t="str">
        <f t="shared" si="39"/>
        <v>Non diskon</v>
      </c>
    </row>
    <row r="615" spans="1:18" x14ac:dyDescent="0.25">
      <c r="A615" s="13" t="s">
        <v>627</v>
      </c>
      <c r="B615" s="13" t="s">
        <v>2192</v>
      </c>
      <c r="C615" s="13" t="s">
        <v>2199</v>
      </c>
      <c r="D615" s="13" t="s">
        <v>2205</v>
      </c>
      <c r="F615" s="13" t="s">
        <v>2223</v>
      </c>
      <c r="G615" s="13">
        <v>43.5</v>
      </c>
      <c r="H615" s="13">
        <v>0</v>
      </c>
      <c r="I615" s="13">
        <v>43.5</v>
      </c>
      <c r="J615" s="24">
        <v>45875</v>
      </c>
      <c r="K615" s="13">
        <v>35</v>
      </c>
      <c r="L615" s="44">
        <v>2.8</v>
      </c>
      <c r="M615" s="13" t="b">
        <v>0</v>
      </c>
      <c r="O615" s="25">
        <f t="shared" si="36"/>
        <v>27</v>
      </c>
      <c r="P615" s="13">
        <f t="shared" si="37"/>
        <v>0</v>
      </c>
      <c r="Q615" s="13" t="str">
        <f t="shared" si="38"/>
        <v/>
      </c>
      <c r="R615" s="13" t="str">
        <f t="shared" si="39"/>
        <v>Non diskon</v>
      </c>
    </row>
    <row r="616" spans="1:18" x14ac:dyDescent="0.25">
      <c r="A616" s="13" t="s">
        <v>628</v>
      </c>
      <c r="B616" s="13" t="s">
        <v>2192</v>
      </c>
      <c r="C616" s="13" t="s">
        <v>2198</v>
      </c>
      <c r="D616" s="13" t="s">
        <v>2205</v>
      </c>
      <c r="F616" s="13" t="s">
        <v>2215</v>
      </c>
      <c r="G616" s="13">
        <v>66</v>
      </c>
      <c r="H616" s="13">
        <v>0</v>
      </c>
      <c r="I616" s="13">
        <v>66</v>
      </c>
      <c r="J616" s="24">
        <v>45875</v>
      </c>
      <c r="K616" s="13">
        <v>19</v>
      </c>
      <c r="L616" s="44">
        <v>2.6</v>
      </c>
      <c r="M616" s="13" t="b">
        <v>0</v>
      </c>
      <c r="O616" s="25">
        <f t="shared" si="36"/>
        <v>27</v>
      </c>
      <c r="P616" s="13">
        <f t="shared" si="37"/>
        <v>0</v>
      </c>
      <c r="Q616" s="13" t="str">
        <f t="shared" si="38"/>
        <v/>
      </c>
      <c r="R616" s="13" t="str">
        <f t="shared" si="39"/>
        <v>Non diskon</v>
      </c>
    </row>
    <row r="617" spans="1:18" x14ac:dyDescent="0.25">
      <c r="A617" s="13" t="s">
        <v>629</v>
      </c>
      <c r="B617" s="13" t="s">
        <v>2194</v>
      </c>
      <c r="C617" s="13" t="s">
        <v>2198</v>
      </c>
      <c r="D617" s="13" t="s">
        <v>2207</v>
      </c>
      <c r="E617" s="13" t="s">
        <v>2213</v>
      </c>
      <c r="F617" s="13" t="s">
        <v>2217</v>
      </c>
      <c r="G617" s="13">
        <v>38.85</v>
      </c>
      <c r="H617" s="13">
        <v>0</v>
      </c>
      <c r="I617" s="13">
        <v>38.85</v>
      </c>
      <c r="J617" s="24">
        <v>45875</v>
      </c>
      <c r="K617" s="13">
        <v>10</v>
      </c>
      <c r="L617" s="44">
        <v>3.8</v>
      </c>
      <c r="M617" s="13" t="b">
        <v>0</v>
      </c>
      <c r="O617" s="25">
        <f t="shared" si="36"/>
        <v>27</v>
      </c>
      <c r="P617" s="13">
        <f t="shared" si="37"/>
        <v>0</v>
      </c>
      <c r="Q617" s="13" t="str">
        <f t="shared" si="38"/>
        <v/>
      </c>
      <c r="R617" s="13" t="str">
        <f t="shared" si="39"/>
        <v>Non diskon</v>
      </c>
    </row>
    <row r="618" spans="1:18" x14ac:dyDescent="0.25">
      <c r="A618" s="13" t="s">
        <v>630</v>
      </c>
      <c r="B618" s="13" t="s">
        <v>2192</v>
      </c>
      <c r="C618" s="13" t="s">
        <v>2196</v>
      </c>
      <c r="D618" s="13" t="s">
        <v>2207</v>
      </c>
      <c r="F618" s="13" t="s">
        <v>2221</v>
      </c>
      <c r="G618" s="13">
        <v>61.29</v>
      </c>
      <c r="H618" s="13">
        <v>0</v>
      </c>
      <c r="I618" s="13">
        <v>61.29</v>
      </c>
      <c r="J618" s="24">
        <v>45875</v>
      </c>
      <c r="K618" s="13">
        <v>15</v>
      </c>
      <c r="L618" s="44">
        <v>4</v>
      </c>
      <c r="M618" s="13" t="b">
        <v>0</v>
      </c>
      <c r="O618" s="25">
        <f t="shared" si="36"/>
        <v>27</v>
      </c>
      <c r="P618" s="13">
        <f t="shared" si="37"/>
        <v>0</v>
      </c>
      <c r="Q618" s="13" t="str">
        <f t="shared" si="38"/>
        <v/>
      </c>
      <c r="R618" s="13" t="str">
        <f t="shared" si="39"/>
        <v>Non diskon</v>
      </c>
    </row>
    <row r="619" spans="1:18" x14ac:dyDescent="0.25">
      <c r="A619" s="13" t="s">
        <v>631</v>
      </c>
      <c r="B619" s="13" t="s">
        <v>2194</v>
      </c>
      <c r="C619" s="13" t="s">
        <v>2200</v>
      </c>
      <c r="D619" s="13" t="s">
        <v>2204</v>
      </c>
      <c r="E619" s="13" t="s">
        <v>2212</v>
      </c>
      <c r="F619" s="13" t="s">
        <v>2221</v>
      </c>
      <c r="G619" s="13">
        <v>90.66</v>
      </c>
      <c r="H619" s="13">
        <v>0</v>
      </c>
      <c r="I619" s="13">
        <v>90.66</v>
      </c>
      <c r="J619" s="24">
        <v>45736</v>
      </c>
      <c r="K619" s="13">
        <v>49</v>
      </c>
      <c r="L619" s="44">
        <v>2.4</v>
      </c>
      <c r="M619" s="13" t="b">
        <v>1</v>
      </c>
      <c r="N619" s="13" t="s">
        <v>2225</v>
      </c>
      <c r="O619" s="25">
        <f t="shared" si="36"/>
        <v>166</v>
      </c>
      <c r="P619" s="13">
        <f t="shared" si="37"/>
        <v>0</v>
      </c>
      <c r="Q619" s="13">
        <f t="shared" si="38"/>
        <v>1</v>
      </c>
      <c r="R619" s="13" t="str">
        <f t="shared" si="39"/>
        <v>Non diskon</v>
      </c>
    </row>
    <row r="620" spans="1:18" x14ac:dyDescent="0.25">
      <c r="A620" s="13" t="s">
        <v>632</v>
      </c>
      <c r="B620" s="13" t="s">
        <v>2195</v>
      </c>
      <c r="C620" s="13" t="s">
        <v>2199</v>
      </c>
      <c r="D620" s="13" t="s">
        <v>2206</v>
      </c>
      <c r="E620" s="13" t="s">
        <v>2208</v>
      </c>
      <c r="F620" s="13" t="s">
        <v>2220</v>
      </c>
      <c r="G620" s="13">
        <v>119.96</v>
      </c>
      <c r="H620" s="13">
        <v>0</v>
      </c>
      <c r="I620" s="13">
        <v>119.96</v>
      </c>
      <c r="J620" s="24">
        <v>45875</v>
      </c>
      <c r="K620" s="13">
        <v>5</v>
      </c>
      <c r="L620" s="44">
        <v>5</v>
      </c>
      <c r="M620" s="13" t="b">
        <v>0</v>
      </c>
      <c r="O620" s="25">
        <f t="shared" si="36"/>
        <v>27</v>
      </c>
      <c r="P620" s="13">
        <f t="shared" si="37"/>
        <v>0</v>
      </c>
      <c r="Q620" s="13" t="str">
        <f t="shared" si="38"/>
        <v/>
      </c>
      <c r="R620" s="13" t="str">
        <f t="shared" si="39"/>
        <v>Non diskon</v>
      </c>
    </row>
    <row r="621" spans="1:18" x14ac:dyDescent="0.25">
      <c r="A621" s="13" t="s">
        <v>633</v>
      </c>
      <c r="B621" s="13" t="s">
        <v>2193</v>
      </c>
      <c r="C621" s="13" t="s">
        <v>2203</v>
      </c>
      <c r="D621" s="13" t="s">
        <v>2206</v>
      </c>
      <c r="E621" s="13" t="s">
        <v>2211</v>
      </c>
      <c r="F621" s="13" t="s">
        <v>2214</v>
      </c>
      <c r="G621" s="13">
        <v>130.21</v>
      </c>
      <c r="H621" s="13">
        <v>0</v>
      </c>
      <c r="I621" s="13">
        <v>130.21</v>
      </c>
      <c r="J621" s="24">
        <v>45875</v>
      </c>
      <c r="K621" s="13">
        <v>50</v>
      </c>
      <c r="L621" s="44">
        <v>4.7</v>
      </c>
      <c r="M621" s="13" t="b">
        <v>0</v>
      </c>
      <c r="O621" s="25">
        <f t="shared" si="36"/>
        <v>27</v>
      </c>
      <c r="P621" s="13">
        <f t="shared" si="37"/>
        <v>0</v>
      </c>
      <c r="Q621" s="13" t="str">
        <f t="shared" si="38"/>
        <v/>
      </c>
      <c r="R621" s="13" t="str">
        <f t="shared" si="39"/>
        <v>Non diskon</v>
      </c>
    </row>
    <row r="622" spans="1:18" x14ac:dyDescent="0.25">
      <c r="A622" s="13" t="s">
        <v>634</v>
      </c>
      <c r="B622" s="13" t="s">
        <v>2191</v>
      </c>
      <c r="C622" s="13" t="s">
        <v>2198</v>
      </c>
      <c r="D622" s="13" t="s">
        <v>2205</v>
      </c>
      <c r="E622" s="13" t="s">
        <v>2212</v>
      </c>
      <c r="F622" s="13" t="s">
        <v>2214</v>
      </c>
      <c r="G622" s="13">
        <v>49.68</v>
      </c>
      <c r="H622" s="13">
        <v>0</v>
      </c>
      <c r="I622" s="13">
        <v>49.68</v>
      </c>
      <c r="J622" s="24">
        <v>45875</v>
      </c>
      <c r="K622" s="13">
        <v>15</v>
      </c>
      <c r="L622" s="44">
        <v>2.8</v>
      </c>
      <c r="M622" s="13" t="b">
        <v>0</v>
      </c>
      <c r="O622" s="25">
        <f t="shared" si="36"/>
        <v>27</v>
      </c>
      <c r="P622" s="13">
        <f t="shared" si="37"/>
        <v>0</v>
      </c>
      <c r="Q622" s="13" t="str">
        <f t="shared" si="38"/>
        <v/>
      </c>
      <c r="R622" s="13" t="str">
        <f t="shared" si="39"/>
        <v>Non diskon</v>
      </c>
    </row>
    <row r="623" spans="1:18" x14ac:dyDescent="0.25">
      <c r="A623" s="13" t="s">
        <v>635</v>
      </c>
      <c r="B623" s="13" t="s">
        <v>2192</v>
      </c>
      <c r="C623" s="13" t="s">
        <v>2196</v>
      </c>
      <c r="D623" s="13" t="s">
        <v>2204</v>
      </c>
      <c r="F623" s="13" t="s">
        <v>2223</v>
      </c>
      <c r="G623" s="13">
        <v>46.58</v>
      </c>
      <c r="H623" s="13">
        <v>0</v>
      </c>
      <c r="I623" s="13">
        <v>46.58</v>
      </c>
      <c r="J623" s="24">
        <v>45560</v>
      </c>
      <c r="K623" s="13">
        <v>42</v>
      </c>
      <c r="L623" s="44">
        <v>1.7</v>
      </c>
      <c r="M623" s="13" t="b">
        <v>0</v>
      </c>
      <c r="O623" s="25">
        <f t="shared" si="36"/>
        <v>342</v>
      </c>
      <c r="P623" s="13">
        <f t="shared" si="37"/>
        <v>0</v>
      </c>
      <c r="Q623" s="13" t="str">
        <f t="shared" si="38"/>
        <v/>
      </c>
      <c r="R623" s="13" t="str">
        <f t="shared" si="39"/>
        <v>Non diskon</v>
      </c>
    </row>
    <row r="624" spans="1:18" x14ac:dyDescent="0.25">
      <c r="A624" s="13" t="s">
        <v>636</v>
      </c>
      <c r="B624" s="13" t="s">
        <v>2192</v>
      </c>
      <c r="C624" s="13" t="s">
        <v>2199</v>
      </c>
      <c r="D624" s="13" t="s">
        <v>2207</v>
      </c>
      <c r="F624" s="13" t="s">
        <v>2224</v>
      </c>
      <c r="G624" s="13">
        <v>69.88</v>
      </c>
      <c r="H624" s="13">
        <v>0</v>
      </c>
      <c r="I624" s="13">
        <v>69.88</v>
      </c>
      <c r="J624" s="24">
        <v>45875</v>
      </c>
      <c r="K624" s="13">
        <v>8</v>
      </c>
      <c r="L624" s="44">
        <v>2.8</v>
      </c>
      <c r="M624" s="13" t="b">
        <v>0</v>
      </c>
      <c r="O624" s="25">
        <f t="shared" si="36"/>
        <v>27</v>
      </c>
      <c r="P624" s="13">
        <f t="shared" si="37"/>
        <v>0</v>
      </c>
      <c r="Q624" s="13" t="str">
        <f t="shared" si="38"/>
        <v/>
      </c>
      <c r="R624" s="13" t="str">
        <f t="shared" si="39"/>
        <v>Non diskon</v>
      </c>
    </row>
    <row r="625" spans="1:18" x14ac:dyDescent="0.25">
      <c r="A625" s="13" t="s">
        <v>637</v>
      </c>
      <c r="B625" s="13" t="s">
        <v>2192</v>
      </c>
      <c r="C625" s="13" t="s">
        <v>2203</v>
      </c>
      <c r="D625" s="13" t="s">
        <v>2206</v>
      </c>
      <c r="F625" s="13" t="s">
        <v>2220</v>
      </c>
      <c r="G625" s="13">
        <v>32.15</v>
      </c>
      <c r="H625" s="13">
        <v>0</v>
      </c>
      <c r="I625" s="13">
        <v>32.15</v>
      </c>
      <c r="J625" s="24">
        <v>45875</v>
      </c>
      <c r="K625" s="13">
        <v>17</v>
      </c>
      <c r="L625" s="44">
        <v>1.9</v>
      </c>
      <c r="M625" s="13" t="b">
        <v>1</v>
      </c>
      <c r="N625" s="13" t="s">
        <v>2228</v>
      </c>
      <c r="O625" s="25">
        <f t="shared" si="36"/>
        <v>27</v>
      </c>
      <c r="P625" s="13">
        <f t="shared" si="37"/>
        <v>0</v>
      </c>
      <c r="Q625" s="13">
        <f t="shared" si="38"/>
        <v>1</v>
      </c>
      <c r="R625" s="13" t="str">
        <f t="shared" si="39"/>
        <v>Non diskon</v>
      </c>
    </row>
    <row r="626" spans="1:18" x14ac:dyDescent="0.25">
      <c r="A626" s="13" t="s">
        <v>638</v>
      </c>
      <c r="B626" s="13" t="s">
        <v>2194</v>
      </c>
      <c r="C626" s="13" t="s">
        <v>2203</v>
      </c>
      <c r="D626" s="13" t="s">
        <v>2207</v>
      </c>
      <c r="E626" s="13" t="s">
        <v>2210</v>
      </c>
      <c r="F626" s="13" t="s">
        <v>2216</v>
      </c>
      <c r="G626" s="13">
        <v>36.340000000000003</v>
      </c>
      <c r="H626" s="13">
        <v>0</v>
      </c>
      <c r="I626" s="13">
        <v>36.340000000000003</v>
      </c>
      <c r="J626" s="24">
        <v>45875</v>
      </c>
      <c r="K626" s="13">
        <v>6</v>
      </c>
      <c r="L626" s="44">
        <v>4.5</v>
      </c>
      <c r="M626" s="13" t="b">
        <v>1</v>
      </c>
      <c r="N626" s="13" t="s">
        <v>2227</v>
      </c>
      <c r="O626" s="25">
        <f t="shared" si="36"/>
        <v>27</v>
      </c>
      <c r="P626" s="13">
        <f t="shared" si="37"/>
        <v>0</v>
      </c>
      <c r="Q626" s="13">
        <f t="shared" si="38"/>
        <v>1</v>
      </c>
      <c r="R626" s="13" t="str">
        <f t="shared" si="39"/>
        <v>Non diskon</v>
      </c>
    </row>
    <row r="627" spans="1:18" x14ac:dyDescent="0.25">
      <c r="A627" s="13" t="s">
        <v>639</v>
      </c>
      <c r="B627" s="13" t="s">
        <v>2194</v>
      </c>
      <c r="C627" s="13" t="s">
        <v>2199</v>
      </c>
      <c r="D627" s="13" t="s">
        <v>2206</v>
      </c>
      <c r="E627" s="13" t="s">
        <v>2213</v>
      </c>
      <c r="F627" s="13" t="s">
        <v>2221</v>
      </c>
      <c r="G627" s="13">
        <v>93.01</v>
      </c>
      <c r="H627" s="13">
        <v>0</v>
      </c>
      <c r="I627" s="13">
        <v>93.01</v>
      </c>
      <c r="J627" s="24">
        <v>45875</v>
      </c>
      <c r="K627" s="13">
        <v>34</v>
      </c>
      <c r="L627" s="44">
        <v>1.4</v>
      </c>
      <c r="M627" s="13" t="b">
        <v>0</v>
      </c>
      <c r="O627" s="25">
        <f t="shared" si="36"/>
        <v>27</v>
      </c>
      <c r="P627" s="13">
        <f t="shared" si="37"/>
        <v>0</v>
      </c>
      <c r="Q627" s="13" t="str">
        <f t="shared" si="38"/>
        <v/>
      </c>
      <c r="R627" s="13" t="str">
        <f t="shared" si="39"/>
        <v>Non diskon</v>
      </c>
    </row>
    <row r="628" spans="1:18" x14ac:dyDescent="0.25">
      <c r="A628" s="13" t="s">
        <v>640</v>
      </c>
      <c r="B628" s="13" t="s">
        <v>2191</v>
      </c>
      <c r="C628" s="13" t="s">
        <v>2202</v>
      </c>
      <c r="D628" s="13" t="s">
        <v>2205</v>
      </c>
      <c r="E628" s="13" t="s">
        <v>2210</v>
      </c>
      <c r="F628" s="13" t="s">
        <v>2224</v>
      </c>
      <c r="G628" s="13">
        <v>75</v>
      </c>
      <c r="H628" s="13">
        <v>0</v>
      </c>
      <c r="I628" s="13">
        <v>75</v>
      </c>
      <c r="J628" s="24">
        <v>45875</v>
      </c>
      <c r="K628" s="13">
        <v>19</v>
      </c>
      <c r="L628" s="44">
        <v>1.6</v>
      </c>
      <c r="M628" s="13" t="b">
        <v>0</v>
      </c>
      <c r="O628" s="25">
        <f t="shared" si="36"/>
        <v>27</v>
      </c>
      <c r="P628" s="13">
        <f t="shared" si="37"/>
        <v>0</v>
      </c>
      <c r="Q628" s="13" t="str">
        <f t="shared" si="38"/>
        <v/>
      </c>
      <c r="R628" s="13" t="str">
        <f t="shared" si="39"/>
        <v>Non diskon</v>
      </c>
    </row>
    <row r="629" spans="1:18" x14ac:dyDescent="0.25">
      <c r="A629" s="13" t="s">
        <v>641</v>
      </c>
      <c r="B629" s="13" t="s">
        <v>2190</v>
      </c>
      <c r="C629" s="13" t="s">
        <v>2196</v>
      </c>
      <c r="D629" s="13" t="s">
        <v>2206</v>
      </c>
      <c r="E629" s="13" t="s">
        <v>2213</v>
      </c>
      <c r="F629" s="13" t="s">
        <v>2219</v>
      </c>
      <c r="G629" s="13">
        <v>81.63</v>
      </c>
      <c r="H629" s="13">
        <v>12.4</v>
      </c>
      <c r="I629" s="13">
        <v>71.510000000000005</v>
      </c>
      <c r="J629" s="24">
        <v>45875</v>
      </c>
      <c r="K629" s="13">
        <v>3</v>
      </c>
      <c r="L629" s="44">
        <v>2.7030303030303036</v>
      </c>
      <c r="M629" s="13" t="b">
        <v>0</v>
      </c>
      <c r="O629" s="25">
        <f t="shared" si="36"/>
        <v>27</v>
      </c>
      <c r="P629" s="13">
        <f t="shared" si="37"/>
        <v>37.200000000000003</v>
      </c>
      <c r="Q629" s="13" t="str">
        <f t="shared" si="38"/>
        <v/>
      </c>
      <c r="R629" s="13" t="str">
        <f t="shared" si="39"/>
        <v>Diskon</v>
      </c>
    </row>
    <row r="630" spans="1:18" x14ac:dyDescent="0.25">
      <c r="A630" s="13" t="s">
        <v>642</v>
      </c>
      <c r="B630" s="13" t="s">
        <v>2194</v>
      </c>
      <c r="C630" s="13" t="s">
        <v>2197</v>
      </c>
      <c r="D630" s="13" t="s">
        <v>2204</v>
      </c>
      <c r="E630" s="13" t="s">
        <v>2208</v>
      </c>
      <c r="F630" s="13" t="s">
        <v>2218</v>
      </c>
      <c r="G630" s="13">
        <v>109.81</v>
      </c>
      <c r="H630" s="13">
        <v>0</v>
      </c>
      <c r="I630" s="13">
        <v>109.81</v>
      </c>
      <c r="J630" s="24">
        <v>45862</v>
      </c>
      <c r="K630" s="13">
        <v>17</v>
      </c>
      <c r="L630" s="44">
        <v>1.9</v>
      </c>
      <c r="M630" s="13" t="b">
        <v>0</v>
      </c>
      <c r="O630" s="25">
        <f t="shared" si="36"/>
        <v>40</v>
      </c>
      <c r="P630" s="13">
        <f t="shared" si="37"/>
        <v>0</v>
      </c>
      <c r="Q630" s="13" t="str">
        <f t="shared" si="38"/>
        <v/>
      </c>
      <c r="R630" s="13" t="str">
        <f t="shared" si="39"/>
        <v>Non diskon</v>
      </c>
    </row>
    <row r="631" spans="1:18" x14ac:dyDescent="0.25">
      <c r="A631" s="13" t="s">
        <v>643</v>
      </c>
      <c r="B631" s="13" t="s">
        <v>2194</v>
      </c>
      <c r="C631" s="13" t="s">
        <v>2201</v>
      </c>
      <c r="D631" s="13" t="s">
        <v>2206</v>
      </c>
      <c r="F631" s="13" t="s">
        <v>2216</v>
      </c>
      <c r="G631" s="13">
        <v>47.7</v>
      </c>
      <c r="H631" s="13">
        <v>0</v>
      </c>
      <c r="I631" s="13">
        <v>47.7</v>
      </c>
      <c r="J631" s="24">
        <v>45875</v>
      </c>
      <c r="K631" s="13">
        <v>14</v>
      </c>
      <c r="L631" s="44">
        <v>2.2999999999999998</v>
      </c>
      <c r="M631" s="13" t="b">
        <v>0</v>
      </c>
      <c r="O631" s="25">
        <f t="shared" si="36"/>
        <v>27</v>
      </c>
      <c r="P631" s="13">
        <f t="shared" si="37"/>
        <v>0</v>
      </c>
      <c r="Q631" s="13" t="str">
        <f t="shared" si="38"/>
        <v/>
      </c>
      <c r="R631" s="13" t="str">
        <f t="shared" si="39"/>
        <v>Non diskon</v>
      </c>
    </row>
    <row r="632" spans="1:18" x14ac:dyDescent="0.25">
      <c r="A632" s="13" t="s">
        <v>644</v>
      </c>
      <c r="B632" s="13" t="s">
        <v>2191</v>
      </c>
      <c r="C632" s="13" t="s">
        <v>2198</v>
      </c>
      <c r="D632" s="13" t="s">
        <v>2205</v>
      </c>
      <c r="E632" s="13" t="s">
        <v>2210</v>
      </c>
      <c r="F632" s="13" t="s">
        <v>2214</v>
      </c>
      <c r="G632" s="13">
        <v>96.08</v>
      </c>
      <c r="H632" s="13">
        <v>0</v>
      </c>
      <c r="I632" s="13">
        <v>96.08</v>
      </c>
      <c r="J632" s="24">
        <v>45875</v>
      </c>
      <c r="K632" s="13">
        <v>7</v>
      </c>
      <c r="L632" s="44">
        <v>2.5</v>
      </c>
      <c r="M632" s="13" t="b">
        <v>0</v>
      </c>
      <c r="O632" s="25">
        <f t="shared" si="36"/>
        <v>27</v>
      </c>
      <c r="P632" s="13">
        <f t="shared" si="37"/>
        <v>0</v>
      </c>
      <c r="Q632" s="13" t="str">
        <f t="shared" si="38"/>
        <v/>
      </c>
      <c r="R632" s="13" t="str">
        <f t="shared" si="39"/>
        <v>Non diskon</v>
      </c>
    </row>
    <row r="633" spans="1:18" x14ac:dyDescent="0.25">
      <c r="A633" s="13" t="s">
        <v>645</v>
      </c>
      <c r="B633" s="13" t="s">
        <v>2191</v>
      </c>
      <c r="C633" s="13" t="s">
        <v>2200</v>
      </c>
      <c r="D633" s="13" t="s">
        <v>2205</v>
      </c>
      <c r="E633" s="13" t="s">
        <v>2212</v>
      </c>
      <c r="F633" s="13" t="s">
        <v>2224</v>
      </c>
      <c r="G633" s="13">
        <v>28</v>
      </c>
      <c r="H633" s="13">
        <v>2.6</v>
      </c>
      <c r="I633" s="13">
        <v>27.27</v>
      </c>
      <c r="J633" s="24">
        <v>45875</v>
      </c>
      <c r="K633" s="13">
        <v>2</v>
      </c>
      <c r="L633" s="44">
        <v>2.9657142857142857</v>
      </c>
      <c r="M633" s="13" t="b">
        <v>0</v>
      </c>
      <c r="O633" s="25">
        <f t="shared" si="36"/>
        <v>27</v>
      </c>
      <c r="P633" s="13">
        <f t="shared" si="37"/>
        <v>5.2</v>
      </c>
      <c r="Q633" s="13" t="str">
        <f t="shared" si="38"/>
        <v/>
      </c>
      <c r="R633" s="13" t="str">
        <f t="shared" si="39"/>
        <v>Diskon</v>
      </c>
    </row>
    <row r="634" spans="1:18" x14ac:dyDescent="0.25">
      <c r="A634" s="13" t="s">
        <v>646</v>
      </c>
      <c r="B634" s="13" t="s">
        <v>2194</v>
      </c>
      <c r="C634" s="13" t="s">
        <v>2196</v>
      </c>
      <c r="D634" s="13" t="s">
        <v>2205</v>
      </c>
      <c r="E634" s="13" t="s">
        <v>2210</v>
      </c>
      <c r="F634" s="13" t="s">
        <v>2224</v>
      </c>
      <c r="G634" s="13">
        <v>52.43</v>
      </c>
      <c r="H634" s="13">
        <v>6.4</v>
      </c>
      <c r="I634" s="13">
        <v>49.07</v>
      </c>
      <c r="J634" s="24">
        <v>45875</v>
      </c>
      <c r="K634" s="13">
        <v>42</v>
      </c>
      <c r="L634" s="44">
        <v>2.6</v>
      </c>
      <c r="M634" s="13" t="b">
        <v>0</v>
      </c>
      <c r="O634" s="25">
        <f t="shared" si="36"/>
        <v>27</v>
      </c>
      <c r="P634" s="13">
        <f t="shared" si="37"/>
        <v>268.8</v>
      </c>
      <c r="Q634" s="13" t="str">
        <f t="shared" si="38"/>
        <v/>
      </c>
      <c r="R634" s="13" t="str">
        <f t="shared" si="39"/>
        <v>Diskon</v>
      </c>
    </row>
    <row r="635" spans="1:18" x14ac:dyDescent="0.25">
      <c r="A635" s="13" t="s">
        <v>647</v>
      </c>
      <c r="B635" s="13" t="s">
        <v>2192</v>
      </c>
      <c r="C635" s="13" t="s">
        <v>2202</v>
      </c>
      <c r="D635" s="13" t="s">
        <v>2207</v>
      </c>
      <c r="F635" s="13" t="s">
        <v>2215</v>
      </c>
      <c r="G635" s="13">
        <v>67.95</v>
      </c>
      <c r="H635" s="13">
        <v>18.3</v>
      </c>
      <c r="I635" s="13">
        <v>55.52</v>
      </c>
      <c r="J635" s="24">
        <v>45875</v>
      </c>
      <c r="K635" s="13">
        <v>37</v>
      </c>
      <c r="L635" s="44">
        <v>3.2720930232558145</v>
      </c>
      <c r="M635" s="13" t="b">
        <v>0</v>
      </c>
      <c r="O635" s="25">
        <f t="shared" si="36"/>
        <v>27</v>
      </c>
      <c r="P635" s="13">
        <f t="shared" si="37"/>
        <v>677.1</v>
      </c>
      <c r="Q635" s="13" t="str">
        <f t="shared" si="38"/>
        <v/>
      </c>
      <c r="R635" s="13" t="str">
        <f t="shared" si="39"/>
        <v>Diskon</v>
      </c>
    </row>
    <row r="636" spans="1:18" x14ac:dyDescent="0.25">
      <c r="A636" s="13" t="s">
        <v>648</v>
      </c>
      <c r="B636" s="13" t="s">
        <v>2195</v>
      </c>
      <c r="C636" s="13" t="s">
        <v>2201</v>
      </c>
      <c r="D636" s="13" t="s">
        <v>2206</v>
      </c>
      <c r="F636" s="13" t="s">
        <v>2214</v>
      </c>
      <c r="G636" s="13">
        <v>131.91999999999999</v>
      </c>
      <c r="H636" s="13">
        <v>0</v>
      </c>
      <c r="I636" s="13">
        <v>131.91999999999999</v>
      </c>
      <c r="J636" s="24">
        <v>45875</v>
      </c>
      <c r="K636" s="13">
        <v>10</v>
      </c>
      <c r="L636" s="44">
        <v>2.5</v>
      </c>
      <c r="M636" s="13" t="b">
        <v>0</v>
      </c>
      <c r="O636" s="25">
        <f t="shared" si="36"/>
        <v>27</v>
      </c>
      <c r="P636" s="13">
        <f t="shared" si="37"/>
        <v>0</v>
      </c>
      <c r="Q636" s="13" t="str">
        <f t="shared" si="38"/>
        <v/>
      </c>
      <c r="R636" s="13" t="str">
        <f t="shared" si="39"/>
        <v>Non diskon</v>
      </c>
    </row>
    <row r="637" spans="1:18" x14ac:dyDescent="0.25">
      <c r="A637" s="13" t="s">
        <v>649</v>
      </c>
      <c r="B637" s="13" t="s">
        <v>2190</v>
      </c>
      <c r="C637" s="13" t="s">
        <v>2201</v>
      </c>
      <c r="D637" s="13" t="s">
        <v>2204</v>
      </c>
      <c r="E637" s="13" t="s">
        <v>2212</v>
      </c>
      <c r="F637" s="13" t="s">
        <v>2217</v>
      </c>
      <c r="G637" s="13">
        <v>205.77</v>
      </c>
      <c r="H637" s="13">
        <v>0</v>
      </c>
      <c r="I637" s="13">
        <v>205.77</v>
      </c>
      <c r="J637" s="24">
        <v>45688</v>
      </c>
      <c r="K637" s="13">
        <v>38</v>
      </c>
      <c r="L637" s="44">
        <v>1</v>
      </c>
      <c r="M637" s="13" t="b">
        <v>0</v>
      </c>
      <c r="O637" s="25">
        <f t="shared" si="36"/>
        <v>214</v>
      </c>
      <c r="P637" s="13">
        <f t="shared" si="37"/>
        <v>0</v>
      </c>
      <c r="Q637" s="13" t="str">
        <f t="shared" si="38"/>
        <v/>
      </c>
      <c r="R637" s="13" t="str">
        <f t="shared" si="39"/>
        <v>Non diskon</v>
      </c>
    </row>
    <row r="638" spans="1:18" x14ac:dyDescent="0.25">
      <c r="A638" s="13" t="s">
        <v>650</v>
      </c>
      <c r="B638" s="13" t="s">
        <v>2191</v>
      </c>
      <c r="C638" s="13" t="s">
        <v>2197</v>
      </c>
      <c r="D638" s="13" t="s">
        <v>2205</v>
      </c>
      <c r="E638" s="13" t="s">
        <v>2208</v>
      </c>
      <c r="F638" s="13" t="s">
        <v>2217</v>
      </c>
      <c r="G638" s="13">
        <v>97.88</v>
      </c>
      <c r="H638" s="13">
        <v>11.3</v>
      </c>
      <c r="I638" s="13">
        <v>86.82</v>
      </c>
      <c r="J638" s="24">
        <v>45875</v>
      </c>
      <c r="K638" s="13">
        <v>27</v>
      </c>
      <c r="L638" s="44">
        <v>1.3</v>
      </c>
      <c r="M638" s="13" t="b">
        <v>0</v>
      </c>
      <c r="O638" s="25">
        <f t="shared" si="36"/>
        <v>27</v>
      </c>
      <c r="P638" s="13">
        <f t="shared" si="37"/>
        <v>305.10000000000002</v>
      </c>
      <c r="Q638" s="13" t="str">
        <f t="shared" si="38"/>
        <v/>
      </c>
      <c r="R638" s="13" t="str">
        <f t="shared" si="39"/>
        <v>Diskon</v>
      </c>
    </row>
    <row r="639" spans="1:18" x14ac:dyDescent="0.25">
      <c r="A639" s="13" t="s">
        <v>651</v>
      </c>
      <c r="B639" s="13" t="s">
        <v>2193</v>
      </c>
      <c r="C639" s="13" t="s">
        <v>2196</v>
      </c>
      <c r="D639" s="13" t="s">
        <v>2207</v>
      </c>
      <c r="E639" s="13" t="s">
        <v>2209</v>
      </c>
      <c r="F639" s="13" t="s">
        <v>2218</v>
      </c>
      <c r="G639" s="13">
        <v>109.55</v>
      </c>
      <c r="H639" s="13">
        <v>0</v>
      </c>
      <c r="I639" s="13">
        <v>109.55</v>
      </c>
      <c r="J639" s="24">
        <v>45875</v>
      </c>
      <c r="K639" s="13">
        <v>32</v>
      </c>
      <c r="L639" s="44">
        <v>1.4</v>
      </c>
      <c r="M639" s="13" t="b">
        <v>0</v>
      </c>
      <c r="O639" s="25">
        <f t="shared" si="36"/>
        <v>27</v>
      </c>
      <c r="P639" s="13">
        <f t="shared" si="37"/>
        <v>0</v>
      </c>
      <c r="Q639" s="13" t="str">
        <f t="shared" si="38"/>
        <v/>
      </c>
      <c r="R639" s="13" t="str">
        <f t="shared" si="39"/>
        <v>Non diskon</v>
      </c>
    </row>
    <row r="640" spans="1:18" x14ac:dyDescent="0.25">
      <c r="A640" s="13" t="s">
        <v>652</v>
      </c>
      <c r="B640" s="13" t="s">
        <v>2194</v>
      </c>
      <c r="C640" s="13" t="s">
        <v>2196</v>
      </c>
      <c r="D640" s="13" t="s">
        <v>2206</v>
      </c>
      <c r="E640" s="13" t="s">
        <v>2209</v>
      </c>
      <c r="F640" s="13" t="s">
        <v>2218</v>
      </c>
      <c r="G640" s="13">
        <v>52.94</v>
      </c>
      <c r="H640" s="13">
        <v>10.6</v>
      </c>
      <c r="I640" s="13">
        <v>47.33</v>
      </c>
      <c r="J640" s="24">
        <v>45875</v>
      </c>
      <c r="K640" s="13">
        <v>50</v>
      </c>
      <c r="L640" s="44">
        <v>2.7</v>
      </c>
      <c r="M640" s="13" t="b">
        <v>0</v>
      </c>
      <c r="O640" s="25">
        <f t="shared" si="36"/>
        <v>27</v>
      </c>
      <c r="P640" s="13">
        <f t="shared" si="37"/>
        <v>530</v>
      </c>
      <c r="Q640" s="13" t="str">
        <f t="shared" si="38"/>
        <v/>
      </c>
      <c r="R640" s="13" t="str">
        <f t="shared" si="39"/>
        <v>Diskon</v>
      </c>
    </row>
    <row r="641" spans="1:18" x14ac:dyDescent="0.25">
      <c r="A641" s="13" t="s">
        <v>653</v>
      </c>
      <c r="B641" s="13" t="s">
        <v>2194</v>
      </c>
      <c r="C641" s="13" t="s">
        <v>2198</v>
      </c>
      <c r="D641" s="13" t="s">
        <v>2205</v>
      </c>
      <c r="E641" s="13" t="s">
        <v>2212</v>
      </c>
      <c r="F641" s="13" t="s">
        <v>2215</v>
      </c>
      <c r="G641" s="13">
        <v>70.83</v>
      </c>
      <c r="H641" s="13">
        <v>18</v>
      </c>
      <c r="I641" s="13">
        <v>58.08</v>
      </c>
      <c r="J641" s="24">
        <v>45875</v>
      </c>
      <c r="K641" s="13">
        <v>21</v>
      </c>
      <c r="L641" s="44">
        <v>2.9</v>
      </c>
      <c r="M641" s="13" t="b">
        <v>0</v>
      </c>
      <c r="O641" s="25">
        <f t="shared" si="36"/>
        <v>27</v>
      </c>
      <c r="P641" s="13">
        <f t="shared" si="37"/>
        <v>378</v>
      </c>
      <c r="Q641" s="13" t="str">
        <f t="shared" si="38"/>
        <v/>
      </c>
      <c r="R641" s="13" t="str">
        <f t="shared" si="39"/>
        <v>Diskon</v>
      </c>
    </row>
    <row r="642" spans="1:18" x14ac:dyDescent="0.25">
      <c r="A642" s="13" t="s">
        <v>654</v>
      </c>
      <c r="B642" s="13" t="s">
        <v>2195</v>
      </c>
      <c r="C642" s="13" t="s">
        <v>2199</v>
      </c>
      <c r="D642" s="13" t="s">
        <v>2206</v>
      </c>
      <c r="E642" s="13" t="s">
        <v>2209</v>
      </c>
      <c r="F642" s="13" t="s">
        <v>2222</v>
      </c>
      <c r="G642" s="13">
        <v>53.17</v>
      </c>
      <c r="H642" s="13">
        <v>0</v>
      </c>
      <c r="I642" s="13">
        <v>53.17</v>
      </c>
      <c r="J642" s="24">
        <v>45875</v>
      </c>
      <c r="K642" s="13">
        <v>14</v>
      </c>
      <c r="L642" s="44">
        <v>4.5</v>
      </c>
      <c r="M642" s="13" t="b">
        <v>1</v>
      </c>
      <c r="N642" s="13" t="s">
        <v>2229</v>
      </c>
      <c r="O642" s="25">
        <f t="shared" si="36"/>
        <v>27</v>
      </c>
      <c r="P642" s="13">
        <f t="shared" si="37"/>
        <v>0</v>
      </c>
      <c r="Q642" s="13">
        <f t="shared" si="38"/>
        <v>1</v>
      </c>
      <c r="R642" s="13" t="str">
        <f t="shared" si="39"/>
        <v>Non diskon</v>
      </c>
    </row>
    <row r="643" spans="1:18" x14ac:dyDescent="0.25">
      <c r="A643" s="13" t="s">
        <v>655</v>
      </c>
      <c r="B643" s="13" t="s">
        <v>2194</v>
      </c>
      <c r="C643" s="13" t="s">
        <v>2198</v>
      </c>
      <c r="D643" s="13" t="s">
        <v>2207</v>
      </c>
      <c r="E643" s="13" t="s">
        <v>2212</v>
      </c>
      <c r="F643" s="13" t="s">
        <v>2221</v>
      </c>
      <c r="G643" s="13">
        <v>119.56</v>
      </c>
      <c r="H643" s="13">
        <v>46.2</v>
      </c>
      <c r="I643" s="13">
        <v>64.319999999999993</v>
      </c>
      <c r="J643" s="24">
        <v>45875</v>
      </c>
      <c r="K643" s="13">
        <v>14</v>
      </c>
      <c r="L643" s="44">
        <v>3.0384615384615379</v>
      </c>
      <c r="M643" s="13" t="b">
        <v>0</v>
      </c>
      <c r="O643" s="25">
        <f t="shared" ref="O643:O706" si="40">DATE(2025,9,2)-J643</f>
        <v>27</v>
      </c>
      <c r="P643" s="13">
        <f t="shared" ref="P643:P706" si="41">H643*K643</f>
        <v>646.80000000000007</v>
      </c>
      <c r="Q643" s="13" t="str">
        <f t="shared" ref="Q643:Q706" si="42">IF(M643=FALSE,"",1)</f>
        <v/>
      </c>
      <c r="R643" s="13" t="str">
        <f t="shared" ref="R643:R706" si="43">IF(H643=0,"Non diskon","Diskon")</f>
        <v>Diskon</v>
      </c>
    </row>
    <row r="644" spans="1:18" x14ac:dyDescent="0.25">
      <c r="A644" s="13" t="s">
        <v>656</v>
      </c>
      <c r="B644" s="13" t="s">
        <v>2195</v>
      </c>
      <c r="C644" s="13" t="s">
        <v>2199</v>
      </c>
      <c r="D644" s="13" t="s">
        <v>2205</v>
      </c>
      <c r="E644" s="13" t="s">
        <v>2210</v>
      </c>
      <c r="F644" s="13" t="s">
        <v>2219</v>
      </c>
      <c r="G644" s="13">
        <v>144.43</v>
      </c>
      <c r="H644" s="13">
        <v>0</v>
      </c>
      <c r="I644" s="13">
        <v>144.43</v>
      </c>
      <c r="J644" s="24">
        <v>45875</v>
      </c>
      <c r="K644" s="13">
        <v>41</v>
      </c>
      <c r="L644" s="44">
        <v>3.6</v>
      </c>
      <c r="M644" s="13" t="b">
        <v>0</v>
      </c>
      <c r="O644" s="25">
        <f t="shared" si="40"/>
        <v>27</v>
      </c>
      <c r="P644" s="13">
        <f t="shared" si="41"/>
        <v>0</v>
      </c>
      <c r="Q644" s="13" t="str">
        <f t="shared" si="42"/>
        <v/>
      </c>
      <c r="R644" s="13" t="str">
        <f t="shared" si="43"/>
        <v>Non diskon</v>
      </c>
    </row>
    <row r="645" spans="1:18" x14ac:dyDescent="0.25">
      <c r="A645" s="13" t="s">
        <v>657</v>
      </c>
      <c r="B645" s="13" t="s">
        <v>2190</v>
      </c>
      <c r="C645" s="13" t="s">
        <v>2199</v>
      </c>
      <c r="D645" s="13" t="s">
        <v>2204</v>
      </c>
      <c r="E645" s="13" t="s">
        <v>2210</v>
      </c>
      <c r="F645" s="13" t="s">
        <v>2223</v>
      </c>
      <c r="G645" s="13">
        <v>172.93</v>
      </c>
      <c r="H645" s="13">
        <v>0</v>
      </c>
      <c r="I645" s="13">
        <v>172.93</v>
      </c>
      <c r="J645" s="24">
        <v>45759</v>
      </c>
      <c r="K645" s="13">
        <v>43</v>
      </c>
      <c r="L645" s="44">
        <v>4.7</v>
      </c>
      <c r="M645" s="13" t="b">
        <v>1</v>
      </c>
      <c r="N645" s="13" t="s">
        <v>2228</v>
      </c>
      <c r="O645" s="25">
        <f t="shared" si="40"/>
        <v>143</v>
      </c>
      <c r="P645" s="13">
        <f t="shared" si="41"/>
        <v>0</v>
      </c>
      <c r="Q645" s="13">
        <f t="shared" si="42"/>
        <v>1</v>
      </c>
      <c r="R645" s="13" t="str">
        <f t="shared" si="43"/>
        <v>Non diskon</v>
      </c>
    </row>
    <row r="646" spans="1:18" x14ac:dyDescent="0.25">
      <c r="A646" s="13" t="s">
        <v>658</v>
      </c>
      <c r="B646" s="13" t="s">
        <v>2190</v>
      </c>
      <c r="C646" s="13" t="s">
        <v>2202</v>
      </c>
      <c r="D646" s="13" t="s">
        <v>2205</v>
      </c>
      <c r="E646" s="13" t="s">
        <v>2208</v>
      </c>
      <c r="F646" s="13" t="s">
        <v>2221</v>
      </c>
      <c r="G646" s="13">
        <v>191.95</v>
      </c>
      <c r="H646" s="13">
        <v>40.4</v>
      </c>
      <c r="I646" s="13">
        <v>114.4</v>
      </c>
      <c r="J646" s="24">
        <v>45875</v>
      </c>
      <c r="K646" s="13">
        <v>21</v>
      </c>
      <c r="L646" s="44">
        <v>2.9</v>
      </c>
      <c r="M646" s="13" t="b">
        <v>0</v>
      </c>
      <c r="O646" s="25">
        <f t="shared" si="40"/>
        <v>27</v>
      </c>
      <c r="P646" s="13">
        <f t="shared" si="41"/>
        <v>848.4</v>
      </c>
      <c r="Q646" s="13" t="str">
        <f t="shared" si="42"/>
        <v/>
      </c>
      <c r="R646" s="13" t="str">
        <f t="shared" si="43"/>
        <v>Diskon</v>
      </c>
    </row>
    <row r="647" spans="1:18" x14ac:dyDescent="0.25">
      <c r="A647" s="13" t="s">
        <v>659</v>
      </c>
      <c r="B647" s="13" t="s">
        <v>2195</v>
      </c>
      <c r="C647" s="13" t="s">
        <v>2200</v>
      </c>
      <c r="D647" s="13" t="s">
        <v>2205</v>
      </c>
      <c r="E647" s="13" t="s">
        <v>2213</v>
      </c>
      <c r="F647" s="13" t="s">
        <v>2216</v>
      </c>
      <c r="G647" s="13">
        <v>128.56</v>
      </c>
      <c r="H647" s="13">
        <v>0</v>
      </c>
      <c r="I647" s="13">
        <v>128.56</v>
      </c>
      <c r="J647" s="24">
        <v>45875</v>
      </c>
      <c r="K647" s="13">
        <v>45</v>
      </c>
      <c r="L647" s="44">
        <v>2.4</v>
      </c>
      <c r="M647" s="13" t="b">
        <v>0</v>
      </c>
      <c r="O647" s="25">
        <f t="shared" si="40"/>
        <v>27</v>
      </c>
      <c r="P647" s="13">
        <f t="shared" si="41"/>
        <v>0</v>
      </c>
      <c r="Q647" s="13" t="str">
        <f t="shared" si="42"/>
        <v/>
      </c>
      <c r="R647" s="13" t="str">
        <f t="shared" si="43"/>
        <v>Non diskon</v>
      </c>
    </row>
    <row r="648" spans="1:18" x14ac:dyDescent="0.25">
      <c r="A648" s="13" t="s">
        <v>660</v>
      </c>
      <c r="B648" s="13" t="s">
        <v>2195</v>
      </c>
      <c r="C648" s="13" t="s">
        <v>2200</v>
      </c>
      <c r="D648" s="13" t="s">
        <v>2207</v>
      </c>
      <c r="E648" s="13" t="s">
        <v>2209</v>
      </c>
      <c r="F648" s="13" t="s">
        <v>2217</v>
      </c>
      <c r="G648" s="13">
        <v>123.08</v>
      </c>
      <c r="H648" s="13">
        <v>53</v>
      </c>
      <c r="I648" s="13">
        <v>57.85</v>
      </c>
      <c r="J648" s="24">
        <v>45875</v>
      </c>
      <c r="K648" s="13">
        <v>38</v>
      </c>
      <c r="L648" s="44">
        <v>2.5</v>
      </c>
      <c r="M648" s="13" t="b">
        <v>0</v>
      </c>
      <c r="O648" s="25">
        <f t="shared" si="40"/>
        <v>27</v>
      </c>
      <c r="P648" s="13">
        <f t="shared" si="41"/>
        <v>2014</v>
      </c>
      <c r="Q648" s="13" t="str">
        <f t="shared" si="42"/>
        <v/>
      </c>
      <c r="R648" s="13" t="str">
        <f t="shared" si="43"/>
        <v>Diskon</v>
      </c>
    </row>
    <row r="649" spans="1:18" x14ac:dyDescent="0.25">
      <c r="A649" s="13" t="s">
        <v>661</v>
      </c>
      <c r="B649" s="13" t="s">
        <v>2190</v>
      </c>
      <c r="C649" s="13" t="s">
        <v>2201</v>
      </c>
      <c r="D649" s="13" t="s">
        <v>2204</v>
      </c>
      <c r="E649" s="13" t="s">
        <v>2210</v>
      </c>
      <c r="F649" s="13" t="s">
        <v>2223</v>
      </c>
      <c r="G649" s="13">
        <v>119.78</v>
      </c>
      <c r="H649" s="13">
        <v>0</v>
      </c>
      <c r="I649" s="13">
        <v>119.78</v>
      </c>
      <c r="J649" s="24">
        <v>45751</v>
      </c>
      <c r="K649" s="13">
        <v>22</v>
      </c>
      <c r="L649" s="44">
        <v>1.5</v>
      </c>
      <c r="M649" s="13" t="b">
        <v>1</v>
      </c>
      <c r="N649" s="13" t="s">
        <v>2225</v>
      </c>
      <c r="O649" s="25">
        <f t="shared" si="40"/>
        <v>151</v>
      </c>
      <c r="P649" s="13">
        <f t="shared" si="41"/>
        <v>0</v>
      </c>
      <c r="Q649" s="13">
        <f t="shared" si="42"/>
        <v>1</v>
      </c>
      <c r="R649" s="13" t="str">
        <f t="shared" si="43"/>
        <v>Non diskon</v>
      </c>
    </row>
    <row r="650" spans="1:18" x14ac:dyDescent="0.25">
      <c r="A650" s="13" t="s">
        <v>662</v>
      </c>
      <c r="B650" s="13" t="s">
        <v>2194</v>
      </c>
      <c r="C650" s="13" t="s">
        <v>2198</v>
      </c>
      <c r="D650" s="13" t="s">
        <v>2207</v>
      </c>
      <c r="E650" s="13" t="s">
        <v>2212</v>
      </c>
      <c r="F650" s="13" t="s">
        <v>2217</v>
      </c>
      <c r="G650" s="13">
        <v>110.6</v>
      </c>
      <c r="H650" s="13">
        <v>0</v>
      </c>
      <c r="I650" s="13">
        <v>110.6</v>
      </c>
      <c r="J650" s="24">
        <v>45875</v>
      </c>
      <c r="K650" s="13">
        <v>19</v>
      </c>
      <c r="L650" s="44">
        <v>3.0384615384615379</v>
      </c>
      <c r="M650" s="13" t="b">
        <v>1</v>
      </c>
      <c r="N650" s="13" t="s">
        <v>2225</v>
      </c>
      <c r="O650" s="25">
        <f t="shared" si="40"/>
        <v>27</v>
      </c>
      <c r="P650" s="13">
        <f t="shared" si="41"/>
        <v>0</v>
      </c>
      <c r="Q650" s="13">
        <f t="shared" si="42"/>
        <v>1</v>
      </c>
      <c r="R650" s="13" t="str">
        <f t="shared" si="43"/>
        <v>Non diskon</v>
      </c>
    </row>
    <row r="651" spans="1:18" x14ac:dyDescent="0.25">
      <c r="A651" s="13" t="s">
        <v>663</v>
      </c>
      <c r="B651" s="13" t="s">
        <v>2191</v>
      </c>
      <c r="C651" s="13" t="s">
        <v>2196</v>
      </c>
      <c r="D651" s="13" t="s">
        <v>2204</v>
      </c>
      <c r="E651" s="13" t="s">
        <v>2210</v>
      </c>
      <c r="F651" s="13" t="s">
        <v>2223</v>
      </c>
      <c r="G651" s="13">
        <v>58.16</v>
      </c>
      <c r="H651" s="13">
        <v>0</v>
      </c>
      <c r="I651" s="13">
        <v>58.16</v>
      </c>
      <c r="J651" s="24">
        <v>45840</v>
      </c>
      <c r="K651" s="13">
        <v>29</v>
      </c>
      <c r="L651" s="44">
        <v>4.0999999999999996</v>
      </c>
      <c r="M651" s="13" t="b">
        <v>0</v>
      </c>
      <c r="O651" s="25">
        <f t="shared" si="40"/>
        <v>62</v>
      </c>
      <c r="P651" s="13">
        <f t="shared" si="41"/>
        <v>0</v>
      </c>
      <c r="Q651" s="13" t="str">
        <f t="shared" si="42"/>
        <v/>
      </c>
      <c r="R651" s="13" t="str">
        <f t="shared" si="43"/>
        <v>Non diskon</v>
      </c>
    </row>
    <row r="652" spans="1:18" x14ac:dyDescent="0.25">
      <c r="A652" s="13" t="s">
        <v>664</v>
      </c>
      <c r="B652" s="13" t="s">
        <v>2190</v>
      </c>
      <c r="C652" s="13" t="s">
        <v>2199</v>
      </c>
      <c r="D652" s="13" t="s">
        <v>2206</v>
      </c>
      <c r="E652" s="13" t="s">
        <v>2210</v>
      </c>
      <c r="F652" s="13" t="s">
        <v>2220</v>
      </c>
      <c r="G652" s="13">
        <v>208.82</v>
      </c>
      <c r="H652" s="13">
        <v>0</v>
      </c>
      <c r="I652" s="13">
        <v>208.82</v>
      </c>
      <c r="J652" s="24">
        <v>45875</v>
      </c>
      <c r="K652" s="13">
        <v>45</v>
      </c>
      <c r="L652" s="44">
        <v>1.8</v>
      </c>
      <c r="M652" s="13" t="b">
        <v>0</v>
      </c>
      <c r="O652" s="25">
        <f t="shared" si="40"/>
        <v>27</v>
      </c>
      <c r="P652" s="13">
        <f t="shared" si="41"/>
        <v>0</v>
      </c>
      <c r="Q652" s="13" t="str">
        <f t="shared" si="42"/>
        <v/>
      </c>
      <c r="R652" s="13" t="str">
        <f t="shared" si="43"/>
        <v>Non diskon</v>
      </c>
    </row>
    <row r="653" spans="1:18" x14ac:dyDescent="0.25">
      <c r="A653" s="13" t="s">
        <v>665</v>
      </c>
      <c r="B653" s="13" t="s">
        <v>2193</v>
      </c>
      <c r="C653" s="13" t="s">
        <v>2201</v>
      </c>
      <c r="D653" s="13" t="s">
        <v>2205</v>
      </c>
      <c r="E653" s="13" t="s">
        <v>2213</v>
      </c>
      <c r="F653" s="13" t="s">
        <v>2216</v>
      </c>
      <c r="G653" s="13">
        <v>192.74</v>
      </c>
      <c r="H653" s="13">
        <v>0</v>
      </c>
      <c r="I653" s="13">
        <v>192.74</v>
      </c>
      <c r="J653" s="24">
        <v>45875</v>
      </c>
      <c r="K653" s="13">
        <v>43</v>
      </c>
      <c r="L653" s="44">
        <v>4.3</v>
      </c>
      <c r="M653" s="13" t="b">
        <v>0</v>
      </c>
      <c r="O653" s="25">
        <f t="shared" si="40"/>
        <v>27</v>
      </c>
      <c r="P653" s="13">
        <f t="shared" si="41"/>
        <v>0</v>
      </c>
      <c r="Q653" s="13" t="str">
        <f t="shared" si="42"/>
        <v/>
      </c>
      <c r="R653" s="13" t="str">
        <f t="shared" si="43"/>
        <v>Non diskon</v>
      </c>
    </row>
    <row r="654" spans="1:18" x14ac:dyDescent="0.25">
      <c r="A654" s="13" t="s">
        <v>666</v>
      </c>
      <c r="B654" s="13" t="s">
        <v>2192</v>
      </c>
      <c r="C654" s="13" t="s">
        <v>2202</v>
      </c>
      <c r="D654" s="13" t="s">
        <v>2206</v>
      </c>
      <c r="F654" s="13" t="s">
        <v>2214</v>
      </c>
      <c r="G654" s="13">
        <v>71.819999999999993</v>
      </c>
      <c r="H654" s="13">
        <v>18.399999999999999</v>
      </c>
      <c r="I654" s="13">
        <v>58.61</v>
      </c>
      <c r="J654" s="24">
        <v>45875</v>
      </c>
      <c r="K654" s="13">
        <v>50</v>
      </c>
      <c r="L654" s="44">
        <v>1.9</v>
      </c>
      <c r="M654" s="13" t="b">
        <v>0</v>
      </c>
      <c r="O654" s="25">
        <f t="shared" si="40"/>
        <v>27</v>
      </c>
      <c r="P654" s="13">
        <f t="shared" si="41"/>
        <v>919.99999999999989</v>
      </c>
      <c r="Q654" s="13" t="str">
        <f t="shared" si="42"/>
        <v/>
      </c>
      <c r="R654" s="13" t="str">
        <f t="shared" si="43"/>
        <v>Diskon</v>
      </c>
    </row>
    <row r="655" spans="1:18" x14ac:dyDescent="0.25">
      <c r="A655" s="13" t="s">
        <v>667</v>
      </c>
      <c r="B655" s="13" t="s">
        <v>2193</v>
      </c>
      <c r="C655" s="13" t="s">
        <v>2196</v>
      </c>
      <c r="D655" s="13" t="s">
        <v>2207</v>
      </c>
      <c r="E655" s="13" t="s">
        <v>2212</v>
      </c>
      <c r="F655" s="13" t="s">
        <v>2214</v>
      </c>
      <c r="G655" s="13">
        <v>145.4</v>
      </c>
      <c r="H655" s="13">
        <v>0</v>
      </c>
      <c r="I655" s="13">
        <v>145.4</v>
      </c>
      <c r="J655" s="24">
        <v>45875</v>
      </c>
      <c r="K655" s="13">
        <v>14</v>
      </c>
      <c r="L655" s="44">
        <v>2</v>
      </c>
      <c r="M655" s="13" t="b">
        <v>0</v>
      </c>
      <c r="O655" s="25">
        <f t="shared" si="40"/>
        <v>27</v>
      </c>
      <c r="P655" s="13">
        <f t="shared" si="41"/>
        <v>0</v>
      </c>
      <c r="Q655" s="13" t="str">
        <f t="shared" si="42"/>
        <v/>
      </c>
      <c r="R655" s="13" t="str">
        <f t="shared" si="43"/>
        <v>Non diskon</v>
      </c>
    </row>
    <row r="656" spans="1:18" x14ac:dyDescent="0.25">
      <c r="A656" s="13" t="s">
        <v>668</v>
      </c>
      <c r="B656" s="13" t="s">
        <v>2194</v>
      </c>
      <c r="C656" s="13" t="s">
        <v>2199</v>
      </c>
      <c r="D656" s="13" t="s">
        <v>2207</v>
      </c>
      <c r="E656" s="13" t="s">
        <v>2211</v>
      </c>
      <c r="F656" s="13" t="s">
        <v>2224</v>
      </c>
      <c r="G656" s="13">
        <v>51.94</v>
      </c>
      <c r="H656" s="13">
        <v>0</v>
      </c>
      <c r="I656" s="13">
        <v>51.94</v>
      </c>
      <c r="J656" s="24">
        <v>45875</v>
      </c>
      <c r="K656" s="13">
        <v>9</v>
      </c>
      <c r="L656" s="44">
        <v>3.2</v>
      </c>
      <c r="M656" s="13" t="b">
        <v>0</v>
      </c>
      <c r="O656" s="25">
        <f t="shared" si="40"/>
        <v>27</v>
      </c>
      <c r="P656" s="13">
        <f t="shared" si="41"/>
        <v>0</v>
      </c>
      <c r="Q656" s="13" t="str">
        <f t="shared" si="42"/>
        <v/>
      </c>
      <c r="R656" s="13" t="str">
        <f t="shared" si="43"/>
        <v>Non diskon</v>
      </c>
    </row>
    <row r="657" spans="1:18" x14ac:dyDescent="0.25">
      <c r="A657" s="13" t="s">
        <v>669</v>
      </c>
      <c r="B657" s="13" t="s">
        <v>2192</v>
      </c>
      <c r="C657" s="13" t="s">
        <v>2201</v>
      </c>
      <c r="D657" s="13" t="s">
        <v>2204</v>
      </c>
      <c r="F657" s="13" t="s">
        <v>2216</v>
      </c>
      <c r="G657" s="13">
        <v>77.48</v>
      </c>
      <c r="H657" s="13">
        <v>0</v>
      </c>
      <c r="I657" s="13">
        <v>77.48</v>
      </c>
      <c r="J657" s="24">
        <v>45572</v>
      </c>
      <c r="K657" s="13">
        <v>49</v>
      </c>
      <c r="L657" s="44">
        <v>3.3</v>
      </c>
      <c r="M657" s="13" t="b">
        <v>1</v>
      </c>
      <c r="N657" s="13" t="s">
        <v>2228</v>
      </c>
      <c r="O657" s="25">
        <f t="shared" si="40"/>
        <v>330</v>
      </c>
      <c r="P657" s="13">
        <f t="shared" si="41"/>
        <v>0</v>
      </c>
      <c r="Q657" s="13">
        <f t="shared" si="42"/>
        <v>1</v>
      </c>
      <c r="R657" s="13" t="str">
        <f t="shared" si="43"/>
        <v>Non diskon</v>
      </c>
    </row>
    <row r="658" spans="1:18" x14ac:dyDescent="0.25">
      <c r="A658" s="13" t="s">
        <v>670</v>
      </c>
      <c r="B658" s="13" t="s">
        <v>2195</v>
      </c>
      <c r="C658" s="13" t="s">
        <v>2199</v>
      </c>
      <c r="D658" s="13" t="s">
        <v>2207</v>
      </c>
      <c r="E658" s="13" t="s">
        <v>2209</v>
      </c>
      <c r="F658" s="13" t="s">
        <v>2216</v>
      </c>
      <c r="G658" s="13">
        <v>59.66</v>
      </c>
      <c r="H658" s="13">
        <v>45.2</v>
      </c>
      <c r="I658" s="13">
        <v>32.69</v>
      </c>
      <c r="J658" s="24">
        <v>45875</v>
      </c>
      <c r="K658" s="13">
        <v>14</v>
      </c>
      <c r="L658" s="44">
        <v>2.6</v>
      </c>
      <c r="M658" s="13" t="b">
        <v>0</v>
      </c>
      <c r="O658" s="25">
        <f t="shared" si="40"/>
        <v>27</v>
      </c>
      <c r="P658" s="13">
        <f t="shared" si="41"/>
        <v>632.80000000000007</v>
      </c>
      <c r="Q658" s="13" t="str">
        <f t="shared" si="42"/>
        <v/>
      </c>
      <c r="R658" s="13" t="str">
        <f t="shared" si="43"/>
        <v>Diskon</v>
      </c>
    </row>
    <row r="659" spans="1:18" x14ac:dyDescent="0.25">
      <c r="A659" s="13" t="s">
        <v>671</v>
      </c>
      <c r="B659" s="13" t="s">
        <v>2194</v>
      </c>
      <c r="C659" s="13" t="s">
        <v>2197</v>
      </c>
      <c r="D659" s="13" t="s">
        <v>2207</v>
      </c>
      <c r="E659" s="13" t="s">
        <v>2210</v>
      </c>
      <c r="F659" s="13" t="s">
        <v>2214</v>
      </c>
      <c r="G659" s="13">
        <v>102.07</v>
      </c>
      <c r="H659" s="13">
        <v>0</v>
      </c>
      <c r="I659" s="13">
        <v>102.07</v>
      </c>
      <c r="J659" s="24">
        <v>45875</v>
      </c>
      <c r="K659" s="13">
        <v>26</v>
      </c>
      <c r="L659" s="44">
        <v>3.0846153846153843</v>
      </c>
      <c r="M659" s="13" t="b">
        <v>1</v>
      </c>
      <c r="N659" s="13" t="s">
        <v>2225</v>
      </c>
      <c r="O659" s="25">
        <f t="shared" si="40"/>
        <v>27</v>
      </c>
      <c r="P659" s="13">
        <f t="shared" si="41"/>
        <v>0</v>
      </c>
      <c r="Q659" s="13">
        <f t="shared" si="42"/>
        <v>1</v>
      </c>
      <c r="R659" s="13" t="str">
        <f t="shared" si="43"/>
        <v>Non diskon</v>
      </c>
    </row>
    <row r="660" spans="1:18" x14ac:dyDescent="0.25">
      <c r="A660" s="13" t="s">
        <v>672</v>
      </c>
      <c r="B660" s="13" t="s">
        <v>2192</v>
      </c>
      <c r="C660" s="13" t="s">
        <v>2198</v>
      </c>
      <c r="D660" s="13" t="s">
        <v>2204</v>
      </c>
      <c r="F660" s="13" t="s">
        <v>2218</v>
      </c>
      <c r="G660" s="13">
        <v>48.57</v>
      </c>
      <c r="H660" s="13">
        <v>0</v>
      </c>
      <c r="I660" s="13">
        <v>48.57</v>
      </c>
      <c r="J660" s="24">
        <v>45632</v>
      </c>
      <c r="K660" s="13">
        <v>12</v>
      </c>
      <c r="L660" s="44">
        <v>4.7</v>
      </c>
      <c r="M660" s="13" t="b">
        <v>0</v>
      </c>
      <c r="O660" s="25">
        <f t="shared" si="40"/>
        <v>270</v>
      </c>
      <c r="P660" s="13">
        <f t="shared" si="41"/>
        <v>0</v>
      </c>
      <c r="Q660" s="13" t="str">
        <f t="shared" si="42"/>
        <v/>
      </c>
      <c r="R660" s="13" t="str">
        <f t="shared" si="43"/>
        <v>Non diskon</v>
      </c>
    </row>
    <row r="661" spans="1:18" x14ac:dyDescent="0.25">
      <c r="A661" s="13" t="s">
        <v>673</v>
      </c>
      <c r="B661" s="13" t="s">
        <v>2193</v>
      </c>
      <c r="C661" s="13" t="s">
        <v>2202</v>
      </c>
      <c r="D661" s="13" t="s">
        <v>2207</v>
      </c>
      <c r="E661" s="13" t="s">
        <v>2213</v>
      </c>
      <c r="F661" s="13" t="s">
        <v>2222</v>
      </c>
      <c r="G661" s="13">
        <v>121.55</v>
      </c>
      <c r="H661" s="13">
        <v>0</v>
      </c>
      <c r="I661" s="13">
        <v>121.55</v>
      </c>
      <c r="J661" s="24">
        <v>45875</v>
      </c>
      <c r="K661" s="13">
        <v>16</v>
      </c>
      <c r="L661" s="44">
        <v>2.9083333333333328</v>
      </c>
      <c r="M661" s="13" t="b">
        <v>1</v>
      </c>
      <c r="N661" s="13" t="s">
        <v>2227</v>
      </c>
      <c r="O661" s="25">
        <f t="shared" si="40"/>
        <v>27</v>
      </c>
      <c r="P661" s="13">
        <f t="shared" si="41"/>
        <v>0</v>
      </c>
      <c r="Q661" s="13">
        <f t="shared" si="42"/>
        <v>1</v>
      </c>
      <c r="R661" s="13" t="str">
        <f t="shared" si="43"/>
        <v>Non diskon</v>
      </c>
    </row>
    <row r="662" spans="1:18" x14ac:dyDescent="0.25">
      <c r="A662" s="13" t="s">
        <v>674</v>
      </c>
      <c r="B662" s="13" t="s">
        <v>2192</v>
      </c>
      <c r="C662" s="13" t="s">
        <v>2201</v>
      </c>
      <c r="D662" s="13" t="s">
        <v>2205</v>
      </c>
      <c r="F662" s="13" t="s">
        <v>2222</v>
      </c>
      <c r="G662" s="13">
        <v>59.22</v>
      </c>
      <c r="H662" s="13">
        <v>44.8</v>
      </c>
      <c r="I662" s="13">
        <v>32.69</v>
      </c>
      <c r="J662" s="24">
        <v>45875</v>
      </c>
      <c r="K662" s="13">
        <v>21</v>
      </c>
      <c r="L662" s="44">
        <v>2</v>
      </c>
      <c r="M662" s="13" t="b">
        <v>0</v>
      </c>
      <c r="O662" s="25">
        <f t="shared" si="40"/>
        <v>27</v>
      </c>
      <c r="P662" s="13">
        <f t="shared" si="41"/>
        <v>940.8</v>
      </c>
      <c r="Q662" s="13" t="str">
        <f t="shared" si="42"/>
        <v/>
      </c>
      <c r="R662" s="13" t="str">
        <f t="shared" si="43"/>
        <v>Diskon</v>
      </c>
    </row>
    <row r="663" spans="1:18" x14ac:dyDescent="0.25">
      <c r="A663" s="13" t="s">
        <v>675</v>
      </c>
      <c r="B663" s="13" t="s">
        <v>2191</v>
      </c>
      <c r="C663" s="13" t="s">
        <v>2201</v>
      </c>
      <c r="D663" s="13" t="s">
        <v>2204</v>
      </c>
      <c r="E663" s="13" t="s">
        <v>2212</v>
      </c>
      <c r="F663" s="13" t="s">
        <v>2221</v>
      </c>
      <c r="G663" s="13">
        <v>58.5</v>
      </c>
      <c r="H663" s="13">
        <v>2.1</v>
      </c>
      <c r="I663" s="13">
        <v>57.27</v>
      </c>
      <c r="J663" s="24">
        <v>45800</v>
      </c>
      <c r="K663" s="13">
        <v>24</v>
      </c>
      <c r="L663" s="44">
        <v>3.9</v>
      </c>
      <c r="M663" s="13" t="b">
        <v>0</v>
      </c>
      <c r="O663" s="25">
        <f t="shared" si="40"/>
        <v>102</v>
      </c>
      <c r="P663" s="13">
        <f t="shared" si="41"/>
        <v>50.400000000000006</v>
      </c>
      <c r="Q663" s="13" t="str">
        <f t="shared" si="42"/>
        <v/>
      </c>
      <c r="R663" s="13" t="str">
        <f t="shared" si="43"/>
        <v>Diskon</v>
      </c>
    </row>
    <row r="664" spans="1:18" x14ac:dyDescent="0.25">
      <c r="A664" s="13" t="s">
        <v>676</v>
      </c>
      <c r="B664" s="13" t="s">
        <v>2192</v>
      </c>
      <c r="C664" s="13" t="s">
        <v>2203</v>
      </c>
      <c r="D664" s="13" t="s">
        <v>2206</v>
      </c>
      <c r="F664" s="13" t="s">
        <v>2220</v>
      </c>
      <c r="G664" s="13">
        <v>73.849999999999994</v>
      </c>
      <c r="H664" s="13">
        <v>0</v>
      </c>
      <c r="I664" s="13">
        <v>73.849999999999994</v>
      </c>
      <c r="J664" s="24">
        <v>45875</v>
      </c>
      <c r="K664" s="13">
        <v>46</v>
      </c>
      <c r="L664" s="44">
        <v>2</v>
      </c>
      <c r="M664" s="13" t="b">
        <v>0</v>
      </c>
      <c r="O664" s="25">
        <f t="shared" si="40"/>
        <v>27</v>
      </c>
      <c r="P664" s="13">
        <f t="shared" si="41"/>
        <v>0</v>
      </c>
      <c r="Q664" s="13" t="str">
        <f t="shared" si="42"/>
        <v/>
      </c>
      <c r="R664" s="13" t="str">
        <f t="shared" si="43"/>
        <v>Non diskon</v>
      </c>
    </row>
    <row r="665" spans="1:18" x14ac:dyDescent="0.25">
      <c r="A665" s="13" t="s">
        <v>677</v>
      </c>
      <c r="B665" s="13" t="s">
        <v>2194</v>
      </c>
      <c r="C665" s="13" t="s">
        <v>2200</v>
      </c>
      <c r="D665" s="13" t="s">
        <v>2207</v>
      </c>
      <c r="E665" s="13" t="s">
        <v>2211</v>
      </c>
      <c r="F665" s="13" t="s">
        <v>2214</v>
      </c>
      <c r="G665" s="13">
        <v>114.32</v>
      </c>
      <c r="H665" s="13">
        <v>36.5</v>
      </c>
      <c r="I665" s="13">
        <v>72.59</v>
      </c>
      <c r="J665" s="24">
        <v>45875</v>
      </c>
      <c r="K665" s="13">
        <v>41</v>
      </c>
      <c r="L665" s="44">
        <v>4.0999999999999996</v>
      </c>
      <c r="M665" s="13" t="b">
        <v>0</v>
      </c>
      <c r="O665" s="25">
        <f t="shared" si="40"/>
        <v>27</v>
      </c>
      <c r="P665" s="13">
        <f t="shared" si="41"/>
        <v>1496.5</v>
      </c>
      <c r="Q665" s="13" t="str">
        <f t="shared" si="42"/>
        <v/>
      </c>
      <c r="R665" s="13" t="str">
        <f t="shared" si="43"/>
        <v>Diskon</v>
      </c>
    </row>
    <row r="666" spans="1:18" x14ac:dyDescent="0.25">
      <c r="A666" s="13" t="s">
        <v>678</v>
      </c>
      <c r="B666" s="13" t="s">
        <v>2194</v>
      </c>
      <c r="C666" s="13" t="s">
        <v>2203</v>
      </c>
      <c r="D666" s="13" t="s">
        <v>2207</v>
      </c>
      <c r="E666" s="13" t="s">
        <v>2212</v>
      </c>
      <c r="F666" s="13" t="s">
        <v>2218</v>
      </c>
      <c r="G666" s="13">
        <v>91.4</v>
      </c>
      <c r="H666" s="13">
        <v>11</v>
      </c>
      <c r="I666" s="13">
        <v>81.349999999999994</v>
      </c>
      <c r="J666" s="24">
        <v>45875</v>
      </c>
      <c r="K666" s="13">
        <v>18</v>
      </c>
      <c r="L666" s="44">
        <v>1.6</v>
      </c>
      <c r="M666" s="13" t="b">
        <v>0</v>
      </c>
      <c r="O666" s="25">
        <f t="shared" si="40"/>
        <v>27</v>
      </c>
      <c r="P666" s="13">
        <f t="shared" si="41"/>
        <v>198</v>
      </c>
      <c r="Q666" s="13" t="str">
        <f t="shared" si="42"/>
        <v/>
      </c>
      <c r="R666" s="13" t="str">
        <f t="shared" si="43"/>
        <v>Diskon</v>
      </c>
    </row>
    <row r="667" spans="1:18" x14ac:dyDescent="0.25">
      <c r="A667" s="13" t="s">
        <v>679</v>
      </c>
      <c r="B667" s="13" t="s">
        <v>2192</v>
      </c>
      <c r="C667" s="13" t="s">
        <v>2203</v>
      </c>
      <c r="D667" s="13" t="s">
        <v>2205</v>
      </c>
      <c r="F667" s="13" t="s">
        <v>2222</v>
      </c>
      <c r="G667" s="13">
        <v>69.77</v>
      </c>
      <c r="H667" s="13">
        <v>0</v>
      </c>
      <c r="I667" s="13">
        <v>69.77</v>
      </c>
      <c r="J667" s="24">
        <v>45875</v>
      </c>
      <c r="K667" s="13">
        <v>30</v>
      </c>
      <c r="L667" s="44">
        <v>2.8636363636363633</v>
      </c>
      <c r="M667" s="13" t="b">
        <v>1</v>
      </c>
      <c r="N667" s="13" t="s">
        <v>2225</v>
      </c>
      <c r="O667" s="25">
        <f t="shared" si="40"/>
        <v>27</v>
      </c>
      <c r="P667" s="13">
        <f t="shared" si="41"/>
        <v>0</v>
      </c>
      <c r="Q667" s="13">
        <f t="shared" si="42"/>
        <v>1</v>
      </c>
      <c r="R667" s="13" t="str">
        <f t="shared" si="43"/>
        <v>Non diskon</v>
      </c>
    </row>
    <row r="668" spans="1:18" x14ac:dyDescent="0.25">
      <c r="A668" s="13" t="s">
        <v>680</v>
      </c>
      <c r="B668" s="13" t="s">
        <v>2191</v>
      </c>
      <c r="C668" s="13" t="s">
        <v>2200</v>
      </c>
      <c r="D668" s="13" t="s">
        <v>2207</v>
      </c>
      <c r="E668" s="13" t="s">
        <v>2209</v>
      </c>
      <c r="F668" s="13" t="s">
        <v>2216</v>
      </c>
      <c r="G668" s="13">
        <v>72.95</v>
      </c>
      <c r="H668" s="13">
        <v>0</v>
      </c>
      <c r="I668" s="13">
        <v>72.95</v>
      </c>
      <c r="J668" s="24">
        <v>45875</v>
      </c>
      <c r="K668" s="13">
        <v>27</v>
      </c>
      <c r="L668" s="44">
        <v>4.8</v>
      </c>
      <c r="M668" s="13" t="b">
        <v>0</v>
      </c>
      <c r="O668" s="25">
        <f t="shared" si="40"/>
        <v>27</v>
      </c>
      <c r="P668" s="13">
        <f t="shared" si="41"/>
        <v>0</v>
      </c>
      <c r="Q668" s="13" t="str">
        <f t="shared" si="42"/>
        <v/>
      </c>
      <c r="R668" s="13" t="str">
        <f t="shared" si="43"/>
        <v>Non diskon</v>
      </c>
    </row>
    <row r="669" spans="1:18" x14ac:dyDescent="0.25">
      <c r="A669" s="13" t="s">
        <v>681</v>
      </c>
      <c r="B669" s="13" t="s">
        <v>2194</v>
      </c>
      <c r="C669" s="13" t="s">
        <v>2201</v>
      </c>
      <c r="D669" s="13" t="s">
        <v>2207</v>
      </c>
      <c r="E669" s="13" t="s">
        <v>2208</v>
      </c>
      <c r="F669" s="13" t="s">
        <v>2221</v>
      </c>
      <c r="G669" s="13">
        <v>63.99</v>
      </c>
      <c r="H669" s="13">
        <v>42.2</v>
      </c>
      <c r="I669" s="13">
        <v>36.99</v>
      </c>
      <c r="J669" s="24">
        <v>45875</v>
      </c>
      <c r="K669" s="13">
        <v>35</v>
      </c>
      <c r="L669" s="44">
        <v>3.2</v>
      </c>
      <c r="M669" s="13" t="b">
        <v>0</v>
      </c>
      <c r="O669" s="25">
        <f t="shared" si="40"/>
        <v>27</v>
      </c>
      <c r="P669" s="13">
        <f t="shared" si="41"/>
        <v>1477</v>
      </c>
      <c r="Q669" s="13" t="str">
        <f t="shared" si="42"/>
        <v/>
      </c>
      <c r="R669" s="13" t="str">
        <f t="shared" si="43"/>
        <v>Diskon</v>
      </c>
    </row>
    <row r="670" spans="1:18" x14ac:dyDescent="0.25">
      <c r="A670" s="13" t="s">
        <v>682</v>
      </c>
      <c r="B670" s="13" t="s">
        <v>2195</v>
      </c>
      <c r="C670" s="13" t="s">
        <v>2198</v>
      </c>
      <c r="D670" s="13" t="s">
        <v>2207</v>
      </c>
      <c r="E670" s="13" t="s">
        <v>2208</v>
      </c>
      <c r="F670" s="13" t="s">
        <v>2219</v>
      </c>
      <c r="G670" s="13">
        <v>74.84</v>
      </c>
      <c r="H670" s="13">
        <v>51.9</v>
      </c>
      <c r="I670" s="13">
        <v>36</v>
      </c>
      <c r="J670" s="24">
        <v>45875</v>
      </c>
      <c r="K670" s="13">
        <v>35</v>
      </c>
      <c r="L670" s="44">
        <v>2.5</v>
      </c>
      <c r="M670" s="13" t="b">
        <v>0</v>
      </c>
      <c r="O670" s="25">
        <f t="shared" si="40"/>
        <v>27</v>
      </c>
      <c r="P670" s="13">
        <f t="shared" si="41"/>
        <v>1816.5</v>
      </c>
      <c r="Q670" s="13" t="str">
        <f t="shared" si="42"/>
        <v/>
      </c>
      <c r="R670" s="13" t="str">
        <f t="shared" si="43"/>
        <v>Diskon</v>
      </c>
    </row>
    <row r="671" spans="1:18" x14ac:dyDescent="0.25">
      <c r="A671" s="13" t="s">
        <v>683</v>
      </c>
      <c r="B671" s="13" t="s">
        <v>2190</v>
      </c>
      <c r="C671" s="13" t="s">
        <v>2200</v>
      </c>
      <c r="D671" s="13" t="s">
        <v>2204</v>
      </c>
      <c r="E671" s="13" t="s">
        <v>2212</v>
      </c>
      <c r="F671" s="13" t="s">
        <v>2216</v>
      </c>
      <c r="G671" s="13">
        <v>158.84</v>
      </c>
      <c r="H671" s="13">
        <v>0</v>
      </c>
      <c r="I671" s="13">
        <v>158.84</v>
      </c>
      <c r="J671" s="24">
        <v>45763</v>
      </c>
      <c r="K671" s="13">
        <v>30</v>
      </c>
      <c r="L671" s="44">
        <v>4.5999999999999996</v>
      </c>
      <c r="M671" s="13" t="b">
        <v>0</v>
      </c>
      <c r="O671" s="25">
        <f t="shared" si="40"/>
        <v>139</v>
      </c>
      <c r="P671" s="13">
        <f t="shared" si="41"/>
        <v>0</v>
      </c>
      <c r="Q671" s="13" t="str">
        <f t="shared" si="42"/>
        <v/>
      </c>
      <c r="R671" s="13" t="str">
        <f t="shared" si="43"/>
        <v>Non diskon</v>
      </c>
    </row>
    <row r="672" spans="1:18" x14ac:dyDescent="0.25">
      <c r="A672" s="13" t="s">
        <v>684</v>
      </c>
      <c r="B672" s="13" t="s">
        <v>2193</v>
      </c>
      <c r="C672" s="13" t="s">
        <v>2199</v>
      </c>
      <c r="D672" s="13" t="s">
        <v>2204</v>
      </c>
      <c r="E672" s="13" t="s">
        <v>2213</v>
      </c>
      <c r="F672" s="13" t="s">
        <v>2224</v>
      </c>
      <c r="G672" s="13">
        <v>96.36</v>
      </c>
      <c r="H672" s="13">
        <v>58.6</v>
      </c>
      <c r="I672" s="13">
        <v>39.89</v>
      </c>
      <c r="J672" s="24">
        <v>45698</v>
      </c>
      <c r="K672" s="13">
        <v>16</v>
      </c>
      <c r="L672" s="44">
        <v>3.9</v>
      </c>
      <c r="M672" s="13" t="b">
        <v>0</v>
      </c>
      <c r="O672" s="25">
        <f t="shared" si="40"/>
        <v>204</v>
      </c>
      <c r="P672" s="13">
        <f t="shared" si="41"/>
        <v>937.6</v>
      </c>
      <c r="Q672" s="13" t="str">
        <f t="shared" si="42"/>
        <v/>
      </c>
      <c r="R672" s="13" t="str">
        <f t="shared" si="43"/>
        <v>Diskon</v>
      </c>
    </row>
    <row r="673" spans="1:18" x14ac:dyDescent="0.25">
      <c r="A673" s="13" t="s">
        <v>685</v>
      </c>
      <c r="B673" s="13" t="s">
        <v>2194</v>
      </c>
      <c r="C673" s="13" t="s">
        <v>2200</v>
      </c>
      <c r="D673" s="13" t="s">
        <v>2204</v>
      </c>
      <c r="E673" s="13" t="s">
        <v>2212</v>
      </c>
      <c r="F673" s="13" t="s">
        <v>2223</v>
      </c>
      <c r="G673" s="13">
        <v>51.06</v>
      </c>
      <c r="H673" s="13">
        <v>13.9</v>
      </c>
      <c r="I673" s="13">
        <v>43.96</v>
      </c>
      <c r="J673" s="24">
        <v>45520</v>
      </c>
      <c r="K673" s="13">
        <v>16</v>
      </c>
      <c r="L673" s="44">
        <v>1.3</v>
      </c>
      <c r="M673" s="13" t="b">
        <v>0</v>
      </c>
      <c r="O673" s="25">
        <f t="shared" si="40"/>
        <v>382</v>
      </c>
      <c r="P673" s="13">
        <f t="shared" si="41"/>
        <v>222.4</v>
      </c>
      <c r="Q673" s="13" t="str">
        <f t="shared" si="42"/>
        <v/>
      </c>
      <c r="R673" s="13" t="str">
        <f t="shared" si="43"/>
        <v>Diskon</v>
      </c>
    </row>
    <row r="674" spans="1:18" x14ac:dyDescent="0.25">
      <c r="A674" s="13" t="s">
        <v>686</v>
      </c>
      <c r="B674" s="13" t="s">
        <v>2194</v>
      </c>
      <c r="C674" s="13" t="s">
        <v>2198</v>
      </c>
      <c r="D674" s="13" t="s">
        <v>2207</v>
      </c>
      <c r="E674" s="13" t="s">
        <v>2209</v>
      </c>
      <c r="F674" s="13" t="s">
        <v>2222</v>
      </c>
      <c r="G674" s="13">
        <v>49.75</v>
      </c>
      <c r="H674" s="13">
        <v>26.4</v>
      </c>
      <c r="I674" s="13">
        <v>36.619999999999997</v>
      </c>
      <c r="J674" s="24">
        <v>45875</v>
      </c>
      <c r="K674" s="13">
        <v>24</v>
      </c>
      <c r="L674" s="44">
        <v>3.8</v>
      </c>
      <c r="M674" s="13" t="b">
        <v>0</v>
      </c>
      <c r="O674" s="25">
        <f t="shared" si="40"/>
        <v>27</v>
      </c>
      <c r="P674" s="13">
        <f t="shared" si="41"/>
        <v>633.59999999999991</v>
      </c>
      <c r="Q674" s="13" t="str">
        <f t="shared" si="42"/>
        <v/>
      </c>
      <c r="R674" s="13" t="str">
        <f t="shared" si="43"/>
        <v>Diskon</v>
      </c>
    </row>
    <row r="675" spans="1:18" x14ac:dyDescent="0.25">
      <c r="A675" s="13" t="s">
        <v>687</v>
      </c>
      <c r="B675" s="13" t="s">
        <v>2195</v>
      </c>
      <c r="C675" s="13" t="s">
        <v>2199</v>
      </c>
      <c r="D675" s="13" t="s">
        <v>2204</v>
      </c>
      <c r="E675" s="13" t="s">
        <v>2212</v>
      </c>
      <c r="F675" s="13" t="s">
        <v>2215</v>
      </c>
      <c r="G675" s="13">
        <v>148.97999999999999</v>
      </c>
      <c r="H675" s="13">
        <v>0</v>
      </c>
      <c r="I675" s="13">
        <v>148.97999999999999</v>
      </c>
      <c r="J675" s="24">
        <v>45591</v>
      </c>
      <c r="K675" s="13">
        <v>11</v>
      </c>
      <c r="L675" s="44">
        <v>2.2000000000000002</v>
      </c>
      <c r="M675" s="13" t="b">
        <v>1</v>
      </c>
      <c r="N675" s="13" t="s">
        <v>2230</v>
      </c>
      <c r="O675" s="25">
        <f t="shared" si="40"/>
        <v>311</v>
      </c>
      <c r="P675" s="13">
        <f t="shared" si="41"/>
        <v>0</v>
      </c>
      <c r="Q675" s="13">
        <f t="shared" si="42"/>
        <v>1</v>
      </c>
      <c r="R675" s="13" t="str">
        <f t="shared" si="43"/>
        <v>Non diskon</v>
      </c>
    </row>
    <row r="676" spans="1:18" x14ac:dyDescent="0.25">
      <c r="A676" s="13" t="s">
        <v>688</v>
      </c>
      <c r="B676" s="13" t="s">
        <v>2192</v>
      </c>
      <c r="C676" s="13" t="s">
        <v>2202</v>
      </c>
      <c r="D676" s="13" t="s">
        <v>2205</v>
      </c>
      <c r="F676" s="13" t="s">
        <v>2218</v>
      </c>
      <c r="G676" s="13">
        <v>72.239999999999995</v>
      </c>
      <c r="H676" s="13">
        <v>0</v>
      </c>
      <c r="I676" s="13">
        <v>72.239999999999995</v>
      </c>
      <c r="J676" s="24">
        <v>45875</v>
      </c>
      <c r="K676" s="13">
        <v>35</v>
      </c>
      <c r="L676" s="44">
        <v>4.0999999999999996</v>
      </c>
      <c r="M676" s="13" t="b">
        <v>0</v>
      </c>
      <c r="O676" s="25">
        <f t="shared" si="40"/>
        <v>27</v>
      </c>
      <c r="P676" s="13">
        <f t="shared" si="41"/>
        <v>0</v>
      </c>
      <c r="Q676" s="13" t="str">
        <f t="shared" si="42"/>
        <v/>
      </c>
      <c r="R676" s="13" t="str">
        <f t="shared" si="43"/>
        <v>Non diskon</v>
      </c>
    </row>
    <row r="677" spans="1:18" x14ac:dyDescent="0.25">
      <c r="A677" s="13" t="s">
        <v>689</v>
      </c>
      <c r="B677" s="13" t="s">
        <v>2191</v>
      </c>
      <c r="C677" s="13" t="s">
        <v>2199</v>
      </c>
      <c r="D677" s="13" t="s">
        <v>2205</v>
      </c>
      <c r="E677" s="13" t="s">
        <v>2212</v>
      </c>
      <c r="F677" s="13" t="s">
        <v>2219</v>
      </c>
      <c r="G677" s="13">
        <v>94.92</v>
      </c>
      <c r="H677" s="13">
        <v>0</v>
      </c>
      <c r="I677" s="13">
        <v>94.92</v>
      </c>
      <c r="J677" s="24">
        <v>45875</v>
      </c>
      <c r="K677" s="13">
        <v>5</v>
      </c>
      <c r="L677" s="44">
        <v>3.3</v>
      </c>
      <c r="M677" s="13" t="b">
        <v>0</v>
      </c>
      <c r="O677" s="25">
        <f t="shared" si="40"/>
        <v>27</v>
      </c>
      <c r="P677" s="13">
        <f t="shared" si="41"/>
        <v>0</v>
      </c>
      <c r="Q677" s="13" t="str">
        <f t="shared" si="42"/>
        <v/>
      </c>
      <c r="R677" s="13" t="str">
        <f t="shared" si="43"/>
        <v>Non diskon</v>
      </c>
    </row>
    <row r="678" spans="1:18" x14ac:dyDescent="0.25">
      <c r="A678" s="13" t="s">
        <v>690</v>
      </c>
      <c r="B678" s="13" t="s">
        <v>2190</v>
      </c>
      <c r="C678" s="13" t="s">
        <v>2198</v>
      </c>
      <c r="D678" s="13" t="s">
        <v>2206</v>
      </c>
      <c r="E678" s="13" t="s">
        <v>2211</v>
      </c>
      <c r="F678" s="13" t="s">
        <v>2224</v>
      </c>
      <c r="G678" s="13">
        <v>91.08</v>
      </c>
      <c r="H678" s="13">
        <v>0</v>
      </c>
      <c r="I678" s="13">
        <v>91.08</v>
      </c>
      <c r="J678" s="24">
        <v>45875</v>
      </c>
      <c r="K678" s="13">
        <v>47</v>
      </c>
      <c r="L678" s="44">
        <v>4.9000000000000004</v>
      </c>
      <c r="M678" s="13" t="b">
        <v>0</v>
      </c>
      <c r="O678" s="25">
        <f t="shared" si="40"/>
        <v>27</v>
      </c>
      <c r="P678" s="13">
        <f t="shared" si="41"/>
        <v>0</v>
      </c>
      <c r="Q678" s="13" t="str">
        <f t="shared" si="42"/>
        <v/>
      </c>
      <c r="R678" s="13" t="str">
        <f t="shared" si="43"/>
        <v>Non diskon</v>
      </c>
    </row>
    <row r="679" spans="1:18" x14ac:dyDescent="0.25">
      <c r="A679" s="13" t="s">
        <v>691</v>
      </c>
      <c r="B679" s="13" t="s">
        <v>2192</v>
      </c>
      <c r="C679" s="13" t="s">
        <v>2198</v>
      </c>
      <c r="D679" s="13" t="s">
        <v>2206</v>
      </c>
      <c r="F679" s="13" t="s">
        <v>2224</v>
      </c>
      <c r="G679" s="13">
        <v>49.72</v>
      </c>
      <c r="H679" s="13">
        <v>58.3</v>
      </c>
      <c r="I679" s="13">
        <v>20.73</v>
      </c>
      <c r="J679" s="24">
        <v>45875</v>
      </c>
      <c r="K679" s="13">
        <v>4</v>
      </c>
      <c r="L679" s="44">
        <v>1.6</v>
      </c>
      <c r="M679" s="13" t="b">
        <v>0</v>
      </c>
      <c r="O679" s="25">
        <f t="shared" si="40"/>
        <v>27</v>
      </c>
      <c r="P679" s="13">
        <f t="shared" si="41"/>
        <v>233.2</v>
      </c>
      <c r="Q679" s="13" t="str">
        <f t="shared" si="42"/>
        <v/>
      </c>
      <c r="R679" s="13" t="str">
        <f t="shared" si="43"/>
        <v>Diskon</v>
      </c>
    </row>
    <row r="680" spans="1:18" x14ac:dyDescent="0.25">
      <c r="A680" s="13" t="s">
        <v>692</v>
      </c>
      <c r="B680" s="13" t="s">
        <v>2192</v>
      </c>
      <c r="C680" s="13" t="s">
        <v>2202</v>
      </c>
      <c r="D680" s="13" t="s">
        <v>2205</v>
      </c>
      <c r="F680" s="13" t="s">
        <v>2223</v>
      </c>
      <c r="G680" s="13">
        <v>23.09</v>
      </c>
      <c r="H680" s="13">
        <v>7.1</v>
      </c>
      <c r="I680" s="13">
        <v>21.45</v>
      </c>
      <c r="J680" s="24">
        <v>45875</v>
      </c>
      <c r="K680" s="13">
        <v>11</v>
      </c>
      <c r="L680" s="44">
        <v>1.2</v>
      </c>
      <c r="M680" s="13" t="b">
        <v>0</v>
      </c>
      <c r="O680" s="25">
        <f t="shared" si="40"/>
        <v>27</v>
      </c>
      <c r="P680" s="13">
        <f t="shared" si="41"/>
        <v>78.099999999999994</v>
      </c>
      <c r="Q680" s="13" t="str">
        <f t="shared" si="42"/>
        <v/>
      </c>
      <c r="R680" s="13" t="str">
        <f t="shared" si="43"/>
        <v>Diskon</v>
      </c>
    </row>
    <row r="681" spans="1:18" x14ac:dyDescent="0.25">
      <c r="A681" s="13" t="s">
        <v>693</v>
      </c>
      <c r="B681" s="13" t="s">
        <v>2192</v>
      </c>
      <c r="C681" s="13" t="s">
        <v>2196</v>
      </c>
      <c r="D681" s="13" t="s">
        <v>2204</v>
      </c>
      <c r="F681" s="13" t="s">
        <v>2214</v>
      </c>
      <c r="G681" s="13">
        <v>49.95</v>
      </c>
      <c r="H681" s="13">
        <v>0</v>
      </c>
      <c r="I681" s="13">
        <v>49.95</v>
      </c>
      <c r="J681" s="24">
        <v>45552</v>
      </c>
      <c r="K681" s="13">
        <v>29</v>
      </c>
      <c r="L681" s="44">
        <v>4.3</v>
      </c>
      <c r="M681" s="13" t="b">
        <v>0</v>
      </c>
      <c r="O681" s="25">
        <f t="shared" si="40"/>
        <v>350</v>
      </c>
      <c r="P681" s="13">
        <f t="shared" si="41"/>
        <v>0</v>
      </c>
      <c r="Q681" s="13" t="str">
        <f t="shared" si="42"/>
        <v/>
      </c>
      <c r="R681" s="13" t="str">
        <f t="shared" si="43"/>
        <v>Non diskon</v>
      </c>
    </row>
    <row r="682" spans="1:18" x14ac:dyDescent="0.25">
      <c r="A682" s="13" t="s">
        <v>694</v>
      </c>
      <c r="B682" s="13" t="s">
        <v>2192</v>
      </c>
      <c r="C682" s="13" t="s">
        <v>2203</v>
      </c>
      <c r="D682" s="13" t="s">
        <v>2205</v>
      </c>
      <c r="F682" s="13" t="s">
        <v>2220</v>
      </c>
      <c r="G682" s="13">
        <v>25.7</v>
      </c>
      <c r="H682" s="13">
        <v>0</v>
      </c>
      <c r="I682" s="13">
        <v>25.7</v>
      </c>
      <c r="J682" s="24">
        <v>45875</v>
      </c>
      <c r="K682" s="13">
        <v>38</v>
      </c>
      <c r="L682" s="44">
        <v>3.2</v>
      </c>
      <c r="M682" s="13" t="b">
        <v>1</v>
      </c>
      <c r="N682" s="13" t="s">
        <v>2228</v>
      </c>
      <c r="O682" s="25">
        <f t="shared" si="40"/>
        <v>27</v>
      </c>
      <c r="P682" s="13">
        <f t="shared" si="41"/>
        <v>0</v>
      </c>
      <c r="Q682" s="13">
        <f t="shared" si="42"/>
        <v>1</v>
      </c>
      <c r="R682" s="13" t="str">
        <f t="shared" si="43"/>
        <v>Non diskon</v>
      </c>
    </row>
    <row r="683" spans="1:18" x14ac:dyDescent="0.25">
      <c r="A683" s="13" t="s">
        <v>695</v>
      </c>
      <c r="B683" s="13" t="s">
        <v>2193</v>
      </c>
      <c r="C683" s="13" t="s">
        <v>2199</v>
      </c>
      <c r="D683" s="13" t="s">
        <v>2207</v>
      </c>
      <c r="E683" s="13" t="s">
        <v>2212</v>
      </c>
      <c r="F683" s="13" t="s">
        <v>2220</v>
      </c>
      <c r="G683" s="13">
        <v>175.22</v>
      </c>
      <c r="H683" s="13">
        <v>0</v>
      </c>
      <c r="I683" s="13">
        <v>175.22</v>
      </c>
      <c r="J683" s="24">
        <v>45875</v>
      </c>
      <c r="K683" s="13">
        <v>8</v>
      </c>
      <c r="L683" s="44">
        <v>4.9000000000000004</v>
      </c>
      <c r="M683" s="13" t="b">
        <v>0</v>
      </c>
      <c r="O683" s="25">
        <f t="shared" si="40"/>
        <v>27</v>
      </c>
      <c r="P683" s="13">
        <f t="shared" si="41"/>
        <v>0</v>
      </c>
      <c r="Q683" s="13" t="str">
        <f t="shared" si="42"/>
        <v/>
      </c>
      <c r="R683" s="13" t="str">
        <f t="shared" si="43"/>
        <v>Non diskon</v>
      </c>
    </row>
    <row r="684" spans="1:18" x14ac:dyDescent="0.25">
      <c r="A684" s="13" t="s">
        <v>696</v>
      </c>
      <c r="B684" s="13" t="s">
        <v>2194</v>
      </c>
      <c r="C684" s="13" t="s">
        <v>2201</v>
      </c>
      <c r="D684" s="13" t="s">
        <v>2207</v>
      </c>
      <c r="E684" s="13" t="s">
        <v>2212</v>
      </c>
      <c r="F684" s="13" t="s">
        <v>2218</v>
      </c>
      <c r="G684" s="13">
        <v>37.57</v>
      </c>
      <c r="H684" s="13">
        <v>0</v>
      </c>
      <c r="I684" s="13">
        <v>37.57</v>
      </c>
      <c r="J684" s="24">
        <v>45875</v>
      </c>
      <c r="K684" s="13">
        <v>18</v>
      </c>
      <c r="L684" s="44">
        <v>1.9</v>
      </c>
      <c r="M684" s="13" t="b">
        <v>0</v>
      </c>
      <c r="O684" s="25">
        <f t="shared" si="40"/>
        <v>27</v>
      </c>
      <c r="P684" s="13">
        <f t="shared" si="41"/>
        <v>0</v>
      </c>
      <c r="Q684" s="13" t="str">
        <f t="shared" si="42"/>
        <v/>
      </c>
      <c r="R684" s="13" t="str">
        <f t="shared" si="43"/>
        <v>Non diskon</v>
      </c>
    </row>
    <row r="685" spans="1:18" x14ac:dyDescent="0.25">
      <c r="A685" s="13" t="s">
        <v>697</v>
      </c>
      <c r="B685" s="13" t="s">
        <v>2190</v>
      </c>
      <c r="C685" s="13" t="s">
        <v>2196</v>
      </c>
      <c r="D685" s="13" t="s">
        <v>2204</v>
      </c>
      <c r="E685" s="13" t="s">
        <v>2213</v>
      </c>
      <c r="F685" s="13" t="s">
        <v>2220</v>
      </c>
      <c r="G685" s="13">
        <v>245.87</v>
      </c>
      <c r="H685" s="13">
        <v>0</v>
      </c>
      <c r="I685" s="13">
        <v>245.87</v>
      </c>
      <c r="J685" s="24">
        <v>45832</v>
      </c>
      <c r="K685" s="13">
        <v>27</v>
      </c>
      <c r="L685" s="44">
        <v>2.6</v>
      </c>
      <c r="M685" s="13" t="b">
        <v>0</v>
      </c>
      <c r="O685" s="25">
        <f t="shared" si="40"/>
        <v>70</v>
      </c>
      <c r="P685" s="13">
        <f t="shared" si="41"/>
        <v>0</v>
      </c>
      <c r="Q685" s="13" t="str">
        <f t="shared" si="42"/>
        <v/>
      </c>
      <c r="R685" s="13" t="str">
        <f t="shared" si="43"/>
        <v>Non diskon</v>
      </c>
    </row>
    <row r="686" spans="1:18" x14ac:dyDescent="0.25">
      <c r="A686" s="13" t="s">
        <v>698</v>
      </c>
      <c r="B686" s="13" t="s">
        <v>2194</v>
      </c>
      <c r="C686" s="13" t="s">
        <v>2198</v>
      </c>
      <c r="D686" s="13" t="s">
        <v>2205</v>
      </c>
      <c r="E686" s="13" t="s">
        <v>2212</v>
      </c>
      <c r="F686" s="13" t="s">
        <v>2214</v>
      </c>
      <c r="G686" s="13">
        <v>116.92</v>
      </c>
      <c r="H686" s="13">
        <v>0</v>
      </c>
      <c r="I686" s="13">
        <v>116.92</v>
      </c>
      <c r="J686" s="24">
        <v>45875</v>
      </c>
      <c r="K686" s="13">
        <v>13</v>
      </c>
      <c r="L686" s="44">
        <v>3.2</v>
      </c>
      <c r="M686" s="13" t="b">
        <v>0</v>
      </c>
      <c r="O686" s="25">
        <f t="shared" si="40"/>
        <v>27</v>
      </c>
      <c r="P686" s="13">
        <f t="shared" si="41"/>
        <v>0</v>
      </c>
      <c r="Q686" s="13" t="str">
        <f t="shared" si="42"/>
        <v/>
      </c>
      <c r="R686" s="13" t="str">
        <f t="shared" si="43"/>
        <v>Non diskon</v>
      </c>
    </row>
    <row r="687" spans="1:18" x14ac:dyDescent="0.25">
      <c r="A687" s="13" t="s">
        <v>699</v>
      </c>
      <c r="B687" s="13" t="s">
        <v>2195</v>
      </c>
      <c r="C687" s="13" t="s">
        <v>2201</v>
      </c>
      <c r="D687" s="13" t="s">
        <v>2205</v>
      </c>
      <c r="E687" s="13" t="s">
        <v>2209</v>
      </c>
      <c r="F687" s="13" t="s">
        <v>2215</v>
      </c>
      <c r="G687" s="13">
        <v>103.11</v>
      </c>
      <c r="H687" s="13">
        <v>0</v>
      </c>
      <c r="I687" s="13">
        <v>103.11</v>
      </c>
      <c r="J687" s="24">
        <v>45875</v>
      </c>
      <c r="K687" s="13">
        <v>17</v>
      </c>
      <c r="L687" s="44">
        <v>3.1874999999999991</v>
      </c>
      <c r="M687" s="13" t="b">
        <v>0</v>
      </c>
      <c r="O687" s="25">
        <f t="shared" si="40"/>
        <v>27</v>
      </c>
      <c r="P687" s="13">
        <f t="shared" si="41"/>
        <v>0</v>
      </c>
      <c r="Q687" s="13" t="str">
        <f t="shared" si="42"/>
        <v/>
      </c>
      <c r="R687" s="13" t="str">
        <f t="shared" si="43"/>
        <v>Non diskon</v>
      </c>
    </row>
    <row r="688" spans="1:18" x14ac:dyDescent="0.25">
      <c r="A688" s="13" t="s">
        <v>700</v>
      </c>
      <c r="B688" s="13" t="s">
        <v>2190</v>
      </c>
      <c r="C688" s="13" t="s">
        <v>2197</v>
      </c>
      <c r="D688" s="13" t="s">
        <v>2206</v>
      </c>
      <c r="E688" s="13" t="s">
        <v>2213</v>
      </c>
      <c r="F688" s="13" t="s">
        <v>2223</v>
      </c>
      <c r="G688" s="13">
        <v>238.89</v>
      </c>
      <c r="H688" s="13">
        <v>0.5</v>
      </c>
      <c r="I688" s="13">
        <v>237.7</v>
      </c>
      <c r="J688" s="24">
        <v>45875</v>
      </c>
      <c r="K688" s="13">
        <v>28</v>
      </c>
      <c r="L688" s="44">
        <v>2.7</v>
      </c>
      <c r="M688" s="13" t="b">
        <v>0</v>
      </c>
      <c r="O688" s="25">
        <f t="shared" si="40"/>
        <v>27</v>
      </c>
      <c r="P688" s="13">
        <f t="shared" si="41"/>
        <v>14</v>
      </c>
      <c r="Q688" s="13" t="str">
        <f t="shared" si="42"/>
        <v/>
      </c>
      <c r="R688" s="13" t="str">
        <f t="shared" si="43"/>
        <v>Diskon</v>
      </c>
    </row>
    <row r="689" spans="1:18" x14ac:dyDescent="0.25">
      <c r="A689" s="13" t="s">
        <v>701</v>
      </c>
      <c r="B689" s="13" t="s">
        <v>2193</v>
      </c>
      <c r="C689" s="13" t="s">
        <v>2197</v>
      </c>
      <c r="D689" s="13" t="s">
        <v>2207</v>
      </c>
      <c r="E689" s="13" t="s">
        <v>2212</v>
      </c>
      <c r="F689" s="13" t="s">
        <v>2215</v>
      </c>
      <c r="G689" s="13">
        <v>86.81</v>
      </c>
      <c r="H689" s="13">
        <v>12.6</v>
      </c>
      <c r="I689" s="13">
        <v>75.87</v>
      </c>
      <c r="J689" s="24">
        <v>45875</v>
      </c>
      <c r="K689" s="13">
        <v>6</v>
      </c>
      <c r="L689" s="44">
        <v>1.7</v>
      </c>
      <c r="M689" s="13" t="b">
        <v>0</v>
      </c>
      <c r="O689" s="25">
        <f t="shared" si="40"/>
        <v>27</v>
      </c>
      <c r="P689" s="13">
        <f t="shared" si="41"/>
        <v>75.599999999999994</v>
      </c>
      <c r="Q689" s="13" t="str">
        <f t="shared" si="42"/>
        <v/>
      </c>
      <c r="R689" s="13" t="str">
        <f t="shared" si="43"/>
        <v>Diskon</v>
      </c>
    </row>
    <row r="690" spans="1:18" x14ac:dyDescent="0.25">
      <c r="A690" s="13" t="s">
        <v>702</v>
      </c>
      <c r="B690" s="13" t="s">
        <v>2194</v>
      </c>
      <c r="C690" s="13" t="s">
        <v>2199</v>
      </c>
      <c r="D690" s="13" t="s">
        <v>2207</v>
      </c>
      <c r="E690" s="13" t="s">
        <v>2212</v>
      </c>
      <c r="F690" s="13" t="s">
        <v>2219</v>
      </c>
      <c r="G690" s="13">
        <v>58.8</v>
      </c>
      <c r="H690" s="13">
        <v>11.8</v>
      </c>
      <c r="I690" s="13">
        <v>51.86</v>
      </c>
      <c r="J690" s="24">
        <v>45875</v>
      </c>
      <c r="K690" s="13">
        <v>8</v>
      </c>
      <c r="L690" s="44">
        <v>2.8142857142857149</v>
      </c>
      <c r="M690" s="13" t="b">
        <v>0</v>
      </c>
      <c r="O690" s="25">
        <f t="shared" si="40"/>
        <v>27</v>
      </c>
      <c r="P690" s="13">
        <f t="shared" si="41"/>
        <v>94.4</v>
      </c>
      <c r="Q690" s="13" t="str">
        <f t="shared" si="42"/>
        <v/>
      </c>
      <c r="R690" s="13" t="str">
        <f t="shared" si="43"/>
        <v>Diskon</v>
      </c>
    </row>
    <row r="691" spans="1:18" x14ac:dyDescent="0.25">
      <c r="A691" s="13" t="s">
        <v>703</v>
      </c>
      <c r="B691" s="13" t="s">
        <v>2194</v>
      </c>
      <c r="C691" s="13" t="s">
        <v>2201</v>
      </c>
      <c r="D691" s="13" t="s">
        <v>2204</v>
      </c>
      <c r="E691" s="13" t="s">
        <v>2208</v>
      </c>
      <c r="F691" s="13" t="s">
        <v>2221</v>
      </c>
      <c r="G691" s="13">
        <v>41.65</v>
      </c>
      <c r="H691" s="13">
        <v>52</v>
      </c>
      <c r="I691" s="13">
        <v>19.989999999999998</v>
      </c>
      <c r="J691" s="24">
        <v>45793</v>
      </c>
      <c r="K691" s="13">
        <v>20</v>
      </c>
      <c r="L691" s="44">
        <v>1.2</v>
      </c>
      <c r="M691" s="13" t="b">
        <v>0</v>
      </c>
      <c r="O691" s="25">
        <f t="shared" si="40"/>
        <v>109</v>
      </c>
      <c r="P691" s="13">
        <f t="shared" si="41"/>
        <v>1040</v>
      </c>
      <c r="Q691" s="13" t="str">
        <f t="shared" si="42"/>
        <v/>
      </c>
      <c r="R691" s="13" t="str">
        <f t="shared" si="43"/>
        <v>Diskon</v>
      </c>
    </row>
    <row r="692" spans="1:18" x14ac:dyDescent="0.25">
      <c r="A692" s="13" t="s">
        <v>704</v>
      </c>
      <c r="B692" s="13" t="s">
        <v>2191</v>
      </c>
      <c r="C692" s="13" t="s">
        <v>2200</v>
      </c>
      <c r="D692" s="13" t="s">
        <v>2204</v>
      </c>
      <c r="E692" s="13" t="s">
        <v>2208</v>
      </c>
      <c r="F692" s="13" t="s">
        <v>2216</v>
      </c>
      <c r="G692" s="13">
        <v>61.67</v>
      </c>
      <c r="H692" s="13">
        <v>46.4</v>
      </c>
      <c r="I692" s="13">
        <v>33.06</v>
      </c>
      <c r="J692" s="24">
        <v>45853</v>
      </c>
      <c r="K692" s="13">
        <v>50</v>
      </c>
      <c r="L692" s="44">
        <v>2.7</v>
      </c>
      <c r="M692" s="13" t="b">
        <v>0</v>
      </c>
      <c r="O692" s="25">
        <f t="shared" si="40"/>
        <v>49</v>
      </c>
      <c r="P692" s="13">
        <f t="shared" si="41"/>
        <v>2320</v>
      </c>
      <c r="Q692" s="13" t="str">
        <f t="shared" si="42"/>
        <v/>
      </c>
      <c r="R692" s="13" t="str">
        <f t="shared" si="43"/>
        <v>Diskon</v>
      </c>
    </row>
    <row r="693" spans="1:18" x14ac:dyDescent="0.25">
      <c r="A693" s="13" t="s">
        <v>705</v>
      </c>
      <c r="B693" s="13" t="s">
        <v>2194</v>
      </c>
      <c r="C693" s="13" t="s">
        <v>2200</v>
      </c>
      <c r="D693" s="13" t="s">
        <v>2206</v>
      </c>
      <c r="E693" s="13" t="s">
        <v>2212</v>
      </c>
      <c r="F693" s="13" t="s">
        <v>2216</v>
      </c>
      <c r="G693" s="13">
        <v>40.39</v>
      </c>
      <c r="H693" s="13">
        <v>0</v>
      </c>
      <c r="I693" s="13">
        <v>40.39</v>
      </c>
      <c r="J693" s="24">
        <v>45875</v>
      </c>
      <c r="K693" s="13">
        <v>16</v>
      </c>
      <c r="L693" s="44">
        <v>3.0659090909090896</v>
      </c>
      <c r="M693" s="13" t="b">
        <v>0</v>
      </c>
      <c r="O693" s="25">
        <f t="shared" si="40"/>
        <v>27</v>
      </c>
      <c r="P693" s="13">
        <f t="shared" si="41"/>
        <v>0</v>
      </c>
      <c r="Q693" s="13" t="str">
        <f t="shared" si="42"/>
        <v/>
      </c>
      <c r="R693" s="13" t="str">
        <f t="shared" si="43"/>
        <v>Non diskon</v>
      </c>
    </row>
    <row r="694" spans="1:18" x14ac:dyDescent="0.25">
      <c r="A694" s="13" t="s">
        <v>706</v>
      </c>
      <c r="B694" s="13" t="s">
        <v>2191</v>
      </c>
      <c r="C694" s="13" t="s">
        <v>2201</v>
      </c>
      <c r="D694" s="13" t="s">
        <v>2206</v>
      </c>
      <c r="E694" s="13" t="s">
        <v>2211</v>
      </c>
      <c r="F694" s="13" t="s">
        <v>2223</v>
      </c>
      <c r="G694" s="13">
        <v>95.13</v>
      </c>
      <c r="H694" s="13">
        <v>45.4</v>
      </c>
      <c r="I694" s="13">
        <v>51.94</v>
      </c>
      <c r="J694" s="24">
        <v>45875</v>
      </c>
      <c r="K694" s="13">
        <v>46</v>
      </c>
      <c r="L694" s="44">
        <v>2.5</v>
      </c>
      <c r="M694" s="13" t="b">
        <v>0</v>
      </c>
      <c r="O694" s="25">
        <f t="shared" si="40"/>
        <v>27</v>
      </c>
      <c r="P694" s="13">
        <f t="shared" si="41"/>
        <v>2088.4</v>
      </c>
      <c r="Q694" s="13" t="str">
        <f t="shared" si="42"/>
        <v/>
      </c>
      <c r="R694" s="13" t="str">
        <f t="shared" si="43"/>
        <v>Diskon</v>
      </c>
    </row>
    <row r="695" spans="1:18" x14ac:dyDescent="0.25">
      <c r="A695" s="13" t="s">
        <v>707</v>
      </c>
      <c r="B695" s="13" t="s">
        <v>2194</v>
      </c>
      <c r="C695" s="13" t="s">
        <v>2196</v>
      </c>
      <c r="D695" s="13" t="s">
        <v>2206</v>
      </c>
      <c r="E695" s="13" t="s">
        <v>2210</v>
      </c>
      <c r="F695" s="13" t="s">
        <v>2220</v>
      </c>
      <c r="G695" s="13">
        <v>115.14</v>
      </c>
      <c r="H695" s="13">
        <v>0</v>
      </c>
      <c r="I695" s="13">
        <v>115.14</v>
      </c>
      <c r="J695" s="24">
        <v>45875</v>
      </c>
      <c r="K695" s="13">
        <v>43</v>
      </c>
      <c r="L695" s="44">
        <v>2.5</v>
      </c>
      <c r="M695" s="13" t="b">
        <v>0</v>
      </c>
      <c r="O695" s="25">
        <f t="shared" si="40"/>
        <v>27</v>
      </c>
      <c r="P695" s="13">
        <f t="shared" si="41"/>
        <v>0</v>
      </c>
      <c r="Q695" s="13" t="str">
        <f t="shared" si="42"/>
        <v/>
      </c>
      <c r="R695" s="13" t="str">
        <f t="shared" si="43"/>
        <v>Non diskon</v>
      </c>
    </row>
    <row r="696" spans="1:18" x14ac:dyDescent="0.25">
      <c r="A696" s="13" t="s">
        <v>708</v>
      </c>
      <c r="B696" s="13" t="s">
        <v>2191</v>
      </c>
      <c r="C696" s="13" t="s">
        <v>2200</v>
      </c>
      <c r="D696" s="13" t="s">
        <v>2207</v>
      </c>
      <c r="F696" s="13" t="s">
        <v>2221</v>
      </c>
      <c r="G696" s="13">
        <v>59.58</v>
      </c>
      <c r="H696" s="13">
        <v>0</v>
      </c>
      <c r="I696" s="13">
        <v>59.58</v>
      </c>
      <c r="J696" s="24">
        <v>45875</v>
      </c>
      <c r="K696" s="13">
        <v>27</v>
      </c>
      <c r="L696" s="44">
        <v>3.3</v>
      </c>
      <c r="M696" s="13" t="b">
        <v>0</v>
      </c>
      <c r="O696" s="25">
        <f t="shared" si="40"/>
        <v>27</v>
      </c>
      <c r="P696" s="13">
        <f t="shared" si="41"/>
        <v>0</v>
      </c>
      <c r="Q696" s="13" t="str">
        <f t="shared" si="42"/>
        <v/>
      </c>
      <c r="R696" s="13" t="str">
        <f t="shared" si="43"/>
        <v>Non diskon</v>
      </c>
    </row>
    <row r="697" spans="1:18" x14ac:dyDescent="0.25">
      <c r="A697" s="13" t="s">
        <v>709</v>
      </c>
      <c r="B697" s="13" t="s">
        <v>2193</v>
      </c>
      <c r="C697" s="13" t="s">
        <v>2197</v>
      </c>
      <c r="D697" s="13" t="s">
        <v>2204</v>
      </c>
      <c r="E697" s="13" t="s">
        <v>2213</v>
      </c>
      <c r="F697" s="13" t="s">
        <v>2223</v>
      </c>
      <c r="G697" s="13">
        <v>169.89</v>
      </c>
      <c r="H697" s="13">
        <v>0</v>
      </c>
      <c r="I697" s="13">
        <v>169.89</v>
      </c>
      <c r="J697" s="24">
        <v>45852</v>
      </c>
      <c r="K697" s="13">
        <v>12</v>
      </c>
      <c r="L697" s="44">
        <v>1.2</v>
      </c>
      <c r="M697" s="13" t="b">
        <v>0</v>
      </c>
      <c r="O697" s="25">
        <f t="shared" si="40"/>
        <v>50</v>
      </c>
      <c r="P697" s="13">
        <f t="shared" si="41"/>
        <v>0</v>
      </c>
      <c r="Q697" s="13" t="str">
        <f t="shared" si="42"/>
        <v/>
      </c>
      <c r="R697" s="13" t="str">
        <f t="shared" si="43"/>
        <v>Non diskon</v>
      </c>
    </row>
    <row r="698" spans="1:18" x14ac:dyDescent="0.25">
      <c r="A698" s="13" t="s">
        <v>710</v>
      </c>
      <c r="B698" s="13" t="s">
        <v>2193</v>
      </c>
      <c r="C698" s="13" t="s">
        <v>2199</v>
      </c>
      <c r="D698" s="13" t="s">
        <v>2205</v>
      </c>
      <c r="E698" s="13" t="s">
        <v>2210</v>
      </c>
      <c r="F698" s="13" t="s">
        <v>2216</v>
      </c>
      <c r="G698" s="13">
        <v>117.38</v>
      </c>
      <c r="H698" s="13">
        <v>22.5</v>
      </c>
      <c r="I698" s="13">
        <v>90.97</v>
      </c>
      <c r="J698" s="24">
        <v>45875</v>
      </c>
      <c r="K698" s="13">
        <v>42</v>
      </c>
      <c r="L698" s="44">
        <v>2.8</v>
      </c>
      <c r="M698" s="13" t="b">
        <v>1</v>
      </c>
      <c r="N698" s="13" t="s">
        <v>2225</v>
      </c>
      <c r="O698" s="25">
        <f t="shared" si="40"/>
        <v>27</v>
      </c>
      <c r="P698" s="13">
        <f t="shared" si="41"/>
        <v>945</v>
      </c>
      <c r="Q698" s="13">
        <f t="shared" si="42"/>
        <v>1</v>
      </c>
      <c r="R698" s="13" t="str">
        <f t="shared" si="43"/>
        <v>Diskon</v>
      </c>
    </row>
    <row r="699" spans="1:18" x14ac:dyDescent="0.25">
      <c r="A699" s="13" t="s">
        <v>711</v>
      </c>
      <c r="B699" s="13" t="s">
        <v>2191</v>
      </c>
      <c r="C699" s="13" t="s">
        <v>2199</v>
      </c>
      <c r="D699" s="13" t="s">
        <v>2205</v>
      </c>
      <c r="E699" s="13" t="s">
        <v>2210</v>
      </c>
      <c r="F699" s="13" t="s">
        <v>2215</v>
      </c>
      <c r="G699" s="13">
        <v>118.95</v>
      </c>
      <c r="H699" s="13">
        <v>0</v>
      </c>
      <c r="I699" s="13">
        <v>118.95</v>
      </c>
      <c r="J699" s="24">
        <v>45875</v>
      </c>
      <c r="K699" s="13">
        <v>18</v>
      </c>
      <c r="L699" s="44">
        <v>1.9</v>
      </c>
      <c r="M699" s="13" t="b">
        <v>1</v>
      </c>
      <c r="N699" s="13" t="s">
        <v>2228</v>
      </c>
      <c r="O699" s="25">
        <f t="shared" si="40"/>
        <v>27</v>
      </c>
      <c r="P699" s="13">
        <f t="shared" si="41"/>
        <v>0</v>
      </c>
      <c r="Q699" s="13">
        <f t="shared" si="42"/>
        <v>1</v>
      </c>
      <c r="R699" s="13" t="str">
        <f t="shared" si="43"/>
        <v>Non diskon</v>
      </c>
    </row>
    <row r="700" spans="1:18" x14ac:dyDescent="0.25">
      <c r="A700" s="13" t="s">
        <v>712</v>
      </c>
      <c r="B700" s="13" t="s">
        <v>2192</v>
      </c>
      <c r="C700" s="13" t="s">
        <v>2197</v>
      </c>
      <c r="D700" s="13" t="s">
        <v>2206</v>
      </c>
      <c r="F700" s="13" t="s">
        <v>2214</v>
      </c>
      <c r="G700" s="13">
        <v>39.299999999999997</v>
      </c>
      <c r="H700" s="13">
        <v>0</v>
      </c>
      <c r="I700" s="13">
        <v>39.299999999999997</v>
      </c>
      <c r="J700" s="24">
        <v>45875</v>
      </c>
      <c r="K700" s="13">
        <v>39</v>
      </c>
      <c r="L700" s="44">
        <v>3.1288461538461547</v>
      </c>
      <c r="M700" s="13" t="b">
        <v>0</v>
      </c>
      <c r="O700" s="25">
        <f t="shared" si="40"/>
        <v>27</v>
      </c>
      <c r="P700" s="13">
        <f t="shared" si="41"/>
        <v>0</v>
      </c>
      <c r="Q700" s="13" t="str">
        <f t="shared" si="42"/>
        <v/>
      </c>
      <c r="R700" s="13" t="str">
        <f t="shared" si="43"/>
        <v>Non diskon</v>
      </c>
    </row>
    <row r="701" spans="1:18" x14ac:dyDescent="0.25">
      <c r="A701" s="13" t="s">
        <v>713</v>
      </c>
      <c r="B701" s="13" t="s">
        <v>2191</v>
      </c>
      <c r="C701" s="13" t="s">
        <v>2200</v>
      </c>
      <c r="D701" s="13" t="s">
        <v>2205</v>
      </c>
      <c r="E701" s="13" t="s">
        <v>2209</v>
      </c>
      <c r="F701" s="13" t="s">
        <v>2221</v>
      </c>
      <c r="G701" s="13">
        <v>74.3</v>
      </c>
      <c r="H701" s="13">
        <v>0</v>
      </c>
      <c r="I701" s="13">
        <v>74.3</v>
      </c>
      <c r="J701" s="24">
        <v>45875</v>
      </c>
      <c r="K701" s="13">
        <v>31</v>
      </c>
      <c r="L701" s="44">
        <v>3.8</v>
      </c>
      <c r="M701" s="13" t="b">
        <v>1</v>
      </c>
      <c r="N701" s="13" t="s">
        <v>2230</v>
      </c>
      <c r="O701" s="25">
        <f t="shared" si="40"/>
        <v>27</v>
      </c>
      <c r="P701" s="13">
        <f t="shared" si="41"/>
        <v>0</v>
      </c>
      <c r="Q701" s="13">
        <f t="shared" si="42"/>
        <v>1</v>
      </c>
      <c r="R701" s="13" t="str">
        <f t="shared" si="43"/>
        <v>Non diskon</v>
      </c>
    </row>
    <row r="702" spans="1:18" x14ac:dyDescent="0.25">
      <c r="A702" s="13" t="s">
        <v>714</v>
      </c>
      <c r="B702" s="13" t="s">
        <v>2194</v>
      </c>
      <c r="C702" s="13" t="s">
        <v>2200</v>
      </c>
      <c r="D702" s="13" t="s">
        <v>2204</v>
      </c>
      <c r="E702" s="13" t="s">
        <v>2212</v>
      </c>
      <c r="F702" s="13" t="s">
        <v>2224</v>
      </c>
      <c r="G702" s="13">
        <v>62.97</v>
      </c>
      <c r="H702" s="13">
        <v>0</v>
      </c>
      <c r="I702" s="13">
        <v>62.97</v>
      </c>
      <c r="J702" s="24">
        <v>45803</v>
      </c>
      <c r="K702" s="13">
        <v>5</v>
      </c>
      <c r="L702" s="44">
        <v>3.5</v>
      </c>
      <c r="M702" s="13" t="b">
        <v>0</v>
      </c>
      <c r="O702" s="25">
        <f t="shared" si="40"/>
        <v>99</v>
      </c>
      <c r="P702" s="13">
        <f t="shared" si="41"/>
        <v>0</v>
      </c>
      <c r="Q702" s="13" t="str">
        <f t="shared" si="42"/>
        <v/>
      </c>
      <c r="R702" s="13" t="str">
        <f t="shared" si="43"/>
        <v>Non diskon</v>
      </c>
    </row>
    <row r="703" spans="1:18" x14ac:dyDescent="0.25">
      <c r="A703" s="13" t="s">
        <v>715</v>
      </c>
      <c r="B703" s="13" t="s">
        <v>2192</v>
      </c>
      <c r="C703" s="13" t="s">
        <v>2200</v>
      </c>
      <c r="D703" s="13" t="s">
        <v>2207</v>
      </c>
      <c r="F703" s="13" t="s">
        <v>2218</v>
      </c>
      <c r="G703" s="13">
        <v>73.599999999999994</v>
      </c>
      <c r="H703" s="13">
        <v>0</v>
      </c>
      <c r="I703" s="13">
        <v>73.599999999999994</v>
      </c>
      <c r="J703" s="24">
        <v>45875</v>
      </c>
      <c r="K703" s="13">
        <v>1</v>
      </c>
      <c r="L703" s="44">
        <v>1.8</v>
      </c>
      <c r="M703" s="13" t="b">
        <v>0</v>
      </c>
      <c r="O703" s="25">
        <f t="shared" si="40"/>
        <v>27</v>
      </c>
      <c r="P703" s="13">
        <f t="shared" si="41"/>
        <v>0</v>
      </c>
      <c r="Q703" s="13" t="str">
        <f t="shared" si="42"/>
        <v/>
      </c>
      <c r="R703" s="13" t="str">
        <f t="shared" si="43"/>
        <v>Non diskon</v>
      </c>
    </row>
    <row r="704" spans="1:18" x14ac:dyDescent="0.25">
      <c r="A704" s="13" t="s">
        <v>716</v>
      </c>
      <c r="B704" s="13" t="s">
        <v>2192</v>
      </c>
      <c r="C704" s="13" t="s">
        <v>2199</v>
      </c>
      <c r="D704" s="13" t="s">
        <v>2204</v>
      </c>
      <c r="F704" s="13" t="s">
        <v>2216</v>
      </c>
      <c r="G704" s="13">
        <v>77.849999999999994</v>
      </c>
      <c r="H704" s="13">
        <v>34.9</v>
      </c>
      <c r="I704" s="13">
        <v>50.68</v>
      </c>
      <c r="J704" s="24">
        <v>45874</v>
      </c>
      <c r="K704" s="13">
        <v>11</v>
      </c>
      <c r="L704" s="44">
        <v>2.5131578947368416</v>
      </c>
      <c r="M704" s="13" t="b">
        <v>0</v>
      </c>
      <c r="O704" s="25">
        <f t="shared" si="40"/>
        <v>28</v>
      </c>
      <c r="P704" s="13">
        <f t="shared" si="41"/>
        <v>383.9</v>
      </c>
      <c r="Q704" s="13" t="str">
        <f t="shared" si="42"/>
        <v/>
      </c>
      <c r="R704" s="13" t="str">
        <f t="shared" si="43"/>
        <v>Diskon</v>
      </c>
    </row>
    <row r="705" spans="1:18" x14ac:dyDescent="0.25">
      <c r="A705" s="13" t="s">
        <v>717</v>
      </c>
      <c r="B705" s="13" t="s">
        <v>2191</v>
      </c>
      <c r="C705" s="13" t="s">
        <v>2203</v>
      </c>
      <c r="D705" s="13" t="s">
        <v>2207</v>
      </c>
      <c r="F705" s="13" t="s">
        <v>2214</v>
      </c>
      <c r="G705" s="13">
        <v>94.31</v>
      </c>
      <c r="H705" s="13">
        <v>0</v>
      </c>
      <c r="I705" s="13">
        <v>94.31</v>
      </c>
      <c r="J705" s="24">
        <v>45875</v>
      </c>
      <c r="K705" s="13">
        <v>20</v>
      </c>
      <c r="L705" s="44">
        <v>3</v>
      </c>
      <c r="M705" s="13" t="b">
        <v>0</v>
      </c>
      <c r="O705" s="25">
        <f t="shared" si="40"/>
        <v>27</v>
      </c>
      <c r="P705" s="13">
        <f t="shared" si="41"/>
        <v>0</v>
      </c>
      <c r="Q705" s="13" t="str">
        <f t="shared" si="42"/>
        <v/>
      </c>
      <c r="R705" s="13" t="str">
        <f t="shared" si="43"/>
        <v>Non diskon</v>
      </c>
    </row>
    <row r="706" spans="1:18" x14ac:dyDescent="0.25">
      <c r="A706" s="13" t="s">
        <v>718</v>
      </c>
      <c r="B706" s="13" t="s">
        <v>2194</v>
      </c>
      <c r="C706" s="13" t="s">
        <v>2201</v>
      </c>
      <c r="D706" s="13" t="s">
        <v>2204</v>
      </c>
      <c r="F706" s="13" t="s">
        <v>2222</v>
      </c>
      <c r="G706" s="13">
        <v>60.36</v>
      </c>
      <c r="H706" s="13">
        <v>0</v>
      </c>
      <c r="I706" s="13">
        <v>60.36</v>
      </c>
      <c r="J706" s="24">
        <v>45536</v>
      </c>
      <c r="K706" s="13">
        <v>35</v>
      </c>
      <c r="L706" s="44">
        <v>3.3</v>
      </c>
      <c r="M706" s="13" t="b">
        <v>0</v>
      </c>
      <c r="O706" s="25">
        <f t="shared" si="40"/>
        <v>366</v>
      </c>
      <c r="P706" s="13">
        <f t="shared" si="41"/>
        <v>0</v>
      </c>
      <c r="Q706" s="13" t="str">
        <f t="shared" si="42"/>
        <v/>
      </c>
      <c r="R706" s="13" t="str">
        <f t="shared" si="43"/>
        <v>Non diskon</v>
      </c>
    </row>
    <row r="707" spans="1:18" x14ac:dyDescent="0.25">
      <c r="A707" s="13" t="s">
        <v>719</v>
      </c>
      <c r="B707" s="13" t="s">
        <v>2194</v>
      </c>
      <c r="C707" s="13" t="s">
        <v>2199</v>
      </c>
      <c r="D707" s="13" t="s">
        <v>2207</v>
      </c>
      <c r="E707" s="13" t="s">
        <v>2211</v>
      </c>
      <c r="F707" s="13" t="s">
        <v>2224</v>
      </c>
      <c r="G707" s="13">
        <v>94.85</v>
      </c>
      <c r="H707" s="13">
        <v>0</v>
      </c>
      <c r="I707" s="13">
        <v>94.85</v>
      </c>
      <c r="J707" s="24">
        <v>45875</v>
      </c>
      <c r="K707" s="13">
        <v>28</v>
      </c>
      <c r="L707" s="44">
        <v>1.5</v>
      </c>
      <c r="M707" s="13" t="b">
        <v>0</v>
      </c>
      <c r="O707" s="25">
        <f t="shared" ref="O707:O770" si="44">DATE(2025,9,2)-J707</f>
        <v>27</v>
      </c>
      <c r="P707" s="13">
        <f t="shared" ref="P707:P770" si="45">H707*K707</f>
        <v>0</v>
      </c>
      <c r="Q707" s="13" t="str">
        <f t="shared" ref="Q707:Q770" si="46">IF(M707=FALSE,"",1)</f>
        <v/>
      </c>
      <c r="R707" s="13" t="str">
        <f t="shared" ref="R707:R770" si="47">IF(H707=0,"Non diskon","Diskon")</f>
        <v>Non diskon</v>
      </c>
    </row>
    <row r="708" spans="1:18" x14ac:dyDescent="0.25">
      <c r="A708" s="13" t="s">
        <v>720</v>
      </c>
      <c r="B708" s="13" t="s">
        <v>2192</v>
      </c>
      <c r="C708" s="13" t="s">
        <v>2197</v>
      </c>
      <c r="D708" s="13" t="s">
        <v>2205</v>
      </c>
      <c r="F708" s="13" t="s">
        <v>2219</v>
      </c>
      <c r="G708" s="13">
        <v>30.52</v>
      </c>
      <c r="H708" s="13">
        <v>7.9</v>
      </c>
      <c r="I708" s="13">
        <v>28.11</v>
      </c>
      <c r="J708" s="24">
        <v>45875</v>
      </c>
      <c r="K708" s="13">
        <v>43</v>
      </c>
      <c r="L708" s="44">
        <v>4.7</v>
      </c>
      <c r="M708" s="13" t="b">
        <v>0</v>
      </c>
      <c r="O708" s="25">
        <f t="shared" si="44"/>
        <v>27</v>
      </c>
      <c r="P708" s="13">
        <f t="shared" si="45"/>
        <v>339.7</v>
      </c>
      <c r="Q708" s="13" t="str">
        <f t="shared" si="46"/>
        <v/>
      </c>
      <c r="R708" s="13" t="str">
        <f t="shared" si="47"/>
        <v>Diskon</v>
      </c>
    </row>
    <row r="709" spans="1:18" x14ac:dyDescent="0.25">
      <c r="A709" s="13" t="s">
        <v>721</v>
      </c>
      <c r="B709" s="13" t="s">
        <v>2195</v>
      </c>
      <c r="C709" s="13" t="s">
        <v>2199</v>
      </c>
      <c r="D709" s="13" t="s">
        <v>2207</v>
      </c>
      <c r="E709" s="13" t="s">
        <v>2212</v>
      </c>
      <c r="F709" s="13" t="s">
        <v>2222</v>
      </c>
      <c r="G709" s="13">
        <v>97.06</v>
      </c>
      <c r="H709" s="13">
        <v>0</v>
      </c>
      <c r="I709" s="13">
        <v>97.06</v>
      </c>
      <c r="J709" s="24">
        <v>45875</v>
      </c>
      <c r="K709" s="13">
        <v>24</v>
      </c>
      <c r="L709" s="44">
        <v>3.9</v>
      </c>
      <c r="M709" s="13" t="b">
        <v>0</v>
      </c>
      <c r="O709" s="25">
        <f t="shared" si="44"/>
        <v>27</v>
      </c>
      <c r="P709" s="13">
        <f t="shared" si="45"/>
        <v>0</v>
      </c>
      <c r="Q709" s="13" t="str">
        <f t="shared" si="46"/>
        <v/>
      </c>
      <c r="R709" s="13" t="str">
        <f t="shared" si="47"/>
        <v>Non diskon</v>
      </c>
    </row>
    <row r="710" spans="1:18" x14ac:dyDescent="0.25">
      <c r="A710" s="13" t="s">
        <v>722</v>
      </c>
      <c r="B710" s="13" t="s">
        <v>2194</v>
      </c>
      <c r="C710" s="13" t="s">
        <v>2203</v>
      </c>
      <c r="D710" s="13" t="s">
        <v>2207</v>
      </c>
      <c r="E710" s="13" t="s">
        <v>2213</v>
      </c>
      <c r="F710" s="13" t="s">
        <v>2223</v>
      </c>
      <c r="G710" s="13">
        <v>57.85</v>
      </c>
      <c r="H710" s="13">
        <v>35.4</v>
      </c>
      <c r="I710" s="13">
        <v>37.369999999999997</v>
      </c>
      <c r="J710" s="24">
        <v>45875</v>
      </c>
      <c r="K710" s="13">
        <v>17</v>
      </c>
      <c r="L710" s="44">
        <v>3.1021739130434773</v>
      </c>
      <c r="M710" s="13" t="b">
        <v>0</v>
      </c>
      <c r="O710" s="25">
        <f t="shared" si="44"/>
        <v>27</v>
      </c>
      <c r="P710" s="13">
        <f t="shared" si="45"/>
        <v>601.79999999999995</v>
      </c>
      <c r="Q710" s="13" t="str">
        <f t="shared" si="46"/>
        <v/>
      </c>
      <c r="R710" s="13" t="str">
        <f t="shared" si="47"/>
        <v>Diskon</v>
      </c>
    </row>
    <row r="711" spans="1:18" x14ac:dyDescent="0.25">
      <c r="A711" s="13" t="s">
        <v>723</v>
      </c>
      <c r="B711" s="13" t="s">
        <v>2191</v>
      </c>
      <c r="C711" s="13" t="s">
        <v>2196</v>
      </c>
      <c r="D711" s="13" t="s">
        <v>2206</v>
      </c>
      <c r="E711" s="13" t="s">
        <v>2213</v>
      </c>
      <c r="F711" s="13" t="s">
        <v>2217</v>
      </c>
      <c r="G711" s="13">
        <v>51.35</v>
      </c>
      <c r="H711" s="13">
        <v>19.7</v>
      </c>
      <c r="I711" s="13">
        <v>41.23</v>
      </c>
      <c r="J711" s="24">
        <v>45875</v>
      </c>
      <c r="K711" s="13">
        <v>39</v>
      </c>
      <c r="L711" s="44">
        <v>1.3</v>
      </c>
      <c r="M711" s="13" t="b">
        <v>0</v>
      </c>
      <c r="O711" s="25">
        <f t="shared" si="44"/>
        <v>27</v>
      </c>
      <c r="P711" s="13">
        <f t="shared" si="45"/>
        <v>768.3</v>
      </c>
      <c r="Q711" s="13" t="str">
        <f t="shared" si="46"/>
        <v/>
      </c>
      <c r="R711" s="13" t="str">
        <f t="shared" si="47"/>
        <v>Diskon</v>
      </c>
    </row>
    <row r="712" spans="1:18" x14ac:dyDescent="0.25">
      <c r="A712" s="13" t="s">
        <v>724</v>
      </c>
      <c r="B712" s="13" t="s">
        <v>2192</v>
      </c>
      <c r="C712" s="13" t="s">
        <v>2201</v>
      </c>
      <c r="D712" s="13" t="s">
        <v>2204</v>
      </c>
      <c r="F712" s="13" t="s">
        <v>2216</v>
      </c>
      <c r="G712" s="13">
        <v>61.34</v>
      </c>
      <c r="H712" s="13">
        <v>45.4</v>
      </c>
      <c r="I712" s="13">
        <v>33.49</v>
      </c>
      <c r="J712" s="24">
        <v>45691</v>
      </c>
      <c r="K712" s="13">
        <v>46</v>
      </c>
      <c r="L712" s="44">
        <v>3.2731707317073173</v>
      </c>
      <c r="M712" s="13" t="b">
        <v>0</v>
      </c>
      <c r="O712" s="25">
        <f t="shared" si="44"/>
        <v>211</v>
      </c>
      <c r="P712" s="13">
        <f t="shared" si="45"/>
        <v>2088.4</v>
      </c>
      <c r="Q712" s="13" t="str">
        <f t="shared" si="46"/>
        <v/>
      </c>
      <c r="R712" s="13" t="str">
        <f t="shared" si="47"/>
        <v>Diskon</v>
      </c>
    </row>
    <row r="713" spans="1:18" x14ac:dyDescent="0.25">
      <c r="A713" s="13" t="s">
        <v>725</v>
      </c>
      <c r="B713" s="13" t="s">
        <v>2190</v>
      </c>
      <c r="C713" s="13" t="s">
        <v>2198</v>
      </c>
      <c r="D713" s="13" t="s">
        <v>2207</v>
      </c>
      <c r="E713" s="13" t="s">
        <v>2209</v>
      </c>
      <c r="F713" s="13" t="s">
        <v>2223</v>
      </c>
      <c r="G713" s="13">
        <v>189.28</v>
      </c>
      <c r="H713" s="13">
        <v>0</v>
      </c>
      <c r="I713" s="13">
        <v>189.28</v>
      </c>
      <c r="J713" s="24">
        <v>45875</v>
      </c>
      <c r="K713" s="13">
        <v>41</v>
      </c>
      <c r="L713" s="44">
        <v>2.7</v>
      </c>
      <c r="M713" s="13" t="b">
        <v>1</v>
      </c>
      <c r="N713" s="13" t="s">
        <v>2230</v>
      </c>
      <c r="O713" s="25">
        <f t="shared" si="44"/>
        <v>27</v>
      </c>
      <c r="P713" s="13">
        <f t="shared" si="45"/>
        <v>0</v>
      </c>
      <c r="Q713" s="13">
        <f t="shared" si="46"/>
        <v>1</v>
      </c>
      <c r="R713" s="13" t="str">
        <f t="shared" si="47"/>
        <v>Non diskon</v>
      </c>
    </row>
    <row r="714" spans="1:18" x14ac:dyDescent="0.25">
      <c r="A714" s="13" t="s">
        <v>726</v>
      </c>
      <c r="B714" s="13" t="s">
        <v>2191</v>
      </c>
      <c r="C714" s="13" t="s">
        <v>2198</v>
      </c>
      <c r="D714" s="13" t="s">
        <v>2207</v>
      </c>
      <c r="E714" s="13" t="s">
        <v>2211</v>
      </c>
      <c r="F714" s="13" t="s">
        <v>2223</v>
      </c>
      <c r="G714" s="13">
        <v>86.67</v>
      </c>
      <c r="H714" s="13">
        <v>35.799999999999997</v>
      </c>
      <c r="I714" s="13">
        <v>55.64</v>
      </c>
      <c r="J714" s="24">
        <v>45875</v>
      </c>
      <c r="K714" s="13">
        <v>2</v>
      </c>
      <c r="L714" s="44">
        <v>4.9000000000000004</v>
      </c>
      <c r="M714" s="13" t="b">
        <v>0</v>
      </c>
      <c r="O714" s="25">
        <f t="shared" si="44"/>
        <v>27</v>
      </c>
      <c r="P714" s="13">
        <f t="shared" si="45"/>
        <v>71.599999999999994</v>
      </c>
      <c r="Q714" s="13" t="str">
        <f t="shared" si="46"/>
        <v/>
      </c>
      <c r="R714" s="13" t="str">
        <f t="shared" si="47"/>
        <v>Diskon</v>
      </c>
    </row>
    <row r="715" spans="1:18" x14ac:dyDescent="0.25">
      <c r="A715" s="13" t="s">
        <v>727</v>
      </c>
      <c r="B715" s="13" t="s">
        <v>2194</v>
      </c>
      <c r="C715" s="13" t="s">
        <v>2201</v>
      </c>
      <c r="D715" s="13" t="s">
        <v>2204</v>
      </c>
      <c r="E715" s="13" t="s">
        <v>2210</v>
      </c>
      <c r="F715" s="13" t="s">
        <v>2222</v>
      </c>
      <c r="G715" s="13">
        <v>102.84</v>
      </c>
      <c r="H715" s="13">
        <v>0</v>
      </c>
      <c r="I715" s="13">
        <v>102.84</v>
      </c>
      <c r="J715" s="24">
        <v>45545</v>
      </c>
      <c r="K715" s="13">
        <v>27</v>
      </c>
      <c r="L715" s="44">
        <v>1.8</v>
      </c>
      <c r="M715" s="13" t="b">
        <v>0</v>
      </c>
      <c r="O715" s="25">
        <f t="shared" si="44"/>
        <v>357</v>
      </c>
      <c r="P715" s="13">
        <f t="shared" si="45"/>
        <v>0</v>
      </c>
      <c r="Q715" s="13" t="str">
        <f t="shared" si="46"/>
        <v/>
      </c>
      <c r="R715" s="13" t="str">
        <f t="shared" si="47"/>
        <v>Non diskon</v>
      </c>
    </row>
    <row r="716" spans="1:18" x14ac:dyDescent="0.25">
      <c r="A716" s="13" t="s">
        <v>728</v>
      </c>
      <c r="B716" s="13" t="s">
        <v>2190</v>
      </c>
      <c r="C716" s="13" t="s">
        <v>2196</v>
      </c>
      <c r="D716" s="13" t="s">
        <v>2206</v>
      </c>
      <c r="E716" s="13" t="s">
        <v>2211</v>
      </c>
      <c r="F716" s="13" t="s">
        <v>2220</v>
      </c>
      <c r="G716" s="13">
        <v>225.21</v>
      </c>
      <c r="H716" s="13">
        <v>0</v>
      </c>
      <c r="I716" s="13">
        <v>225.21</v>
      </c>
      <c r="J716" s="24">
        <v>45875</v>
      </c>
      <c r="K716" s="13">
        <v>27</v>
      </c>
      <c r="L716" s="44">
        <v>3.1</v>
      </c>
      <c r="M716" s="13" t="b">
        <v>1</v>
      </c>
      <c r="N716" s="13" t="s">
        <v>2229</v>
      </c>
      <c r="O716" s="25">
        <f t="shared" si="44"/>
        <v>27</v>
      </c>
      <c r="P716" s="13">
        <f t="shared" si="45"/>
        <v>0</v>
      </c>
      <c r="Q716" s="13">
        <f t="shared" si="46"/>
        <v>1</v>
      </c>
      <c r="R716" s="13" t="str">
        <f t="shared" si="47"/>
        <v>Non diskon</v>
      </c>
    </row>
    <row r="717" spans="1:18" x14ac:dyDescent="0.25">
      <c r="A717" s="13" t="s">
        <v>729</v>
      </c>
      <c r="B717" s="13" t="s">
        <v>2195</v>
      </c>
      <c r="C717" s="13" t="s">
        <v>2197</v>
      </c>
      <c r="D717" s="13" t="s">
        <v>2205</v>
      </c>
      <c r="E717" s="13" t="s">
        <v>2208</v>
      </c>
      <c r="F717" s="13" t="s">
        <v>2218</v>
      </c>
      <c r="G717" s="13">
        <v>48.91</v>
      </c>
      <c r="H717" s="13">
        <v>27.8</v>
      </c>
      <c r="I717" s="13">
        <v>35.31</v>
      </c>
      <c r="J717" s="24">
        <v>45875</v>
      </c>
      <c r="K717" s="13">
        <v>0</v>
      </c>
      <c r="L717" s="44">
        <v>4.0999999999999996</v>
      </c>
      <c r="M717" s="13" t="b">
        <v>0</v>
      </c>
      <c r="O717" s="25">
        <f t="shared" si="44"/>
        <v>27</v>
      </c>
      <c r="P717" s="13">
        <f t="shared" si="45"/>
        <v>0</v>
      </c>
      <c r="Q717" s="13" t="str">
        <f t="shared" si="46"/>
        <v/>
      </c>
      <c r="R717" s="13" t="str">
        <f t="shared" si="47"/>
        <v>Diskon</v>
      </c>
    </row>
    <row r="718" spans="1:18" x14ac:dyDescent="0.25">
      <c r="A718" s="13" t="s">
        <v>730</v>
      </c>
      <c r="B718" s="13" t="s">
        <v>2190</v>
      </c>
      <c r="C718" s="13" t="s">
        <v>2203</v>
      </c>
      <c r="D718" s="13" t="s">
        <v>2206</v>
      </c>
      <c r="E718" s="13" t="s">
        <v>2209</v>
      </c>
      <c r="F718" s="13" t="s">
        <v>2215</v>
      </c>
      <c r="G718" s="13">
        <v>145.93</v>
      </c>
      <c r="H718" s="13">
        <v>0</v>
      </c>
      <c r="I718" s="13">
        <v>145.93</v>
      </c>
      <c r="J718" s="24">
        <v>45875</v>
      </c>
      <c r="K718" s="13">
        <v>19</v>
      </c>
      <c r="L718" s="44">
        <v>1.5</v>
      </c>
      <c r="M718" s="13" t="b">
        <v>0</v>
      </c>
      <c r="O718" s="25">
        <f t="shared" si="44"/>
        <v>27</v>
      </c>
      <c r="P718" s="13">
        <f t="shared" si="45"/>
        <v>0</v>
      </c>
      <c r="Q718" s="13" t="str">
        <f t="shared" si="46"/>
        <v/>
      </c>
      <c r="R718" s="13" t="str">
        <f t="shared" si="47"/>
        <v>Non diskon</v>
      </c>
    </row>
    <row r="719" spans="1:18" x14ac:dyDescent="0.25">
      <c r="A719" s="13" t="s">
        <v>731</v>
      </c>
      <c r="B719" s="13" t="s">
        <v>2190</v>
      </c>
      <c r="C719" s="13" t="s">
        <v>2198</v>
      </c>
      <c r="D719" s="13" t="s">
        <v>2205</v>
      </c>
      <c r="F719" s="13" t="s">
        <v>2220</v>
      </c>
      <c r="G719" s="13">
        <v>225.92</v>
      </c>
      <c r="H719" s="13">
        <v>43.7</v>
      </c>
      <c r="I719" s="13">
        <v>127.19</v>
      </c>
      <c r="J719" s="24">
        <v>45875</v>
      </c>
      <c r="K719" s="13">
        <v>30</v>
      </c>
      <c r="L719" s="44">
        <v>3.2</v>
      </c>
      <c r="M719" s="13" t="b">
        <v>0</v>
      </c>
      <c r="O719" s="25">
        <f t="shared" si="44"/>
        <v>27</v>
      </c>
      <c r="P719" s="13">
        <f t="shared" si="45"/>
        <v>1311</v>
      </c>
      <c r="Q719" s="13" t="str">
        <f t="shared" si="46"/>
        <v/>
      </c>
      <c r="R719" s="13" t="str">
        <f t="shared" si="47"/>
        <v>Diskon</v>
      </c>
    </row>
    <row r="720" spans="1:18" x14ac:dyDescent="0.25">
      <c r="A720" s="13" t="s">
        <v>732</v>
      </c>
      <c r="B720" s="13" t="s">
        <v>2190</v>
      </c>
      <c r="C720" s="13" t="s">
        <v>2197</v>
      </c>
      <c r="D720" s="13" t="s">
        <v>2207</v>
      </c>
      <c r="E720" s="13" t="s">
        <v>2208</v>
      </c>
      <c r="F720" s="13" t="s">
        <v>2220</v>
      </c>
      <c r="G720" s="13">
        <v>202.18</v>
      </c>
      <c r="H720" s="13">
        <v>39.700000000000003</v>
      </c>
      <c r="I720" s="13">
        <v>121.91</v>
      </c>
      <c r="J720" s="24">
        <v>45875</v>
      </c>
      <c r="K720" s="13">
        <v>20</v>
      </c>
      <c r="L720" s="44">
        <v>4.0999999999999996</v>
      </c>
      <c r="M720" s="13" t="b">
        <v>0</v>
      </c>
      <c r="O720" s="25">
        <f t="shared" si="44"/>
        <v>27</v>
      </c>
      <c r="P720" s="13">
        <f t="shared" si="45"/>
        <v>794</v>
      </c>
      <c r="Q720" s="13" t="str">
        <f t="shared" si="46"/>
        <v/>
      </c>
      <c r="R720" s="13" t="str">
        <f t="shared" si="47"/>
        <v>Diskon</v>
      </c>
    </row>
    <row r="721" spans="1:18" x14ac:dyDescent="0.25">
      <c r="A721" s="13" t="s">
        <v>733</v>
      </c>
      <c r="B721" s="13" t="s">
        <v>2191</v>
      </c>
      <c r="C721" s="13" t="s">
        <v>2197</v>
      </c>
      <c r="D721" s="13" t="s">
        <v>2206</v>
      </c>
      <c r="E721" s="13" t="s">
        <v>2208</v>
      </c>
      <c r="F721" s="13" t="s">
        <v>2219</v>
      </c>
      <c r="G721" s="13">
        <v>51.85</v>
      </c>
      <c r="H721" s="13">
        <v>0</v>
      </c>
      <c r="I721" s="13">
        <v>51.85</v>
      </c>
      <c r="J721" s="24">
        <v>45875</v>
      </c>
      <c r="K721" s="13">
        <v>28</v>
      </c>
      <c r="L721" s="44">
        <v>3.34</v>
      </c>
      <c r="M721" s="13" t="b">
        <v>0</v>
      </c>
      <c r="O721" s="25">
        <f t="shared" si="44"/>
        <v>27</v>
      </c>
      <c r="P721" s="13">
        <f t="shared" si="45"/>
        <v>0</v>
      </c>
      <c r="Q721" s="13" t="str">
        <f t="shared" si="46"/>
        <v/>
      </c>
      <c r="R721" s="13" t="str">
        <f t="shared" si="47"/>
        <v>Non diskon</v>
      </c>
    </row>
    <row r="722" spans="1:18" x14ac:dyDescent="0.25">
      <c r="A722" s="13" t="s">
        <v>734</v>
      </c>
      <c r="B722" s="13" t="s">
        <v>2191</v>
      </c>
      <c r="C722" s="13" t="s">
        <v>2197</v>
      </c>
      <c r="D722" s="13" t="s">
        <v>2207</v>
      </c>
      <c r="E722" s="13" t="s">
        <v>2209</v>
      </c>
      <c r="F722" s="13" t="s">
        <v>2218</v>
      </c>
      <c r="G722" s="13">
        <v>75.34</v>
      </c>
      <c r="H722" s="13">
        <v>0</v>
      </c>
      <c r="I722" s="13">
        <v>75.34</v>
      </c>
      <c r="J722" s="24">
        <v>45875</v>
      </c>
      <c r="K722" s="13">
        <v>21</v>
      </c>
      <c r="L722" s="44">
        <v>3.34</v>
      </c>
      <c r="M722" s="13" t="b">
        <v>0</v>
      </c>
      <c r="O722" s="25">
        <f t="shared" si="44"/>
        <v>27</v>
      </c>
      <c r="P722" s="13">
        <f t="shared" si="45"/>
        <v>0</v>
      </c>
      <c r="Q722" s="13" t="str">
        <f t="shared" si="46"/>
        <v/>
      </c>
      <c r="R722" s="13" t="str">
        <f t="shared" si="47"/>
        <v>Non diskon</v>
      </c>
    </row>
    <row r="723" spans="1:18" x14ac:dyDescent="0.25">
      <c r="A723" s="13" t="s">
        <v>735</v>
      </c>
      <c r="B723" s="13" t="s">
        <v>2193</v>
      </c>
      <c r="C723" s="13" t="s">
        <v>2202</v>
      </c>
      <c r="D723" s="13" t="s">
        <v>2204</v>
      </c>
      <c r="E723" s="13" t="s">
        <v>2210</v>
      </c>
      <c r="F723" s="13" t="s">
        <v>2215</v>
      </c>
      <c r="G723" s="13">
        <v>92.09</v>
      </c>
      <c r="H723" s="13">
        <v>54.9</v>
      </c>
      <c r="I723" s="13">
        <v>41.53</v>
      </c>
      <c r="J723" s="24">
        <v>45676</v>
      </c>
      <c r="K723" s="13">
        <v>44</v>
      </c>
      <c r="L723" s="44">
        <v>2.2000000000000002</v>
      </c>
      <c r="M723" s="13" t="b">
        <v>0</v>
      </c>
      <c r="O723" s="25">
        <f t="shared" si="44"/>
        <v>226</v>
      </c>
      <c r="P723" s="13">
        <f t="shared" si="45"/>
        <v>2415.6</v>
      </c>
      <c r="Q723" s="13" t="str">
        <f t="shared" si="46"/>
        <v/>
      </c>
      <c r="R723" s="13" t="str">
        <f t="shared" si="47"/>
        <v>Diskon</v>
      </c>
    </row>
    <row r="724" spans="1:18" x14ac:dyDescent="0.25">
      <c r="A724" s="13" t="s">
        <v>736</v>
      </c>
      <c r="B724" s="13" t="s">
        <v>2192</v>
      </c>
      <c r="C724" s="13" t="s">
        <v>2196</v>
      </c>
      <c r="D724" s="13" t="s">
        <v>2206</v>
      </c>
      <c r="F724" s="13" t="s">
        <v>2219</v>
      </c>
      <c r="G724" s="13">
        <v>56.39</v>
      </c>
      <c r="H724" s="13">
        <v>0</v>
      </c>
      <c r="I724" s="13">
        <v>56.39</v>
      </c>
      <c r="J724" s="24">
        <v>45875</v>
      </c>
      <c r="K724" s="13">
        <v>49</v>
      </c>
      <c r="L724" s="44">
        <v>4.2</v>
      </c>
      <c r="M724" s="13" t="b">
        <v>0</v>
      </c>
      <c r="O724" s="25">
        <f t="shared" si="44"/>
        <v>27</v>
      </c>
      <c r="P724" s="13">
        <f t="shared" si="45"/>
        <v>0</v>
      </c>
      <c r="Q724" s="13" t="str">
        <f t="shared" si="46"/>
        <v/>
      </c>
      <c r="R724" s="13" t="str">
        <f t="shared" si="47"/>
        <v>Non diskon</v>
      </c>
    </row>
    <row r="725" spans="1:18" x14ac:dyDescent="0.25">
      <c r="A725" s="13" t="s">
        <v>737</v>
      </c>
      <c r="B725" s="13" t="s">
        <v>2191</v>
      </c>
      <c r="C725" s="13" t="s">
        <v>2199</v>
      </c>
      <c r="D725" s="13" t="s">
        <v>2206</v>
      </c>
      <c r="E725" s="13" t="s">
        <v>2209</v>
      </c>
      <c r="F725" s="13" t="s">
        <v>2215</v>
      </c>
      <c r="G725" s="13">
        <v>108.75</v>
      </c>
      <c r="H725" s="13">
        <v>0</v>
      </c>
      <c r="I725" s="13">
        <v>108.75</v>
      </c>
      <c r="J725" s="24">
        <v>45875</v>
      </c>
      <c r="K725" s="13">
        <v>38</v>
      </c>
      <c r="L725" s="44">
        <v>3.8</v>
      </c>
      <c r="M725" s="13" t="b">
        <v>0</v>
      </c>
      <c r="O725" s="25">
        <f t="shared" si="44"/>
        <v>27</v>
      </c>
      <c r="P725" s="13">
        <f t="shared" si="45"/>
        <v>0</v>
      </c>
      <c r="Q725" s="13" t="str">
        <f t="shared" si="46"/>
        <v/>
      </c>
      <c r="R725" s="13" t="str">
        <f t="shared" si="47"/>
        <v>Non diskon</v>
      </c>
    </row>
    <row r="726" spans="1:18" x14ac:dyDescent="0.25">
      <c r="A726" s="13" t="s">
        <v>738</v>
      </c>
      <c r="B726" s="13" t="s">
        <v>2195</v>
      </c>
      <c r="C726" s="13" t="s">
        <v>2197</v>
      </c>
      <c r="D726" s="13" t="s">
        <v>2204</v>
      </c>
      <c r="E726" s="13" t="s">
        <v>2210</v>
      </c>
      <c r="F726" s="13" t="s">
        <v>2214</v>
      </c>
      <c r="G726" s="13">
        <v>156.85</v>
      </c>
      <c r="H726" s="13">
        <v>0</v>
      </c>
      <c r="I726" s="13">
        <v>156.85</v>
      </c>
      <c r="J726" s="24">
        <v>45748</v>
      </c>
      <c r="K726" s="13">
        <v>48</v>
      </c>
      <c r="L726" s="44">
        <v>3.4</v>
      </c>
      <c r="M726" s="13" t="b">
        <v>0</v>
      </c>
      <c r="O726" s="25">
        <f t="shared" si="44"/>
        <v>154</v>
      </c>
      <c r="P726" s="13">
        <f t="shared" si="45"/>
        <v>0</v>
      </c>
      <c r="Q726" s="13" t="str">
        <f t="shared" si="46"/>
        <v/>
      </c>
      <c r="R726" s="13" t="str">
        <f t="shared" si="47"/>
        <v>Non diskon</v>
      </c>
    </row>
    <row r="727" spans="1:18" x14ac:dyDescent="0.25">
      <c r="A727" s="13" t="s">
        <v>739</v>
      </c>
      <c r="B727" s="13" t="s">
        <v>2190</v>
      </c>
      <c r="C727" s="13" t="s">
        <v>2197</v>
      </c>
      <c r="D727" s="13" t="s">
        <v>2204</v>
      </c>
      <c r="E727" s="13" t="s">
        <v>2212</v>
      </c>
      <c r="F727" s="13" t="s">
        <v>2224</v>
      </c>
      <c r="G727" s="13">
        <v>168.13</v>
      </c>
      <c r="H727" s="13">
        <v>0</v>
      </c>
      <c r="I727" s="13">
        <v>168.13</v>
      </c>
      <c r="J727" s="24">
        <v>45765</v>
      </c>
      <c r="K727" s="13">
        <v>42</v>
      </c>
      <c r="L727" s="44">
        <v>2.5</v>
      </c>
      <c r="M727" s="13" t="b">
        <v>0</v>
      </c>
      <c r="O727" s="25">
        <f t="shared" si="44"/>
        <v>137</v>
      </c>
      <c r="P727" s="13">
        <f t="shared" si="45"/>
        <v>0</v>
      </c>
      <c r="Q727" s="13" t="str">
        <f t="shared" si="46"/>
        <v/>
      </c>
      <c r="R727" s="13" t="str">
        <f t="shared" si="47"/>
        <v>Non diskon</v>
      </c>
    </row>
    <row r="728" spans="1:18" x14ac:dyDescent="0.25">
      <c r="A728" s="13" t="s">
        <v>740</v>
      </c>
      <c r="B728" s="13" t="s">
        <v>2193</v>
      </c>
      <c r="C728" s="13" t="s">
        <v>2203</v>
      </c>
      <c r="D728" s="13" t="s">
        <v>2207</v>
      </c>
      <c r="E728" s="13" t="s">
        <v>2210</v>
      </c>
      <c r="F728" s="13" t="s">
        <v>2220</v>
      </c>
      <c r="G728" s="13">
        <v>145.79</v>
      </c>
      <c r="H728" s="13">
        <v>57</v>
      </c>
      <c r="I728" s="13">
        <v>62.69</v>
      </c>
      <c r="J728" s="24">
        <v>45875</v>
      </c>
      <c r="K728" s="13">
        <v>46</v>
      </c>
      <c r="L728" s="44">
        <v>3.2576923076923077</v>
      </c>
      <c r="M728" s="13" t="b">
        <v>0</v>
      </c>
      <c r="O728" s="25">
        <f t="shared" si="44"/>
        <v>27</v>
      </c>
      <c r="P728" s="13">
        <f t="shared" si="45"/>
        <v>2622</v>
      </c>
      <c r="Q728" s="13" t="str">
        <f t="shared" si="46"/>
        <v/>
      </c>
      <c r="R728" s="13" t="str">
        <f t="shared" si="47"/>
        <v>Diskon</v>
      </c>
    </row>
    <row r="729" spans="1:18" x14ac:dyDescent="0.25">
      <c r="A729" s="13" t="s">
        <v>741</v>
      </c>
      <c r="B729" s="13" t="s">
        <v>2194</v>
      </c>
      <c r="C729" s="13" t="s">
        <v>2202</v>
      </c>
      <c r="D729" s="13" t="s">
        <v>2205</v>
      </c>
      <c r="E729" s="13" t="s">
        <v>2210</v>
      </c>
      <c r="F729" s="13" t="s">
        <v>2217</v>
      </c>
      <c r="G729" s="13">
        <v>54.14</v>
      </c>
      <c r="H729" s="13">
        <v>0</v>
      </c>
      <c r="I729" s="13">
        <v>54.14</v>
      </c>
      <c r="J729" s="24">
        <v>45875</v>
      </c>
      <c r="K729" s="13">
        <v>32</v>
      </c>
      <c r="L729" s="44">
        <v>3.1799999999999997</v>
      </c>
      <c r="M729" s="13" t="b">
        <v>0</v>
      </c>
      <c r="O729" s="25">
        <f t="shared" si="44"/>
        <v>27</v>
      </c>
      <c r="P729" s="13">
        <f t="shared" si="45"/>
        <v>0</v>
      </c>
      <c r="Q729" s="13" t="str">
        <f t="shared" si="46"/>
        <v/>
      </c>
      <c r="R729" s="13" t="str">
        <f t="shared" si="47"/>
        <v>Non diskon</v>
      </c>
    </row>
    <row r="730" spans="1:18" x14ac:dyDescent="0.25">
      <c r="A730" s="13" t="s">
        <v>742</v>
      </c>
      <c r="B730" s="13" t="s">
        <v>2192</v>
      </c>
      <c r="C730" s="13" t="s">
        <v>2196</v>
      </c>
      <c r="D730" s="13" t="s">
        <v>2206</v>
      </c>
      <c r="F730" s="13" t="s">
        <v>2222</v>
      </c>
      <c r="G730" s="13">
        <v>45.64</v>
      </c>
      <c r="H730" s="13">
        <v>0</v>
      </c>
      <c r="I730" s="13">
        <v>45.64</v>
      </c>
      <c r="J730" s="24">
        <v>45875</v>
      </c>
      <c r="K730" s="13">
        <v>36</v>
      </c>
      <c r="L730" s="44">
        <v>3.6</v>
      </c>
      <c r="M730" s="13" t="b">
        <v>1</v>
      </c>
      <c r="N730" s="13" t="s">
        <v>2226</v>
      </c>
      <c r="O730" s="25">
        <f t="shared" si="44"/>
        <v>27</v>
      </c>
      <c r="P730" s="13">
        <f t="shared" si="45"/>
        <v>0</v>
      </c>
      <c r="Q730" s="13">
        <f t="shared" si="46"/>
        <v>1</v>
      </c>
      <c r="R730" s="13" t="str">
        <f t="shared" si="47"/>
        <v>Non diskon</v>
      </c>
    </row>
    <row r="731" spans="1:18" x14ac:dyDescent="0.25">
      <c r="A731" s="13" t="s">
        <v>743</v>
      </c>
      <c r="B731" s="13" t="s">
        <v>2194</v>
      </c>
      <c r="C731" s="13" t="s">
        <v>2199</v>
      </c>
      <c r="D731" s="13" t="s">
        <v>2206</v>
      </c>
      <c r="E731" s="13" t="s">
        <v>2210</v>
      </c>
      <c r="F731" s="13" t="s">
        <v>2214</v>
      </c>
      <c r="G731" s="13">
        <v>46.76</v>
      </c>
      <c r="H731" s="13">
        <v>0</v>
      </c>
      <c r="I731" s="13">
        <v>46.76</v>
      </c>
      <c r="J731" s="24">
        <v>45875</v>
      </c>
      <c r="K731" s="13">
        <v>38</v>
      </c>
      <c r="L731" s="44">
        <v>2.7</v>
      </c>
      <c r="M731" s="13" t="b">
        <v>0</v>
      </c>
      <c r="O731" s="25">
        <f t="shared" si="44"/>
        <v>27</v>
      </c>
      <c r="P731" s="13">
        <f t="shared" si="45"/>
        <v>0</v>
      </c>
      <c r="Q731" s="13" t="str">
        <f t="shared" si="46"/>
        <v/>
      </c>
      <c r="R731" s="13" t="str">
        <f t="shared" si="47"/>
        <v>Non diskon</v>
      </c>
    </row>
    <row r="732" spans="1:18" x14ac:dyDescent="0.25">
      <c r="A732" s="13" t="s">
        <v>744</v>
      </c>
      <c r="B732" s="13" t="s">
        <v>2195</v>
      </c>
      <c r="C732" s="13" t="s">
        <v>2198</v>
      </c>
      <c r="D732" s="13" t="s">
        <v>2205</v>
      </c>
      <c r="F732" s="13" t="s">
        <v>2218</v>
      </c>
      <c r="G732" s="13">
        <v>75.23</v>
      </c>
      <c r="H732" s="13">
        <v>0</v>
      </c>
      <c r="I732" s="13">
        <v>75.23</v>
      </c>
      <c r="J732" s="24">
        <v>45875</v>
      </c>
      <c r="K732" s="13">
        <v>42</v>
      </c>
      <c r="L732" s="44">
        <v>1.7</v>
      </c>
      <c r="M732" s="13" t="b">
        <v>1</v>
      </c>
      <c r="N732" s="13" t="s">
        <v>2228</v>
      </c>
      <c r="O732" s="25">
        <f t="shared" si="44"/>
        <v>27</v>
      </c>
      <c r="P732" s="13">
        <f t="shared" si="45"/>
        <v>0</v>
      </c>
      <c r="Q732" s="13">
        <f t="shared" si="46"/>
        <v>1</v>
      </c>
      <c r="R732" s="13" t="str">
        <f t="shared" si="47"/>
        <v>Non diskon</v>
      </c>
    </row>
    <row r="733" spans="1:18" x14ac:dyDescent="0.25">
      <c r="A733" s="13" t="s">
        <v>745</v>
      </c>
      <c r="B733" s="13" t="s">
        <v>2195</v>
      </c>
      <c r="C733" s="13" t="s">
        <v>2199</v>
      </c>
      <c r="D733" s="13" t="s">
        <v>2207</v>
      </c>
      <c r="E733" s="13" t="s">
        <v>2208</v>
      </c>
      <c r="F733" s="13" t="s">
        <v>2217</v>
      </c>
      <c r="G733" s="13">
        <v>70.38</v>
      </c>
      <c r="H733" s="13">
        <v>0</v>
      </c>
      <c r="I733" s="13">
        <v>70.38</v>
      </c>
      <c r="J733" s="24">
        <v>45875</v>
      </c>
      <c r="K733" s="13">
        <v>37</v>
      </c>
      <c r="L733" s="44">
        <v>2</v>
      </c>
      <c r="M733" s="13" t="b">
        <v>0</v>
      </c>
      <c r="O733" s="25">
        <f t="shared" si="44"/>
        <v>27</v>
      </c>
      <c r="P733" s="13">
        <f t="shared" si="45"/>
        <v>0</v>
      </c>
      <c r="Q733" s="13" t="str">
        <f t="shared" si="46"/>
        <v/>
      </c>
      <c r="R733" s="13" t="str">
        <f t="shared" si="47"/>
        <v>Non diskon</v>
      </c>
    </row>
    <row r="734" spans="1:18" x14ac:dyDescent="0.25">
      <c r="A734" s="13" t="s">
        <v>746</v>
      </c>
      <c r="B734" s="13" t="s">
        <v>2194</v>
      </c>
      <c r="C734" s="13" t="s">
        <v>2200</v>
      </c>
      <c r="D734" s="13" t="s">
        <v>2207</v>
      </c>
      <c r="E734" s="13" t="s">
        <v>2213</v>
      </c>
      <c r="F734" s="13" t="s">
        <v>2215</v>
      </c>
      <c r="G734" s="13">
        <v>76.040000000000006</v>
      </c>
      <c r="H734" s="13">
        <v>0</v>
      </c>
      <c r="I734" s="13">
        <v>76.040000000000006</v>
      </c>
      <c r="J734" s="24">
        <v>45875</v>
      </c>
      <c r="K734" s="13">
        <v>13</v>
      </c>
      <c r="L734" s="44">
        <v>4.4000000000000004</v>
      </c>
      <c r="M734" s="13" t="b">
        <v>0</v>
      </c>
      <c r="O734" s="25">
        <f t="shared" si="44"/>
        <v>27</v>
      </c>
      <c r="P734" s="13">
        <f t="shared" si="45"/>
        <v>0</v>
      </c>
      <c r="Q734" s="13" t="str">
        <f t="shared" si="46"/>
        <v/>
      </c>
      <c r="R734" s="13" t="str">
        <f t="shared" si="47"/>
        <v>Non diskon</v>
      </c>
    </row>
    <row r="735" spans="1:18" x14ac:dyDescent="0.25">
      <c r="A735" s="13" t="s">
        <v>747</v>
      </c>
      <c r="B735" s="13" t="s">
        <v>2193</v>
      </c>
      <c r="C735" s="13" t="s">
        <v>2197</v>
      </c>
      <c r="D735" s="13" t="s">
        <v>2207</v>
      </c>
      <c r="E735" s="13" t="s">
        <v>2212</v>
      </c>
      <c r="F735" s="13" t="s">
        <v>2216</v>
      </c>
      <c r="G735" s="13">
        <v>110.82</v>
      </c>
      <c r="H735" s="13">
        <v>15.7</v>
      </c>
      <c r="I735" s="13">
        <v>93.42</v>
      </c>
      <c r="J735" s="24">
        <v>45875</v>
      </c>
      <c r="K735" s="13">
        <v>43</v>
      </c>
      <c r="L735" s="44">
        <v>2.8205128205128198</v>
      </c>
      <c r="M735" s="13" t="b">
        <v>1</v>
      </c>
      <c r="N735" s="13" t="s">
        <v>2226</v>
      </c>
      <c r="O735" s="25">
        <f t="shared" si="44"/>
        <v>27</v>
      </c>
      <c r="P735" s="13">
        <f t="shared" si="45"/>
        <v>675.1</v>
      </c>
      <c r="Q735" s="13">
        <f t="shared" si="46"/>
        <v>1</v>
      </c>
      <c r="R735" s="13" t="str">
        <f t="shared" si="47"/>
        <v>Diskon</v>
      </c>
    </row>
    <row r="736" spans="1:18" x14ac:dyDescent="0.25">
      <c r="A736" s="13" t="s">
        <v>748</v>
      </c>
      <c r="B736" s="13" t="s">
        <v>2192</v>
      </c>
      <c r="C736" s="13" t="s">
        <v>2203</v>
      </c>
      <c r="D736" s="13" t="s">
        <v>2206</v>
      </c>
      <c r="F736" s="13" t="s">
        <v>2222</v>
      </c>
      <c r="G736" s="13">
        <v>47.47</v>
      </c>
      <c r="H736" s="13">
        <v>0</v>
      </c>
      <c r="I736" s="13">
        <v>47.47</v>
      </c>
      <c r="J736" s="24">
        <v>45875</v>
      </c>
      <c r="K736" s="13">
        <v>42</v>
      </c>
      <c r="L736" s="44">
        <v>4.7</v>
      </c>
      <c r="M736" s="13" t="b">
        <v>0</v>
      </c>
      <c r="O736" s="25">
        <f t="shared" si="44"/>
        <v>27</v>
      </c>
      <c r="P736" s="13">
        <f t="shared" si="45"/>
        <v>0</v>
      </c>
      <c r="Q736" s="13" t="str">
        <f t="shared" si="46"/>
        <v/>
      </c>
      <c r="R736" s="13" t="str">
        <f t="shared" si="47"/>
        <v>Non diskon</v>
      </c>
    </row>
    <row r="737" spans="1:18" x14ac:dyDescent="0.25">
      <c r="A737" s="13" t="s">
        <v>749</v>
      </c>
      <c r="B737" s="13" t="s">
        <v>2192</v>
      </c>
      <c r="C737" s="13" t="s">
        <v>2202</v>
      </c>
      <c r="D737" s="13" t="s">
        <v>2204</v>
      </c>
      <c r="F737" s="13" t="s">
        <v>2214</v>
      </c>
      <c r="G737" s="13">
        <v>79.94</v>
      </c>
      <c r="H737" s="13">
        <v>0</v>
      </c>
      <c r="I737" s="13">
        <v>79.94</v>
      </c>
      <c r="J737" s="24">
        <v>45869</v>
      </c>
      <c r="K737" s="13">
        <v>26</v>
      </c>
      <c r="L737" s="44">
        <v>3.8</v>
      </c>
      <c r="M737" s="13" t="b">
        <v>0</v>
      </c>
      <c r="O737" s="25">
        <f t="shared" si="44"/>
        <v>33</v>
      </c>
      <c r="P737" s="13">
        <f t="shared" si="45"/>
        <v>0</v>
      </c>
      <c r="Q737" s="13" t="str">
        <f t="shared" si="46"/>
        <v/>
      </c>
      <c r="R737" s="13" t="str">
        <f t="shared" si="47"/>
        <v>Non diskon</v>
      </c>
    </row>
    <row r="738" spans="1:18" x14ac:dyDescent="0.25">
      <c r="A738" s="13" t="s">
        <v>750</v>
      </c>
      <c r="B738" s="13" t="s">
        <v>2194</v>
      </c>
      <c r="C738" s="13" t="s">
        <v>2198</v>
      </c>
      <c r="D738" s="13" t="s">
        <v>2206</v>
      </c>
      <c r="E738" s="13" t="s">
        <v>2211</v>
      </c>
      <c r="F738" s="13" t="s">
        <v>2222</v>
      </c>
      <c r="G738" s="13">
        <v>74.67</v>
      </c>
      <c r="H738" s="13">
        <v>0</v>
      </c>
      <c r="I738" s="13">
        <v>74.67</v>
      </c>
      <c r="J738" s="24">
        <v>45875</v>
      </c>
      <c r="K738" s="13">
        <v>15</v>
      </c>
      <c r="L738" s="44">
        <v>4.5999999999999996</v>
      </c>
      <c r="M738" s="13" t="b">
        <v>0</v>
      </c>
      <c r="O738" s="25">
        <f t="shared" si="44"/>
        <v>27</v>
      </c>
      <c r="P738" s="13">
        <f t="shared" si="45"/>
        <v>0</v>
      </c>
      <c r="Q738" s="13" t="str">
        <f t="shared" si="46"/>
        <v/>
      </c>
      <c r="R738" s="13" t="str">
        <f t="shared" si="47"/>
        <v>Non diskon</v>
      </c>
    </row>
    <row r="739" spans="1:18" x14ac:dyDescent="0.25">
      <c r="A739" s="13" t="s">
        <v>751</v>
      </c>
      <c r="B739" s="13" t="s">
        <v>2195</v>
      </c>
      <c r="C739" s="13" t="s">
        <v>2203</v>
      </c>
      <c r="D739" s="13" t="s">
        <v>2206</v>
      </c>
      <c r="E739" s="13" t="s">
        <v>2211</v>
      </c>
      <c r="F739" s="13" t="s">
        <v>2224</v>
      </c>
      <c r="G739" s="13">
        <v>63.79</v>
      </c>
      <c r="H739" s="13">
        <v>35.5</v>
      </c>
      <c r="I739" s="13">
        <v>41.14</v>
      </c>
      <c r="J739" s="24">
        <v>45875</v>
      </c>
      <c r="K739" s="13">
        <v>15</v>
      </c>
      <c r="L739" s="44">
        <v>3.1</v>
      </c>
      <c r="M739" s="13" t="b">
        <v>1</v>
      </c>
      <c r="N739" s="13" t="s">
        <v>2228</v>
      </c>
      <c r="O739" s="25">
        <f t="shared" si="44"/>
        <v>27</v>
      </c>
      <c r="P739" s="13">
        <f t="shared" si="45"/>
        <v>532.5</v>
      </c>
      <c r="Q739" s="13">
        <f t="shared" si="46"/>
        <v>1</v>
      </c>
      <c r="R739" s="13" t="str">
        <f t="shared" si="47"/>
        <v>Diskon</v>
      </c>
    </row>
    <row r="740" spans="1:18" x14ac:dyDescent="0.25">
      <c r="A740" s="13" t="s">
        <v>752</v>
      </c>
      <c r="B740" s="13" t="s">
        <v>2194</v>
      </c>
      <c r="C740" s="13" t="s">
        <v>2201</v>
      </c>
      <c r="D740" s="13" t="s">
        <v>2206</v>
      </c>
      <c r="E740" s="13" t="s">
        <v>2211</v>
      </c>
      <c r="F740" s="13" t="s">
        <v>2224</v>
      </c>
      <c r="G740" s="13">
        <v>49.6</v>
      </c>
      <c r="H740" s="13">
        <v>0</v>
      </c>
      <c r="I740" s="13">
        <v>49.6</v>
      </c>
      <c r="J740" s="24">
        <v>45875</v>
      </c>
      <c r="K740" s="13">
        <v>32</v>
      </c>
      <c r="L740" s="44">
        <v>4.7</v>
      </c>
      <c r="M740" s="13" t="b">
        <v>0</v>
      </c>
      <c r="O740" s="25">
        <f t="shared" si="44"/>
        <v>27</v>
      </c>
      <c r="P740" s="13">
        <f t="shared" si="45"/>
        <v>0</v>
      </c>
      <c r="Q740" s="13" t="str">
        <f t="shared" si="46"/>
        <v/>
      </c>
      <c r="R740" s="13" t="str">
        <f t="shared" si="47"/>
        <v>Non diskon</v>
      </c>
    </row>
    <row r="741" spans="1:18" x14ac:dyDescent="0.25">
      <c r="A741" s="13" t="s">
        <v>753</v>
      </c>
      <c r="B741" s="13" t="s">
        <v>2191</v>
      </c>
      <c r="C741" s="13" t="s">
        <v>2196</v>
      </c>
      <c r="D741" s="13" t="s">
        <v>2204</v>
      </c>
      <c r="E741" s="13" t="s">
        <v>2208</v>
      </c>
      <c r="F741" s="13" t="s">
        <v>2214</v>
      </c>
      <c r="G741" s="13">
        <v>57.91</v>
      </c>
      <c r="H741" s="13">
        <v>0</v>
      </c>
      <c r="I741" s="13">
        <v>57.91</v>
      </c>
      <c r="J741" s="24">
        <v>45729</v>
      </c>
      <c r="K741" s="13">
        <v>33</v>
      </c>
      <c r="L741" s="44">
        <v>3.9</v>
      </c>
      <c r="M741" s="13" t="b">
        <v>0</v>
      </c>
      <c r="O741" s="25">
        <f t="shared" si="44"/>
        <v>173</v>
      </c>
      <c r="P741" s="13">
        <f t="shared" si="45"/>
        <v>0</v>
      </c>
      <c r="Q741" s="13" t="str">
        <f t="shared" si="46"/>
        <v/>
      </c>
      <c r="R741" s="13" t="str">
        <f t="shared" si="47"/>
        <v>Non diskon</v>
      </c>
    </row>
    <row r="742" spans="1:18" x14ac:dyDescent="0.25">
      <c r="A742" s="13" t="s">
        <v>754</v>
      </c>
      <c r="B742" s="13" t="s">
        <v>2195</v>
      </c>
      <c r="C742" s="13" t="s">
        <v>2197</v>
      </c>
      <c r="D742" s="13" t="s">
        <v>2207</v>
      </c>
      <c r="E742" s="13" t="s">
        <v>2208</v>
      </c>
      <c r="F742" s="13" t="s">
        <v>2215</v>
      </c>
      <c r="G742" s="13">
        <v>135.99</v>
      </c>
      <c r="H742" s="13">
        <v>0</v>
      </c>
      <c r="I742" s="13">
        <v>135.99</v>
      </c>
      <c r="J742" s="24">
        <v>45875</v>
      </c>
      <c r="K742" s="13">
        <v>34</v>
      </c>
      <c r="L742" s="44">
        <v>3</v>
      </c>
      <c r="M742" s="13" t="b">
        <v>0</v>
      </c>
      <c r="O742" s="25">
        <f t="shared" si="44"/>
        <v>27</v>
      </c>
      <c r="P742" s="13">
        <f t="shared" si="45"/>
        <v>0</v>
      </c>
      <c r="Q742" s="13" t="str">
        <f t="shared" si="46"/>
        <v/>
      </c>
      <c r="R742" s="13" t="str">
        <f t="shared" si="47"/>
        <v>Non diskon</v>
      </c>
    </row>
    <row r="743" spans="1:18" x14ac:dyDescent="0.25">
      <c r="A743" s="13" t="s">
        <v>755</v>
      </c>
      <c r="B743" s="13" t="s">
        <v>2195</v>
      </c>
      <c r="C743" s="13" t="s">
        <v>2199</v>
      </c>
      <c r="D743" s="13" t="s">
        <v>2205</v>
      </c>
      <c r="E743" s="13" t="s">
        <v>2210</v>
      </c>
      <c r="F743" s="13" t="s">
        <v>2223</v>
      </c>
      <c r="G743" s="13">
        <v>53.49</v>
      </c>
      <c r="H743" s="13">
        <v>21.8</v>
      </c>
      <c r="I743" s="13">
        <v>41.83</v>
      </c>
      <c r="J743" s="24">
        <v>45875</v>
      </c>
      <c r="K743" s="13">
        <v>41</v>
      </c>
      <c r="L743" s="44">
        <v>2.1</v>
      </c>
      <c r="M743" s="13" t="b">
        <v>0</v>
      </c>
      <c r="O743" s="25">
        <f t="shared" si="44"/>
        <v>27</v>
      </c>
      <c r="P743" s="13">
        <f t="shared" si="45"/>
        <v>893.80000000000007</v>
      </c>
      <c r="Q743" s="13" t="str">
        <f t="shared" si="46"/>
        <v/>
      </c>
      <c r="R743" s="13" t="str">
        <f t="shared" si="47"/>
        <v>Diskon</v>
      </c>
    </row>
    <row r="744" spans="1:18" x14ac:dyDescent="0.25">
      <c r="A744" s="13" t="s">
        <v>756</v>
      </c>
      <c r="B744" s="13" t="s">
        <v>2191</v>
      </c>
      <c r="C744" s="13" t="s">
        <v>2203</v>
      </c>
      <c r="D744" s="13" t="s">
        <v>2207</v>
      </c>
      <c r="E744" s="13" t="s">
        <v>2210</v>
      </c>
      <c r="F744" s="13" t="s">
        <v>2215</v>
      </c>
      <c r="G744" s="13">
        <v>113.29</v>
      </c>
      <c r="H744" s="13">
        <v>34</v>
      </c>
      <c r="I744" s="13">
        <v>74.77</v>
      </c>
      <c r="J744" s="24">
        <v>45875</v>
      </c>
      <c r="K744" s="13">
        <v>10</v>
      </c>
      <c r="L744" s="44">
        <v>2.6870967741935483</v>
      </c>
      <c r="M744" s="13" t="b">
        <v>0</v>
      </c>
      <c r="O744" s="25">
        <f t="shared" si="44"/>
        <v>27</v>
      </c>
      <c r="P744" s="13">
        <f t="shared" si="45"/>
        <v>340</v>
      </c>
      <c r="Q744" s="13" t="str">
        <f t="shared" si="46"/>
        <v/>
      </c>
      <c r="R744" s="13" t="str">
        <f t="shared" si="47"/>
        <v>Diskon</v>
      </c>
    </row>
    <row r="745" spans="1:18" x14ac:dyDescent="0.25">
      <c r="A745" s="13" t="s">
        <v>757</v>
      </c>
      <c r="B745" s="13" t="s">
        <v>2191</v>
      </c>
      <c r="C745" s="13" t="s">
        <v>2200</v>
      </c>
      <c r="D745" s="13" t="s">
        <v>2205</v>
      </c>
      <c r="E745" s="13" t="s">
        <v>2209</v>
      </c>
      <c r="F745" s="13" t="s">
        <v>2217</v>
      </c>
      <c r="G745" s="13">
        <v>110.87</v>
      </c>
      <c r="H745" s="13">
        <v>6</v>
      </c>
      <c r="I745" s="13">
        <v>104.22</v>
      </c>
      <c r="J745" s="24">
        <v>45875</v>
      </c>
      <c r="K745" s="13">
        <v>15</v>
      </c>
      <c r="L745" s="44">
        <v>2.9657142857142857</v>
      </c>
      <c r="M745" s="13" t="b">
        <v>0</v>
      </c>
      <c r="O745" s="25">
        <f t="shared" si="44"/>
        <v>27</v>
      </c>
      <c r="P745" s="13">
        <f t="shared" si="45"/>
        <v>90</v>
      </c>
      <c r="Q745" s="13" t="str">
        <f t="shared" si="46"/>
        <v/>
      </c>
      <c r="R745" s="13" t="str">
        <f t="shared" si="47"/>
        <v>Diskon</v>
      </c>
    </row>
    <row r="746" spans="1:18" x14ac:dyDescent="0.25">
      <c r="A746" s="13" t="s">
        <v>758</v>
      </c>
      <c r="B746" s="13" t="s">
        <v>2191</v>
      </c>
      <c r="C746" s="13" t="s">
        <v>2201</v>
      </c>
      <c r="D746" s="13" t="s">
        <v>2206</v>
      </c>
      <c r="F746" s="13" t="s">
        <v>2222</v>
      </c>
      <c r="G746" s="13">
        <v>94.3</v>
      </c>
      <c r="H746" s="13">
        <v>0</v>
      </c>
      <c r="I746" s="13">
        <v>94.3</v>
      </c>
      <c r="J746" s="24">
        <v>45875</v>
      </c>
      <c r="K746" s="13">
        <v>16</v>
      </c>
      <c r="L746" s="44">
        <v>2.9846153846153847</v>
      </c>
      <c r="M746" s="13" t="b">
        <v>0</v>
      </c>
      <c r="O746" s="25">
        <f t="shared" si="44"/>
        <v>27</v>
      </c>
      <c r="P746" s="13">
        <f t="shared" si="45"/>
        <v>0</v>
      </c>
      <c r="Q746" s="13" t="str">
        <f t="shared" si="46"/>
        <v/>
      </c>
      <c r="R746" s="13" t="str">
        <f t="shared" si="47"/>
        <v>Non diskon</v>
      </c>
    </row>
    <row r="747" spans="1:18" x14ac:dyDescent="0.25">
      <c r="A747" s="13" t="s">
        <v>759</v>
      </c>
      <c r="B747" s="13" t="s">
        <v>2192</v>
      </c>
      <c r="C747" s="13" t="s">
        <v>2203</v>
      </c>
      <c r="D747" s="13" t="s">
        <v>2204</v>
      </c>
      <c r="F747" s="13" t="s">
        <v>2214</v>
      </c>
      <c r="G747" s="13">
        <v>37.94</v>
      </c>
      <c r="H747" s="13">
        <v>0</v>
      </c>
      <c r="I747" s="13">
        <v>37.94</v>
      </c>
      <c r="J747" s="24">
        <v>45573</v>
      </c>
      <c r="K747" s="13">
        <v>9</v>
      </c>
      <c r="L747" s="44">
        <v>4.5999999999999996</v>
      </c>
      <c r="M747" s="13" t="b">
        <v>0</v>
      </c>
      <c r="O747" s="25">
        <f t="shared" si="44"/>
        <v>329</v>
      </c>
      <c r="P747" s="13">
        <f t="shared" si="45"/>
        <v>0</v>
      </c>
      <c r="Q747" s="13" t="str">
        <f t="shared" si="46"/>
        <v/>
      </c>
      <c r="R747" s="13" t="str">
        <f t="shared" si="47"/>
        <v>Non diskon</v>
      </c>
    </row>
    <row r="748" spans="1:18" x14ac:dyDescent="0.25">
      <c r="A748" s="13" t="s">
        <v>760</v>
      </c>
      <c r="B748" s="13" t="s">
        <v>2190</v>
      </c>
      <c r="C748" s="13" t="s">
        <v>2201</v>
      </c>
      <c r="D748" s="13" t="s">
        <v>2205</v>
      </c>
      <c r="E748" s="13" t="s">
        <v>2211</v>
      </c>
      <c r="F748" s="13" t="s">
        <v>2218</v>
      </c>
      <c r="G748" s="13">
        <v>200.24</v>
      </c>
      <c r="H748" s="13">
        <v>23</v>
      </c>
      <c r="I748" s="13">
        <v>154.18</v>
      </c>
      <c r="J748" s="24">
        <v>45875</v>
      </c>
      <c r="K748" s="13">
        <v>38</v>
      </c>
      <c r="L748" s="44">
        <v>3.0305555555555546</v>
      </c>
      <c r="M748" s="13" t="b">
        <v>0</v>
      </c>
      <c r="O748" s="25">
        <f t="shared" si="44"/>
        <v>27</v>
      </c>
      <c r="P748" s="13">
        <f t="shared" si="45"/>
        <v>874</v>
      </c>
      <c r="Q748" s="13" t="str">
        <f t="shared" si="46"/>
        <v/>
      </c>
      <c r="R748" s="13" t="str">
        <f t="shared" si="47"/>
        <v>Diskon</v>
      </c>
    </row>
    <row r="749" spans="1:18" x14ac:dyDescent="0.25">
      <c r="A749" s="13" t="s">
        <v>761</v>
      </c>
      <c r="B749" s="13" t="s">
        <v>2192</v>
      </c>
      <c r="C749" s="13" t="s">
        <v>2203</v>
      </c>
      <c r="D749" s="13" t="s">
        <v>2205</v>
      </c>
      <c r="F749" s="13" t="s">
        <v>2223</v>
      </c>
      <c r="G749" s="13">
        <v>43.45</v>
      </c>
      <c r="H749" s="13">
        <v>0</v>
      </c>
      <c r="I749" s="13">
        <v>43.45</v>
      </c>
      <c r="J749" s="24">
        <v>45875</v>
      </c>
      <c r="K749" s="13">
        <v>50</v>
      </c>
      <c r="L749" s="44">
        <v>4</v>
      </c>
      <c r="M749" s="13" t="b">
        <v>0</v>
      </c>
      <c r="O749" s="25">
        <f t="shared" si="44"/>
        <v>27</v>
      </c>
      <c r="P749" s="13">
        <f t="shared" si="45"/>
        <v>0</v>
      </c>
      <c r="Q749" s="13" t="str">
        <f t="shared" si="46"/>
        <v/>
      </c>
      <c r="R749" s="13" t="str">
        <f t="shared" si="47"/>
        <v>Non diskon</v>
      </c>
    </row>
    <row r="750" spans="1:18" x14ac:dyDescent="0.25">
      <c r="A750" s="13" t="s">
        <v>762</v>
      </c>
      <c r="B750" s="13" t="s">
        <v>2194</v>
      </c>
      <c r="C750" s="13" t="s">
        <v>2203</v>
      </c>
      <c r="D750" s="13" t="s">
        <v>2207</v>
      </c>
      <c r="E750" s="13" t="s">
        <v>2209</v>
      </c>
      <c r="F750" s="13" t="s">
        <v>2214</v>
      </c>
      <c r="G750" s="13">
        <v>76.92</v>
      </c>
      <c r="H750" s="13">
        <v>9.6</v>
      </c>
      <c r="I750" s="13">
        <v>69.540000000000006</v>
      </c>
      <c r="J750" s="24">
        <v>45875</v>
      </c>
      <c r="K750" s="13">
        <v>20</v>
      </c>
      <c r="L750" s="44">
        <v>2</v>
      </c>
      <c r="M750" s="13" t="b">
        <v>0</v>
      </c>
      <c r="O750" s="25">
        <f t="shared" si="44"/>
        <v>27</v>
      </c>
      <c r="P750" s="13">
        <f t="shared" si="45"/>
        <v>192</v>
      </c>
      <c r="Q750" s="13" t="str">
        <f t="shared" si="46"/>
        <v/>
      </c>
      <c r="R750" s="13" t="str">
        <f t="shared" si="47"/>
        <v>Diskon</v>
      </c>
    </row>
    <row r="751" spans="1:18" x14ac:dyDescent="0.25">
      <c r="A751" s="13" t="s">
        <v>763</v>
      </c>
      <c r="B751" s="13" t="s">
        <v>2192</v>
      </c>
      <c r="C751" s="13" t="s">
        <v>2203</v>
      </c>
      <c r="D751" s="13" t="s">
        <v>2206</v>
      </c>
      <c r="F751" s="13" t="s">
        <v>2217</v>
      </c>
      <c r="G751" s="13">
        <v>21.09</v>
      </c>
      <c r="H751" s="13">
        <v>0</v>
      </c>
      <c r="I751" s="13">
        <v>21.09</v>
      </c>
      <c r="J751" s="24">
        <v>45875</v>
      </c>
      <c r="K751" s="13">
        <v>33</v>
      </c>
      <c r="L751" s="44">
        <v>4.0999999999999996</v>
      </c>
      <c r="M751" s="13" t="b">
        <v>1</v>
      </c>
      <c r="N751" s="13" t="s">
        <v>2226</v>
      </c>
      <c r="O751" s="25">
        <f t="shared" si="44"/>
        <v>27</v>
      </c>
      <c r="P751" s="13">
        <f t="shared" si="45"/>
        <v>0</v>
      </c>
      <c r="Q751" s="13">
        <f t="shared" si="46"/>
        <v>1</v>
      </c>
      <c r="R751" s="13" t="str">
        <f t="shared" si="47"/>
        <v>Non diskon</v>
      </c>
    </row>
    <row r="752" spans="1:18" x14ac:dyDescent="0.25">
      <c r="A752" s="13" t="s">
        <v>764</v>
      </c>
      <c r="B752" s="13" t="s">
        <v>2195</v>
      </c>
      <c r="C752" s="13" t="s">
        <v>2198</v>
      </c>
      <c r="D752" s="13" t="s">
        <v>2205</v>
      </c>
      <c r="E752" s="13" t="s">
        <v>2208</v>
      </c>
      <c r="F752" s="13" t="s">
        <v>2220</v>
      </c>
      <c r="G752" s="13">
        <v>55.47</v>
      </c>
      <c r="H752" s="13">
        <v>0</v>
      </c>
      <c r="I752" s="13">
        <v>55.47</v>
      </c>
      <c r="J752" s="24">
        <v>45875</v>
      </c>
      <c r="K752" s="13">
        <v>18</v>
      </c>
      <c r="L752" s="44">
        <v>2.9000000000000008</v>
      </c>
      <c r="M752" s="13" t="b">
        <v>0</v>
      </c>
      <c r="O752" s="25">
        <f t="shared" si="44"/>
        <v>27</v>
      </c>
      <c r="P752" s="13">
        <f t="shared" si="45"/>
        <v>0</v>
      </c>
      <c r="Q752" s="13" t="str">
        <f t="shared" si="46"/>
        <v/>
      </c>
      <c r="R752" s="13" t="str">
        <f t="shared" si="47"/>
        <v>Non diskon</v>
      </c>
    </row>
    <row r="753" spans="1:18" x14ac:dyDescent="0.25">
      <c r="A753" s="13" t="s">
        <v>765</v>
      </c>
      <c r="B753" s="13" t="s">
        <v>2190</v>
      </c>
      <c r="C753" s="13" t="s">
        <v>2200</v>
      </c>
      <c r="D753" s="13" t="s">
        <v>2204</v>
      </c>
      <c r="E753" s="13" t="s">
        <v>2211</v>
      </c>
      <c r="F753" s="13" t="s">
        <v>2217</v>
      </c>
      <c r="G753" s="13">
        <v>122.53</v>
      </c>
      <c r="H753" s="13">
        <v>0</v>
      </c>
      <c r="I753" s="13">
        <v>122.53</v>
      </c>
      <c r="J753" s="24">
        <v>45556</v>
      </c>
      <c r="K753" s="13">
        <v>25</v>
      </c>
      <c r="L753" s="44">
        <v>2.9228571428571426</v>
      </c>
      <c r="M753" s="13" t="b">
        <v>0</v>
      </c>
      <c r="O753" s="25">
        <f t="shared" si="44"/>
        <v>346</v>
      </c>
      <c r="P753" s="13">
        <f t="shared" si="45"/>
        <v>0</v>
      </c>
      <c r="Q753" s="13" t="str">
        <f t="shared" si="46"/>
        <v/>
      </c>
      <c r="R753" s="13" t="str">
        <f t="shared" si="47"/>
        <v>Non diskon</v>
      </c>
    </row>
    <row r="754" spans="1:18" x14ac:dyDescent="0.25">
      <c r="A754" s="13" t="s">
        <v>766</v>
      </c>
      <c r="B754" s="13" t="s">
        <v>2192</v>
      </c>
      <c r="C754" s="13" t="s">
        <v>2197</v>
      </c>
      <c r="D754" s="13" t="s">
        <v>2207</v>
      </c>
      <c r="F754" s="13" t="s">
        <v>2221</v>
      </c>
      <c r="G754" s="13">
        <v>61.13</v>
      </c>
      <c r="H754" s="13">
        <v>0</v>
      </c>
      <c r="I754" s="13">
        <v>61.13</v>
      </c>
      <c r="J754" s="24">
        <v>45875</v>
      </c>
      <c r="K754" s="13">
        <v>34</v>
      </c>
      <c r="L754" s="44">
        <v>2.6</v>
      </c>
      <c r="M754" s="13" t="b">
        <v>0</v>
      </c>
      <c r="O754" s="25">
        <f t="shared" si="44"/>
        <v>27</v>
      </c>
      <c r="P754" s="13">
        <f t="shared" si="45"/>
        <v>0</v>
      </c>
      <c r="Q754" s="13" t="str">
        <f t="shared" si="46"/>
        <v/>
      </c>
      <c r="R754" s="13" t="str">
        <f t="shared" si="47"/>
        <v>Non diskon</v>
      </c>
    </row>
    <row r="755" spans="1:18" x14ac:dyDescent="0.25">
      <c r="A755" s="13" t="s">
        <v>767</v>
      </c>
      <c r="B755" s="13" t="s">
        <v>2190</v>
      </c>
      <c r="C755" s="13" t="s">
        <v>2197</v>
      </c>
      <c r="D755" s="13" t="s">
        <v>2204</v>
      </c>
      <c r="E755" s="13" t="s">
        <v>2212</v>
      </c>
      <c r="F755" s="13" t="s">
        <v>2224</v>
      </c>
      <c r="G755" s="13">
        <v>127.59</v>
      </c>
      <c r="H755" s="13">
        <v>0</v>
      </c>
      <c r="I755" s="13">
        <v>127.59</v>
      </c>
      <c r="J755" s="24">
        <v>45785</v>
      </c>
      <c r="K755" s="13">
        <v>1</v>
      </c>
      <c r="L755" s="44">
        <v>4.9000000000000004</v>
      </c>
      <c r="M755" s="13" t="b">
        <v>0</v>
      </c>
      <c r="O755" s="25">
        <f t="shared" si="44"/>
        <v>117</v>
      </c>
      <c r="P755" s="13">
        <f t="shared" si="45"/>
        <v>0</v>
      </c>
      <c r="Q755" s="13" t="str">
        <f t="shared" si="46"/>
        <v/>
      </c>
      <c r="R755" s="13" t="str">
        <f t="shared" si="47"/>
        <v>Non diskon</v>
      </c>
    </row>
    <row r="756" spans="1:18" x14ac:dyDescent="0.25">
      <c r="A756" s="13" t="s">
        <v>768</v>
      </c>
      <c r="B756" s="13" t="s">
        <v>2192</v>
      </c>
      <c r="C756" s="13" t="s">
        <v>2201</v>
      </c>
      <c r="D756" s="13" t="s">
        <v>2207</v>
      </c>
      <c r="F756" s="13" t="s">
        <v>2222</v>
      </c>
      <c r="G756" s="13">
        <v>73.040000000000006</v>
      </c>
      <c r="H756" s="13">
        <v>0</v>
      </c>
      <c r="I756" s="13">
        <v>73.040000000000006</v>
      </c>
      <c r="J756" s="24">
        <v>45875</v>
      </c>
      <c r="K756" s="13">
        <v>44</v>
      </c>
      <c r="L756" s="44">
        <v>4.2</v>
      </c>
      <c r="M756" s="13" t="b">
        <v>0</v>
      </c>
      <c r="O756" s="25">
        <f t="shared" si="44"/>
        <v>27</v>
      </c>
      <c r="P756" s="13">
        <f t="shared" si="45"/>
        <v>0</v>
      </c>
      <c r="Q756" s="13" t="str">
        <f t="shared" si="46"/>
        <v/>
      </c>
      <c r="R756" s="13" t="str">
        <f t="shared" si="47"/>
        <v>Non diskon</v>
      </c>
    </row>
    <row r="757" spans="1:18" x14ac:dyDescent="0.25">
      <c r="A757" s="13" t="s">
        <v>769</v>
      </c>
      <c r="B757" s="13" t="s">
        <v>2190</v>
      </c>
      <c r="C757" s="13" t="s">
        <v>2197</v>
      </c>
      <c r="D757" s="13" t="s">
        <v>2205</v>
      </c>
      <c r="E757" s="13" t="s">
        <v>2208</v>
      </c>
      <c r="F757" s="13" t="s">
        <v>2221</v>
      </c>
      <c r="G757" s="13">
        <v>129.46</v>
      </c>
      <c r="H757" s="13">
        <v>0</v>
      </c>
      <c r="I757" s="13">
        <v>129.46</v>
      </c>
      <c r="J757" s="24">
        <v>45875</v>
      </c>
      <c r="K757" s="13">
        <v>32</v>
      </c>
      <c r="L757" s="44">
        <v>4</v>
      </c>
      <c r="M757" s="13" t="b">
        <v>0</v>
      </c>
      <c r="O757" s="25">
        <f t="shared" si="44"/>
        <v>27</v>
      </c>
      <c r="P757" s="13">
        <f t="shared" si="45"/>
        <v>0</v>
      </c>
      <c r="Q757" s="13" t="str">
        <f t="shared" si="46"/>
        <v/>
      </c>
      <c r="R757" s="13" t="str">
        <f t="shared" si="47"/>
        <v>Non diskon</v>
      </c>
    </row>
    <row r="758" spans="1:18" x14ac:dyDescent="0.25">
      <c r="A758" s="13" t="s">
        <v>770</v>
      </c>
      <c r="B758" s="13" t="s">
        <v>2192</v>
      </c>
      <c r="C758" s="13" t="s">
        <v>2198</v>
      </c>
      <c r="D758" s="13" t="s">
        <v>2205</v>
      </c>
      <c r="F758" s="13" t="s">
        <v>2217</v>
      </c>
      <c r="G758" s="13">
        <v>51.3</v>
      </c>
      <c r="H758" s="13">
        <v>0</v>
      </c>
      <c r="I758" s="13">
        <v>51.3</v>
      </c>
      <c r="J758" s="24">
        <v>45875</v>
      </c>
      <c r="K758" s="13">
        <v>33</v>
      </c>
      <c r="L758" s="44">
        <v>2.8694444444444449</v>
      </c>
      <c r="M758" s="13" t="b">
        <v>0</v>
      </c>
      <c r="O758" s="25">
        <f t="shared" si="44"/>
        <v>27</v>
      </c>
      <c r="P758" s="13">
        <f t="shared" si="45"/>
        <v>0</v>
      </c>
      <c r="Q758" s="13" t="str">
        <f t="shared" si="46"/>
        <v/>
      </c>
      <c r="R758" s="13" t="str">
        <f t="shared" si="47"/>
        <v>Non diskon</v>
      </c>
    </row>
    <row r="759" spans="1:18" x14ac:dyDescent="0.25">
      <c r="A759" s="13" t="s">
        <v>771</v>
      </c>
      <c r="B759" s="13" t="s">
        <v>2195</v>
      </c>
      <c r="C759" s="13" t="s">
        <v>2200</v>
      </c>
      <c r="D759" s="13" t="s">
        <v>2204</v>
      </c>
      <c r="E759" s="13" t="s">
        <v>2209</v>
      </c>
      <c r="F759" s="13" t="s">
        <v>2218</v>
      </c>
      <c r="G759" s="13">
        <v>173</v>
      </c>
      <c r="H759" s="13">
        <v>0</v>
      </c>
      <c r="I759" s="13">
        <v>173</v>
      </c>
      <c r="J759" s="24">
        <v>45759</v>
      </c>
      <c r="K759" s="13">
        <v>13</v>
      </c>
      <c r="L759" s="44">
        <v>3.9</v>
      </c>
      <c r="M759" s="13" t="b">
        <v>0</v>
      </c>
      <c r="O759" s="25">
        <f t="shared" si="44"/>
        <v>143</v>
      </c>
      <c r="P759" s="13">
        <f t="shared" si="45"/>
        <v>0</v>
      </c>
      <c r="Q759" s="13" t="str">
        <f t="shared" si="46"/>
        <v/>
      </c>
      <c r="R759" s="13" t="str">
        <f t="shared" si="47"/>
        <v>Non diskon</v>
      </c>
    </row>
    <row r="760" spans="1:18" x14ac:dyDescent="0.25">
      <c r="A760" s="13" t="s">
        <v>772</v>
      </c>
      <c r="B760" s="13" t="s">
        <v>2192</v>
      </c>
      <c r="C760" s="13" t="s">
        <v>2197</v>
      </c>
      <c r="D760" s="13" t="s">
        <v>2207</v>
      </c>
      <c r="F760" s="13" t="s">
        <v>2220</v>
      </c>
      <c r="G760" s="13">
        <v>70.72</v>
      </c>
      <c r="H760" s="13">
        <v>0</v>
      </c>
      <c r="I760" s="13">
        <v>70.72</v>
      </c>
      <c r="J760" s="24">
        <v>45875</v>
      </c>
      <c r="K760" s="13">
        <v>18</v>
      </c>
      <c r="L760" s="44">
        <v>2.8</v>
      </c>
      <c r="M760" s="13" t="b">
        <v>0</v>
      </c>
      <c r="O760" s="25">
        <f t="shared" si="44"/>
        <v>27</v>
      </c>
      <c r="P760" s="13">
        <f t="shared" si="45"/>
        <v>0</v>
      </c>
      <c r="Q760" s="13" t="str">
        <f t="shared" si="46"/>
        <v/>
      </c>
      <c r="R760" s="13" t="str">
        <f t="shared" si="47"/>
        <v>Non diskon</v>
      </c>
    </row>
    <row r="761" spans="1:18" x14ac:dyDescent="0.25">
      <c r="A761" s="13" t="s">
        <v>773</v>
      </c>
      <c r="B761" s="13" t="s">
        <v>2195</v>
      </c>
      <c r="C761" s="13" t="s">
        <v>2203</v>
      </c>
      <c r="D761" s="13" t="s">
        <v>2207</v>
      </c>
      <c r="E761" s="13" t="s">
        <v>2210</v>
      </c>
      <c r="F761" s="13" t="s">
        <v>2216</v>
      </c>
      <c r="G761" s="13">
        <v>126.37</v>
      </c>
      <c r="H761" s="13">
        <v>0</v>
      </c>
      <c r="I761" s="13">
        <v>126.37</v>
      </c>
      <c r="J761" s="24">
        <v>45875</v>
      </c>
      <c r="K761" s="13">
        <v>42</v>
      </c>
      <c r="L761" s="44">
        <v>2</v>
      </c>
      <c r="M761" s="13" t="b">
        <v>0</v>
      </c>
      <c r="O761" s="25">
        <f t="shared" si="44"/>
        <v>27</v>
      </c>
      <c r="P761" s="13">
        <f t="shared" si="45"/>
        <v>0</v>
      </c>
      <c r="Q761" s="13" t="str">
        <f t="shared" si="46"/>
        <v/>
      </c>
      <c r="R761" s="13" t="str">
        <f t="shared" si="47"/>
        <v>Non diskon</v>
      </c>
    </row>
    <row r="762" spans="1:18" x14ac:dyDescent="0.25">
      <c r="A762" s="13" t="s">
        <v>774</v>
      </c>
      <c r="B762" s="13" t="s">
        <v>2194</v>
      </c>
      <c r="C762" s="13" t="s">
        <v>2196</v>
      </c>
      <c r="D762" s="13" t="s">
        <v>2205</v>
      </c>
      <c r="E762" s="13" t="s">
        <v>2211</v>
      </c>
      <c r="F762" s="13" t="s">
        <v>2219</v>
      </c>
      <c r="G762" s="13">
        <v>84.19</v>
      </c>
      <c r="H762" s="13">
        <v>9.6</v>
      </c>
      <c r="I762" s="13">
        <v>76.11</v>
      </c>
      <c r="J762" s="24">
        <v>45875</v>
      </c>
      <c r="K762" s="13">
        <v>45</v>
      </c>
      <c r="L762" s="44">
        <v>2.1</v>
      </c>
      <c r="M762" s="13" t="b">
        <v>0</v>
      </c>
      <c r="O762" s="25">
        <f t="shared" si="44"/>
        <v>27</v>
      </c>
      <c r="P762" s="13">
        <f t="shared" si="45"/>
        <v>432</v>
      </c>
      <c r="Q762" s="13" t="str">
        <f t="shared" si="46"/>
        <v/>
      </c>
      <c r="R762" s="13" t="str">
        <f t="shared" si="47"/>
        <v>Diskon</v>
      </c>
    </row>
    <row r="763" spans="1:18" x14ac:dyDescent="0.25">
      <c r="A763" s="13" t="s">
        <v>775</v>
      </c>
      <c r="B763" s="13" t="s">
        <v>2192</v>
      </c>
      <c r="C763" s="13" t="s">
        <v>2203</v>
      </c>
      <c r="D763" s="13" t="s">
        <v>2207</v>
      </c>
      <c r="F763" s="13" t="s">
        <v>2215</v>
      </c>
      <c r="G763" s="13">
        <v>59.39</v>
      </c>
      <c r="H763" s="13">
        <v>44.6</v>
      </c>
      <c r="I763" s="13">
        <v>32.9</v>
      </c>
      <c r="J763" s="24">
        <v>45875</v>
      </c>
      <c r="K763" s="13">
        <v>41</v>
      </c>
      <c r="L763" s="44">
        <v>2.2999999999999998</v>
      </c>
      <c r="M763" s="13" t="b">
        <v>1</v>
      </c>
      <c r="N763" s="13" t="s">
        <v>2225</v>
      </c>
      <c r="O763" s="25">
        <f t="shared" si="44"/>
        <v>27</v>
      </c>
      <c r="P763" s="13">
        <f t="shared" si="45"/>
        <v>1828.6000000000001</v>
      </c>
      <c r="Q763" s="13">
        <f t="shared" si="46"/>
        <v>1</v>
      </c>
      <c r="R763" s="13" t="str">
        <f t="shared" si="47"/>
        <v>Diskon</v>
      </c>
    </row>
    <row r="764" spans="1:18" x14ac:dyDescent="0.25">
      <c r="A764" s="13" t="s">
        <v>776</v>
      </c>
      <c r="B764" s="13" t="s">
        <v>2190</v>
      </c>
      <c r="C764" s="13" t="s">
        <v>2199</v>
      </c>
      <c r="D764" s="13" t="s">
        <v>2206</v>
      </c>
      <c r="E764" s="13" t="s">
        <v>2213</v>
      </c>
      <c r="F764" s="13" t="s">
        <v>2220</v>
      </c>
      <c r="G764" s="13">
        <v>195.38</v>
      </c>
      <c r="H764" s="13">
        <v>0.3</v>
      </c>
      <c r="I764" s="13">
        <v>194.79</v>
      </c>
      <c r="J764" s="24">
        <v>45875</v>
      </c>
      <c r="K764" s="13">
        <v>30</v>
      </c>
      <c r="L764" s="44">
        <v>2.9</v>
      </c>
      <c r="M764" s="13" t="b">
        <v>0</v>
      </c>
      <c r="O764" s="25">
        <f t="shared" si="44"/>
        <v>27</v>
      </c>
      <c r="P764" s="13">
        <f t="shared" si="45"/>
        <v>9</v>
      </c>
      <c r="Q764" s="13" t="str">
        <f t="shared" si="46"/>
        <v/>
      </c>
      <c r="R764" s="13" t="str">
        <f t="shared" si="47"/>
        <v>Diskon</v>
      </c>
    </row>
    <row r="765" spans="1:18" x14ac:dyDescent="0.25">
      <c r="A765" s="13" t="s">
        <v>777</v>
      </c>
      <c r="B765" s="13" t="s">
        <v>2195</v>
      </c>
      <c r="C765" s="13" t="s">
        <v>2202</v>
      </c>
      <c r="D765" s="13" t="s">
        <v>2204</v>
      </c>
      <c r="E765" s="13" t="s">
        <v>2210</v>
      </c>
      <c r="F765" s="13" t="s">
        <v>2217</v>
      </c>
      <c r="G765" s="13">
        <v>107.64</v>
      </c>
      <c r="H765" s="13">
        <v>7.5</v>
      </c>
      <c r="I765" s="13">
        <v>99.57</v>
      </c>
      <c r="J765" s="24">
        <v>45545</v>
      </c>
      <c r="K765" s="13">
        <v>21</v>
      </c>
      <c r="L765" s="44">
        <v>4.5999999999999996</v>
      </c>
      <c r="M765" s="13" t="b">
        <v>0</v>
      </c>
      <c r="O765" s="25">
        <f t="shared" si="44"/>
        <v>357</v>
      </c>
      <c r="P765" s="13">
        <f t="shared" si="45"/>
        <v>157.5</v>
      </c>
      <c r="Q765" s="13" t="str">
        <f t="shared" si="46"/>
        <v/>
      </c>
      <c r="R765" s="13" t="str">
        <f t="shared" si="47"/>
        <v>Diskon</v>
      </c>
    </row>
    <row r="766" spans="1:18" x14ac:dyDescent="0.25">
      <c r="A766" s="13" t="s">
        <v>778</v>
      </c>
      <c r="B766" s="13" t="s">
        <v>2193</v>
      </c>
      <c r="C766" s="13" t="s">
        <v>2200</v>
      </c>
      <c r="D766" s="13" t="s">
        <v>2204</v>
      </c>
      <c r="E766" s="13" t="s">
        <v>2209</v>
      </c>
      <c r="F766" s="13" t="s">
        <v>2219</v>
      </c>
      <c r="G766" s="13">
        <v>63.12</v>
      </c>
      <c r="H766" s="13">
        <v>0</v>
      </c>
      <c r="I766" s="13">
        <v>63.12</v>
      </c>
      <c r="J766" s="24">
        <v>45604</v>
      </c>
      <c r="K766" s="13">
        <v>35</v>
      </c>
      <c r="L766" s="44">
        <v>2.9</v>
      </c>
      <c r="M766" s="13" t="b">
        <v>0</v>
      </c>
      <c r="O766" s="25">
        <f t="shared" si="44"/>
        <v>298</v>
      </c>
      <c r="P766" s="13">
        <f t="shared" si="45"/>
        <v>0</v>
      </c>
      <c r="Q766" s="13" t="str">
        <f t="shared" si="46"/>
        <v/>
      </c>
      <c r="R766" s="13" t="str">
        <f t="shared" si="47"/>
        <v>Non diskon</v>
      </c>
    </row>
    <row r="767" spans="1:18" x14ac:dyDescent="0.25">
      <c r="A767" s="13" t="s">
        <v>779</v>
      </c>
      <c r="B767" s="13" t="s">
        <v>2194</v>
      </c>
      <c r="C767" s="13" t="s">
        <v>2202</v>
      </c>
      <c r="D767" s="13" t="s">
        <v>2206</v>
      </c>
      <c r="E767" s="13" t="s">
        <v>2209</v>
      </c>
      <c r="F767" s="13" t="s">
        <v>2219</v>
      </c>
      <c r="G767" s="13">
        <v>58.91</v>
      </c>
      <c r="H767" s="13">
        <v>0</v>
      </c>
      <c r="I767" s="13">
        <v>58.91</v>
      </c>
      <c r="J767" s="24">
        <v>45875</v>
      </c>
      <c r="K767" s="13">
        <v>17</v>
      </c>
      <c r="L767" s="44">
        <v>2</v>
      </c>
      <c r="M767" s="13" t="b">
        <v>0</v>
      </c>
      <c r="O767" s="25">
        <f t="shared" si="44"/>
        <v>27</v>
      </c>
      <c r="P767" s="13">
        <f t="shared" si="45"/>
        <v>0</v>
      </c>
      <c r="Q767" s="13" t="str">
        <f t="shared" si="46"/>
        <v/>
      </c>
      <c r="R767" s="13" t="str">
        <f t="shared" si="47"/>
        <v>Non diskon</v>
      </c>
    </row>
    <row r="768" spans="1:18" x14ac:dyDescent="0.25">
      <c r="A768" s="13" t="s">
        <v>780</v>
      </c>
      <c r="B768" s="13" t="s">
        <v>2194</v>
      </c>
      <c r="C768" s="13" t="s">
        <v>2200</v>
      </c>
      <c r="D768" s="13" t="s">
        <v>2207</v>
      </c>
      <c r="E768" s="13" t="s">
        <v>2209</v>
      </c>
      <c r="F768" s="13" t="s">
        <v>2220</v>
      </c>
      <c r="G768" s="13">
        <v>93.27</v>
      </c>
      <c r="H768" s="13">
        <v>0</v>
      </c>
      <c r="I768" s="13">
        <v>93.27</v>
      </c>
      <c r="J768" s="24">
        <v>45875</v>
      </c>
      <c r="K768" s="13">
        <v>18</v>
      </c>
      <c r="L768" s="44">
        <v>3.7</v>
      </c>
      <c r="M768" s="13" t="b">
        <v>0</v>
      </c>
      <c r="O768" s="25">
        <f t="shared" si="44"/>
        <v>27</v>
      </c>
      <c r="P768" s="13">
        <f t="shared" si="45"/>
        <v>0</v>
      </c>
      <c r="Q768" s="13" t="str">
        <f t="shared" si="46"/>
        <v/>
      </c>
      <c r="R768" s="13" t="str">
        <f t="shared" si="47"/>
        <v>Non diskon</v>
      </c>
    </row>
    <row r="769" spans="1:18" x14ac:dyDescent="0.25">
      <c r="A769" s="13" t="s">
        <v>781</v>
      </c>
      <c r="B769" s="13" t="s">
        <v>2195</v>
      </c>
      <c r="C769" s="13" t="s">
        <v>2203</v>
      </c>
      <c r="D769" s="13" t="s">
        <v>2204</v>
      </c>
      <c r="E769" s="13" t="s">
        <v>2208</v>
      </c>
      <c r="F769" s="13" t="s">
        <v>2220</v>
      </c>
      <c r="G769" s="13">
        <v>147.88</v>
      </c>
      <c r="H769" s="13">
        <v>36.799999999999997</v>
      </c>
      <c r="I769" s="13">
        <v>93.46</v>
      </c>
      <c r="J769" s="24">
        <v>45543</v>
      </c>
      <c r="K769" s="13">
        <v>37</v>
      </c>
      <c r="L769" s="44">
        <v>3.3</v>
      </c>
      <c r="M769" s="13" t="b">
        <v>0</v>
      </c>
      <c r="O769" s="25">
        <f t="shared" si="44"/>
        <v>359</v>
      </c>
      <c r="P769" s="13">
        <f t="shared" si="45"/>
        <v>1361.6</v>
      </c>
      <c r="Q769" s="13" t="str">
        <f t="shared" si="46"/>
        <v/>
      </c>
      <c r="R769" s="13" t="str">
        <f t="shared" si="47"/>
        <v>Diskon</v>
      </c>
    </row>
    <row r="770" spans="1:18" x14ac:dyDescent="0.25">
      <c r="A770" s="13" t="s">
        <v>782</v>
      </c>
      <c r="B770" s="13" t="s">
        <v>2191</v>
      </c>
      <c r="C770" s="13" t="s">
        <v>2197</v>
      </c>
      <c r="D770" s="13" t="s">
        <v>2206</v>
      </c>
      <c r="E770" s="13" t="s">
        <v>2209</v>
      </c>
      <c r="F770" s="13" t="s">
        <v>2218</v>
      </c>
      <c r="G770" s="13">
        <v>30.53</v>
      </c>
      <c r="H770" s="13">
        <v>0</v>
      </c>
      <c r="I770" s="13">
        <v>30.53</v>
      </c>
      <c r="J770" s="24">
        <v>45875</v>
      </c>
      <c r="K770" s="13">
        <v>25</v>
      </c>
      <c r="L770" s="44">
        <v>2.5</v>
      </c>
      <c r="M770" s="13" t="b">
        <v>0</v>
      </c>
      <c r="O770" s="25">
        <f t="shared" si="44"/>
        <v>27</v>
      </c>
      <c r="P770" s="13">
        <f t="shared" si="45"/>
        <v>0</v>
      </c>
      <c r="Q770" s="13" t="str">
        <f t="shared" si="46"/>
        <v/>
      </c>
      <c r="R770" s="13" t="str">
        <f t="shared" si="47"/>
        <v>Non diskon</v>
      </c>
    </row>
    <row r="771" spans="1:18" x14ac:dyDescent="0.25">
      <c r="A771" s="13" t="s">
        <v>783</v>
      </c>
      <c r="B771" s="13" t="s">
        <v>2191</v>
      </c>
      <c r="C771" s="13" t="s">
        <v>2196</v>
      </c>
      <c r="D771" s="13" t="s">
        <v>2206</v>
      </c>
      <c r="E771" s="13" t="s">
        <v>2210</v>
      </c>
      <c r="F771" s="13" t="s">
        <v>2217</v>
      </c>
      <c r="G771" s="13">
        <v>104.96</v>
      </c>
      <c r="H771" s="13">
        <v>1.6</v>
      </c>
      <c r="I771" s="13">
        <v>103.28</v>
      </c>
      <c r="J771" s="24">
        <v>45875</v>
      </c>
      <c r="K771" s="13">
        <v>33</v>
      </c>
      <c r="L771" s="44">
        <v>2</v>
      </c>
      <c r="M771" s="13" t="b">
        <v>0</v>
      </c>
      <c r="O771" s="25">
        <f t="shared" ref="O771:O834" si="48">DATE(2025,9,2)-J771</f>
        <v>27</v>
      </c>
      <c r="P771" s="13">
        <f t="shared" ref="P771:P834" si="49">H771*K771</f>
        <v>52.800000000000004</v>
      </c>
      <c r="Q771" s="13" t="str">
        <f t="shared" ref="Q771:Q834" si="50">IF(M771=FALSE,"",1)</f>
        <v/>
      </c>
      <c r="R771" s="13" t="str">
        <f t="shared" ref="R771:R834" si="51">IF(H771=0,"Non diskon","Diskon")</f>
        <v>Diskon</v>
      </c>
    </row>
    <row r="772" spans="1:18" x14ac:dyDescent="0.25">
      <c r="A772" s="13" t="s">
        <v>784</v>
      </c>
      <c r="B772" s="13" t="s">
        <v>2195</v>
      </c>
      <c r="C772" s="13" t="s">
        <v>2200</v>
      </c>
      <c r="D772" s="13" t="s">
        <v>2205</v>
      </c>
      <c r="E772" s="13" t="s">
        <v>2212</v>
      </c>
      <c r="F772" s="13" t="s">
        <v>2219</v>
      </c>
      <c r="G772" s="13">
        <v>75.52</v>
      </c>
      <c r="H772" s="13">
        <v>0</v>
      </c>
      <c r="I772" s="13">
        <v>75.52</v>
      </c>
      <c r="J772" s="24">
        <v>45875</v>
      </c>
      <c r="K772" s="13">
        <v>2</v>
      </c>
      <c r="L772" s="44">
        <v>2.8</v>
      </c>
      <c r="M772" s="13" t="b">
        <v>0</v>
      </c>
      <c r="O772" s="25">
        <f t="shared" si="48"/>
        <v>27</v>
      </c>
      <c r="P772" s="13">
        <f t="shared" si="49"/>
        <v>0</v>
      </c>
      <c r="Q772" s="13" t="str">
        <f t="shared" si="50"/>
        <v/>
      </c>
      <c r="R772" s="13" t="str">
        <f t="shared" si="51"/>
        <v>Non diskon</v>
      </c>
    </row>
    <row r="773" spans="1:18" x14ac:dyDescent="0.25">
      <c r="A773" s="13" t="s">
        <v>785</v>
      </c>
      <c r="B773" s="13" t="s">
        <v>2194</v>
      </c>
      <c r="C773" s="13" t="s">
        <v>2202</v>
      </c>
      <c r="D773" s="13" t="s">
        <v>2205</v>
      </c>
      <c r="E773" s="13" t="s">
        <v>2213</v>
      </c>
      <c r="F773" s="13" t="s">
        <v>2214</v>
      </c>
      <c r="G773" s="13">
        <v>54.7</v>
      </c>
      <c r="H773" s="13">
        <v>0</v>
      </c>
      <c r="I773" s="13">
        <v>54.7</v>
      </c>
      <c r="J773" s="24">
        <v>45875</v>
      </c>
      <c r="K773" s="13">
        <v>18</v>
      </c>
      <c r="L773" s="44">
        <v>4.2</v>
      </c>
      <c r="M773" s="13" t="b">
        <v>0</v>
      </c>
      <c r="O773" s="25">
        <f t="shared" si="48"/>
        <v>27</v>
      </c>
      <c r="P773" s="13">
        <f t="shared" si="49"/>
        <v>0</v>
      </c>
      <c r="Q773" s="13" t="str">
        <f t="shared" si="50"/>
        <v/>
      </c>
      <c r="R773" s="13" t="str">
        <f t="shared" si="51"/>
        <v>Non diskon</v>
      </c>
    </row>
    <row r="774" spans="1:18" x14ac:dyDescent="0.25">
      <c r="A774" s="13" t="s">
        <v>786</v>
      </c>
      <c r="B774" s="13" t="s">
        <v>2193</v>
      </c>
      <c r="C774" s="13" t="s">
        <v>2201</v>
      </c>
      <c r="D774" s="13" t="s">
        <v>2207</v>
      </c>
      <c r="E774" s="13" t="s">
        <v>2212</v>
      </c>
      <c r="F774" s="13" t="s">
        <v>2216</v>
      </c>
      <c r="G774" s="13">
        <v>126.25</v>
      </c>
      <c r="H774" s="13">
        <v>25.9</v>
      </c>
      <c r="I774" s="13">
        <v>93.55</v>
      </c>
      <c r="J774" s="24">
        <v>45875</v>
      </c>
      <c r="K774" s="13">
        <v>40</v>
      </c>
      <c r="L774" s="44">
        <v>1.5</v>
      </c>
      <c r="M774" s="13" t="b">
        <v>1</v>
      </c>
      <c r="N774" s="13" t="s">
        <v>2226</v>
      </c>
      <c r="O774" s="25">
        <f t="shared" si="48"/>
        <v>27</v>
      </c>
      <c r="P774" s="13">
        <f t="shared" si="49"/>
        <v>1036</v>
      </c>
      <c r="Q774" s="13">
        <f t="shared" si="50"/>
        <v>1</v>
      </c>
      <c r="R774" s="13" t="str">
        <f t="shared" si="51"/>
        <v>Diskon</v>
      </c>
    </row>
    <row r="775" spans="1:18" x14ac:dyDescent="0.25">
      <c r="A775" s="13" t="s">
        <v>787</v>
      </c>
      <c r="B775" s="13" t="s">
        <v>2193</v>
      </c>
      <c r="C775" s="13" t="s">
        <v>2198</v>
      </c>
      <c r="D775" s="13" t="s">
        <v>2207</v>
      </c>
      <c r="E775" s="13" t="s">
        <v>2212</v>
      </c>
      <c r="F775" s="13" t="s">
        <v>2219</v>
      </c>
      <c r="G775" s="13">
        <v>63.86</v>
      </c>
      <c r="H775" s="13">
        <v>52.8</v>
      </c>
      <c r="I775" s="13">
        <v>30.14</v>
      </c>
      <c r="J775" s="24">
        <v>45875</v>
      </c>
      <c r="K775" s="13">
        <v>23</v>
      </c>
      <c r="L775" s="44">
        <v>3.1936170212765949</v>
      </c>
      <c r="M775" s="13" t="b">
        <v>0</v>
      </c>
      <c r="O775" s="25">
        <f t="shared" si="48"/>
        <v>27</v>
      </c>
      <c r="P775" s="13">
        <f t="shared" si="49"/>
        <v>1214.3999999999999</v>
      </c>
      <c r="Q775" s="13" t="str">
        <f t="shared" si="50"/>
        <v/>
      </c>
      <c r="R775" s="13" t="str">
        <f t="shared" si="51"/>
        <v>Diskon</v>
      </c>
    </row>
    <row r="776" spans="1:18" x14ac:dyDescent="0.25">
      <c r="A776" s="13" t="s">
        <v>788</v>
      </c>
      <c r="B776" s="13" t="s">
        <v>2192</v>
      </c>
      <c r="C776" s="13" t="s">
        <v>2197</v>
      </c>
      <c r="D776" s="13" t="s">
        <v>2205</v>
      </c>
      <c r="F776" s="13" t="s">
        <v>2214</v>
      </c>
      <c r="G776" s="13">
        <v>75.930000000000007</v>
      </c>
      <c r="H776" s="13">
        <v>0</v>
      </c>
      <c r="I776" s="13">
        <v>75.930000000000007</v>
      </c>
      <c r="J776" s="24">
        <v>45875</v>
      </c>
      <c r="K776" s="13">
        <v>32</v>
      </c>
      <c r="L776" s="44">
        <v>3.1</v>
      </c>
      <c r="M776" s="13" t="b">
        <v>0</v>
      </c>
      <c r="O776" s="25">
        <f t="shared" si="48"/>
        <v>27</v>
      </c>
      <c r="P776" s="13">
        <f t="shared" si="49"/>
        <v>0</v>
      </c>
      <c r="Q776" s="13" t="str">
        <f t="shared" si="50"/>
        <v/>
      </c>
      <c r="R776" s="13" t="str">
        <f t="shared" si="51"/>
        <v>Non diskon</v>
      </c>
    </row>
    <row r="777" spans="1:18" x14ac:dyDescent="0.25">
      <c r="A777" s="13" t="s">
        <v>789</v>
      </c>
      <c r="B777" s="13" t="s">
        <v>2191</v>
      </c>
      <c r="C777" s="13" t="s">
        <v>2196</v>
      </c>
      <c r="D777" s="13" t="s">
        <v>2206</v>
      </c>
      <c r="E777" s="13" t="s">
        <v>2213</v>
      </c>
      <c r="F777" s="13" t="s">
        <v>2224</v>
      </c>
      <c r="G777" s="13">
        <v>82.51</v>
      </c>
      <c r="H777" s="13">
        <v>27.3</v>
      </c>
      <c r="I777" s="13">
        <v>59.98</v>
      </c>
      <c r="J777" s="24">
        <v>45875</v>
      </c>
      <c r="K777" s="13">
        <v>9</v>
      </c>
      <c r="L777" s="44">
        <v>3.8</v>
      </c>
      <c r="M777" s="13" t="b">
        <v>0</v>
      </c>
      <c r="O777" s="25">
        <f t="shared" si="48"/>
        <v>27</v>
      </c>
      <c r="P777" s="13">
        <f t="shared" si="49"/>
        <v>245.70000000000002</v>
      </c>
      <c r="Q777" s="13" t="str">
        <f t="shared" si="50"/>
        <v/>
      </c>
      <c r="R777" s="13" t="str">
        <f t="shared" si="51"/>
        <v>Diskon</v>
      </c>
    </row>
    <row r="778" spans="1:18" x14ac:dyDescent="0.25">
      <c r="A778" s="13" t="s">
        <v>790</v>
      </c>
      <c r="B778" s="13" t="s">
        <v>2194</v>
      </c>
      <c r="C778" s="13" t="s">
        <v>2198</v>
      </c>
      <c r="D778" s="13" t="s">
        <v>2206</v>
      </c>
      <c r="E778" s="13" t="s">
        <v>2211</v>
      </c>
      <c r="F778" s="13" t="s">
        <v>2220</v>
      </c>
      <c r="G778" s="13">
        <v>46.02</v>
      </c>
      <c r="H778" s="13">
        <v>0</v>
      </c>
      <c r="I778" s="13">
        <v>46.02</v>
      </c>
      <c r="J778" s="24">
        <v>45875</v>
      </c>
      <c r="K778" s="13">
        <v>21</v>
      </c>
      <c r="L778" s="44">
        <v>1.1000000000000001</v>
      </c>
      <c r="M778" s="13" t="b">
        <v>0</v>
      </c>
      <c r="O778" s="25">
        <f t="shared" si="48"/>
        <v>27</v>
      </c>
      <c r="P778" s="13">
        <f t="shared" si="49"/>
        <v>0</v>
      </c>
      <c r="Q778" s="13" t="str">
        <f t="shared" si="50"/>
        <v/>
      </c>
      <c r="R778" s="13" t="str">
        <f t="shared" si="51"/>
        <v>Non diskon</v>
      </c>
    </row>
    <row r="779" spans="1:18" x14ac:dyDescent="0.25">
      <c r="A779" s="13" t="s">
        <v>791</v>
      </c>
      <c r="B779" s="13" t="s">
        <v>2195</v>
      </c>
      <c r="C779" s="13" t="s">
        <v>2199</v>
      </c>
      <c r="D779" s="13" t="s">
        <v>2205</v>
      </c>
      <c r="E779" s="13" t="s">
        <v>2211</v>
      </c>
      <c r="F779" s="13" t="s">
        <v>2224</v>
      </c>
      <c r="G779" s="13">
        <v>125.67</v>
      </c>
      <c r="H779" s="13">
        <v>45.5</v>
      </c>
      <c r="I779" s="13">
        <v>68.489999999999995</v>
      </c>
      <c r="J779" s="24">
        <v>45875</v>
      </c>
      <c r="K779" s="13">
        <v>27</v>
      </c>
      <c r="L779" s="44">
        <v>1.6</v>
      </c>
      <c r="M779" s="13" t="b">
        <v>0</v>
      </c>
      <c r="O779" s="25">
        <f t="shared" si="48"/>
        <v>27</v>
      </c>
      <c r="P779" s="13">
        <f t="shared" si="49"/>
        <v>1228.5</v>
      </c>
      <c r="Q779" s="13" t="str">
        <f t="shared" si="50"/>
        <v/>
      </c>
      <c r="R779" s="13" t="str">
        <f t="shared" si="51"/>
        <v>Diskon</v>
      </c>
    </row>
    <row r="780" spans="1:18" x14ac:dyDescent="0.25">
      <c r="A780" s="13" t="s">
        <v>792</v>
      </c>
      <c r="B780" s="13" t="s">
        <v>2193</v>
      </c>
      <c r="C780" s="13" t="s">
        <v>2199</v>
      </c>
      <c r="D780" s="13" t="s">
        <v>2205</v>
      </c>
      <c r="E780" s="13" t="s">
        <v>2210</v>
      </c>
      <c r="F780" s="13" t="s">
        <v>2214</v>
      </c>
      <c r="G780" s="13">
        <v>65.61</v>
      </c>
      <c r="H780" s="13">
        <v>50.7</v>
      </c>
      <c r="I780" s="13">
        <v>32.35</v>
      </c>
      <c r="J780" s="24">
        <v>45875</v>
      </c>
      <c r="K780" s="13">
        <v>23</v>
      </c>
      <c r="L780" s="44">
        <v>1.1000000000000001</v>
      </c>
      <c r="M780" s="13" t="b">
        <v>0</v>
      </c>
      <c r="O780" s="25">
        <f t="shared" si="48"/>
        <v>27</v>
      </c>
      <c r="P780" s="13">
        <f t="shared" si="49"/>
        <v>1166.1000000000001</v>
      </c>
      <c r="Q780" s="13" t="str">
        <f t="shared" si="50"/>
        <v/>
      </c>
      <c r="R780" s="13" t="str">
        <f t="shared" si="51"/>
        <v>Diskon</v>
      </c>
    </row>
    <row r="781" spans="1:18" x14ac:dyDescent="0.25">
      <c r="A781" s="13" t="s">
        <v>793</v>
      </c>
      <c r="B781" s="13" t="s">
        <v>2195</v>
      </c>
      <c r="C781" s="13" t="s">
        <v>2198</v>
      </c>
      <c r="D781" s="13" t="s">
        <v>2207</v>
      </c>
      <c r="E781" s="13" t="s">
        <v>2212</v>
      </c>
      <c r="F781" s="13" t="s">
        <v>2221</v>
      </c>
      <c r="G781" s="13">
        <v>91.61</v>
      </c>
      <c r="H781" s="13">
        <v>0</v>
      </c>
      <c r="I781" s="13">
        <v>91.61</v>
      </c>
      <c r="J781" s="24">
        <v>45875</v>
      </c>
      <c r="K781" s="13">
        <v>31</v>
      </c>
      <c r="L781" s="44">
        <v>1.4</v>
      </c>
      <c r="M781" s="13" t="b">
        <v>0</v>
      </c>
      <c r="O781" s="25">
        <f t="shared" si="48"/>
        <v>27</v>
      </c>
      <c r="P781" s="13">
        <f t="shared" si="49"/>
        <v>0</v>
      </c>
      <c r="Q781" s="13" t="str">
        <f t="shared" si="50"/>
        <v/>
      </c>
      <c r="R781" s="13" t="str">
        <f t="shared" si="51"/>
        <v>Non diskon</v>
      </c>
    </row>
    <row r="782" spans="1:18" x14ac:dyDescent="0.25">
      <c r="A782" s="13" t="s">
        <v>794</v>
      </c>
      <c r="B782" s="13" t="s">
        <v>2190</v>
      </c>
      <c r="C782" s="13" t="s">
        <v>2200</v>
      </c>
      <c r="D782" s="13" t="s">
        <v>2207</v>
      </c>
      <c r="E782" s="13" t="s">
        <v>2212</v>
      </c>
      <c r="F782" s="13" t="s">
        <v>2215</v>
      </c>
      <c r="G782" s="13">
        <v>162.78</v>
      </c>
      <c r="H782" s="13">
        <v>0</v>
      </c>
      <c r="I782" s="13">
        <v>162.78</v>
      </c>
      <c r="J782" s="24">
        <v>45875</v>
      </c>
      <c r="K782" s="13">
        <v>0</v>
      </c>
      <c r="L782" s="44">
        <v>2.9228571428571426</v>
      </c>
      <c r="M782" s="13" t="b">
        <v>0</v>
      </c>
      <c r="O782" s="25">
        <f t="shared" si="48"/>
        <v>27</v>
      </c>
      <c r="P782" s="13">
        <f t="shared" si="49"/>
        <v>0</v>
      </c>
      <c r="Q782" s="13" t="str">
        <f t="shared" si="50"/>
        <v/>
      </c>
      <c r="R782" s="13" t="str">
        <f t="shared" si="51"/>
        <v>Non diskon</v>
      </c>
    </row>
    <row r="783" spans="1:18" x14ac:dyDescent="0.25">
      <c r="A783" s="13" t="s">
        <v>795</v>
      </c>
      <c r="B783" s="13" t="s">
        <v>2190</v>
      </c>
      <c r="C783" s="13" t="s">
        <v>2199</v>
      </c>
      <c r="D783" s="13" t="s">
        <v>2205</v>
      </c>
      <c r="E783" s="13" t="s">
        <v>2213</v>
      </c>
      <c r="F783" s="13" t="s">
        <v>2218</v>
      </c>
      <c r="G783" s="13">
        <v>134.35</v>
      </c>
      <c r="H783" s="13">
        <v>35.299999999999997</v>
      </c>
      <c r="I783" s="13">
        <v>86.92</v>
      </c>
      <c r="J783" s="24">
        <v>45875</v>
      </c>
      <c r="K783" s="13">
        <v>36</v>
      </c>
      <c r="L783" s="44">
        <v>2.4137931034482762</v>
      </c>
      <c r="M783" s="13" t="b">
        <v>0</v>
      </c>
      <c r="O783" s="25">
        <f t="shared" si="48"/>
        <v>27</v>
      </c>
      <c r="P783" s="13">
        <f t="shared" si="49"/>
        <v>1270.8</v>
      </c>
      <c r="Q783" s="13" t="str">
        <f t="shared" si="50"/>
        <v/>
      </c>
      <c r="R783" s="13" t="str">
        <f t="shared" si="51"/>
        <v>Diskon</v>
      </c>
    </row>
    <row r="784" spans="1:18" x14ac:dyDescent="0.25">
      <c r="A784" s="13" t="s">
        <v>796</v>
      </c>
      <c r="B784" s="13" t="s">
        <v>2194</v>
      </c>
      <c r="C784" s="13" t="s">
        <v>2199</v>
      </c>
      <c r="D784" s="13" t="s">
        <v>2204</v>
      </c>
      <c r="F784" s="13" t="s">
        <v>2218</v>
      </c>
      <c r="G784" s="13">
        <v>77.739999999999995</v>
      </c>
      <c r="H784" s="13">
        <v>38.799999999999997</v>
      </c>
      <c r="I784" s="13">
        <v>47.58</v>
      </c>
      <c r="J784" s="24">
        <v>45849</v>
      </c>
      <c r="K784" s="13">
        <v>23</v>
      </c>
      <c r="L784" s="44">
        <v>4.3</v>
      </c>
      <c r="M784" s="13" t="b">
        <v>0</v>
      </c>
      <c r="O784" s="25">
        <f t="shared" si="48"/>
        <v>53</v>
      </c>
      <c r="P784" s="13">
        <f t="shared" si="49"/>
        <v>892.4</v>
      </c>
      <c r="Q784" s="13" t="str">
        <f t="shared" si="50"/>
        <v/>
      </c>
      <c r="R784" s="13" t="str">
        <f t="shared" si="51"/>
        <v>Diskon</v>
      </c>
    </row>
    <row r="785" spans="1:18" x14ac:dyDescent="0.25">
      <c r="A785" s="13" t="s">
        <v>797</v>
      </c>
      <c r="B785" s="13" t="s">
        <v>2192</v>
      </c>
      <c r="C785" s="13" t="s">
        <v>2202</v>
      </c>
      <c r="D785" s="13" t="s">
        <v>2207</v>
      </c>
      <c r="F785" s="13" t="s">
        <v>2224</v>
      </c>
      <c r="G785" s="13">
        <v>49.33</v>
      </c>
      <c r="H785" s="13">
        <v>59.9</v>
      </c>
      <c r="I785" s="13">
        <v>19.78</v>
      </c>
      <c r="J785" s="24">
        <v>45875</v>
      </c>
      <c r="K785" s="13">
        <v>47</v>
      </c>
      <c r="L785" s="44">
        <v>3.2720930232558145</v>
      </c>
      <c r="M785" s="13" t="b">
        <v>0</v>
      </c>
      <c r="O785" s="25">
        <f t="shared" si="48"/>
        <v>27</v>
      </c>
      <c r="P785" s="13">
        <f t="shared" si="49"/>
        <v>2815.2999999999997</v>
      </c>
      <c r="Q785" s="13" t="str">
        <f t="shared" si="50"/>
        <v/>
      </c>
      <c r="R785" s="13" t="str">
        <f t="shared" si="51"/>
        <v>Diskon</v>
      </c>
    </row>
    <row r="786" spans="1:18" x14ac:dyDescent="0.25">
      <c r="A786" s="13" t="s">
        <v>798</v>
      </c>
      <c r="B786" s="13" t="s">
        <v>2190</v>
      </c>
      <c r="C786" s="13" t="s">
        <v>2203</v>
      </c>
      <c r="D786" s="13" t="s">
        <v>2207</v>
      </c>
      <c r="E786" s="13" t="s">
        <v>2210</v>
      </c>
      <c r="F786" s="13" t="s">
        <v>2218</v>
      </c>
      <c r="G786" s="13">
        <v>231.52</v>
      </c>
      <c r="H786" s="13">
        <v>17.3</v>
      </c>
      <c r="I786" s="13">
        <v>191.47</v>
      </c>
      <c r="J786" s="24">
        <v>45875</v>
      </c>
      <c r="K786" s="13">
        <v>49</v>
      </c>
      <c r="L786" s="44">
        <v>2.1</v>
      </c>
      <c r="M786" s="13" t="b">
        <v>0</v>
      </c>
      <c r="O786" s="25">
        <f t="shared" si="48"/>
        <v>27</v>
      </c>
      <c r="P786" s="13">
        <f t="shared" si="49"/>
        <v>847.7</v>
      </c>
      <c r="Q786" s="13" t="str">
        <f t="shared" si="50"/>
        <v/>
      </c>
      <c r="R786" s="13" t="str">
        <f t="shared" si="51"/>
        <v>Diskon</v>
      </c>
    </row>
    <row r="787" spans="1:18" x14ac:dyDescent="0.25">
      <c r="A787" s="13" t="s">
        <v>799</v>
      </c>
      <c r="B787" s="13" t="s">
        <v>2190</v>
      </c>
      <c r="C787" s="13" t="s">
        <v>2202</v>
      </c>
      <c r="D787" s="13" t="s">
        <v>2205</v>
      </c>
      <c r="E787" s="13" t="s">
        <v>2208</v>
      </c>
      <c r="F787" s="13" t="s">
        <v>2217</v>
      </c>
      <c r="G787" s="13">
        <v>140.1</v>
      </c>
      <c r="H787" s="13">
        <v>0</v>
      </c>
      <c r="I787" s="13">
        <v>140.1</v>
      </c>
      <c r="J787" s="24">
        <v>45875</v>
      </c>
      <c r="K787" s="13">
        <v>14</v>
      </c>
      <c r="L787" s="44">
        <v>3.9</v>
      </c>
      <c r="M787" s="13" t="b">
        <v>0</v>
      </c>
      <c r="O787" s="25">
        <f t="shared" si="48"/>
        <v>27</v>
      </c>
      <c r="P787" s="13">
        <f t="shared" si="49"/>
        <v>0</v>
      </c>
      <c r="Q787" s="13" t="str">
        <f t="shared" si="50"/>
        <v/>
      </c>
      <c r="R787" s="13" t="str">
        <f t="shared" si="51"/>
        <v>Non diskon</v>
      </c>
    </row>
    <row r="788" spans="1:18" x14ac:dyDescent="0.25">
      <c r="A788" s="13" t="s">
        <v>800</v>
      </c>
      <c r="B788" s="13" t="s">
        <v>2195</v>
      </c>
      <c r="C788" s="13" t="s">
        <v>2201</v>
      </c>
      <c r="D788" s="13" t="s">
        <v>2207</v>
      </c>
      <c r="E788" s="13" t="s">
        <v>2210</v>
      </c>
      <c r="F788" s="13" t="s">
        <v>2215</v>
      </c>
      <c r="G788" s="13">
        <v>117.38</v>
      </c>
      <c r="H788" s="13">
        <v>27.8</v>
      </c>
      <c r="I788" s="13">
        <v>84.75</v>
      </c>
      <c r="J788" s="24">
        <v>45875</v>
      </c>
      <c r="K788" s="13">
        <v>34</v>
      </c>
      <c r="L788" s="44">
        <v>2.8</v>
      </c>
      <c r="M788" s="13" t="b">
        <v>1</v>
      </c>
      <c r="N788" s="13" t="s">
        <v>2228</v>
      </c>
      <c r="O788" s="25">
        <f t="shared" si="48"/>
        <v>27</v>
      </c>
      <c r="P788" s="13">
        <f t="shared" si="49"/>
        <v>945.2</v>
      </c>
      <c r="Q788" s="13">
        <f t="shared" si="50"/>
        <v>1</v>
      </c>
      <c r="R788" s="13" t="str">
        <f t="shared" si="51"/>
        <v>Diskon</v>
      </c>
    </row>
    <row r="789" spans="1:18" x14ac:dyDescent="0.25">
      <c r="A789" s="13" t="s">
        <v>801</v>
      </c>
      <c r="B789" s="13" t="s">
        <v>2191</v>
      </c>
      <c r="C789" s="13" t="s">
        <v>2201</v>
      </c>
      <c r="D789" s="13" t="s">
        <v>2204</v>
      </c>
      <c r="E789" s="13" t="s">
        <v>2210</v>
      </c>
      <c r="F789" s="13" t="s">
        <v>2223</v>
      </c>
      <c r="G789" s="13">
        <v>83.98</v>
      </c>
      <c r="H789" s="13">
        <v>0</v>
      </c>
      <c r="I789" s="13">
        <v>83.98</v>
      </c>
      <c r="J789" s="24">
        <v>45533</v>
      </c>
      <c r="K789" s="13">
        <v>23</v>
      </c>
      <c r="L789" s="44">
        <v>1.9</v>
      </c>
      <c r="M789" s="13" t="b">
        <v>0</v>
      </c>
      <c r="O789" s="25">
        <f t="shared" si="48"/>
        <v>369</v>
      </c>
      <c r="P789" s="13">
        <f t="shared" si="49"/>
        <v>0</v>
      </c>
      <c r="Q789" s="13" t="str">
        <f t="shared" si="50"/>
        <v/>
      </c>
      <c r="R789" s="13" t="str">
        <f t="shared" si="51"/>
        <v>Non diskon</v>
      </c>
    </row>
    <row r="790" spans="1:18" x14ac:dyDescent="0.25">
      <c r="A790" s="13" t="s">
        <v>802</v>
      </c>
      <c r="B790" s="13" t="s">
        <v>2195</v>
      </c>
      <c r="C790" s="13" t="s">
        <v>2200</v>
      </c>
      <c r="D790" s="13" t="s">
        <v>2204</v>
      </c>
      <c r="E790" s="13" t="s">
        <v>2208</v>
      </c>
      <c r="F790" s="13" t="s">
        <v>2222</v>
      </c>
      <c r="G790" s="13">
        <v>111.67</v>
      </c>
      <c r="H790" s="13">
        <v>53.5</v>
      </c>
      <c r="I790" s="13">
        <v>51.93</v>
      </c>
      <c r="J790" s="24">
        <v>45693</v>
      </c>
      <c r="K790" s="13">
        <v>19</v>
      </c>
      <c r="L790" s="44">
        <v>3.1051282051282048</v>
      </c>
      <c r="M790" s="13" t="b">
        <v>0</v>
      </c>
      <c r="O790" s="25">
        <f t="shared" si="48"/>
        <v>209</v>
      </c>
      <c r="P790" s="13">
        <f t="shared" si="49"/>
        <v>1016.5</v>
      </c>
      <c r="Q790" s="13" t="str">
        <f t="shared" si="50"/>
        <v/>
      </c>
      <c r="R790" s="13" t="str">
        <f t="shared" si="51"/>
        <v>Diskon</v>
      </c>
    </row>
    <row r="791" spans="1:18" x14ac:dyDescent="0.25">
      <c r="A791" s="13" t="s">
        <v>803</v>
      </c>
      <c r="B791" s="13" t="s">
        <v>2194</v>
      </c>
      <c r="C791" s="13" t="s">
        <v>2200</v>
      </c>
      <c r="D791" s="13" t="s">
        <v>2207</v>
      </c>
      <c r="E791" s="13" t="s">
        <v>2210</v>
      </c>
      <c r="F791" s="13" t="s">
        <v>2217</v>
      </c>
      <c r="G791" s="13">
        <v>25.16</v>
      </c>
      <c r="H791" s="13">
        <v>0</v>
      </c>
      <c r="I791" s="13">
        <v>25.16</v>
      </c>
      <c r="J791" s="24">
        <v>45875</v>
      </c>
      <c r="K791" s="13">
        <v>37</v>
      </c>
      <c r="L791" s="44">
        <v>2.8</v>
      </c>
      <c r="M791" s="13" t="b">
        <v>0</v>
      </c>
      <c r="O791" s="25">
        <f t="shared" si="48"/>
        <v>27</v>
      </c>
      <c r="P791" s="13">
        <f t="shared" si="49"/>
        <v>0</v>
      </c>
      <c r="Q791" s="13" t="str">
        <f t="shared" si="50"/>
        <v/>
      </c>
      <c r="R791" s="13" t="str">
        <f t="shared" si="51"/>
        <v>Non diskon</v>
      </c>
    </row>
    <row r="792" spans="1:18" x14ac:dyDescent="0.25">
      <c r="A792" s="13" t="s">
        <v>804</v>
      </c>
      <c r="B792" s="13" t="s">
        <v>2190</v>
      </c>
      <c r="C792" s="13" t="s">
        <v>2198</v>
      </c>
      <c r="D792" s="13" t="s">
        <v>2206</v>
      </c>
      <c r="E792" s="13" t="s">
        <v>2208</v>
      </c>
      <c r="F792" s="13" t="s">
        <v>2219</v>
      </c>
      <c r="G792" s="13">
        <v>175.82</v>
      </c>
      <c r="H792" s="13">
        <v>23</v>
      </c>
      <c r="I792" s="13">
        <v>135.38</v>
      </c>
      <c r="J792" s="24">
        <v>45875</v>
      </c>
      <c r="K792" s="13">
        <v>1</v>
      </c>
      <c r="L792" s="44">
        <v>3.7</v>
      </c>
      <c r="M792" s="13" t="b">
        <v>0</v>
      </c>
      <c r="O792" s="25">
        <f t="shared" si="48"/>
        <v>27</v>
      </c>
      <c r="P792" s="13">
        <f t="shared" si="49"/>
        <v>23</v>
      </c>
      <c r="Q792" s="13" t="str">
        <f t="shared" si="50"/>
        <v/>
      </c>
      <c r="R792" s="13" t="str">
        <f t="shared" si="51"/>
        <v>Diskon</v>
      </c>
    </row>
    <row r="793" spans="1:18" x14ac:dyDescent="0.25">
      <c r="A793" s="13" t="s">
        <v>805</v>
      </c>
      <c r="B793" s="13" t="s">
        <v>2191</v>
      </c>
      <c r="C793" s="13" t="s">
        <v>2199</v>
      </c>
      <c r="D793" s="13" t="s">
        <v>2207</v>
      </c>
      <c r="E793" s="13" t="s">
        <v>2212</v>
      </c>
      <c r="F793" s="13" t="s">
        <v>2220</v>
      </c>
      <c r="G793" s="13">
        <v>53.25</v>
      </c>
      <c r="H793" s="13">
        <v>37.5</v>
      </c>
      <c r="I793" s="13">
        <v>33.28</v>
      </c>
      <c r="J793" s="24">
        <v>45875</v>
      </c>
      <c r="K793" s="13">
        <v>33</v>
      </c>
      <c r="L793" s="44">
        <v>4.3</v>
      </c>
      <c r="M793" s="13" t="b">
        <v>0</v>
      </c>
      <c r="O793" s="25">
        <f t="shared" si="48"/>
        <v>27</v>
      </c>
      <c r="P793" s="13">
        <f t="shared" si="49"/>
        <v>1237.5</v>
      </c>
      <c r="Q793" s="13" t="str">
        <f t="shared" si="50"/>
        <v/>
      </c>
      <c r="R793" s="13" t="str">
        <f t="shared" si="51"/>
        <v>Diskon</v>
      </c>
    </row>
    <row r="794" spans="1:18" x14ac:dyDescent="0.25">
      <c r="A794" s="13" t="s">
        <v>806</v>
      </c>
      <c r="B794" s="13" t="s">
        <v>2190</v>
      </c>
      <c r="C794" s="13" t="s">
        <v>2198</v>
      </c>
      <c r="D794" s="13" t="s">
        <v>2206</v>
      </c>
      <c r="E794" s="13" t="s">
        <v>2213</v>
      </c>
      <c r="F794" s="13" t="s">
        <v>2223</v>
      </c>
      <c r="G794" s="13">
        <v>215.19</v>
      </c>
      <c r="H794" s="13">
        <v>43</v>
      </c>
      <c r="I794" s="13">
        <v>122.66</v>
      </c>
      <c r="J794" s="24">
        <v>45875</v>
      </c>
      <c r="K794" s="13">
        <v>48</v>
      </c>
      <c r="L794" s="44">
        <v>2.5</v>
      </c>
      <c r="M794" s="13" t="b">
        <v>0</v>
      </c>
      <c r="O794" s="25">
        <f t="shared" si="48"/>
        <v>27</v>
      </c>
      <c r="P794" s="13">
        <f t="shared" si="49"/>
        <v>2064</v>
      </c>
      <c r="Q794" s="13" t="str">
        <f t="shared" si="50"/>
        <v/>
      </c>
      <c r="R794" s="13" t="str">
        <f t="shared" si="51"/>
        <v>Diskon</v>
      </c>
    </row>
    <row r="795" spans="1:18" x14ac:dyDescent="0.25">
      <c r="A795" s="13" t="s">
        <v>807</v>
      </c>
      <c r="B795" s="13" t="s">
        <v>2194</v>
      </c>
      <c r="C795" s="13" t="s">
        <v>2196</v>
      </c>
      <c r="D795" s="13" t="s">
        <v>2207</v>
      </c>
      <c r="E795" s="13" t="s">
        <v>2210</v>
      </c>
      <c r="F795" s="13" t="s">
        <v>2215</v>
      </c>
      <c r="G795" s="13">
        <v>78.41</v>
      </c>
      <c r="H795" s="13">
        <v>20.7</v>
      </c>
      <c r="I795" s="13">
        <v>62.18</v>
      </c>
      <c r="J795" s="24">
        <v>45875</v>
      </c>
      <c r="K795" s="13">
        <v>9</v>
      </c>
      <c r="L795" s="44">
        <v>4.4000000000000004</v>
      </c>
      <c r="M795" s="13" t="b">
        <v>0</v>
      </c>
      <c r="O795" s="25">
        <f t="shared" si="48"/>
        <v>27</v>
      </c>
      <c r="P795" s="13">
        <f t="shared" si="49"/>
        <v>186.29999999999998</v>
      </c>
      <c r="Q795" s="13" t="str">
        <f t="shared" si="50"/>
        <v/>
      </c>
      <c r="R795" s="13" t="str">
        <f t="shared" si="51"/>
        <v>Diskon</v>
      </c>
    </row>
    <row r="796" spans="1:18" x14ac:dyDescent="0.25">
      <c r="A796" s="13" t="s">
        <v>808</v>
      </c>
      <c r="B796" s="13" t="s">
        <v>2193</v>
      </c>
      <c r="C796" s="13" t="s">
        <v>2196</v>
      </c>
      <c r="D796" s="13" t="s">
        <v>2207</v>
      </c>
      <c r="E796" s="13" t="s">
        <v>2211</v>
      </c>
      <c r="F796" s="13" t="s">
        <v>2215</v>
      </c>
      <c r="G796" s="13">
        <v>173.15</v>
      </c>
      <c r="H796" s="13">
        <v>0</v>
      </c>
      <c r="I796" s="13">
        <v>173.15</v>
      </c>
      <c r="J796" s="24">
        <v>45875</v>
      </c>
      <c r="K796" s="13">
        <v>45</v>
      </c>
      <c r="L796" s="44">
        <v>2.2000000000000002</v>
      </c>
      <c r="M796" s="13" t="b">
        <v>0</v>
      </c>
      <c r="O796" s="25">
        <f t="shared" si="48"/>
        <v>27</v>
      </c>
      <c r="P796" s="13">
        <f t="shared" si="49"/>
        <v>0</v>
      </c>
      <c r="Q796" s="13" t="str">
        <f t="shared" si="50"/>
        <v/>
      </c>
      <c r="R796" s="13" t="str">
        <f t="shared" si="51"/>
        <v>Non diskon</v>
      </c>
    </row>
    <row r="797" spans="1:18" x14ac:dyDescent="0.25">
      <c r="A797" s="13" t="s">
        <v>809</v>
      </c>
      <c r="B797" s="13" t="s">
        <v>2192</v>
      </c>
      <c r="C797" s="13" t="s">
        <v>2196</v>
      </c>
      <c r="D797" s="13" t="s">
        <v>2206</v>
      </c>
      <c r="F797" s="13" t="s">
        <v>2219</v>
      </c>
      <c r="G797" s="13">
        <v>16.84</v>
      </c>
      <c r="H797" s="13">
        <v>36.6</v>
      </c>
      <c r="I797" s="13">
        <v>10.68</v>
      </c>
      <c r="J797" s="24">
        <v>45875</v>
      </c>
      <c r="K797" s="13">
        <v>34</v>
      </c>
      <c r="L797" s="44">
        <v>1.7</v>
      </c>
      <c r="M797" s="13" t="b">
        <v>0</v>
      </c>
      <c r="O797" s="25">
        <f t="shared" si="48"/>
        <v>27</v>
      </c>
      <c r="P797" s="13">
        <f t="shared" si="49"/>
        <v>1244.4000000000001</v>
      </c>
      <c r="Q797" s="13" t="str">
        <f t="shared" si="50"/>
        <v/>
      </c>
      <c r="R797" s="13" t="str">
        <f t="shared" si="51"/>
        <v>Diskon</v>
      </c>
    </row>
    <row r="798" spans="1:18" x14ac:dyDescent="0.25">
      <c r="A798" s="13" t="s">
        <v>810</v>
      </c>
      <c r="B798" s="13" t="s">
        <v>2190</v>
      </c>
      <c r="C798" s="13" t="s">
        <v>2203</v>
      </c>
      <c r="D798" s="13" t="s">
        <v>2207</v>
      </c>
      <c r="E798" s="13" t="s">
        <v>2210</v>
      </c>
      <c r="F798" s="13" t="s">
        <v>2223</v>
      </c>
      <c r="G798" s="13">
        <v>128.6</v>
      </c>
      <c r="H798" s="13">
        <v>0</v>
      </c>
      <c r="I798" s="13">
        <v>128.6</v>
      </c>
      <c r="J798" s="24">
        <v>45875</v>
      </c>
      <c r="K798" s="13">
        <v>11</v>
      </c>
      <c r="L798" s="44">
        <v>2.2999999999999998</v>
      </c>
      <c r="M798" s="13" t="b">
        <v>0</v>
      </c>
      <c r="O798" s="25">
        <f t="shared" si="48"/>
        <v>27</v>
      </c>
      <c r="P798" s="13">
        <f t="shared" si="49"/>
        <v>0</v>
      </c>
      <c r="Q798" s="13" t="str">
        <f t="shared" si="50"/>
        <v/>
      </c>
      <c r="R798" s="13" t="str">
        <f t="shared" si="51"/>
        <v>Non diskon</v>
      </c>
    </row>
    <row r="799" spans="1:18" x14ac:dyDescent="0.25">
      <c r="A799" s="13" t="s">
        <v>811</v>
      </c>
      <c r="B799" s="13" t="s">
        <v>2190</v>
      </c>
      <c r="C799" s="13" t="s">
        <v>2201</v>
      </c>
      <c r="D799" s="13" t="s">
        <v>2204</v>
      </c>
      <c r="E799" s="13" t="s">
        <v>2211</v>
      </c>
      <c r="F799" s="13" t="s">
        <v>2220</v>
      </c>
      <c r="G799" s="13">
        <v>131.74</v>
      </c>
      <c r="H799" s="13">
        <v>0</v>
      </c>
      <c r="I799" s="13">
        <v>131.74</v>
      </c>
      <c r="J799" s="24">
        <v>45548</v>
      </c>
      <c r="K799" s="13">
        <v>46</v>
      </c>
      <c r="L799" s="44">
        <v>4.5999999999999996</v>
      </c>
      <c r="M799" s="13" t="b">
        <v>0</v>
      </c>
      <c r="O799" s="25">
        <f t="shared" si="48"/>
        <v>354</v>
      </c>
      <c r="P799" s="13">
        <f t="shared" si="49"/>
        <v>0</v>
      </c>
      <c r="Q799" s="13" t="str">
        <f t="shared" si="50"/>
        <v/>
      </c>
      <c r="R799" s="13" t="str">
        <f t="shared" si="51"/>
        <v>Non diskon</v>
      </c>
    </row>
    <row r="800" spans="1:18" x14ac:dyDescent="0.25">
      <c r="A800" s="13" t="s">
        <v>812</v>
      </c>
      <c r="B800" s="13" t="s">
        <v>2194</v>
      </c>
      <c r="C800" s="13" t="s">
        <v>2203</v>
      </c>
      <c r="D800" s="13" t="s">
        <v>2207</v>
      </c>
      <c r="E800" s="13" t="s">
        <v>2211</v>
      </c>
      <c r="F800" s="13" t="s">
        <v>2217</v>
      </c>
      <c r="G800" s="13">
        <v>28.15</v>
      </c>
      <c r="H800" s="13">
        <v>12.7</v>
      </c>
      <c r="I800" s="13">
        <v>24.57</v>
      </c>
      <c r="J800" s="24">
        <v>45875</v>
      </c>
      <c r="K800" s="13">
        <v>13</v>
      </c>
      <c r="L800" s="44">
        <v>3.9</v>
      </c>
      <c r="M800" s="13" t="b">
        <v>0</v>
      </c>
      <c r="O800" s="25">
        <f t="shared" si="48"/>
        <v>27</v>
      </c>
      <c r="P800" s="13">
        <f t="shared" si="49"/>
        <v>165.1</v>
      </c>
      <c r="Q800" s="13" t="str">
        <f t="shared" si="50"/>
        <v/>
      </c>
      <c r="R800" s="13" t="str">
        <f t="shared" si="51"/>
        <v>Diskon</v>
      </c>
    </row>
    <row r="801" spans="1:18" x14ac:dyDescent="0.25">
      <c r="A801" s="13" t="s">
        <v>813</v>
      </c>
      <c r="B801" s="13" t="s">
        <v>2190</v>
      </c>
      <c r="C801" s="13" t="s">
        <v>2203</v>
      </c>
      <c r="D801" s="13" t="s">
        <v>2205</v>
      </c>
      <c r="E801" s="13" t="s">
        <v>2208</v>
      </c>
      <c r="F801" s="13" t="s">
        <v>2214</v>
      </c>
      <c r="G801" s="13">
        <v>165.1</v>
      </c>
      <c r="H801" s="13">
        <v>58.4</v>
      </c>
      <c r="I801" s="13">
        <v>68.680000000000007</v>
      </c>
      <c r="J801" s="24">
        <v>45875</v>
      </c>
      <c r="K801" s="13">
        <v>29</v>
      </c>
      <c r="L801" s="44">
        <v>1.2</v>
      </c>
      <c r="M801" s="13" t="b">
        <v>0</v>
      </c>
      <c r="O801" s="25">
        <f t="shared" si="48"/>
        <v>27</v>
      </c>
      <c r="P801" s="13">
        <f t="shared" si="49"/>
        <v>1693.6</v>
      </c>
      <c r="Q801" s="13" t="str">
        <f t="shared" si="50"/>
        <v/>
      </c>
      <c r="R801" s="13" t="str">
        <f t="shared" si="51"/>
        <v>Diskon</v>
      </c>
    </row>
    <row r="802" spans="1:18" x14ac:dyDescent="0.25">
      <c r="A802" s="13" t="s">
        <v>814</v>
      </c>
      <c r="B802" s="13" t="s">
        <v>2191</v>
      </c>
      <c r="C802" s="13" t="s">
        <v>2199</v>
      </c>
      <c r="D802" s="13" t="s">
        <v>2204</v>
      </c>
      <c r="E802" s="13" t="s">
        <v>2208</v>
      </c>
      <c r="F802" s="13" t="s">
        <v>2218</v>
      </c>
      <c r="G802" s="13">
        <v>49.62</v>
      </c>
      <c r="H802" s="13">
        <v>0.8</v>
      </c>
      <c r="I802" s="13">
        <v>49.22</v>
      </c>
      <c r="J802" s="24">
        <v>45613</v>
      </c>
      <c r="K802" s="13">
        <v>22</v>
      </c>
      <c r="L802" s="44">
        <v>2.2999999999999998</v>
      </c>
      <c r="M802" s="13" t="b">
        <v>0</v>
      </c>
      <c r="O802" s="25">
        <f t="shared" si="48"/>
        <v>289</v>
      </c>
      <c r="P802" s="13">
        <f t="shared" si="49"/>
        <v>17.600000000000001</v>
      </c>
      <c r="Q802" s="13" t="str">
        <f t="shared" si="50"/>
        <v/>
      </c>
      <c r="R802" s="13" t="str">
        <f t="shared" si="51"/>
        <v>Diskon</v>
      </c>
    </row>
    <row r="803" spans="1:18" x14ac:dyDescent="0.25">
      <c r="A803" s="13" t="s">
        <v>815</v>
      </c>
      <c r="B803" s="13" t="s">
        <v>2191</v>
      </c>
      <c r="C803" s="13" t="s">
        <v>2198</v>
      </c>
      <c r="D803" s="13" t="s">
        <v>2206</v>
      </c>
      <c r="E803" s="13" t="s">
        <v>2208</v>
      </c>
      <c r="F803" s="13" t="s">
        <v>2216</v>
      </c>
      <c r="G803" s="13">
        <v>98.52</v>
      </c>
      <c r="H803" s="13">
        <v>18.899999999999999</v>
      </c>
      <c r="I803" s="13">
        <v>79.900000000000006</v>
      </c>
      <c r="J803" s="24">
        <v>45875</v>
      </c>
      <c r="K803" s="13">
        <v>37</v>
      </c>
      <c r="L803" s="44">
        <v>4.0999999999999996</v>
      </c>
      <c r="M803" s="13" t="b">
        <v>1</v>
      </c>
      <c r="N803" s="13" t="s">
        <v>2230</v>
      </c>
      <c r="O803" s="25">
        <f t="shared" si="48"/>
        <v>27</v>
      </c>
      <c r="P803" s="13">
        <f t="shared" si="49"/>
        <v>699.3</v>
      </c>
      <c r="Q803" s="13">
        <f t="shared" si="50"/>
        <v>1</v>
      </c>
      <c r="R803" s="13" t="str">
        <f t="shared" si="51"/>
        <v>Diskon</v>
      </c>
    </row>
    <row r="804" spans="1:18" x14ac:dyDescent="0.25">
      <c r="A804" s="13" t="s">
        <v>816</v>
      </c>
      <c r="B804" s="13" t="s">
        <v>2193</v>
      </c>
      <c r="C804" s="13" t="s">
        <v>2199</v>
      </c>
      <c r="D804" s="13" t="s">
        <v>2206</v>
      </c>
      <c r="E804" s="13" t="s">
        <v>2210</v>
      </c>
      <c r="F804" s="13" t="s">
        <v>2220</v>
      </c>
      <c r="G804" s="13">
        <v>94.19</v>
      </c>
      <c r="H804" s="13">
        <v>30.8</v>
      </c>
      <c r="I804" s="13">
        <v>65.180000000000007</v>
      </c>
      <c r="J804" s="24">
        <v>45875</v>
      </c>
      <c r="K804" s="13">
        <v>31</v>
      </c>
      <c r="L804" s="44">
        <v>1.4</v>
      </c>
      <c r="M804" s="13" t="b">
        <v>0</v>
      </c>
      <c r="O804" s="25">
        <f t="shared" si="48"/>
        <v>27</v>
      </c>
      <c r="P804" s="13">
        <f t="shared" si="49"/>
        <v>954.80000000000007</v>
      </c>
      <c r="Q804" s="13" t="str">
        <f t="shared" si="50"/>
        <v/>
      </c>
      <c r="R804" s="13" t="str">
        <f t="shared" si="51"/>
        <v>Diskon</v>
      </c>
    </row>
    <row r="805" spans="1:18" x14ac:dyDescent="0.25">
      <c r="A805" s="13" t="s">
        <v>817</v>
      </c>
      <c r="B805" s="13" t="s">
        <v>2192</v>
      </c>
      <c r="C805" s="13" t="s">
        <v>2203</v>
      </c>
      <c r="D805" s="13" t="s">
        <v>2205</v>
      </c>
      <c r="F805" s="13" t="s">
        <v>2218</v>
      </c>
      <c r="G805" s="13">
        <v>23.5</v>
      </c>
      <c r="H805" s="13">
        <v>0</v>
      </c>
      <c r="I805" s="13">
        <v>23.5</v>
      </c>
      <c r="J805" s="24">
        <v>45875</v>
      </c>
      <c r="K805" s="13">
        <v>14</v>
      </c>
      <c r="L805" s="44">
        <v>3.9</v>
      </c>
      <c r="M805" s="13" t="b">
        <v>1</v>
      </c>
      <c r="N805" s="13" t="s">
        <v>2228</v>
      </c>
      <c r="O805" s="25">
        <f t="shared" si="48"/>
        <v>27</v>
      </c>
      <c r="P805" s="13">
        <f t="shared" si="49"/>
        <v>0</v>
      </c>
      <c r="Q805" s="13">
        <f t="shared" si="50"/>
        <v>1</v>
      </c>
      <c r="R805" s="13" t="str">
        <f t="shared" si="51"/>
        <v>Non diskon</v>
      </c>
    </row>
    <row r="806" spans="1:18" x14ac:dyDescent="0.25">
      <c r="A806" s="13" t="s">
        <v>818</v>
      </c>
      <c r="B806" s="13" t="s">
        <v>2194</v>
      </c>
      <c r="C806" s="13" t="s">
        <v>2196</v>
      </c>
      <c r="D806" s="13" t="s">
        <v>2206</v>
      </c>
      <c r="E806" s="13" t="s">
        <v>2210</v>
      </c>
      <c r="F806" s="13" t="s">
        <v>2221</v>
      </c>
      <c r="G806" s="13">
        <v>109.36</v>
      </c>
      <c r="H806" s="13">
        <v>0</v>
      </c>
      <c r="I806" s="13">
        <v>109.36</v>
      </c>
      <c r="J806" s="24">
        <v>45875</v>
      </c>
      <c r="K806" s="13">
        <v>0</v>
      </c>
      <c r="L806" s="44">
        <v>1.1000000000000001</v>
      </c>
      <c r="M806" s="13" t="b">
        <v>0</v>
      </c>
      <c r="O806" s="25">
        <f t="shared" si="48"/>
        <v>27</v>
      </c>
      <c r="P806" s="13">
        <f t="shared" si="49"/>
        <v>0</v>
      </c>
      <c r="Q806" s="13" t="str">
        <f t="shared" si="50"/>
        <v/>
      </c>
      <c r="R806" s="13" t="str">
        <f t="shared" si="51"/>
        <v>Non diskon</v>
      </c>
    </row>
    <row r="807" spans="1:18" x14ac:dyDescent="0.25">
      <c r="A807" s="13" t="s">
        <v>819</v>
      </c>
      <c r="B807" s="13" t="s">
        <v>2192</v>
      </c>
      <c r="C807" s="13" t="s">
        <v>2200</v>
      </c>
      <c r="D807" s="13" t="s">
        <v>2206</v>
      </c>
      <c r="F807" s="13" t="s">
        <v>2219</v>
      </c>
      <c r="G807" s="13">
        <v>69.73</v>
      </c>
      <c r="H807" s="13">
        <v>0</v>
      </c>
      <c r="I807" s="13">
        <v>69.73</v>
      </c>
      <c r="J807" s="24">
        <v>45875</v>
      </c>
      <c r="K807" s="13">
        <v>7</v>
      </c>
      <c r="L807" s="44">
        <v>1.1000000000000001</v>
      </c>
      <c r="M807" s="13" t="b">
        <v>1</v>
      </c>
      <c r="N807" s="13" t="s">
        <v>2225</v>
      </c>
      <c r="O807" s="25">
        <f t="shared" si="48"/>
        <v>27</v>
      </c>
      <c r="P807" s="13">
        <f t="shared" si="49"/>
        <v>0</v>
      </c>
      <c r="Q807" s="13">
        <f t="shared" si="50"/>
        <v>1</v>
      </c>
      <c r="R807" s="13" t="str">
        <f t="shared" si="51"/>
        <v>Non diskon</v>
      </c>
    </row>
    <row r="808" spans="1:18" x14ac:dyDescent="0.25">
      <c r="A808" s="13" t="s">
        <v>820</v>
      </c>
      <c r="B808" s="13" t="s">
        <v>2193</v>
      </c>
      <c r="C808" s="13" t="s">
        <v>2200</v>
      </c>
      <c r="D808" s="13" t="s">
        <v>2207</v>
      </c>
      <c r="E808" s="13" t="s">
        <v>2212</v>
      </c>
      <c r="F808" s="13" t="s">
        <v>2220</v>
      </c>
      <c r="G808" s="13">
        <v>199.03</v>
      </c>
      <c r="H808" s="13">
        <v>57.3</v>
      </c>
      <c r="I808" s="13">
        <v>84.99</v>
      </c>
      <c r="J808" s="24">
        <v>45875</v>
      </c>
      <c r="K808" s="13">
        <v>37</v>
      </c>
      <c r="L808" s="44">
        <v>3.4</v>
      </c>
      <c r="M808" s="13" t="b">
        <v>0</v>
      </c>
      <c r="O808" s="25">
        <f t="shared" si="48"/>
        <v>27</v>
      </c>
      <c r="P808" s="13">
        <f t="shared" si="49"/>
        <v>2120.1</v>
      </c>
      <c r="Q808" s="13" t="str">
        <f t="shared" si="50"/>
        <v/>
      </c>
      <c r="R808" s="13" t="str">
        <f t="shared" si="51"/>
        <v>Diskon</v>
      </c>
    </row>
    <row r="809" spans="1:18" x14ac:dyDescent="0.25">
      <c r="A809" s="13" t="s">
        <v>821</v>
      </c>
      <c r="B809" s="13" t="s">
        <v>2194</v>
      </c>
      <c r="C809" s="13" t="s">
        <v>2202</v>
      </c>
      <c r="D809" s="13" t="s">
        <v>2204</v>
      </c>
      <c r="E809" s="13" t="s">
        <v>2213</v>
      </c>
      <c r="F809" s="13" t="s">
        <v>2217</v>
      </c>
      <c r="G809" s="13">
        <v>82.32</v>
      </c>
      <c r="H809" s="13">
        <v>56.7</v>
      </c>
      <c r="I809" s="13">
        <v>35.64</v>
      </c>
      <c r="J809" s="24">
        <v>45649</v>
      </c>
      <c r="K809" s="13">
        <v>41</v>
      </c>
      <c r="L809" s="44">
        <v>3.1799999999999997</v>
      </c>
      <c r="M809" s="13" t="b">
        <v>0</v>
      </c>
      <c r="O809" s="25">
        <f t="shared" si="48"/>
        <v>253</v>
      </c>
      <c r="P809" s="13">
        <f t="shared" si="49"/>
        <v>2324.7000000000003</v>
      </c>
      <c r="Q809" s="13" t="str">
        <f t="shared" si="50"/>
        <v/>
      </c>
      <c r="R809" s="13" t="str">
        <f t="shared" si="51"/>
        <v>Diskon</v>
      </c>
    </row>
    <row r="810" spans="1:18" x14ac:dyDescent="0.25">
      <c r="A810" s="13" t="s">
        <v>822</v>
      </c>
      <c r="B810" s="13" t="s">
        <v>2194</v>
      </c>
      <c r="C810" s="13" t="s">
        <v>2197</v>
      </c>
      <c r="D810" s="13" t="s">
        <v>2204</v>
      </c>
      <c r="E810" s="13" t="s">
        <v>2213</v>
      </c>
      <c r="F810" s="13" t="s">
        <v>2222</v>
      </c>
      <c r="G810" s="13">
        <v>52.42</v>
      </c>
      <c r="H810" s="13">
        <v>9.9</v>
      </c>
      <c r="I810" s="13">
        <v>47.23</v>
      </c>
      <c r="J810" s="24">
        <v>45581</v>
      </c>
      <c r="K810" s="13">
        <v>42</v>
      </c>
      <c r="L810" s="44">
        <v>3.5</v>
      </c>
      <c r="M810" s="13" t="b">
        <v>0</v>
      </c>
      <c r="O810" s="25">
        <f t="shared" si="48"/>
        <v>321</v>
      </c>
      <c r="P810" s="13">
        <f t="shared" si="49"/>
        <v>415.8</v>
      </c>
      <c r="Q810" s="13" t="str">
        <f t="shared" si="50"/>
        <v/>
      </c>
      <c r="R810" s="13" t="str">
        <f t="shared" si="51"/>
        <v>Diskon</v>
      </c>
    </row>
    <row r="811" spans="1:18" x14ac:dyDescent="0.25">
      <c r="A811" s="13" t="s">
        <v>823</v>
      </c>
      <c r="B811" s="13" t="s">
        <v>2190</v>
      </c>
      <c r="C811" s="13" t="s">
        <v>2201</v>
      </c>
      <c r="D811" s="13" t="s">
        <v>2206</v>
      </c>
      <c r="E811" s="13" t="s">
        <v>2210</v>
      </c>
      <c r="F811" s="13" t="s">
        <v>2217</v>
      </c>
      <c r="G811" s="13">
        <v>180.49</v>
      </c>
      <c r="H811" s="13">
        <v>0</v>
      </c>
      <c r="I811" s="13">
        <v>180.49</v>
      </c>
      <c r="J811" s="24">
        <v>45875</v>
      </c>
      <c r="K811" s="13">
        <v>18</v>
      </c>
      <c r="L811" s="44">
        <v>2.5</v>
      </c>
      <c r="M811" s="13" t="b">
        <v>1</v>
      </c>
      <c r="N811" s="13" t="s">
        <v>2230</v>
      </c>
      <c r="O811" s="25">
        <f t="shared" si="48"/>
        <v>27</v>
      </c>
      <c r="P811" s="13">
        <f t="shared" si="49"/>
        <v>0</v>
      </c>
      <c r="Q811" s="13">
        <f t="shared" si="50"/>
        <v>1</v>
      </c>
      <c r="R811" s="13" t="str">
        <f t="shared" si="51"/>
        <v>Non diskon</v>
      </c>
    </row>
    <row r="812" spans="1:18" x14ac:dyDescent="0.25">
      <c r="A812" s="13" t="s">
        <v>824</v>
      </c>
      <c r="B812" s="13" t="s">
        <v>2195</v>
      </c>
      <c r="C812" s="13" t="s">
        <v>2201</v>
      </c>
      <c r="D812" s="13" t="s">
        <v>2206</v>
      </c>
      <c r="E812" s="13" t="s">
        <v>2208</v>
      </c>
      <c r="F812" s="13" t="s">
        <v>2217</v>
      </c>
      <c r="G812" s="13">
        <v>63.02</v>
      </c>
      <c r="H812" s="13">
        <v>0</v>
      </c>
      <c r="I812" s="13">
        <v>63.02</v>
      </c>
      <c r="J812" s="24">
        <v>45875</v>
      </c>
      <c r="K812" s="13">
        <v>37</v>
      </c>
      <c r="L812" s="44">
        <v>2.5</v>
      </c>
      <c r="M812" s="13" t="b">
        <v>0</v>
      </c>
      <c r="O812" s="25">
        <f t="shared" si="48"/>
        <v>27</v>
      </c>
      <c r="P812" s="13">
        <f t="shared" si="49"/>
        <v>0</v>
      </c>
      <c r="Q812" s="13" t="str">
        <f t="shared" si="50"/>
        <v/>
      </c>
      <c r="R812" s="13" t="str">
        <f t="shared" si="51"/>
        <v>Non diskon</v>
      </c>
    </row>
    <row r="813" spans="1:18" x14ac:dyDescent="0.25">
      <c r="A813" s="13" t="s">
        <v>825</v>
      </c>
      <c r="B813" s="13" t="s">
        <v>2191</v>
      </c>
      <c r="C813" s="13" t="s">
        <v>2199</v>
      </c>
      <c r="D813" s="13" t="s">
        <v>2204</v>
      </c>
      <c r="E813" s="13" t="s">
        <v>2208</v>
      </c>
      <c r="F813" s="13" t="s">
        <v>2214</v>
      </c>
      <c r="G813" s="13">
        <v>97.05</v>
      </c>
      <c r="H813" s="13">
        <v>0</v>
      </c>
      <c r="I813" s="13">
        <v>97.05</v>
      </c>
      <c r="J813" s="24">
        <v>45651</v>
      </c>
      <c r="K813" s="13">
        <v>9</v>
      </c>
      <c r="L813" s="44">
        <v>2.9742857142857138</v>
      </c>
      <c r="M813" s="13" t="b">
        <v>0</v>
      </c>
      <c r="O813" s="25">
        <f t="shared" si="48"/>
        <v>251</v>
      </c>
      <c r="P813" s="13">
        <f t="shared" si="49"/>
        <v>0</v>
      </c>
      <c r="Q813" s="13" t="str">
        <f t="shared" si="50"/>
        <v/>
      </c>
      <c r="R813" s="13" t="str">
        <f t="shared" si="51"/>
        <v>Non diskon</v>
      </c>
    </row>
    <row r="814" spans="1:18" x14ac:dyDescent="0.25">
      <c r="A814" s="13" t="s">
        <v>826</v>
      </c>
      <c r="B814" s="13" t="s">
        <v>2194</v>
      </c>
      <c r="C814" s="13" t="s">
        <v>2196</v>
      </c>
      <c r="D814" s="13" t="s">
        <v>2205</v>
      </c>
      <c r="E814" s="13" t="s">
        <v>2211</v>
      </c>
      <c r="F814" s="13" t="s">
        <v>2215</v>
      </c>
      <c r="G814" s="13">
        <v>79.62</v>
      </c>
      <c r="H814" s="13">
        <v>0</v>
      </c>
      <c r="I814" s="13">
        <v>79.62</v>
      </c>
      <c r="J814" s="24">
        <v>45875</v>
      </c>
      <c r="K814" s="13">
        <v>37</v>
      </c>
      <c r="L814" s="44">
        <v>4.0999999999999996</v>
      </c>
      <c r="M814" s="13" t="b">
        <v>0</v>
      </c>
      <c r="O814" s="25">
        <f t="shared" si="48"/>
        <v>27</v>
      </c>
      <c r="P814" s="13">
        <f t="shared" si="49"/>
        <v>0</v>
      </c>
      <c r="Q814" s="13" t="str">
        <f t="shared" si="50"/>
        <v/>
      </c>
      <c r="R814" s="13" t="str">
        <f t="shared" si="51"/>
        <v>Non diskon</v>
      </c>
    </row>
    <row r="815" spans="1:18" x14ac:dyDescent="0.25">
      <c r="A815" s="13" t="s">
        <v>827</v>
      </c>
      <c r="B815" s="13" t="s">
        <v>2195</v>
      </c>
      <c r="C815" s="13" t="s">
        <v>2196</v>
      </c>
      <c r="D815" s="13" t="s">
        <v>2205</v>
      </c>
      <c r="E815" s="13" t="s">
        <v>2213</v>
      </c>
      <c r="F815" s="13" t="s">
        <v>2214</v>
      </c>
      <c r="G815" s="13">
        <v>82.5</v>
      </c>
      <c r="H815" s="13">
        <v>0</v>
      </c>
      <c r="I815" s="13">
        <v>82.5</v>
      </c>
      <c r="J815" s="24">
        <v>45875</v>
      </c>
      <c r="K815" s="13">
        <v>0</v>
      </c>
      <c r="L815" s="44">
        <v>3.0424242424242425</v>
      </c>
      <c r="M815" s="13" t="b">
        <v>0</v>
      </c>
      <c r="O815" s="25">
        <f t="shared" si="48"/>
        <v>27</v>
      </c>
      <c r="P815" s="13">
        <f t="shared" si="49"/>
        <v>0</v>
      </c>
      <c r="Q815" s="13" t="str">
        <f t="shared" si="50"/>
        <v/>
      </c>
      <c r="R815" s="13" t="str">
        <f t="shared" si="51"/>
        <v>Non diskon</v>
      </c>
    </row>
    <row r="816" spans="1:18" x14ac:dyDescent="0.25">
      <c r="A816" s="13" t="s">
        <v>828</v>
      </c>
      <c r="B816" s="13" t="s">
        <v>2194</v>
      </c>
      <c r="C816" s="13" t="s">
        <v>2201</v>
      </c>
      <c r="D816" s="13" t="s">
        <v>2204</v>
      </c>
      <c r="E816" s="13" t="s">
        <v>2209</v>
      </c>
      <c r="F816" s="13" t="s">
        <v>2223</v>
      </c>
      <c r="G816" s="13">
        <v>117.18</v>
      </c>
      <c r="H816" s="13">
        <v>13.7</v>
      </c>
      <c r="I816" s="13">
        <v>101.13</v>
      </c>
      <c r="J816" s="24">
        <v>45871</v>
      </c>
      <c r="K816" s="13">
        <v>5</v>
      </c>
      <c r="L816" s="44">
        <v>4.8</v>
      </c>
      <c r="M816" s="13" t="b">
        <v>0</v>
      </c>
      <c r="O816" s="25">
        <f t="shared" si="48"/>
        <v>31</v>
      </c>
      <c r="P816" s="13">
        <f t="shared" si="49"/>
        <v>68.5</v>
      </c>
      <c r="Q816" s="13" t="str">
        <f t="shared" si="50"/>
        <v/>
      </c>
      <c r="R816" s="13" t="str">
        <f t="shared" si="51"/>
        <v>Diskon</v>
      </c>
    </row>
    <row r="817" spans="1:18" x14ac:dyDescent="0.25">
      <c r="A817" s="13" t="s">
        <v>829</v>
      </c>
      <c r="B817" s="13" t="s">
        <v>2190</v>
      </c>
      <c r="C817" s="13" t="s">
        <v>2201</v>
      </c>
      <c r="D817" s="13" t="s">
        <v>2204</v>
      </c>
      <c r="E817" s="13" t="s">
        <v>2212</v>
      </c>
      <c r="F817" s="13" t="s">
        <v>2224</v>
      </c>
      <c r="G817" s="13">
        <v>174.05</v>
      </c>
      <c r="H817" s="13">
        <v>0</v>
      </c>
      <c r="I817" s="13">
        <v>174.05</v>
      </c>
      <c r="J817" s="24">
        <v>45760</v>
      </c>
      <c r="K817" s="13">
        <v>9</v>
      </c>
      <c r="L817" s="44">
        <v>3.0305555555555546</v>
      </c>
      <c r="M817" s="13" t="b">
        <v>0</v>
      </c>
      <c r="O817" s="25">
        <f t="shared" si="48"/>
        <v>142</v>
      </c>
      <c r="P817" s="13">
        <f t="shared" si="49"/>
        <v>0</v>
      </c>
      <c r="Q817" s="13" t="str">
        <f t="shared" si="50"/>
        <v/>
      </c>
      <c r="R817" s="13" t="str">
        <f t="shared" si="51"/>
        <v>Non diskon</v>
      </c>
    </row>
    <row r="818" spans="1:18" x14ac:dyDescent="0.25">
      <c r="A818" s="13" t="s">
        <v>830</v>
      </c>
      <c r="B818" s="13" t="s">
        <v>2194</v>
      </c>
      <c r="C818" s="13" t="s">
        <v>2203</v>
      </c>
      <c r="D818" s="13" t="s">
        <v>2204</v>
      </c>
      <c r="E818" s="13" t="s">
        <v>2212</v>
      </c>
      <c r="F818" s="13" t="s">
        <v>2224</v>
      </c>
      <c r="G818" s="13">
        <v>58.29</v>
      </c>
      <c r="H818" s="13">
        <v>0</v>
      </c>
      <c r="I818" s="13">
        <v>58.29</v>
      </c>
      <c r="J818" s="24">
        <v>45664</v>
      </c>
      <c r="K818" s="13">
        <v>22</v>
      </c>
      <c r="L818" s="44">
        <v>2.2999999999999998</v>
      </c>
      <c r="M818" s="13" t="b">
        <v>0</v>
      </c>
      <c r="O818" s="25">
        <f t="shared" si="48"/>
        <v>238</v>
      </c>
      <c r="P818" s="13">
        <f t="shared" si="49"/>
        <v>0</v>
      </c>
      <c r="Q818" s="13" t="str">
        <f t="shared" si="50"/>
        <v/>
      </c>
      <c r="R818" s="13" t="str">
        <f t="shared" si="51"/>
        <v>Non diskon</v>
      </c>
    </row>
    <row r="819" spans="1:18" x14ac:dyDescent="0.25">
      <c r="A819" s="13" t="s">
        <v>831</v>
      </c>
      <c r="B819" s="13" t="s">
        <v>2194</v>
      </c>
      <c r="C819" s="13" t="s">
        <v>2200</v>
      </c>
      <c r="D819" s="13" t="s">
        <v>2207</v>
      </c>
      <c r="E819" s="13" t="s">
        <v>2213</v>
      </c>
      <c r="F819" s="13" t="s">
        <v>2217</v>
      </c>
      <c r="G819" s="13">
        <v>61.42</v>
      </c>
      <c r="H819" s="13">
        <v>57.5</v>
      </c>
      <c r="I819" s="13">
        <v>26.1</v>
      </c>
      <c r="J819" s="24">
        <v>45875</v>
      </c>
      <c r="K819" s="13">
        <v>3</v>
      </c>
      <c r="L819" s="44">
        <v>4.8</v>
      </c>
      <c r="M819" s="13" t="b">
        <v>0</v>
      </c>
      <c r="O819" s="25">
        <f t="shared" si="48"/>
        <v>27</v>
      </c>
      <c r="P819" s="13">
        <f t="shared" si="49"/>
        <v>172.5</v>
      </c>
      <c r="Q819" s="13" t="str">
        <f t="shared" si="50"/>
        <v/>
      </c>
      <c r="R819" s="13" t="str">
        <f t="shared" si="51"/>
        <v>Diskon</v>
      </c>
    </row>
    <row r="820" spans="1:18" x14ac:dyDescent="0.25">
      <c r="A820" s="13" t="s">
        <v>832</v>
      </c>
      <c r="B820" s="13" t="s">
        <v>2192</v>
      </c>
      <c r="C820" s="13" t="s">
        <v>2196</v>
      </c>
      <c r="D820" s="13" t="s">
        <v>2205</v>
      </c>
      <c r="F820" s="13" t="s">
        <v>2215</v>
      </c>
      <c r="G820" s="13">
        <v>20.239999999999998</v>
      </c>
      <c r="H820" s="13">
        <v>0</v>
      </c>
      <c r="I820" s="13">
        <v>20.239999999999998</v>
      </c>
      <c r="J820" s="24">
        <v>45875</v>
      </c>
      <c r="K820" s="13">
        <v>20</v>
      </c>
      <c r="L820" s="44">
        <v>4.0999999999999996</v>
      </c>
      <c r="M820" s="13" t="b">
        <v>0</v>
      </c>
      <c r="O820" s="25">
        <f t="shared" si="48"/>
        <v>27</v>
      </c>
      <c r="P820" s="13">
        <f t="shared" si="49"/>
        <v>0</v>
      </c>
      <c r="Q820" s="13" t="str">
        <f t="shared" si="50"/>
        <v/>
      </c>
      <c r="R820" s="13" t="str">
        <f t="shared" si="51"/>
        <v>Non diskon</v>
      </c>
    </row>
    <row r="821" spans="1:18" x14ac:dyDescent="0.25">
      <c r="A821" s="13" t="s">
        <v>833</v>
      </c>
      <c r="B821" s="13" t="s">
        <v>2194</v>
      </c>
      <c r="C821" s="13" t="s">
        <v>2196</v>
      </c>
      <c r="D821" s="13" t="s">
        <v>2206</v>
      </c>
      <c r="E821" s="13" t="s">
        <v>2209</v>
      </c>
      <c r="F821" s="13" t="s">
        <v>2214</v>
      </c>
      <c r="G821" s="13">
        <v>88.58</v>
      </c>
      <c r="H821" s="13">
        <v>0</v>
      </c>
      <c r="I821" s="13">
        <v>88.58</v>
      </c>
      <c r="J821" s="24">
        <v>45875</v>
      </c>
      <c r="K821" s="13">
        <v>50</v>
      </c>
      <c r="L821" s="44">
        <v>2.9210526315789478</v>
      </c>
      <c r="M821" s="13" t="b">
        <v>0</v>
      </c>
      <c r="O821" s="25">
        <f t="shared" si="48"/>
        <v>27</v>
      </c>
      <c r="P821" s="13">
        <f t="shared" si="49"/>
        <v>0</v>
      </c>
      <c r="Q821" s="13" t="str">
        <f t="shared" si="50"/>
        <v/>
      </c>
      <c r="R821" s="13" t="str">
        <f t="shared" si="51"/>
        <v>Non diskon</v>
      </c>
    </row>
    <row r="822" spans="1:18" x14ac:dyDescent="0.25">
      <c r="A822" s="13" t="s">
        <v>834</v>
      </c>
      <c r="B822" s="13" t="s">
        <v>2194</v>
      </c>
      <c r="C822" s="13" t="s">
        <v>2201</v>
      </c>
      <c r="D822" s="13" t="s">
        <v>2205</v>
      </c>
      <c r="E822" s="13" t="s">
        <v>2211</v>
      </c>
      <c r="F822" s="13" t="s">
        <v>2223</v>
      </c>
      <c r="G822" s="13">
        <v>67.92</v>
      </c>
      <c r="H822" s="13">
        <v>0</v>
      </c>
      <c r="I822" s="13">
        <v>67.92</v>
      </c>
      <c r="J822" s="24">
        <v>45875</v>
      </c>
      <c r="K822" s="13">
        <v>23</v>
      </c>
      <c r="L822" s="44">
        <v>1.8</v>
      </c>
      <c r="M822" s="13" t="b">
        <v>1</v>
      </c>
      <c r="N822" s="13" t="s">
        <v>2226</v>
      </c>
      <c r="O822" s="25">
        <f t="shared" si="48"/>
        <v>27</v>
      </c>
      <c r="P822" s="13">
        <f t="shared" si="49"/>
        <v>0</v>
      </c>
      <c r="Q822" s="13">
        <f t="shared" si="50"/>
        <v>1</v>
      </c>
      <c r="R822" s="13" t="str">
        <f t="shared" si="51"/>
        <v>Non diskon</v>
      </c>
    </row>
    <row r="823" spans="1:18" x14ac:dyDescent="0.25">
      <c r="A823" s="13" t="s">
        <v>835</v>
      </c>
      <c r="B823" s="13" t="s">
        <v>2192</v>
      </c>
      <c r="C823" s="13" t="s">
        <v>2201</v>
      </c>
      <c r="D823" s="13" t="s">
        <v>2206</v>
      </c>
      <c r="F823" s="13" t="s">
        <v>2217</v>
      </c>
      <c r="G823" s="13">
        <v>25.39</v>
      </c>
      <c r="H823" s="13">
        <v>0</v>
      </c>
      <c r="I823" s="13">
        <v>25.39</v>
      </c>
      <c r="J823" s="24">
        <v>45875</v>
      </c>
      <c r="K823" s="13">
        <v>42</v>
      </c>
      <c r="L823" s="44">
        <v>1.8</v>
      </c>
      <c r="M823" s="13" t="b">
        <v>0</v>
      </c>
      <c r="O823" s="25">
        <f t="shared" si="48"/>
        <v>27</v>
      </c>
      <c r="P823" s="13">
        <f t="shared" si="49"/>
        <v>0</v>
      </c>
      <c r="Q823" s="13" t="str">
        <f t="shared" si="50"/>
        <v/>
      </c>
      <c r="R823" s="13" t="str">
        <f t="shared" si="51"/>
        <v>Non diskon</v>
      </c>
    </row>
    <row r="824" spans="1:18" x14ac:dyDescent="0.25">
      <c r="A824" s="13" t="s">
        <v>836</v>
      </c>
      <c r="B824" s="13" t="s">
        <v>2195</v>
      </c>
      <c r="C824" s="13" t="s">
        <v>2203</v>
      </c>
      <c r="D824" s="13" t="s">
        <v>2205</v>
      </c>
      <c r="E824" s="13" t="s">
        <v>2210</v>
      </c>
      <c r="F824" s="13" t="s">
        <v>2216</v>
      </c>
      <c r="G824" s="13">
        <v>115.89</v>
      </c>
      <c r="H824" s="13">
        <v>39.4</v>
      </c>
      <c r="I824" s="13">
        <v>70.23</v>
      </c>
      <c r="J824" s="24">
        <v>45875</v>
      </c>
      <c r="K824" s="13">
        <v>14</v>
      </c>
      <c r="L824" s="44">
        <v>3.8</v>
      </c>
      <c r="M824" s="13" t="b">
        <v>1</v>
      </c>
      <c r="N824" s="13" t="s">
        <v>2227</v>
      </c>
      <c r="O824" s="25">
        <f t="shared" si="48"/>
        <v>27</v>
      </c>
      <c r="P824" s="13">
        <f t="shared" si="49"/>
        <v>551.6</v>
      </c>
      <c r="Q824" s="13">
        <f t="shared" si="50"/>
        <v>1</v>
      </c>
      <c r="R824" s="13" t="str">
        <f t="shared" si="51"/>
        <v>Diskon</v>
      </c>
    </row>
    <row r="825" spans="1:18" x14ac:dyDescent="0.25">
      <c r="A825" s="13" t="s">
        <v>837</v>
      </c>
      <c r="B825" s="13" t="s">
        <v>2194</v>
      </c>
      <c r="C825" s="13" t="s">
        <v>2203</v>
      </c>
      <c r="D825" s="13" t="s">
        <v>2207</v>
      </c>
      <c r="E825" s="13" t="s">
        <v>2208</v>
      </c>
      <c r="F825" s="13" t="s">
        <v>2219</v>
      </c>
      <c r="G825" s="13">
        <v>103.94</v>
      </c>
      <c r="H825" s="13">
        <v>16.100000000000001</v>
      </c>
      <c r="I825" s="13">
        <v>87.21</v>
      </c>
      <c r="J825" s="24">
        <v>45875</v>
      </c>
      <c r="K825" s="13">
        <v>6</v>
      </c>
      <c r="L825" s="44">
        <v>4.9000000000000004</v>
      </c>
      <c r="M825" s="13" t="b">
        <v>1</v>
      </c>
      <c r="N825" s="13" t="s">
        <v>2229</v>
      </c>
      <c r="O825" s="25">
        <f t="shared" si="48"/>
        <v>27</v>
      </c>
      <c r="P825" s="13">
        <f t="shared" si="49"/>
        <v>96.600000000000009</v>
      </c>
      <c r="Q825" s="13">
        <f t="shared" si="50"/>
        <v>1</v>
      </c>
      <c r="R825" s="13" t="str">
        <f t="shared" si="51"/>
        <v>Diskon</v>
      </c>
    </row>
    <row r="826" spans="1:18" x14ac:dyDescent="0.25">
      <c r="A826" s="13" t="s">
        <v>838</v>
      </c>
      <c r="B826" s="13" t="s">
        <v>2193</v>
      </c>
      <c r="C826" s="13" t="s">
        <v>2202</v>
      </c>
      <c r="D826" s="13" t="s">
        <v>2205</v>
      </c>
      <c r="E826" s="13" t="s">
        <v>2209</v>
      </c>
      <c r="F826" s="13" t="s">
        <v>2214</v>
      </c>
      <c r="G826" s="13">
        <v>94.72</v>
      </c>
      <c r="H826" s="13">
        <v>20.5</v>
      </c>
      <c r="I826" s="13">
        <v>75.3</v>
      </c>
      <c r="J826" s="24">
        <v>45875</v>
      </c>
      <c r="K826" s="13">
        <v>24</v>
      </c>
      <c r="L826" s="44">
        <v>3.6</v>
      </c>
      <c r="M826" s="13" t="b">
        <v>0</v>
      </c>
      <c r="O826" s="25">
        <f t="shared" si="48"/>
        <v>27</v>
      </c>
      <c r="P826" s="13">
        <f t="shared" si="49"/>
        <v>492</v>
      </c>
      <c r="Q826" s="13" t="str">
        <f t="shared" si="50"/>
        <v/>
      </c>
      <c r="R826" s="13" t="str">
        <f t="shared" si="51"/>
        <v>Diskon</v>
      </c>
    </row>
    <row r="827" spans="1:18" x14ac:dyDescent="0.25">
      <c r="A827" s="13" t="s">
        <v>839</v>
      </c>
      <c r="B827" s="13" t="s">
        <v>2192</v>
      </c>
      <c r="C827" s="13" t="s">
        <v>2201</v>
      </c>
      <c r="D827" s="13" t="s">
        <v>2206</v>
      </c>
      <c r="F827" s="13" t="s">
        <v>2215</v>
      </c>
      <c r="G827" s="13">
        <v>23.28</v>
      </c>
      <c r="H827" s="13">
        <v>0</v>
      </c>
      <c r="I827" s="13">
        <v>23.28</v>
      </c>
      <c r="J827" s="24">
        <v>45875</v>
      </c>
      <c r="K827" s="13">
        <v>44</v>
      </c>
      <c r="L827" s="44">
        <v>3.1</v>
      </c>
      <c r="M827" s="13" t="b">
        <v>1</v>
      </c>
      <c r="N827" s="13" t="s">
        <v>2228</v>
      </c>
      <c r="O827" s="25">
        <f t="shared" si="48"/>
        <v>27</v>
      </c>
      <c r="P827" s="13">
        <f t="shared" si="49"/>
        <v>0</v>
      </c>
      <c r="Q827" s="13">
        <f t="shared" si="50"/>
        <v>1</v>
      </c>
      <c r="R827" s="13" t="str">
        <f t="shared" si="51"/>
        <v>Non diskon</v>
      </c>
    </row>
    <row r="828" spans="1:18" x14ac:dyDescent="0.25">
      <c r="A828" s="13" t="s">
        <v>840</v>
      </c>
      <c r="B828" s="13" t="s">
        <v>2191</v>
      </c>
      <c r="C828" s="13" t="s">
        <v>2202</v>
      </c>
      <c r="D828" s="13" t="s">
        <v>2207</v>
      </c>
      <c r="E828" s="13" t="s">
        <v>2210</v>
      </c>
      <c r="F828" s="13" t="s">
        <v>2215</v>
      </c>
      <c r="G828" s="13">
        <v>90.73</v>
      </c>
      <c r="H828" s="13">
        <v>0</v>
      </c>
      <c r="I828" s="13">
        <v>90.73</v>
      </c>
      <c r="J828" s="24">
        <v>45875</v>
      </c>
      <c r="K828" s="13">
        <v>14</v>
      </c>
      <c r="L828" s="44">
        <v>1.1000000000000001</v>
      </c>
      <c r="M828" s="13" t="b">
        <v>0</v>
      </c>
      <c r="O828" s="25">
        <f t="shared" si="48"/>
        <v>27</v>
      </c>
      <c r="P828" s="13">
        <f t="shared" si="49"/>
        <v>0</v>
      </c>
      <c r="Q828" s="13" t="str">
        <f t="shared" si="50"/>
        <v/>
      </c>
      <c r="R828" s="13" t="str">
        <f t="shared" si="51"/>
        <v>Non diskon</v>
      </c>
    </row>
    <row r="829" spans="1:18" x14ac:dyDescent="0.25">
      <c r="A829" s="13" t="s">
        <v>841</v>
      </c>
      <c r="B829" s="13" t="s">
        <v>2194</v>
      </c>
      <c r="C829" s="13" t="s">
        <v>2200</v>
      </c>
      <c r="D829" s="13" t="s">
        <v>2206</v>
      </c>
      <c r="E829" s="13" t="s">
        <v>2211</v>
      </c>
      <c r="F829" s="13" t="s">
        <v>2220</v>
      </c>
      <c r="G829" s="13">
        <v>25.74</v>
      </c>
      <c r="H829" s="13">
        <v>0</v>
      </c>
      <c r="I829" s="13">
        <v>25.74</v>
      </c>
      <c r="J829" s="24">
        <v>45875</v>
      </c>
      <c r="K829" s="13">
        <v>33</v>
      </c>
      <c r="L829" s="44">
        <v>1.1000000000000001</v>
      </c>
      <c r="M829" s="13" t="b">
        <v>1</v>
      </c>
      <c r="N829" s="13" t="s">
        <v>2225</v>
      </c>
      <c r="O829" s="25">
        <f t="shared" si="48"/>
        <v>27</v>
      </c>
      <c r="P829" s="13">
        <f t="shared" si="49"/>
        <v>0</v>
      </c>
      <c r="Q829" s="13">
        <f t="shared" si="50"/>
        <v>1</v>
      </c>
      <c r="R829" s="13" t="str">
        <f t="shared" si="51"/>
        <v>Non diskon</v>
      </c>
    </row>
    <row r="830" spans="1:18" x14ac:dyDescent="0.25">
      <c r="A830" s="13" t="s">
        <v>842</v>
      </c>
      <c r="B830" s="13" t="s">
        <v>2193</v>
      </c>
      <c r="C830" s="13" t="s">
        <v>2201</v>
      </c>
      <c r="D830" s="13" t="s">
        <v>2204</v>
      </c>
      <c r="E830" s="13" t="s">
        <v>2208</v>
      </c>
      <c r="F830" s="13" t="s">
        <v>2218</v>
      </c>
      <c r="G830" s="13">
        <v>162.97</v>
      </c>
      <c r="H830" s="13">
        <v>0</v>
      </c>
      <c r="I830" s="13">
        <v>162.97</v>
      </c>
      <c r="J830" s="24">
        <v>45618</v>
      </c>
      <c r="K830" s="13">
        <v>47</v>
      </c>
      <c r="L830" s="44">
        <v>2.2000000000000002</v>
      </c>
      <c r="M830" s="13" t="b">
        <v>1</v>
      </c>
      <c r="N830" s="13" t="s">
        <v>2230</v>
      </c>
      <c r="O830" s="25">
        <f t="shared" si="48"/>
        <v>284</v>
      </c>
      <c r="P830" s="13">
        <f t="shared" si="49"/>
        <v>0</v>
      </c>
      <c r="Q830" s="13">
        <f t="shared" si="50"/>
        <v>1</v>
      </c>
      <c r="R830" s="13" t="str">
        <f t="shared" si="51"/>
        <v>Non diskon</v>
      </c>
    </row>
    <row r="831" spans="1:18" x14ac:dyDescent="0.25">
      <c r="A831" s="13" t="s">
        <v>843</v>
      </c>
      <c r="B831" s="13" t="s">
        <v>2192</v>
      </c>
      <c r="C831" s="13" t="s">
        <v>2200</v>
      </c>
      <c r="D831" s="13" t="s">
        <v>2205</v>
      </c>
      <c r="F831" s="13" t="s">
        <v>2216</v>
      </c>
      <c r="G831" s="13">
        <v>50.33</v>
      </c>
      <c r="H831" s="13">
        <v>8.6999999999999993</v>
      </c>
      <c r="I831" s="13">
        <v>45.95</v>
      </c>
      <c r="J831" s="24">
        <v>45875</v>
      </c>
      <c r="K831" s="13">
        <v>14</v>
      </c>
      <c r="L831" s="44">
        <v>1.3</v>
      </c>
      <c r="M831" s="13" t="b">
        <v>0</v>
      </c>
      <c r="O831" s="25">
        <f t="shared" si="48"/>
        <v>27</v>
      </c>
      <c r="P831" s="13">
        <f t="shared" si="49"/>
        <v>121.79999999999998</v>
      </c>
      <c r="Q831" s="13" t="str">
        <f t="shared" si="50"/>
        <v/>
      </c>
      <c r="R831" s="13" t="str">
        <f t="shared" si="51"/>
        <v>Diskon</v>
      </c>
    </row>
    <row r="832" spans="1:18" x14ac:dyDescent="0.25">
      <c r="A832" s="13" t="s">
        <v>844</v>
      </c>
      <c r="B832" s="13" t="s">
        <v>2193</v>
      </c>
      <c r="C832" s="13" t="s">
        <v>2197</v>
      </c>
      <c r="D832" s="13" t="s">
        <v>2204</v>
      </c>
      <c r="F832" s="13" t="s">
        <v>2215</v>
      </c>
      <c r="G832" s="13">
        <v>60.38</v>
      </c>
      <c r="H832" s="13">
        <v>0</v>
      </c>
      <c r="I832" s="13">
        <v>60.38</v>
      </c>
      <c r="J832" s="24">
        <v>45776</v>
      </c>
      <c r="K832" s="13">
        <v>0</v>
      </c>
      <c r="L832" s="44">
        <v>2.8205128205128198</v>
      </c>
      <c r="M832" s="13" t="b">
        <v>0</v>
      </c>
      <c r="O832" s="25">
        <f t="shared" si="48"/>
        <v>126</v>
      </c>
      <c r="P832" s="13">
        <f t="shared" si="49"/>
        <v>0</v>
      </c>
      <c r="Q832" s="13" t="str">
        <f t="shared" si="50"/>
        <v/>
      </c>
      <c r="R832" s="13" t="str">
        <f t="shared" si="51"/>
        <v>Non diskon</v>
      </c>
    </row>
    <row r="833" spans="1:18" x14ac:dyDescent="0.25">
      <c r="A833" s="13" t="s">
        <v>845</v>
      </c>
      <c r="B833" s="13" t="s">
        <v>2191</v>
      </c>
      <c r="C833" s="13" t="s">
        <v>2197</v>
      </c>
      <c r="D833" s="13" t="s">
        <v>2207</v>
      </c>
      <c r="E833" s="13" t="s">
        <v>2211</v>
      </c>
      <c r="F833" s="13" t="s">
        <v>2216</v>
      </c>
      <c r="G833" s="13">
        <v>103.65</v>
      </c>
      <c r="H833" s="13">
        <v>0</v>
      </c>
      <c r="I833" s="13">
        <v>103.65</v>
      </c>
      <c r="J833" s="24">
        <v>45875</v>
      </c>
      <c r="K833" s="13">
        <v>29</v>
      </c>
      <c r="L833" s="44">
        <v>3.7</v>
      </c>
      <c r="M833" s="13" t="b">
        <v>0</v>
      </c>
      <c r="O833" s="25">
        <f t="shared" si="48"/>
        <v>27</v>
      </c>
      <c r="P833" s="13">
        <f t="shared" si="49"/>
        <v>0</v>
      </c>
      <c r="Q833" s="13" t="str">
        <f t="shared" si="50"/>
        <v/>
      </c>
      <c r="R833" s="13" t="str">
        <f t="shared" si="51"/>
        <v>Non diskon</v>
      </c>
    </row>
    <row r="834" spans="1:18" x14ac:dyDescent="0.25">
      <c r="A834" s="13" t="s">
        <v>846</v>
      </c>
      <c r="B834" s="13" t="s">
        <v>2194</v>
      </c>
      <c r="C834" s="13" t="s">
        <v>2202</v>
      </c>
      <c r="D834" s="13" t="s">
        <v>2204</v>
      </c>
      <c r="E834" s="13" t="s">
        <v>2209</v>
      </c>
      <c r="F834" s="13" t="s">
        <v>2221</v>
      </c>
      <c r="G834" s="13">
        <v>75.14</v>
      </c>
      <c r="H834" s="13">
        <v>0</v>
      </c>
      <c r="I834" s="13">
        <v>75.14</v>
      </c>
      <c r="J834" s="24">
        <v>45684</v>
      </c>
      <c r="K834" s="13">
        <v>41</v>
      </c>
      <c r="L834" s="44">
        <v>3.1799999999999997</v>
      </c>
      <c r="M834" s="13" t="b">
        <v>1</v>
      </c>
      <c r="N834" s="13" t="s">
        <v>2229</v>
      </c>
      <c r="O834" s="25">
        <f t="shared" si="48"/>
        <v>218</v>
      </c>
      <c r="P834" s="13">
        <f t="shared" si="49"/>
        <v>0</v>
      </c>
      <c r="Q834" s="13">
        <f t="shared" si="50"/>
        <v>1</v>
      </c>
      <c r="R834" s="13" t="str">
        <f t="shared" si="51"/>
        <v>Non diskon</v>
      </c>
    </row>
    <row r="835" spans="1:18" x14ac:dyDescent="0.25">
      <c r="A835" s="13" t="s">
        <v>847</v>
      </c>
      <c r="B835" s="13" t="s">
        <v>2193</v>
      </c>
      <c r="C835" s="13" t="s">
        <v>2200</v>
      </c>
      <c r="D835" s="13" t="s">
        <v>2205</v>
      </c>
      <c r="E835" s="13" t="s">
        <v>2210</v>
      </c>
      <c r="F835" s="13" t="s">
        <v>2215</v>
      </c>
      <c r="G835" s="13">
        <v>88</v>
      </c>
      <c r="H835" s="13">
        <v>0</v>
      </c>
      <c r="I835" s="13">
        <v>88</v>
      </c>
      <c r="J835" s="24">
        <v>45875</v>
      </c>
      <c r="K835" s="13">
        <v>2</v>
      </c>
      <c r="L835" s="44">
        <v>1.9</v>
      </c>
      <c r="M835" s="13" t="b">
        <v>0</v>
      </c>
      <c r="O835" s="25">
        <f t="shared" ref="O835:O898" si="52">DATE(2025,9,2)-J835</f>
        <v>27</v>
      </c>
      <c r="P835" s="13">
        <f t="shared" ref="P835:P898" si="53">H835*K835</f>
        <v>0</v>
      </c>
      <c r="Q835" s="13" t="str">
        <f t="shared" ref="Q835:Q898" si="54">IF(M835=FALSE,"",1)</f>
        <v/>
      </c>
      <c r="R835" s="13" t="str">
        <f t="shared" ref="R835:R898" si="55">IF(H835=0,"Non diskon","Diskon")</f>
        <v>Non diskon</v>
      </c>
    </row>
    <row r="836" spans="1:18" x14ac:dyDescent="0.25">
      <c r="A836" s="13" t="s">
        <v>848</v>
      </c>
      <c r="B836" s="13" t="s">
        <v>2195</v>
      </c>
      <c r="C836" s="13" t="s">
        <v>2201</v>
      </c>
      <c r="D836" s="13" t="s">
        <v>2205</v>
      </c>
      <c r="E836" s="13" t="s">
        <v>2212</v>
      </c>
      <c r="F836" s="13" t="s">
        <v>2214</v>
      </c>
      <c r="G836" s="13">
        <v>69.540000000000006</v>
      </c>
      <c r="H836" s="13">
        <v>0</v>
      </c>
      <c r="I836" s="13">
        <v>69.540000000000006</v>
      </c>
      <c r="J836" s="24">
        <v>45875</v>
      </c>
      <c r="K836" s="13">
        <v>21</v>
      </c>
      <c r="L836" s="44">
        <v>3.1874999999999991</v>
      </c>
      <c r="M836" s="13" t="b">
        <v>0</v>
      </c>
      <c r="O836" s="25">
        <f t="shared" si="52"/>
        <v>27</v>
      </c>
      <c r="P836" s="13">
        <f t="shared" si="53"/>
        <v>0</v>
      </c>
      <c r="Q836" s="13" t="str">
        <f t="shared" si="54"/>
        <v/>
      </c>
      <c r="R836" s="13" t="str">
        <f t="shared" si="55"/>
        <v>Non diskon</v>
      </c>
    </row>
    <row r="837" spans="1:18" x14ac:dyDescent="0.25">
      <c r="A837" s="13" t="s">
        <v>849</v>
      </c>
      <c r="B837" s="13" t="s">
        <v>2190</v>
      </c>
      <c r="C837" s="13" t="s">
        <v>2199</v>
      </c>
      <c r="D837" s="13" t="s">
        <v>2205</v>
      </c>
      <c r="E837" s="13" t="s">
        <v>2212</v>
      </c>
      <c r="F837" s="13" t="s">
        <v>2215</v>
      </c>
      <c r="G837" s="13">
        <v>209.52</v>
      </c>
      <c r="H837" s="13">
        <v>0</v>
      </c>
      <c r="I837" s="13">
        <v>209.52</v>
      </c>
      <c r="J837" s="24">
        <v>45875</v>
      </c>
      <c r="K837" s="13">
        <v>48</v>
      </c>
      <c r="L837" s="44">
        <v>2.6</v>
      </c>
      <c r="M837" s="13" t="b">
        <v>0</v>
      </c>
      <c r="O837" s="25">
        <f t="shared" si="52"/>
        <v>27</v>
      </c>
      <c r="P837" s="13">
        <f t="shared" si="53"/>
        <v>0</v>
      </c>
      <c r="Q837" s="13" t="str">
        <f t="shared" si="54"/>
        <v/>
      </c>
      <c r="R837" s="13" t="str">
        <f t="shared" si="55"/>
        <v>Non diskon</v>
      </c>
    </row>
    <row r="838" spans="1:18" x14ac:dyDescent="0.25">
      <c r="A838" s="13" t="s">
        <v>850</v>
      </c>
      <c r="B838" s="13" t="s">
        <v>2193</v>
      </c>
      <c r="C838" s="13" t="s">
        <v>2200</v>
      </c>
      <c r="D838" s="13" t="s">
        <v>2206</v>
      </c>
      <c r="E838" s="13" t="s">
        <v>2211</v>
      </c>
      <c r="F838" s="13" t="s">
        <v>2221</v>
      </c>
      <c r="G838" s="13">
        <v>97.42</v>
      </c>
      <c r="H838" s="13">
        <v>0</v>
      </c>
      <c r="I838" s="13">
        <v>97.42</v>
      </c>
      <c r="J838" s="24">
        <v>45875</v>
      </c>
      <c r="K838" s="13">
        <v>35</v>
      </c>
      <c r="L838" s="44">
        <v>2</v>
      </c>
      <c r="M838" s="13" t="b">
        <v>0</v>
      </c>
      <c r="O838" s="25">
        <f t="shared" si="52"/>
        <v>27</v>
      </c>
      <c r="P838" s="13">
        <f t="shared" si="53"/>
        <v>0</v>
      </c>
      <c r="Q838" s="13" t="str">
        <f t="shared" si="54"/>
        <v/>
      </c>
      <c r="R838" s="13" t="str">
        <f t="shared" si="55"/>
        <v>Non diskon</v>
      </c>
    </row>
    <row r="839" spans="1:18" x14ac:dyDescent="0.25">
      <c r="A839" s="13" t="s">
        <v>851</v>
      </c>
      <c r="B839" s="13" t="s">
        <v>2195</v>
      </c>
      <c r="C839" s="13" t="s">
        <v>2197</v>
      </c>
      <c r="D839" s="13" t="s">
        <v>2205</v>
      </c>
      <c r="E839" s="13" t="s">
        <v>2212</v>
      </c>
      <c r="F839" s="13" t="s">
        <v>2217</v>
      </c>
      <c r="G839" s="13">
        <v>154.6</v>
      </c>
      <c r="H839" s="13">
        <v>0</v>
      </c>
      <c r="I839" s="13">
        <v>154.6</v>
      </c>
      <c r="J839" s="24">
        <v>45875</v>
      </c>
      <c r="K839" s="13">
        <v>38</v>
      </c>
      <c r="L839" s="44">
        <v>4.5</v>
      </c>
      <c r="M839" s="13" t="b">
        <v>1</v>
      </c>
      <c r="N839" s="13" t="s">
        <v>2229</v>
      </c>
      <c r="O839" s="25">
        <f t="shared" si="52"/>
        <v>27</v>
      </c>
      <c r="P839" s="13">
        <f t="shared" si="53"/>
        <v>0</v>
      </c>
      <c r="Q839" s="13">
        <f t="shared" si="54"/>
        <v>1</v>
      </c>
      <c r="R839" s="13" t="str">
        <f t="shared" si="55"/>
        <v>Non diskon</v>
      </c>
    </row>
    <row r="840" spans="1:18" x14ac:dyDescent="0.25">
      <c r="A840" s="13" t="s">
        <v>852</v>
      </c>
      <c r="B840" s="13" t="s">
        <v>2194</v>
      </c>
      <c r="C840" s="13" t="s">
        <v>2196</v>
      </c>
      <c r="D840" s="13" t="s">
        <v>2207</v>
      </c>
      <c r="E840" s="13" t="s">
        <v>2208</v>
      </c>
      <c r="F840" s="13" t="s">
        <v>2217</v>
      </c>
      <c r="G840" s="13">
        <v>81.59</v>
      </c>
      <c r="H840" s="13">
        <v>38</v>
      </c>
      <c r="I840" s="13">
        <v>50.59</v>
      </c>
      <c r="J840" s="24">
        <v>45875</v>
      </c>
      <c r="K840" s="13">
        <v>31</v>
      </c>
      <c r="L840" s="44">
        <v>1.2</v>
      </c>
      <c r="M840" s="13" t="b">
        <v>0</v>
      </c>
      <c r="O840" s="25">
        <f t="shared" si="52"/>
        <v>27</v>
      </c>
      <c r="P840" s="13">
        <f t="shared" si="53"/>
        <v>1178</v>
      </c>
      <c r="Q840" s="13" t="str">
        <f t="shared" si="54"/>
        <v/>
      </c>
      <c r="R840" s="13" t="str">
        <f t="shared" si="55"/>
        <v>Diskon</v>
      </c>
    </row>
    <row r="841" spans="1:18" x14ac:dyDescent="0.25">
      <c r="A841" s="13" t="s">
        <v>853</v>
      </c>
      <c r="B841" s="13" t="s">
        <v>2192</v>
      </c>
      <c r="C841" s="13" t="s">
        <v>2199</v>
      </c>
      <c r="D841" s="13" t="s">
        <v>2205</v>
      </c>
      <c r="F841" s="13" t="s">
        <v>2224</v>
      </c>
      <c r="G841" s="13">
        <v>48.04</v>
      </c>
      <c r="H841" s="13">
        <v>0</v>
      </c>
      <c r="I841" s="13">
        <v>48.04</v>
      </c>
      <c r="J841" s="24">
        <v>45875</v>
      </c>
      <c r="K841" s="13">
        <v>46</v>
      </c>
      <c r="L841" s="44">
        <v>4.8</v>
      </c>
      <c r="M841" s="13" t="b">
        <v>0</v>
      </c>
      <c r="O841" s="25">
        <f t="shared" si="52"/>
        <v>27</v>
      </c>
      <c r="P841" s="13">
        <f t="shared" si="53"/>
        <v>0</v>
      </c>
      <c r="Q841" s="13" t="str">
        <f t="shared" si="54"/>
        <v/>
      </c>
      <c r="R841" s="13" t="str">
        <f t="shared" si="55"/>
        <v>Non diskon</v>
      </c>
    </row>
    <row r="842" spans="1:18" x14ac:dyDescent="0.25">
      <c r="A842" s="13" t="s">
        <v>854</v>
      </c>
      <c r="B842" s="13" t="s">
        <v>2191</v>
      </c>
      <c r="C842" s="13" t="s">
        <v>2198</v>
      </c>
      <c r="D842" s="13" t="s">
        <v>2206</v>
      </c>
      <c r="E842" s="13" t="s">
        <v>2210</v>
      </c>
      <c r="F842" s="13" t="s">
        <v>2220</v>
      </c>
      <c r="G842" s="13">
        <v>70.77</v>
      </c>
      <c r="H842" s="13">
        <v>0</v>
      </c>
      <c r="I842" s="13">
        <v>70.77</v>
      </c>
      <c r="J842" s="24">
        <v>45875</v>
      </c>
      <c r="K842" s="13">
        <v>5</v>
      </c>
      <c r="L842" s="44">
        <v>3.7</v>
      </c>
      <c r="M842" s="13" t="b">
        <v>0</v>
      </c>
      <c r="O842" s="25">
        <f t="shared" si="52"/>
        <v>27</v>
      </c>
      <c r="P842" s="13">
        <f t="shared" si="53"/>
        <v>0</v>
      </c>
      <c r="Q842" s="13" t="str">
        <f t="shared" si="54"/>
        <v/>
      </c>
      <c r="R842" s="13" t="str">
        <f t="shared" si="55"/>
        <v>Non diskon</v>
      </c>
    </row>
    <row r="843" spans="1:18" x14ac:dyDescent="0.25">
      <c r="A843" s="13" t="s">
        <v>855</v>
      </c>
      <c r="B843" s="13" t="s">
        <v>2190</v>
      </c>
      <c r="C843" s="13" t="s">
        <v>2203</v>
      </c>
      <c r="D843" s="13" t="s">
        <v>2206</v>
      </c>
      <c r="E843" s="13" t="s">
        <v>2210</v>
      </c>
      <c r="F843" s="13" t="s">
        <v>2218</v>
      </c>
      <c r="G843" s="13">
        <v>103.49</v>
      </c>
      <c r="H843" s="13">
        <v>0</v>
      </c>
      <c r="I843" s="13">
        <v>103.49</v>
      </c>
      <c r="J843" s="24">
        <v>45875</v>
      </c>
      <c r="K843" s="13">
        <v>12</v>
      </c>
      <c r="L843" s="44">
        <v>1.8</v>
      </c>
      <c r="M843" s="13" t="b">
        <v>0</v>
      </c>
      <c r="O843" s="25">
        <f t="shared" si="52"/>
        <v>27</v>
      </c>
      <c r="P843" s="13">
        <f t="shared" si="53"/>
        <v>0</v>
      </c>
      <c r="Q843" s="13" t="str">
        <f t="shared" si="54"/>
        <v/>
      </c>
      <c r="R843" s="13" t="str">
        <f t="shared" si="55"/>
        <v>Non diskon</v>
      </c>
    </row>
    <row r="844" spans="1:18" x14ac:dyDescent="0.25">
      <c r="A844" s="13" t="s">
        <v>856</v>
      </c>
      <c r="B844" s="13" t="s">
        <v>2190</v>
      </c>
      <c r="C844" s="13" t="s">
        <v>2197</v>
      </c>
      <c r="D844" s="13" t="s">
        <v>2204</v>
      </c>
      <c r="E844" s="13" t="s">
        <v>2209</v>
      </c>
      <c r="F844" s="13" t="s">
        <v>2223</v>
      </c>
      <c r="G844" s="13">
        <v>138.88999999999999</v>
      </c>
      <c r="H844" s="13">
        <v>0</v>
      </c>
      <c r="I844" s="13">
        <v>138.88999999999999</v>
      </c>
      <c r="J844" s="24">
        <v>45687</v>
      </c>
      <c r="K844" s="13">
        <v>10</v>
      </c>
      <c r="L844" s="44">
        <v>3.15</v>
      </c>
      <c r="M844" s="13" t="b">
        <v>0</v>
      </c>
      <c r="O844" s="25">
        <f t="shared" si="52"/>
        <v>215</v>
      </c>
      <c r="P844" s="13">
        <f t="shared" si="53"/>
        <v>0</v>
      </c>
      <c r="Q844" s="13" t="str">
        <f t="shared" si="54"/>
        <v/>
      </c>
      <c r="R844" s="13" t="str">
        <f t="shared" si="55"/>
        <v>Non diskon</v>
      </c>
    </row>
    <row r="845" spans="1:18" x14ac:dyDescent="0.25">
      <c r="A845" s="13" t="s">
        <v>857</v>
      </c>
      <c r="B845" s="13" t="s">
        <v>2192</v>
      </c>
      <c r="C845" s="13" t="s">
        <v>2200</v>
      </c>
      <c r="D845" s="13" t="s">
        <v>2205</v>
      </c>
      <c r="F845" s="13" t="s">
        <v>2220</v>
      </c>
      <c r="G845" s="13">
        <v>73.510000000000005</v>
      </c>
      <c r="H845" s="13">
        <v>32.200000000000003</v>
      </c>
      <c r="I845" s="13">
        <v>49.84</v>
      </c>
      <c r="J845" s="24">
        <v>45875</v>
      </c>
      <c r="K845" s="13">
        <v>17</v>
      </c>
      <c r="L845" s="44">
        <v>2.7333333333333334</v>
      </c>
      <c r="M845" s="13" t="b">
        <v>1</v>
      </c>
      <c r="N845" s="13" t="s">
        <v>2230</v>
      </c>
      <c r="O845" s="25">
        <f t="shared" si="52"/>
        <v>27</v>
      </c>
      <c r="P845" s="13">
        <f t="shared" si="53"/>
        <v>547.40000000000009</v>
      </c>
      <c r="Q845" s="13">
        <f t="shared" si="54"/>
        <v>1</v>
      </c>
      <c r="R845" s="13" t="str">
        <f t="shared" si="55"/>
        <v>Diskon</v>
      </c>
    </row>
    <row r="846" spans="1:18" x14ac:dyDescent="0.25">
      <c r="A846" s="13" t="s">
        <v>858</v>
      </c>
      <c r="B846" s="13" t="s">
        <v>2194</v>
      </c>
      <c r="C846" s="13" t="s">
        <v>2196</v>
      </c>
      <c r="D846" s="13" t="s">
        <v>2204</v>
      </c>
      <c r="E846" s="13" t="s">
        <v>2213</v>
      </c>
      <c r="F846" s="13" t="s">
        <v>2223</v>
      </c>
      <c r="G846" s="13">
        <v>82.37</v>
      </c>
      <c r="H846" s="13">
        <v>0</v>
      </c>
      <c r="I846" s="13">
        <v>82.37</v>
      </c>
      <c r="J846" s="24">
        <v>45812</v>
      </c>
      <c r="K846" s="13">
        <v>49</v>
      </c>
      <c r="L846" s="44">
        <v>3.3</v>
      </c>
      <c r="M846" s="13" t="b">
        <v>0</v>
      </c>
      <c r="O846" s="25">
        <f t="shared" si="52"/>
        <v>90</v>
      </c>
      <c r="P846" s="13">
        <f t="shared" si="53"/>
        <v>0</v>
      </c>
      <c r="Q846" s="13" t="str">
        <f t="shared" si="54"/>
        <v/>
      </c>
      <c r="R846" s="13" t="str">
        <f t="shared" si="55"/>
        <v>Non diskon</v>
      </c>
    </row>
    <row r="847" spans="1:18" x14ac:dyDescent="0.25">
      <c r="A847" s="13" t="s">
        <v>859</v>
      </c>
      <c r="B847" s="13" t="s">
        <v>2195</v>
      </c>
      <c r="C847" s="13" t="s">
        <v>2201</v>
      </c>
      <c r="D847" s="13" t="s">
        <v>2207</v>
      </c>
      <c r="E847" s="13" t="s">
        <v>2212</v>
      </c>
      <c r="F847" s="13" t="s">
        <v>2222</v>
      </c>
      <c r="G847" s="13">
        <v>81.709999999999994</v>
      </c>
      <c r="H847" s="13">
        <v>18</v>
      </c>
      <c r="I847" s="13">
        <v>67</v>
      </c>
      <c r="J847" s="24">
        <v>45875</v>
      </c>
      <c r="K847" s="13">
        <v>28</v>
      </c>
      <c r="L847" s="44">
        <v>4.7</v>
      </c>
      <c r="M847" s="13" t="b">
        <v>0</v>
      </c>
      <c r="O847" s="25">
        <f t="shared" si="52"/>
        <v>27</v>
      </c>
      <c r="P847" s="13">
        <f t="shared" si="53"/>
        <v>504</v>
      </c>
      <c r="Q847" s="13" t="str">
        <f t="shared" si="54"/>
        <v/>
      </c>
      <c r="R847" s="13" t="str">
        <f t="shared" si="55"/>
        <v>Diskon</v>
      </c>
    </row>
    <row r="848" spans="1:18" x14ac:dyDescent="0.25">
      <c r="A848" s="13" t="s">
        <v>860</v>
      </c>
      <c r="B848" s="13" t="s">
        <v>2195</v>
      </c>
      <c r="C848" s="13" t="s">
        <v>2198</v>
      </c>
      <c r="D848" s="13" t="s">
        <v>2205</v>
      </c>
      <c r="E848" s="13" t="s">
        <v>2211</v>
      </c>
      <c r="F848" s="13" t="s">
        <v>2222</v>
      </c>
      <c r="G848" s="13">
        <v>107.02</v>
      </c>
      <c r="H848" s="13">
        <v>10.6</v>
      </c>
      <c r="I848" s="13">
        <v>95.68</v>
      </c>
      <c r="J848" s="24">
        <v>45875</v>
      </c>
      <c r="K848" s="13">
        <v>6</v>
      </c>
      <c r="L848" s="44">
        <v>2.9000000000000008</v>
      </c>
      <c r="M848" s="13" t="b">
        <v>0</v>
      </c>
      <c r="O848" s="25">
        <f t="shared" si="52"/>
        <v>27</v>
      </c>
      <c r="P848" s="13">
        <f t="shared" si="53"/>
        <v>63.599999999999994</v>
      </c>
      <c r="Q848" s="13" t="str">
        <f t="shared" si="54"/>
        <v/>
      </c>
      <c r="R848" s="13" t="str">
        <f t="shared" si="55"/>
        <v>Diskon</v>
      </c>
    </row>
    <row r="849" spans="1:18" x14ac:dyDescent="0.25">
      <c r="A849" s="13" t="s">
        <v>861</v>
      </c>
      <c r="B849" s="13" t="s">
        <v>2194</v>
      </c>
      <c r="C849" s="13" t="s">
        <v>2200</v>
      </c>
      <c r="D849" s="13" t="s">
        <v>2207</v>
      </c>
      <c r="E849" s="13" t="s">
        <v>2208</v>
      </c>
      <c r="F849" s="13" t="s">
        <v>2215</v>
      </c>
      <c r="G849" s="13">
        <v>103.23</v>
      </c>
      <c r="H849" s="13">
        <v>18.7</v>
      </c>
      <c r="I849" s="13">
        <v>83.93</v>
      </c>
      <c r="J849" s="24">
        <v>45875</v>
      </c>
      <c r="K849" s="13">
        <v>6</v>
      </c>
      <c r="L849" s="44">
        <v>4</v>
      </c>
      <c r="M849" s="13" t="b">
        <v>0</v>
      </c>
      <c r="O849" s="25">
        <f t="shared" si="52"/>
        <v>27</v>
      </c>
      <c r="P849" s="13">
        <f t="shared" si="53"/>
        <v>112.19999999999999</v>
      </c>
      <c r="Q849" s="13" t="str">
        <f t="shared" si="54"/>
        <v/>
      </c>
      <c r="R849" s="13" t="str">
        <f t="shared" si="55"/>
        <v>Diskon</v>
      </c>
    </row>
    <row r="850" spans="1:18" x14ac:dyDescent="0.25">
      <c r="A850" s="13" t="s">
        <v>862</v>
      </c>
      <c r="B850" s="13" t="s">
        <v>2191</v>
      </c>
      <c r="C850" s="13" t="s">
        <v>2202</v>
      </c>
      <c r="D850" s="13" t="s">
        <v>2206</v>
      </c>
      <c r="E850" s="13" t="s">
        <v>2209</v>
      </c>
      <c r="F850" s="13" t="s">
        <v>2219</v>
      </c>
      <c r="G850" s="13">
        <v>100.48</v>
      </c>
      <c r="H850" s="13">
        <v>17.600000000000001</v>
      </c>
      <c r="I850" s="13">
        <v>82.8</v>
      </c>
      <c r="J850" s="24">
        <v>45875</v>
      </c>
      <c r="K850" s="13">
        <v>19</v>
      </c>
      <c r="L850" s="44">
        <v>2.9074999999999998</v>
      </c>
      <c r="M850" s="13" t="b">
        <v>0</v>
      </c>
      <c r="O850" s="25">
        <f t="shared" si="52"/>
        <v>27</v>
      </c>
      <c r="P850" s="13">
        <f t="shared" si="53"/>
        <v>334.40000000000003</v>
      </c>
      <c r="Q850" s="13" t="str">
        <f t="shared" si="54"/>
        <v/>
      </c>
      <c r="R850" s="13" t="str">
        <f t="shared" si="55"/>
        <v>Diskon</v>
      </c>
    </row>
    <row r="851" spans="1:18" x14ac:dyDescent="0.25">
      <c r="A851" s="13" t="s">
        <v>863</v>
      </c>
      <c r="B851" s="13" t="s">
        <v>2193</v>
      </c>
      <c r="C851" s="13" t="s">
        <v>2201</v>
      </c>
      <c r="D851" s="13" t="s">
        <v>2205</v>
      </c>
      <c r="E851" s="13" t="s">
        <v>2208</v>
      </c>
      <c r="F851" s="13" t="s">
        <v>2217</v>
      </c>
      <c r="G851" s="13">
        <v>160.87</v>
      </c>
      <c r="H851" s="13">
        <v>53.7</v>
      </c>
      <c r="I851" s="13">
        <v>74.48</v>
      </c>
      <c r="J851" s="24">
        <v>45875</v>
      </c>
      <c r="K851" s="13">
        <v>18</v>
      </c>
      <c r="L851" s="44">
        <v>3.0068965517241386</v>
      </c>
      <c r="M851" s="13" t="b">
        <v>0</v>
      </c>
      <c r="O851" s="25">
        <f t="shared" si="52"/>
        <v>27</v>
      </c>
      <c r="P851" s="13">
        <f t="shared" si="53"/>
        <v>966.6</v>
      </c>
      <c r="Q851" s="13" t="str">
        <f t="shared" si="54"/>
        <v/>
      </c>
      <c r="R851" s="13" t="str">
        <f t="shared" si="55"/>
        <v>Diskon</v>
      </c>
    </row>
    <row r="852" spans="1:18" x14ac:dyDescent="0.25">
      <c r="A852" s="13" t="s">
        <v>864</v>
      </c>
      <c r="B852" s="13" t="s">
        <v>2192</v>
      </c>
      <c r="C852" s="13" t="s">
        <v>2199</v>
      </c>
      <c r="D852" s="13" t="s">
        <v>2206</v>
      </c>
      <c r="F852" s="13" t="s">
        <v>2217</v>
      </c>
      <c r="G852" s="13">
        <v>78.39</v>
      </c>
      <c r="H852" s="13">
        <v>0</v>
      </c>
      <c r="I852" s="13">
        <v>78.39</v>
      </c>
      <c r="J852" s="24">
        <v>45875</v>
      </c>
      <c r="K852" s="13">
        <v>7</v>
      </c>
      <c r="L852" s="44">
        <v>4.2</v>
      </c>
      <c r="M852" s="13" t="b">
        <v>0</v>
      </c>
      <c r="O852" s="25">
        <f t="shared" si="52"/>
        <v>27</v>
      </c>
      <c r="P852" s="13">
        <f t="shared" si="53"/>
        <v>0</v>
      </c>
      <c r="Q852" s="13" t="str">
        <f t="shared" si="54"/>
        <v/>
      </c>
      <c r="R852" s="13" t="str">
        <f t="shared" si="55"/>
        <v>Non diskon</v>
      </c>
    </row>
    <row r="853" spans="1:18" x14ac:dyDescent="0.25">
      <c r="A853" s="13" t="s">
        <v>865</v>
      </c>
      <c r="B853" s="13" t="s">
        <v>2190</v>
      </c>
      <c r="C853" s="13" t="s">
        <v>2196</v>
      </c>
      <c r="D853" s="13" t="s">
        <v>2204</v>
      </c>
      <c r="E853" s="13" t="s">
        <v>2210</v>
      </c>
      <c r="F853" s="13" t="s">
        <v>2221</v>
      </c>
      <c r="G853" s="13">
        <v>168.38</v>
      </c>
      <c r="H853" s="13">
        <v>23.1</v>
      </c>
      <c r="I853" s="13">
        <v>129.47999999999999</v>
      </c>
      <c r="J853" s="24">
        <v>45812</v>
      </c>
      <c r="K853" s="13">
        <v>3</v>
      </c>
      <c r="L853" s="44">
        <v>2</v>
      </c>
      <c r="M853" s="13" t="b">
        <v>0</v>
      </c>
      <c r="O853" s="25">
        <f t="shared" si="52"/>
        <v>90</v>
      </c>
      <c r="P853" s="13">
        <f t="shared" si="53"/>
        <v>69.300000000000011</v>
      </c>
      <c r="Q853" s="13" t="str">
        <f t="shared" si="54"/>
        <v/>
      </c>
      <c r="R853" s="13" t="str">
        <f t="shared" si="55"/>
        <v>Diskon</v>
      </c>
    </row>
    <row r="854" spans="1:18" x14ac:dyDescent="0.25">
      <c r="A854" s="13" t="s">
        <v>866</v>
      </c>
      <c r="B854" s="13" t="s">
        <v>2193</v>
      </c>
      <c r="C854" s="13" t="s">
        <v>2198</v>
      </c>
      <c r="D854" s="13" t="s">
        <v>2205</v>
      </c>
      <c r="E854" s="13" t="s">
        <v>2210</v>
      </c>
      <c r="F854" s="13" t="s">
        <v>2222</v>
      </c>
      <c r="G854" s="13">
        <v>128.35</v>
      </c>
      <c r="H854" s="13">
        <v>0</v>
      </c>
      <c r="I854" s="13">
        <v>128.35</v>
      </c>
      <c r="J854" s="24">
        <v>45875</v>
      </c>
      <c r="K854" s="13">
        <v>20</v>
      </c>
      <c r="L854" s="44">
        <v>2.5</v>
      </c>
      <c r="M854" s="13" t="b">
        <v>0</v>
      </c>
      <c r="O854" s="25">
        <f t="shared" si="52"/>
        <v>27</v>
      </c>
      <c r="P854" s="13">
        <f t="shared" si="53"/>
        <v>0</v>
      </c>
      <c r="Q854" s="13" t="str">
        <f t="shared" si="54"/>
        <v/>
      </c>
      <c r="R854" s="13" t="str">
        <f t="shared" si="55"/>
        <v>Non diskon</v>
      </c>
    </row>
    <row r="855" spans="1:18" x14ac:dyDescent="0.25">
      <c r="A855" s="13" t="s">
        <v>867</v>
      </c>
      <c r="B855" s="13" t="s">
        <v>2195</v>
      </c>
      <c r="C855" s="13" t="s">
        <v>2197</v>
      </c>
      <c r="D855" s="13" t="s">
        <v>2204</v>
      </c>
      <c r="E855" s="13" t="s">
        <v>2208</v>
      </c>
      <c r="F855" s="13" t="s">
        <v>2218</v>
      </c>
      <c r="G855" s="13">
        <v>138.16999999999999</v>
      </c>
      <c r="H855" s="13">
        <v>3</v>
      </c>
      <c r="I855" s="13">
        <v>134.02000000000001</v>
      </c>
      <c r="J855" s="24">
        <v>45751</v>
      </c>
      <c r="K855" s="13">
        <v>34</v>
      </c>
      <c r="L855" s="44">
        <v>4.0999999999999996</v>
      </c>
      <c r="M855" s="13" t="b">
        <v>0</v>
      </c>
      <c r="O855" s="25">
        <f t="shared" si="52"/>
        <v>151</v>
      </c>
      <c r="P855" s="13">
        <f t="shared" si="53"/>
        <v>102</v>
      </c>
      <c r="Q855" s="13" t="str">
        <f t="shared" si="54"/>
        <v/>
      </c>
      <c r="R855" s="13" t="str">
        <f t="shared" si="55"/>
        <v>Diskon</v>
      </c>
    </row>
    <row r="856" spans="1:18" x14ac:dyDescent="0.25">
      <c r="A856" s="13" t="s">
        <v>868</v>
      </c>
      <c r="B856" s="13" t="s">
        <v>2195</v>
      </c>
      <c r="C856" s="13" t="s">
        <v>2197</v>
      </c>
      <c r="D856" s="13" t="s">
        <v>2206</v>
      </c>
      <c r="E856" s="13" t="s">
        <v>2213</v>
      </c>
      <c r="F856" s="13" t="s">
        <v>2222</v>
      </c>
      <c r="G856" s="13">
        <v>52.45</v>
      </c>
      <c r="H856" s="13">
        <v>0</v>
      </c>
      <c r="I856" s="13">
        <v>52.45</v>
      </c>
      <c r="J856" s="24">
        <v>45875</v>
      </c>
      <c r="K856" s="13">
        <v>16</v>
      </c>
      <c r="L856" s="44">
        <v>1.7</v>
      </c>
      <c r="M856" s="13" t="b">
        <v>0</v>
      </c>
      <c r="O856" s="25">
        <f t="shared" si="52"/>
        <v>27</v>
      </c>
      <c r="P856" s="13">
        <f t="shared" si="53"/>
        <v>0</v>
      </c>
      <c r="Q856" s="13" t="str">
        <f t="shared" si="54"/>
        <v/>
      </c>
      <c r="R856" s="13" t="str">
        <f t="shared" si="55"/>
        <v>Non diskon</v>
      </c>
    </row>
    <row r="857" spans="1:18" x14ac:dyDescent="0.25">
      <c r="A857" s="13" t="s">
        <v>869</v>
      </c>
      <c r="B857" s="13" t="s">
        <v>2193</v>
      </c>
      <c r="C857" s="13" t="s">
        <v>2200</v>
      </c>
      <c r="D857" s="13" t="s">
        <v>2205</v>
      </c>
      <c r="E857" s="13" t="s">
        <v>2212</v>
      </c>
      <c r="F857" s="13" t="s">
        <v>2217</v>
      </c>
      <c r="G857" s="13">
        <v>171.53</v>
      </c>
      <c r="H857" s="13">
        <v>0</v>
      </c>
      <c r="I857" s="13">
        <v>171.53</v>
      </c>
      <c r="J857" s="24">
        <v>45875</v>
      </c>
      <c r="K857" s="13">
        <v>12</v>
      </c>
      <c r="L857" s="44">
        <v>4.8</v>
      </c>
      <c r="M857" s="13" t="b">
        <v>0</v>
      </c>
      <c r="O857" s="25">
        <f t="shared" si="52"/>
        <v>27</v>
      </c>
      <c r="P857" s="13">
        <f t="shared" si="53"/>
        <v>0</v>
      </c>
      <c r="Q857" s="13" t="str">
        <f t="shared" si="54"/>
        <v/>
      </c>
      <c r="R857" s="13" t="str">
        <f t="shared" si="55"/>
        <v>Non diskon</v>
      </c>
    </row>
    <row r="858" spans="1:18" x14ac:dyDescent="0.25">
      <c r="A858" s="13" t="s">
        <v>870</v>
      </c>
      <c r="B858" s="13" t="s">
        <v>2191</v>
      </c>
      <c r="C858" s="13" t="s">
        <v>2199</v>
      </c>
      <c r="D858" s="13" t="s">
        <v>2206</v>
      </c>
      <c r="E858" s="13" t="s">
        <v>2211</v>
      </c>
      <c r="F858" s="13" t="s">
        <v>2224</v>
      </c>
      <c r="G858" s="13">
        <v>81.23</v>
      </c>
      <c r="H858" s="13">
        <v>1.2</v>
      </c>
      <c r="I858" s="13">
        <v>80.260000000000005</v>
      </c>
      <c r="J858" s="24">
        <v>45875</v>
      </c>
      <c r="K858" s="13">
        <v>10</v>
      </c>
      <c r="L858" s="44">
        <v>4.9000000000000004</v>
      </c>
      <c r="M858" s="13" t="b">
        <v>0</v>
      </c>
      <c r="O858" s="25">
        <f t="shared" si="52"/>
        <v>27</v>
      </c>
      <c r="P858" s="13">
        <f t="shared" si="53"/>
        <v>12</v>
      </c>
      <c r="Q858" s="13" t="str">
        <f t="shared" si="54"/>
        <v/>
      </c>
      <c r="R858" s="13" t="str">
        <f t="shared" si="55"/>
        <v>Diskon</v>
      </c>
    </row>
    <row r="859" spans="1:18" x14ac:dyDescent="0.25">
      <c r="A859" s="13" t="s">
        <v>871</v>
      </c>
      <c r="B859" s="13" t="s">
        <v>2192</v>
      </c>
      <c r="C859" s="13" t="s">
        <v>2198</v>
      </c>
      <c r="D859" s="13" t="s">
        <v>2204</v>
      </c>
      <c r="F859" s="13" t="s">
        <v>2219</v>
      </c>
      <c r="G859" s="13">
        <v>31.37</v>
      </c>
      <c r="H859" s="13">
        <v>44.1</v>
      </c>
      <c r="I859" s="13">
        <v>17.54</v>
      </c>
      <c r="J859" s="24">
        <v>45548</v>
      </c>
      <c r="K859" s="13">
        <v>11</v>
      </c>
      <c r="L859" s="44">
        <v>3.4</v>
      </c>
      <c r="M859" s="13" t="b">
        <v>0</v>
      </c>
      <c r="O859" s="25">
        <f t="shared" si="52"/>
        <v>354</v>
      </c>
      <c r="P859" s="13">
        <f t="shared" si="53"/>
        <v>485.1</v>
      </c>
      <c r="Q859" s="13" t="str">
        <f t="shared" si="54"/>
        <v/>
      </c>
      <c r="R859" s="13" t="str">
        <f t="shared" si="55"/>
        <v>Diskon</v>
      </c>
    </row>
    <row r="860" spans="1:18" x14ac:dyDescent="0.25">
      <c r="A860" s="13" t="s">
        <v>872</v>
      </c>
      <c r="B860" s="13" t="s">
        <v>2194</v>
      </c>
      <c r="C860" s="13" t="s">
        <v>2202</v>
      </c>
      <c r="D860" s="13" t="s">
        <v>2204</v>
      </c>
      <c r="E860" s="13" t="s">
        <v>2210</v>
      </c>
      <c r="F860" s="13" t="s">
        <v>2214</v>
      </c>
      <c r="G860" s="13">
        <v>93.89</v>
      </c>
      <c r="H860" s="13">
        <v>0</v>
      </c>
      <c r="I860" s="13">
        <v>93.89</v>
      </c>
      <c r="J860" s="24">
        <v>45691</v>
      </c>
      <c r="K860" s="13">
        <v>3</v>
      </c>
      <c r="L860" s="44">
        <v>1.8</v>
      </c>
      <c r="M860" s="13" t="b">
        <v>0</v>
      </c>
      <c r="O860" s="25">
        <f t="shared" si="52"/>
        <v>211</v>
      </c>
      <c r="P860" s="13">
        <f t="shared" si="53"/>
        <v>0</v>
      </c>
      <c r="Q860" s="13" t="str">
        <f t="shared" si="54"/>
        <v/>
      </c>
      <c r="R860" s="13" t="str">
        <f t="shared" si="55"/>
        <v>Non diskon</v>
      </c>
    </row>
    <row r="861" spans="1:18" x14ac:dyDescent="0.25">
      <c r="A861" s="13" t="s">
        <v>873</v>
      </c>
      <c r="B861" s="13" t="s">
        <v>2194</v>
      </c>
      <c r="C861" s="13" t="s">
        <v>2197</v>
      </c>
      <c r="D861" s="13" t="s">
        <v>2204</v>
      </c>
      <c r="E861" s="13" t="s">
        <v>2208</v>
      </c>
      <c r="F861" s="13" t="s">
        <v>2218</v>
      </c>
      <c r="G861" s="13">
        <v>54.84</v>
      </c>
      <c r="H861" s="13">
        <v>0</v>
      </c>
      <c r="I861" s="13">
        <v>54.84</v>
      </c>
      <c r="J861" s="24">
        <v>45557</v>
      </c>
      <c r="K861" s="13">
        <v>12</v>
      </c>
      <c r="L861" s="44">
        <v>3.2</v>
      </c>
      <c r="M861" s="13" t="b">
        <v>0</v>
      </c>
      <c r="O861" s="25">
        <f t="shared" si="52"/>
        <v>345</v>
      </c>
      <c r="P861" s="13">
        <f t="shared" si="53"/>
        <v>0</v>
      </c>
      <c r="Q861" s="13" t="str">
        <f t="shared" si="54"/>
        <v/>
      </c>
      <c r="R861" s="13" t="str">
        <f t="shared" si="55"/>
        <v>Non diskon</v>
      </c>
    </row>
    <row r="862" spans="1:18" x14ac:dyDescent="0.25">
      <c r="A862" s="13" t="s">
        <v>874</v>
      </c>
      <c r="B862" s="13" t="s">
        <v>2195</v>
      </c>
      <c r="C862" s="13" t="s">
        <v>2196</v>
      </c>
      <c r="D862" s="13" t="s">
        <v>2205</v>
      </c>
      <c r="E862" s="13" t="s">
        <v>2209</v>
      </c>
      <c r="F862" s="13" t="s">
        <v>2214</v>
      </c>
      <c r="G862" s="13">
        <v>140.34</v>
      </c>
      <c r="H862" s="13">
        <v>0</v>
      </c>
      <c r="I862" s="13">
        <v>140.34</v>
      </c>
      <c r="J862" s="24">
        <v>45875</v>
      </c>
      <c r="K862" s="13">
        <v>23</v>
      </c>
      <c r="L862" s="44">
        <v>2.8</v>
      </c>
      <c r="M862" s="13" t="b">
        <v>1</v>
      </c>
      <c r="N862" s="13" t="s">
        <v>2229</v>
      </c>
      <c r="O862" s="25">
        <f t="shared" si="52"/>
        <v>27</v>
      </c>
      <c r="P862" s="13">
        <f t="shared" si="53"/>
        <v>0</v>
      </c>
      <c r="Q862" s="13">
        <f t="shared" si="54"/>
        <v>1</v>
      </c>
      <c r="R862" s="13" t="str">
        <f t="shared" si="55"/>
        <v>Non diskon</v>
      </c>
    </row>
    <row r="863" spans="1:18" x14ac:dyDescent="0.25">
      <c r="A863" s="13" t="s">
        <v>875</v>
      </c>
      <c r="B863" s="13" t="s">
        <v>2191</v>
      </c>
      <c r="C863" s="13" t="s">
        <v>2198</v>
      </c>
      <c r="D863" s="13" t="s">
        <v>2206</v>
      </c>
      <c r="E863" s="13" t="s">
        <v>2213</v>
      </c>
      <c r="F863" s="13" t="s">
        <v>2214</v>
      </c>
      <c r="G863" s="13">
        <v>51.88</v>
      </c>
      <c r="H863" s="13">
        <v>16.8</v>
      </c>
      <c r="I863" s="13">
        <v>43.16</v>
      </c>
      <c r="J863" s="24">
        <v>45875</v>
      </c>
      <c r="K863" s="13">
        <v>30</v>
      </c>
      <c r="L863" s="44">
        <v>1.5</v>
      </c>
      <c r="M863" s="13" t="b">
        <v>0</v>
      </c>
      <c r="O863" s="25">
        <f t="shared" si="52"/>
        <v>27</v>
      </c>
      <c r="P863" s="13">
        <f t="shared" si="53"/>
        <v>504</v>
      </c>
      <c r="Q863" s="13" t="str">
        <f t="shared" si="54"/>
        <v/>
      </c>
      <c r="R863" s="13" t="str">
        <f t="shared" si="55"/>
        <v>Diskon</v>
      </c>
    </row>
    <row r="864" spans="1:18" x14ac:dyDescent="0.25">
      <c r="A864" s="13" t="s">
        <v>876</v>
      </c>
      <c r="B864" s="13" t="s">
        <v>2195</v>
      </c>
      <c r="C864" s="13" t="s">
        <v>2199</v>
      </c>
      <c r="D864" s="13" t="s">
        <v>2204</v>
      </c>
      <c r="E864" s="13" t="s">
        <v>2210</v>
      </c>
      <c r="F864" s="13" t="s">
        <v>2223</v>
      </c>
      <c r="G864" s="13">
        <v>136.19999999999999</v>
      </c>
      <c r="H864" s="13">
        <v>44.3</v>
      </c>
      <c r="I864" s="13">
        <v>75.86</v>
      </c>
      <c r="J864" s="24">
        <v>45617</v>
      </c>
      <c r="K864" s="13">
        <v>49</v>
      </c>
      <c r="L864" s="44">
        <v>2.8372093023255811</v>
      </c>
      <c r="M864" s="13" t="b">
        <v>0</v>
      </c>
      <c r="O864" s="25">
        <f t="shared" si="52"/>
        <v>285</v>
      </c>
      <c r="P864" s="13">
        <f t="shared" si="53"/>
        <v>2170.6999999999998</v>
      </c>
      <c r="Q864" s="13" t="str">
        <f t="shared" si="54"/>
        <v/>
      </c>
      <c r="R864" s="13" t="str">
        <f t="shared" si="55"/>
        <v>Diskon</v>
      </c>
    </row>
    <row r="865" spans="1:18" x14ac:dyDescent="0.25">
      <c r="A865" s="13" t="s">
        <v>877</v>
      </c>
      <c r="B865" s="13" t="s">
        <v>2192</v>
      </c>
      <c r="C865" s="13" t="s">
        <v>2200</v>
      </c>
      <c r="D865" s="13" t="s">
        <v>2207</v>
      </c>
      <c r="F865" s="13" t="s">
        <v>2224</v>
      </c>
      <c r="G865" s="13">
        <v>71.19</v>
      </c>
      <c r="H865" s="13">
        <v>0</v>
      </c>
      <c r="I865" s="13">
        <v>71.19</v>
      </c>
      <c r="J865" s="24">
        <v>45875</v>
      </c>
      <c r="K865" s="13">
        <v>14</v>
      </c>
      <c r="L865" s="44">
        <v>2.8</v>
      </c>
      <c r="M865" s="13" t="b">
        <v>0</v>
      </c>
      <c r="O865" s="25">
        <f t="shared" si="52"/>
        <v>27</v>
      </c>
      <c r="P865" s="13">
        <f t="shared" si="53"/>
        <v>0</v>
      </c>
      <c r="Q865" s="13" t="str">
        <f t="shared" si="54"/>
        <v/>
      </c>
      <c r="R865" s="13" t="str">
        <f t="shared" si="55"/>
        <v>Non diskon</v>
      </c>
    </row>
    <row r="866" spans="1:18" x14ac:dyDescent="0.25">
      <c r="A866" s="13" t="s">
        <v>878</v>
      </c>
      <c r="B866" s="13" t="s">
        <v>2190</v>
      </c>
      <c r="C866" s="13" t="s">
        <v>2203</v>
      </c>
      <c r="D866" s="13" t="s">
        <v>2204</v>
      </c>
      <c r="E866" s="13" t="s">
        <v>2210</v>
      </c>
      <c r="F866" s="13" t="s">
        <v>2222</v>
      </c>
      <c r="G866" s="13">
        <v>241.37</v>
      </c>
      <c r="H866" s="13">
        <v>44.9</v>
      </c>
      <c r="I866" s="13">
        <v>132.99</v>
      </c>
      <c r="J866" s="24">
        <v>45792</v>
      </c>
      <c r="K866" s="13">
        <v>23</v>
      </c>
      <c r="L866" s="44">
        <v>2.1</v>
      </c>
      <c r="M866" s="13" t="b">
        <v>0</v>
      </c>
      <c r="O866" s="25">
        <f t="shared" si="52"/>
        <v>110</v>
      </c>
      <c r="P866" s="13">
        <f t="shared" si="53"/>
        <v>1032.7</v>
      </c>
      <c r="Q866" s="13" t="str">
        <f t="shared" si="54"/>
        <v/>
      </c>
      <c r="R866" s="13" t="str">
        <f t="shared" si="55"/>
        <v>Diskon</v>
      </c>
    </row>
    <row r="867" spans="1:18" x14ac:dyDescent="0.25">
      <c r="A867" s="13" t="s">
        <v>879</v>
      </c>
      <c r="B867" s="13" t="s">
        <v>2190</v>
      </c>
      <c r="C867" s="13" t="s">
        <v>2202</v>
      </c>
      <c r="D867" s="13" t="s">
        <v>2206</v>
      </c>
      <c r="E867" s="13" t="s">
        <v>2211</v>
      </c>
      <c r="F867" s="13" t="s">
        <v>2219</v>
      </c>
      <c r="G867" s="13">
        <v>198.26</v>
      </c>
      <c r="H867" s="13">
        <v>51.3</v>
      </c>
      <c r="I867" s="13">
        <v>96.55</v>
      </c>
      <c r="J867" s="24">
        <v>45875</v>
      </c>
      <c r="K867" s="13">
        <v>38</v>
      </c>
      <c r="L867" s="44">
        <v>2.9034482758620692</v>
      </c>
      <c r="M867" s="13" t="b">
        <v>0</v>
      </c>
      <c r="O867" s="25">
        <f t="shared" si="52"/>
        <v>27</v>
      </c>
      <c r="P867" s="13">
        <f t="shared" si="53"/>
        <v>1949.3999999999999</v>
      </c>
      <c r="Q867" s="13" t="str">
        <f t="shared" si="54"/>
        <v/>
      </c>
      <c r="R867" s="13" t="str">
        <f t="shared" si="55"/>
        <v>Diskon</v>
      </c>
    </row>
    <row r="868" spans="1:18" x14ac:dyDescent="0.25">
      <c r="A868" s="13" t="s">
        <v>880</v>
      </c>
      <c r="B868" s="13" t="s">
        <v>2194</v>
      </c>
      <c r="C868" s="13" t="s">
        <v>2201</v>
      </c>
      <c r="D868" s="13" t="s">
        <v>2205</v>
      </c>
      <c r="E868" s="13" t="s">
        <v>2211</v>
      </c>
      <c r="F868" s="13" t="s">
        <v>2221</v>
      </c>
      <c r="G868" s="13">
        <v>64.069999999999993</v>
      </c>
      <c r="H868" s="13">
        <v>0</v>
      </c>
      <c r="I868" s="13">
        <v>64.069999999999993</v>
      </c>
      <c r="J868" s="24">
        <v>45875</v>
      </c>
      <c r="K868" s="13">
        <v>34</v>
      </c>
      <c r="L868" s="44">
        <v>3.0575757575757576</v>
      </c>
      <c r="M868" s="13" t="b">
        <v>0</v>
      </c>
      <c r="O868" s="25">
        <f t="shared" si="52"/>
        <v>27</v>
      </c>
      <c r="P868" s="13">
        <f t="shared" si="53"/>
        <v>0</v>
      </c>
      <c r="Q868" s="13" t="str">
        <f t="shared" si="54"/>
        <v/>
      </c>
      <c r="R868" s="13" t="str">
        <f t="shared" si="55"/>
        <v>Non diskon</v>
      </c>
    </row>
    <row r="869" spans="1:18" x14ac:dyDescent="0.25">
      <c r="A869" s="13" t="s">
        <v>881</v>
      </c>
      <c r="B869" s="13" t="s">
        <v>2194</v>
      </c>
      <c r="C869" s="13" t="s">
        <v>2196</v>
      </c>
      <c r="D869" s="13" t="s">
        <v>2206</v>
      </c>
      <c r="E869" s="13" t="s">
        <v>2208</v>
      </c>
      <c r="F869" s="13" t="s">
        <v>2218</v>
      </c>
      <c r="G869" s="13">
        <v>110.15</v>
      </c>
      <c r="H869" s="13">
        <v>10.4</v>
      </c>
      <c r="I869" s="13">
        <v>98.69</v>
      </c>
      <c r="J869" s="24">
        <v>45875</v>
      </c>
      <c r="K869" s="13">
        <v>36</v>
      </c>
      <c r="L869" s="44">
        <v>1.6</v>
      </c>
      <c r="M869" s="13" t="b">
        <v>0</v>
      </c>
      <c r="O869" s="25">
        <f t="shared" si="52"/>
        <v>27</v>
      </c>
      <c r="P869" s="13">
        <f t="shared" si="53"/>
        <v>374.40000000000003</v>
      </c>
      <c r="Q869" s="13" t="str">
        <f t="shared" si="54"/>
        <v/>
      </c>
      <c r="R869" s="13" t="str">
        <f t="shared" si="55"/>
        <v>Diskon</v>
      </c>
    </row>
    <row r="870" spans="1:18" x14ac:dyDescent="0.25">
      <c r="A870" s="13" t="s">
        <v>882</v>
      </c>
      <c r="B870" s="13" t="s">
        <v>2190</v>
      </c>
      <c r="C870" s="13" t="s">
        <v>2203</v>
      </c>
      <c r="D870" s="13" t="s">
        <v>2204</v>
      </c>
      <c r="E870" s="13" t="s">
        <v>2212</v>
      </c>
      <c r="F870" s="13" t="s">
        <v>2219</v>
      </c>
      <c r="G870" s="13">
        <v>120.68</v>
      </c>
      <c r="H870" s="13">
        <v>0</v>
      </c>
      <c r="I870" s="13">
        <v>120.68</v>
      </c>
      <c r="J870" s="24">
        <v>45647</v>
      </c>
      <c r="K870" s="13">
        <v>6</v>
      </c>
      <c r="L870" s="44">
        <v>1.9</v>
      </c>
      <c r="M870" s="13" t="b">
        <v>0</v>
      </c>
      <c r="O870" s="25">
        <f t="shared" si="52"/>
        <v>255</v>
      </c>
      <c r="P870" s="13">
        <f t="shared" si="53"/>
        <v>0</v>
      </c>
      <c r="Q870" s="13" t="str">
        <f t="shared" si="54"/>
        <v/>
      </c>
      <c r="R870" s="13" t="str">
        <f t="shared" si="55"/>
        <v>Non diskon</v>
      </c>
    </row>
    <row r="871" spans="1:18" x14ac:dyDescent="0.25">
      <c r="A871" s="13" t="s">
        <v>883</v>
      </c>
      <c r="B871" s="13" t="s">
        <v>2192</v>
      </c>
      <c r="C871" s="13" t="s">
        <v>2196</v>
      </c>
      <c r="D871" s="13" t="s">
        <v>2206</v>
      </c>
      <c r="F871" s="13" t="s">
        <v>2216</v>
      </c>
      <c r="G871" s="13">
        <v>69.180000000000007</v>
      </c>
      <c r="H871" s="13">
        <v>31</v>
      </c>
      <c r="I871" s="13">
        <v>47.73</v>
      </c>
      <c r="J871" s="24">
        <v>45875</v>
      </c>
      <c r="K871" s="13">
        <v>9</v>
      </c>
      <c r="L871" s="44">
        <v>2.7</v>
      </c>
      <c r="M871" s="13" t="b">
        <v>1</v>
      </c>
      <c r="N871" s="13" t="s">
        <v>2226</v>
      </c>
      <c r="O871" s="25">
        <f t="shared" si="52"/>
        <v>27</v>
      </c>
      <c r="P871" s="13">
        <f t="shared" si="53"/>
        <v>279</v>
      </c>
      <c r="Q871" s="13">
        <f t="shared" si="54"/>
        <v>1</v>
      </c>
      <c r="R871" s="13" t="str">
        <f t="shared" si="55"/>
        <v>Diskon</v>
      </c>
    </row>
    <row r="872" spans="1:18" x14ac:dyDescent="0.25">
      <c r="A872" s="13" t="s">
        <v>884</v>
      </c>
      <c r="B872" s="13" t="s">
        <v>2195</v>
      </c>
      <c r="C872" s="13" t="s">
        <v>2201</v>
      </c>
      <c r="D872" s="13" t="s">
        <v>2206</v>
      </c>
      <c r="E872" s="13" t="s">
        <v>2209</v>
      </c>
      <c r="F872" s="13" t="s">
        <v>2214</v>
      </c>
      <c r="G872" s="13">
        <v>134.77000000000001</v>
      </c>
      <c r="H872" s="13">
        <v>0</v>
      </c>
      <c r="I872" s="13">
        <v>134.77000000000001</v>
      </c>
      <c r="J872" s="24">
        <v>45875</v>
      </c>
      <c r="K872" s="13">
        <v>36</v>
      </c>
      <c r="L872" s="44">
        <v>4.8</v>
      </c>
      <c r="M872" s="13" t="b">
        <v>0</v>
      </c>
      <c r="O872" s="25">
        <f t="shared" si="52"/>
        <v>27</v>
      </c>
      <c r="P872" s="13">
        <f t="shared" si="53"/>
        <v>0</v>
      </c>
      <c r="Q872" s="13" t="str">
        <f t="shared" si="54"/>
        <v/>
      </c>
      <c r="R872" s="13" t="str">
        <f t="shared" si="55"/>
        <v>Non diskon</v>
      </c>
    </row>
    <row r="873" spans="1:18" x14ac:dyDescent="0.25">
      <c r="A873" s="13" t="s">
        <v>885</v>
      </c>
      <c r="B873" s="13" t="s">
        <v>2191</v>
      </c>
      <c r="C873" s="13" t="s">
        <v>2197</v>
      </c>
      <c r="D873" s="13" t="s">
        <v>2204</v>
      </c>
      <c r="E873" s="13" t="s">
        <v>2210</v>
      </c>
      <c r="F873" s="13" t="s">
        <v>2216</v>
      </c>
      <c r="G873" s="13">
        <v>29.93</v>
      </c>
      <c r="H873" s="13">
        <v>0</v>
      </c>
      <c r="I873" s="13">
        <v>29.93</v>
      </c>
      <c r="J873" s="24">
        <v>45575</v>
      </c>
      <c r="K873" s="13">
        <v>13</v>
      </c>
      <c r="L873" s="44">
        <v>3.34</v>
      </c>
      <c r="M873" s="13" t="b">
        <v>0</v>
      </c>
      <c r="O873" s="25">
        <f t="shared" si="52"/>
        <v>327</v>
      </c>
      <c r="P873" s="13">
        <f t="shared" si="53"/>
        <v>0</v>
      </c>
      <c r="Q873" s="13" t="str">
        <f t="shared" si="54"/>
        <v/>
      </c>
      <c r="R873" s="13" t="str">
        <f t="shared" si="55"/>
        <v>Non diskon</v>
      </c>
    </row>
    <row r="874" spans="1:18" x14ac:dyDescent="0.25">
      <c r="A874" s="13" t="s">
        <v>886</v>
      </c>
      <c r="B874" s="13" t="s">
        <v>2192</v>
      </c>
      <c r="C874" s="13" t="s">
        <v>2202</v>
      </c>
      <c r="D874" s="13" t="s">
        <v>2205</v>
      </c>
      <c r="F874" s="13" t="s">
        <v>2217</v>
      </c>
      <c r="G874" s="13">
        <v>56.09</v>
      </c>
      <c r="H874" s="13">
        <v>0</v>
      </c>
      <c r="I874" s="13">
        <v>56.09</v>
      </c>
      <c r="J874" s="24">
        <v>45875</v>
      </c>
      <c r="K874" s="13">
        <v>21</v>
      </c>
      <c r="L874" s="44">
        <v>4.9000000000000004</v>
      </c>
      <c r="M874" s="13" t="b">
        <v>0</v>
      </c>
      <c r="O874" s="25">
        <f t="shared" si="52"/>
        <v>27</v>
      </c>
      <c r="P874" s="13">
        <f t="shared" si="53"/>
        <v>0</v>
      </c>
      <c r="Q874" s="13" t="str">
        <f t="shared" si="54"/>
        <v/>
      </c>
      <c r="R874" s="13" t="str">
        <f t="shared" si="55"/>
        <v>Non diskon</v>
      </c>
    </row>
    <row r="875" spans="1:18" x14ac:dyDescent="0.25">
      <c r="A875" s="13" t="s">
        <v>887</v>
      </c>
      <c r="B875" s="13" t="s">
        <v>2193</v>
      </c>
      <c r="C875" s="13" t="s">
        <v>2202</v>
      </c>
      <c r="D875" s="13" t="s">
        <v>2206</v>
      </c>
      <c r="E875" s="13" t="s">
        <v>2212</v>
      </c>
      <c r="F875" s="13" t="s">
        <v>2220</v>
      </c>
      <c r="G875" s="13">
        <v>124.81</v>
      </c>
      <c r="H875" s="13">
        <v>33.1</v>
      </c>
      <c r="I875" s="13">
        <v>83.5</v>
      </c>
      <c r="J875" s="24">
        <v>45875</v>
      </c>
      <c r="K875" s="13">
        <v>45</v>
      </c>
      <c r="L875" s="44">
        <v>2.4</v>
      </c>
      <c r="M875" s="13" t="b">
        <v>0</v>
      </c>
      <c r="O875" s="25">
        <f t="shared" si="52"/>
        <v>27</v>
      </c>
      <c r="P875" s="13">
        <f t="shared" si="53"/>
        <v>1489.5</v>
      </c>
      <c r="Q875" s="13" t="str">
        <f t="shared" si="54"/>
        <v/>
      </c>
      <c r="R875" s="13" t="str">
        <f t="shared" si="55"/>
        <v>Diskon</v>
      </c>
    </row>
    <row r="876" spans="1:18" x14ac:dyDescent="0.25">
      <c r="A876" s="13" t="s">
        <v>888</v>
      </c>
      <c r="B876" s="13" t="s">
        <v>2195</v>
      </c>
      <c r="C876" s="13" t="s">
        <v>2196</v>
      </c>
      <c r="D876" s="13" t="s">
        <v>2204</v>
      </c>
      <c r="E876" s="13" t="s">
        <v>2213</v>
      </c>
      <c r="F876" s="13" t="s">
        <v>2217</v>
      </c>
      <c r="G876" s="13">
        <v>94.03</v>
      </c>
      <c r="H876" s="13">
        <v>56.1</v>
      </c>
      <c r="I876" s="13">
        <v>41.28</v>
      </c>
      <c r="J876" s="24">
        <v>45642</v>
      </c>
      <c r="K876" s="13">
        <v>16</v>
      </c>
      <c r="L876" s="44">
        <v>1.2</v>
      </c>
      <c r="M876" s="13" t="b">
        <v>0</v>
      </c>
      <c r="O876" s="25">
        <f t="shared" si="52"/>
        <v>260</v>
      </c>
      <c r="P876" s="13">
        <f t="shared" si="53"/>
        <v>897.6</v>
      </c>
      <c r="Q876" s="13" t="str">
        <f t="shared" si="54"/>
        <v/>
      </c>
      <c r="R876" s="13" t="str">
        <f t="shared" si="55"/>
        <v>Diskon</v>
      </c>
    </row>
    <row r="877" spans="1:18" x14ac:dyDescent="0.25">
      <c r="A877" s="13" t="s">
        <v>889</v>
      </c>
      <c r="B877" s="13" t="s">
        <v>2193</v>
      </c>
      <c r="C877" s="13" t="s">
        <v>2196</v>
      </c>
      <c r="D877" s="13" t="s">
        <v>2206</v>
      </c>
      <c r="E877" s="13" t="s">
        <v>2212</v>
      </c>
      <c r="F877" s="13" t="s">
        <v>2214</v>
      </c>
      <c r="G877" s="13">
        <v>109.51</v>
      </c>
      <c r="H877" s="13">
        <v>8.1999999999999993</v>
      </c>
      <c r="I877" s="13">
        <v>100.53</v>
      </c>
      <c r="J877" s="24">
        <v>45875</v>
      </c>
      <c r="K877" s="13">
        <v>12</v>
      </c>
      <c r="L877" s="44">
        <v>2.9153846153846157</v>
      </c>
      <c r="M877" s="13" t="b">
        <v>0</v>
      </c>
      <c r="O877" s="25">
        <f t="shared" si="52"/>
        <v>27</v>
      </c>
      <c r="P877" s="13">
        <f t="shared" si="53"/>
        <v>98.399999999999991</v>
      </c>
      <c r="Q877" s="13" t="str">
        <f t="shared" si="54"/>
        <v/>
      </c>
      <c r="R877" s="13" t="str">
        <f t="shared" si="55"/>
        <v>Diskon</v>
      </c>
    </row>
    <row r="878" spans="1:18" x14ac:dyDescent="0.25">
      <c r="A878" s="13" t="s">
        <v>890</v>
      </c>
      <c r="B878" s="13" t="s">
        <v>2192</v>
      </c>
      <c r="C878" s="13" t="s">
        <v>2199</v>
      </c>
      <c r="D878" s="13" t="s">
        <v>2205</v>
      </c>
      <c r="F878" s="13" t="s">
        <v>2222</v>
      </c>
      <c r="G878" s="13">
        <v>31.13</v>
      </c>
      <c r="H878" s="13">
        <v>0</v>
      </c>
      <c r="I878" s="13">
        <v>31.13</v>
      </c>
      <c r="J878" s="24">
        <v>45875</v>
      </c>
      <c r="K878" s="13">
        <v>29</v>
      </c>
      <c r="L878" s="44">
        <v>4.7</v>
      </c>
      <c r="M878" s="13" t="b">
        <v>0</v>
      </c>
      <c r="O878" s="25">
        <f t="shared" si="52"/>
        <v>27</v>
      </c>
      <c r="P878" s="13">
        <f t="shared" si="53"/>
        <v>0</v>
      </c>
      <c r="Q878" s="13" t="str">
        <f t="shared" si="54"/>
        <v/>
      </c>
      <c r="R878" s="13" t="str">
        <f t="shared" si="55"/>
        <v>Non diskon</v>
      </c>
    </row>
    <row r="879" spans="1:18" x14ac:dyDescent="0.25">
      <c r="A879" s="13" t="s">
        <v>891</v>
      </c>
      <c r="B879" s="13" t="s">
        <v>2192</v>
      </c>
      <c r="C879" s="13" t="s">
        <v>2198</v>
      </c>
      <c r="D879" s="13" t="s">
        <v>2206</v>
      </c>
      <c r="F879" s="13" t="s">
        <v>2219</v>
      </c>
      <c r="G879" s="13">
        <v>66.3</v>
      </c>
      <c r="H879" s="13">
        <v>1.7</v>
      </c>
      <c r="I879" s="13">
        <v>65.17</v>
      </c>
      <c r="J879" s="24">
        <v>45875</v>
      </c>
      <c r="K879" s="13">
        <v>28</v>
      </c>
      <c r="L879" s="44">
        <v>1.6</v>
      </c>
      <c r="M879" s="13" t="b">
        <v>0</v>
      </c>
      <c r="O879" s="25">
        <f t="shared" si="52"/>
        <v>27</v>
      </c>
      <c r="P879" s="13">
        <f t="shared" si="53"/>
        <v>47.6</v>
      </c>
      <c r="Q879" s="13" t="str">
        <f t="shared" si="54"/>
        <v/>
      </c>
      <c r="R879" s="13" t="str">
        <f t="shared" si="55"/>
        <v>Diskon</v>
      </c>
    </row>
    <row r="880" spans="1:18" x14ac:dyDescent="0.25">
      <c r="A880" s="13" t="s">
        <v>892</v>
      </c>
      <c r="B880" s="13" t="s">
        <v>2194</v>
      </c>
      <c r="C880" s="13" t="s">
        <v>2200</v>
      </c>
      <c r="D880" s="13" t="s">
        <v>2205</v>
      </c>
      <c r="E880" s="13" t="s">
        <v>2213</v>
      </c>
      <c r="F880" s="13" t="s">
        <v>2214</v>
      </c>
      <c r="G880" s="13">
        <v>66.63</v>
      </c>
      <c r="H880" s="13">
        <v>28.4</v>
      </c>
      <c r="I880" s="13">
        <v>47.71</v>
      </c>
      <c r="J880" s="24">
        <v>45875</v>
      </c>
      <c r="K880" s="13">
        <v>32</v>
      </c>
      <c r="L880" s="44">
        <v>2</v>
      </c>
      <c r="M880" s="13" t="b">
        <v>0</v>
      </c>
      <c r="O880" s="25">
        <f t="shared" si="52"/>
        <v>27</v>
      </c>
      <c r="P880" s="13">
        <f t="shared" si="53"/>
        <v>908.8</v>
      </c>
      <c r="Q880" s="13" t="str">
        <f t="shared" si="54"/>
        <v/>
      </c>
      <c r="R880" s="13" t="str">
        <f t="shared" si="55"/>
        <v>Diskon</v>
      </c>
    </row>
    <row r="881" spans="1:18" x14ac:dyDescent="0.25">
      <c r="A881" s="13" t="s">
        <v>893</v>
      </c>
      <c r="B881" s="13" t="s">
        <v>2194</v>
      </c>
      <c r="C881" s="13" t="s">
        <v>2199</v>
      </c>
      <c r="D881" s="13" t="s">
        <v>2204</v>
      </c>
      <c r="E881" s="13" t="s">
        <v>2209</v>
      </c>
      <c r="F881" s="13" t="s">
        <v>2220</v>
      </c>
      <c r="G881" s="13">
        <v>117.63</v>
      </c>
      <c r="H881" s="13">
        <v>0</v>
      </c>
      <c r="I881" s="13">
        <v>117.63</v>
      </c>
      <c r="J881" s="24">
        <v>45563</v>
      </c>
      <c r="K881" s="13">
        <v>18</v>
      </c>
      <c r="L881" s="44">
        <v>1.2</v>
      </c>
      <c r="M881" s="13" t="b">
        <v>0</v>
      </c>
      <c r="O881" s="25">
        <f t="shared" si="52"/>
        <v>339</v>
      </c>
      <c r="P881" s="13">
        <f t="shared" si="53"/>
        <v>0</v>
      </c>
      <c r="Q881" s="13" t="str">
        <f t="shared" si="54"/>
        <v/>
      </c>
      <c r="R881" s="13" t="str">
        <f t="shared" si="55"/>
        <v>Non diskon</v>
      </c>
    </row>
    <row r="882" spans="1:18" x14ac:dyDescent="0.25">
      <c r="A882" s="13" t="s">
        <v>894</v>
      </c>
      <c r="B882" s="13" t="s">
        <v>2193</v>
      </c>
      <c r="C882" s="13" t="s">
        <v>2198</v>
      </c>
      <c r="D882" s="13" t="s">
        <v>2205</v>
      </c>
      <c r="E882" s="13" t="s">
        <v>2213</v>
      </c>
      <c r="F882" s="13" t="s">
        <v>2223</v>
      </c>
      <c r="G882" s="13">
        <v>174.53</v>
      </c>
      <c r="H882" s="13">
        <v>0</v>
      </c>
      <c r="I882" s="13">
        <v>174.53</v>
      </c>
      <c r="J882" s="24">
        <v>45875</v>
      </c>
      <c r="K882" s="13">
        <v>45</v>
      </c>
      <c r="L882" s="44">
        <v>3.1936170212765949</v>
      </c>
      <c r="M882" s="13" t="b">
        <v>0</v>
      </c>
      <c r="O882" s="25">
        <f t="shared" si="52"/>
        <v>27</v>
      </c>
      <c r="P882" s="13">
        <f t="shared" si="53"/>
        <v>0</v>
      </c>
      <c r="Q882" s="13" t="str">
        <f t="shared" si="54"/>
        <v/>
      </c>
      <c r="R882" s="13" t="str">
        <f t="shared" si="55"/>
        <v>Non diskon</v>
      </c>
    </row>
    <row r="883" spans="1:18" x14ac:dyDescent="0.25">
      <c r="A883" s="13" t="s">
        <v>895</v>
      </c>
      <c r="B883" s="13" t="s">
        <v>2195</v>
      </c>
      <c r="C883" s="13" t="s">
        <v>2196</v>
      </c>
      <c r="D883" s="13" t="s">
        <v>2205</v>
      </c>
      <c r="E883" s="13" t="s">
        <v>2210</v>
      </c>
      <c r="F883" s="13" t="s">
        <v>2220</v>
      </c>
      <c r="G883" s="13">
        <v>152.65</v>
      </c>
      <c r="H883" s="13">
        <v>0</v>
      </c>
      <c r="I883" s="13">
        <v>152.65</v>
      </c>
      <c r="J883" s="24">
        <v>45875</v>
      </c>
      <c r="K883" s="13">
        <v>27</v>
      </c>
      <c r="L883" s="44">
        <v>3.7</v>
      </c>
      <c r="M883" s="13" t="b">
        <v>0</v>
      </c>
      <c r="O883" s="25">
        <f t="shared" si="52"/>
        <v>27</v>
      </c>
      <c r="P883" s="13">
        <f t="shared" si="53"/>
        <v>0</v>
      </c>
      <c r="Q883" s="13" t="str">
        <f t="shared" si="54"/>
        <v/>
      </c>
      <c r="R883" s="13" t="str">
        <f t="shared" si="55"/>
        <v>Non diskon</v>
      </c>
    </row>
    <row r="884" spans="1:18" x14ac:dyDescent="0.25">
      <c r="A884" s="13" t="s">
        <v>896</v>
      </c>
      <c r="B884" s="13" t="s">
        <v>2190</v>
      </c>
      <c r="C884" s="13" t="s">
        <v>2201</v>
      </c>
      <c r="D884" s="13" t="s">
        <v>2207</v>
      </c>
      <c r="E884" s="13" t="s">
        <v>2208</v>
      </c>
      <c r="F884" s="13" t="s">
        <v>2219</v>
      </c>
      <c r="G884" s="13">
        <v>83.24</v>
      </c>
      <c r="H884" s="13">
        <v>0</v>
      </c>
      <c r="I884" s="13">
        <v>83.24</v>
      </c>
      <c r="J884" s="24">
        <v>45875</v>
      </c>
      <c r="K884" s="13">
        <v>16</v>
      </c>
      <c r="L884" s="44">
        <v>3.0305555555555546</v>
      </c>
      <c r="M884" s="13" t="b">
        <v>0</v>
      </c>
      <c r="O884" s="25">
        <f t="shared" si="52"/>
        <v>27</v>
      </c>
      <c r="P884" s="13">
        <f t="shared" si="53"/>
        <v>0</v>
      </c>
      <c r="Q884" s="13" t="str">
        <f t="shared" si="54"/>
        <v/>
      </c>
      <c r="R884" s="13" t="str">
        <f t="shared" si="55"/>
        <v>Non diskon</v>
      </c>
    </row>
    <row r="885" spans="1:18" x14ac:dyDescent="0.25">
      <c r="A885" s="13" t="s">
        <v>897</v>
      </c>
      <c r="B885" s="13" t="s">
        <v>2192</v>
      </c>
      <c r="C885" s="13" t="s">
        <v>2196</v>
      </c>
      <c r="D885" s="13" t="s">
        <v>2205</v>
      </c>
      <c r="F885" s="13" t="s">
        <v>2224</v>
      </c>
      <c r="G885" s="13">
        <v>40.18</v>
      </c>
      <c r="H885" s="13">
        <v>0</v>
      </c>
      <c r="I885" s="13">
        <v>40.18</v>
      </c>
      <c r="J885" s="24">
        <v>45875</v>
      </c>
      <c r="K885" s="13">
        <v>27</v>
      </c>
      <c r="L885" s="44">
        <v>4.7</v>
      </c>
      <c r="M885" s="13" t="b">
        <v>0</v>
      </c>
      <c r="O885" s="25">
        <f t="shared" si="52"/>
        <v>27</v>
      </c>
      <c r="P885" s="13">
        <f t="shared" si="53"/>
        <v>0</v>
      </c>
      <c r="Q885" s="13" t="str">
        <f t="shared" si="54"/>
        <v/>
      </c>
      <c r="R885" s="13" t="str">
        <f t="shared" si="55"/>
        <v>Non diskon</v>
      </c>
    </row>
    <row r="886" spans="1:18" x14ac:dyDescent="0.25">
      <c r="A886" s="13" t="s">
        <v>898</v>
      </c>
      <c r="B886" s="13" t="s">
        <v>2194</v>
      </c>
      <c r="C886" s="13" t="s">
        <v>2199</v>
      </c>
      <c r="D886" s="13" t="s">
        <v>2204</v>
      </c>
      <c r="E886" s="13" t="s">
        <v>2208</v>
      </c>
      <c r="F886" s="13" t="s">
        <v>2214</v>
      </c>
      <c r="G886" s="13">
        <v>73.77</v>
      </c>
      <c r="H886" s="13">
        <v>22.8</v>
      </c>
      <c r="I886" s="13">
        <v>56.95</v>
      </c>
      <c r="J886" s="24">
        <v>45522</v>
      </c>
      <c r="K886" s="13">
        <v>0</v>
      </c>
      <c r="L886" s="44">
        <v>2.8142857142857149</v>
      </c>
      <c r="M886" s="13" t="b">
        <v>0</v>
      </c>
      <c r="O886" s="25">
        <f t="shared" si="52"/>
        <v>380</v>
      </c>
      <c r="P886" s="13">
        <f t="shared" si="53"/>
        <v>0</v>
      </c>
      <c r="Q886" s="13" t="str">
        <f t="shared" si="54"/>
        <v/>
      </c>
      <c r="R886" s="13" t="str">
        <f t="shared" si="55"/>
        <v>Diskon</v>
      </c>
    </row>
    <row r="887" spans="1:18" x14ac:dyDescent="0.25">
      <c r="A887" s="13" t="s">
        <v>899</v>
      </c>
      <c r="B887" s="13" t="s">
        <v>2192</v>
      </c>
      <c r="C887" s="13" t="s">
        <v>2203</v>
      </c>
      <c r="D887" s="13" t="s">
        <v>2205</v>
      </c>
      <c r="F887" s="13" t="s">
        <v>2214</v>
      </c>
      <c r="G887" s="13">
        <v>71.3</v>
      </c>
      <c r="H887" s="13">
        <v>0</v>
      </c>
      <c r="I887" s="13">
        <v>71.3</v>
      </c>
      <c r="J887" s="24">
        <v>45875</v>
      </c>
      <c r="K887" s="13">
        <v>29</v>
      </c>
      <c r="L887" s="44">
        <v>2.8636363636363633</v>
      </c>
      <c r="M887" s="13" t="b">
        <v>0</v>
      </c>
      <c r="O887" s="25">
        <f t="shared" si="52"/>
        <v>27</v>
      </c>
      <c r="P887" s="13">
        <f t="shared" si="53"/>
        <v>0</v>
      </c>
      <c r="Q887" s="13" t="str">
        <f t="shared" si="54"/>
        <v/>
      </c>
      <c r="R887" s="13" t="str">
        <f t="shared" si="55"/>
        <v>Non diskon</v>
      </c>
    </row>
    <row r="888" spans="1:18" x14ac:dyDescent="0.25">
      <c r="A888" s="13" t="s">
        <v>900</v>
      </c>
      <c r="B888" s="13" t="s">
        <v>2192</v>
      </c>
      <c r="C888" s="13" t="s">
        <v>2203</v>
      </c>
      <c r="D888" s="13" t="s">
        <v>2207</v>
      </c>
      <c r="F888" s="13" t="s">
        <v>2221</v>
      </c>
      <c r="G888" s="13">
        <v>50.3</v>
      </c>
      <c r="H888" s="13">
        <v>52.8</v>
      </c>
      <c r="I888" s="13">
        <v>23.74</v>
      </c>
      <c r="J888" s="24">
        <v>45875</v>
      </c>
      <c r="K888" s="13">
        <v>11</v>
      </c>
      <c r="L888" s="44">
        <v>2.8636363636363633</v>
      </c>
      <c r="M888" s="13" t="b">
        <v>0</v>
      </c>
      <c r="O888" s="25">
        <f t="shared" si="52"/>
        <v>27</v>
      </c>
      <c r="P888" s="13">
        <f t="shared" si="53"/>
        <v>580.79999999999995</v>
      </c>
      <c r="Q888" s="13" t="str">
        <f t="shared" si="54"/>
        <v/>
      </c>
      <c r="R888" s="13" t="str">
        <f t="shared" si="55"/>
        <v>Diskon</v>
      </c>
    </row>
    <row r="889" spans="1:18" x14ac:dyDescent="0.25">
      <c r="A889" s="13" t="s">
        <v>901</v>
      </c>
      <c r="B889" s="13" t="s">
        <v>2192</v>
      </c>
      <c r="C889" s="13" t="s">
        <v>2200</v>
      </c>
      <c r="D889" s="13" t="s">
        <v>2204</v>
      </c>
      <c r="F889" s="13" t="s">
        <v>2220</v>
      </c>
      <c r="G889" s="13">
        <v>46.97</v>
      </c>
      <c r="H889" s="13">
        <v>0</v>
      </c>
      <c r="I889" s="13">
        <v>46.97</v>
      </c>
      <c r="J889" s="24">
        <v>45712</v>
      </c>
      <c r="K889" s="13">
        <v>33</v>
      </c>
      <c r="L889" s="44">
        <v>2.6</v>
      </c>
      <c r="M889" s="13" t="b">
        <v>0</v>
      </c>
      <c r="O889" s="25">
        <f t="shared" si="52"/>
        <v>190</v>
      </c>
      <c r="P889" s="13">
        <f t="shared" si="53"/>
        <v>0</v>
      </c>
      <c r="Q889" s="13" t="str">
        <f t="shared" si="54"/>
        <v/>
      </c>
      <c r="R889" s="13" t="str">
        <f t="shared" si="55"/>
        <v>Non diskon</v>
      </c>
    </row>
    <row r="890" spans="1:18" x14ac:dyDescent="0.25">
      <c r="A890" s="13" t="s">
        <v>902</v>
      </c>
      <c r="B890" s="13" t="s">
        <v>2193</v>
      </c>
      <c r="C890" s="13" t="s">
        <v>2196</v>
      </c>
      <c r="D890" s="13" t="s">
        <v>2206</v>
      </c>
      <c r="F890" s="13" t="s">
        <v>2224</v>
      </c>
      <c r="G890" s="13">
        <v>162.9</v>
      </c>
      <c r="H890" s="13">
        <v>0</v>
      </c>
      <c r="I890" s="13">
        <v>162.9</v>
      </c>
      <c r="J890" s="24">
        <v>45875</v>
      </c>
      <c r="K890" s="13">
        <v>30</v>
      </c>
      <c r="L890" s="44">
        <v>1.9</v>
      </c>
      <c r="M890" s="13" t="b">
        <v>0</v>
      </c>
      <c r="O890" s="25">
        <f t="shared" si="52"/>
        <v>27</v>
      </c>
      <c r="P890" s="13">
        <f t="shared" si="53"/>
        <v>0</v>
      </c>
      <c r="Q890" s="13" t="str">
        <f t="shared" si="54"/>
        <v/>
      </c>
      <c r="R890" s="13" t="str">
        <f t="shared" si="55"/>
        <v>Non diskon</v>
      </c>
    </row>
    <row r="891" spans="1:18" x14ac:dyDescent="0.25">
      <c r="A891" s="13" t="s">
        <v>903</v>
      </c>
      <c r="B891" s="13" t="s">
        <v>2194</v>
      </c>
      <c r="C891" s="13" t="s">
        <v>2203</v>
      </c>
      <c r="D891" s="13" t="s">
        <v>2205</v>
      </c>
      <c r="E891" s="13" t="s">
        <v>2208</v>
      </c>
      <c r="F891" s="13" t="s">
        <v>2217</v>
      </c>
      <c r="G891" s="13">
        <v>57.14</v>
      </c>
      <c r="H891" s="13">
        <v>0</v>
      </c>
      <c r="I891" s="13">
        <v>57.14</v>
      </c>
      <c r="J891" s="24">
        <v>45875</v>
      </c>
      <c r="K891" s="13">
        <v>39</v>
      </c>
      <c r="L891" s="44">
        <v>1.4</v>
      </c>
      <c r="M891" s="13" t="b">
        <v>0</v>
      </c>
      <c r="O891" s="25">
        <f t="shared" si="52"/>
        <v>27</v>
      </c>
      <c r="P891" s="13">
        <f t="shared" si="53"/>
        <v>0</v>
      </c>
      <c r="Q891" s="13" t="str">
        <f t="shared" si="54"/>
        <v/>
      </c>
      <c r="R891" s="13" t="str">
        <f t="shared" si="55"/>
        <v>Non diskon</v>
      </c>
    </row>
    <row r="892" spans="1:18" x14ac:dyDescent="0.25">
      <c r="A892" s="13" t="s">
        <v>904</v>
      </c>
      <c r="B892" s="13" t="s">
        <v>2193</v>
      </c>
      <c r="C892" s="13" t="s">
        <v>2201</v>
      </c>
      <c r="D892" s="13" t="s">
        <v>2204</v>
      </c>
      <c r="E892" s="13" t="s">
        <v>2209</v>
      </c>
      <c r="F892" s="13" t="s">
        <v>2223</v>
      </c>
      <c r="G892" s="13">
        <v>93.6</v>
      </c>
      <c r="H892" s="13">
        <v>0</v>
      </c>
      <c r="I892" s="13">
        <v>93.6</v>
      </c>
      <c r="J892" s="24">
        <v>45544</v>
      </c>
      <c r="K892" s="13">
        <v>49</v>
      </c>
      <c r="L892" s="44">
        <v>4.3</v>
      </c>
      <c r="M892" s="13" t="b">
        <v>0</v>
      </c>
      <c r="O892" s="25">
        <f t="shared" si="52"/>
        <v>358</v>
      </c>
      <c r="P892" s="13">
        <f t="shared" si="53"/>
        <v>0</v>
      </c>
      <c r="Q892" s="13" t="str">
        <f t="shared" si="54"/>
        <v/>
      </c>
      <c r="R892" s="13" t="str">
        <f t="shared" si="55"/>
        <v>Non diskon</v>
      </c>
    </row>
    <row r="893" spans="1:18" x14ac:dyDescent="0.25">
      <c r="A893" s="13" t="s">
        <v>905</v>
      </c>
      <c r="B893" s="13" t="s">
        <v>2192</v>
      </c>
      <c r="C893" s="13" t="s">
        <v>2203</v>
      </c>
      <c r="D893" s="13" t="s">
        <v>2204</v>
      </c>
      <c r="F893" s="13" t="s">
        <v>2224</v>
      </c>
      <c r="G893" s="13">
        <v>64.56</v>
      </c>
      <c r="H893" s="13">
        <v>43</v>
      </c>
      <c r="I893" s="13">
        <v>36.799999999999997</v>
      </c>
      <c r="J893" s="24">
        <v>45510</v>
      </c>
      <c r="K893" s="13">
        <v>36</v>
      </c>
      <c r="L893" s="44">
        <v>3.9</v>
      </c>
      <c r="M893" s="13" t="b">
        <v>0</v>
      </c>
      <c r="O893" s="25">
        <f t="shared" si="52"/>
        <v>392</v>
      </c>
      <c r="P893" s="13">
        <f t="shared" si="53"/>
        <v>1548</v>
      </c>
      <c r="Q893" s="13" t="str">
        <f t="shared" si="54"/>
        <v/>
      </c>
      <c r="R893" s="13" t="str">
        <f t="shared" si="55"/>
        <v>Diskon</v>
      </c>
    </row>
    <row r="894" spans="1:18" x14ac:dyDescent="0.25">
      <c r="A894" s="13" t="s">
        <v>906</v>
      </c>
      <c r="B894" s="13" t="s">
        <v>2190</v>
      </c>
      <c r="C894" s="13" t="s">
        <v>2201</v>
      </c>
      <c r="D894" s="13" t="s">
        <v>2205</v>
      </c>
      <c r="E894" s="13" t="s">
        <v>2210</v>
      </c>
      <c r="F894" s="13" t="s">
        <v>2222</v>
      </c>
      <c r="G894" s="13">
        <v>142.34</v>
      </c>
      <c r="H894" s="13">
        <v>0</v>
      </c>
      <c r="I894" s="13">
        <v>142.34</v>
      </c>
      <c r="J894" s="24">
        <v>45875</v>
      </c>
      <c r="K894" s="13">
        <v>43</v>
      </c>
      <c r="L894" s="44">
        <v>3.0305555555555546</v>
      </c>
      <c r="M894" s="13" t="b">
        <v>0</v>
      </c>
      <c r="O894" s="25">
        <f t="shared" si="52"/>
        <v>27</v>
      </c>
      <c r="P894" s="13">
        <f t="shared" si="53"/>
        <v>0</v>
      </c>
      <c r="Q894" s="13" t="str">
        <f t="shared" si="54"/>
        <v/>
      </c>
      <c r="R894" s="13" t="str">
        <f t="shared" si="55"/>
        <v>Non diskon</v>
      </c>
    </row>
    <row r="895" spans="1:18" x14ac:dyDescent="0.25">
      <c r="A895" s="13" t="s">
        <v>907</v>
      </c>
      <c r="B895" s="13" t="s">
        <v>2193</v>
      </c>
      <c r="C895" s="13" t="s">
        <v>2202</v>
      </c>
      <c r="D895" s="13" t="s">
        <v>2204</v>
      </c>
      <c r="E895" s="13" t="s">
        <v>2212</v>
      </c>
      <c r="F895" s="13" t="s">
        <v>2217</v>
      </c>
      <c r="G895" s="13">
        <v>111.02</v>
      </c>
      <c r="H895" s="13">
        <v>57.8</v>
      </c>
      <c r="I895" s="13">
        <v>46.85</v>
      </c>
      <c r="J895" s="24">
        <v>45796</v>
      </c>
      <c r="K895" s="13">
        <v>11</v>
      </c>
      <c r="L895" s="44">
        <v>2.2000000000000002</v>
      </c>
      <c r="M895" s="13" t="b">
        <v>0</v>
      </c>
      <c r="O895" s="25">
        <f t="shared" si="52"/>
        <v>106</v>
      </c>
      <c r="P895" s="13">
        <f t="shared" si="53"/>
        <v>635.79999999999995</v>
      </c>
      <c r="Q895" s="13" t="str">
        <f t="shared" si="54"/>
        <v/>
      </c>
      <c r="R895" s="13" t="str">
        <f t="shared" si="55"/>
        <v>Diskon</v>
      </c>
    </row>
    <row r="896" spans="1:18" x14ac:dyDescent="0.25">
      <c r="A896" s="13" t="s">
        <v>908</v>
      </c>
      <c r="B896" s="13" t="s">
        <v>2191</v>
      </c>
      <c r="C896" s="13" t="s">
        <v>2198</v>
      </c>
      <c r="D896" s="13" t="s">
        <v>2205</v>
      </c>
      <c r="F896" s="13" t="s">
        <v>2216</v>
      </c>
      <c r="G896" s="13">
        <v>29.16</v>
      </c>
      <c r="H896" s="13">
        <v>49</v>
      </c>
      <c r="I896" s="13">
        <v>14.87</v>
      </c>
      <c r="J896" s="24">
        <v>45875</v>
      </c>
      <c r="K896" s="13">
        <v>31</v>
      </c>
      <c r="L896" s="44">
        <v>2.953125</v>
      </c>
      <c r="M896" s="13" t="b">
        <v>0</v>
      </c>
      <c r="O896" s="25">
        <f t="shared" si="52"/>
        <v>27</v>
      </c>
      <c r="P896" s="13">
        <f t="shared" si="53"/>
        <v>1519</v>
      </c>
      <c r="Q896" s="13" t="str">
        <f t="shared" si="54"/>
        <v/>
      </c>
      <c r="R896" s="13" t="str">
        <f t="shared" si="55"/>
        <v>Diskon</v>
      </c>
    </row>
    <row r="897" spans="1:18" x14ac:dyDescent="0.25">
      <c r="A897" s="13" t="s">
        <v>909</v>
      </c>
      <c r="B897" s="13" t="s">
        <v>2191</v>
      </c>
      <c r="C897" s="13" t="s">
        <v>2201</v>
      </c>
      <c r="D897" s="13" t="s">
        <v>2207</v>
      </c>
      <c r="E897" s="13" t="s">
        <v>2212</v>
      </c>
      <c r="F897" s="13" t="s">
        <v>2216</v>
      </c>
      <c r="G897" s="13">
        <v>30.46</v>
      </c>
      <c r="H897" s="13">
        <v>0</v>
      </c>
      <c r="I897" s="13">
        <v>30.46</v>
      </c>
      <c r="J897" s="24">
        <v>45875</v>
      </c>
      <c r="K897" s="13">
        <v>19</v>
      </c>
      <c r="L897" s="44">
        <v>1.2</v>
      </c>
      <c r="M897" s="13" t="b">
        <v>0</v>
      </c>
      <c r="O897" s="25">
        <f t="shared" si="52"/>
        <v>27</v>
      </c>
      <c r="P897" s="13">
        <f t="shared" si="53"/>
        <v>0</v>
      </c>
      <c r="Q897" s="13" t="str">
        <f t="shared" si="54"/>
        <v/>
      </c>
      <c r="R897" s="13" t="str">
        <f t="shared" si="55"/>
        <v>Non diskon</v>
      </c>
    </row>
    <row r="898" spans="1:18" x14ac:dyDescent="0.25">
      <c r="A898" s="13" t="s">
        <v>910</v>
      </c>
      <c r="B898" s="13" t="s">
        <v>2192</v>
      </c>
      <c r="C898" s="13" t="s">
        <v>2203</v>
      </c>
      <c r="D898" s="13" t="s">
        <v>2205</v>
      </c>
      <c r="F898" s="13" t="s">
        <v>2219</v>
      </c>
      <c r="G898" s="13">
        <v>31.32</v>
      </c>
      <c r="H898" s="13">
        <v>0</v>
      </c>
      <c r="I898" s="13">
        <v>31.32</v>
      </c>
      <c r="J898" s="24">
        <v>45875</v>
      </c>
      <c r="K898" s="13">
        <v>28</v>
      </c>
      <c r="L898" s="44">
        <v>2.7</v>
      </c>
      <c r="M898" s="13" t="b">
        <v>0</v>
      </c>
      <c r="O898" s="25">
        <f t="shared" si="52"/>
        <v>27</v>
      </c>
      <c r="P898" s="13">
        <f t="shared" si="53"/>
        <v>0</v>
      </c>
      <c r="Q898" s="13" t="str">
        <f t="shared" si="54"/>
        <v/>
      </c>
      <c r="R898" s="13" t="str">
        <f t="shared" si="55"/>
        <v>Non diskon</v>
      </c>
    </row>
    <row r="899" spans="1:18" x14ac:dyDescent="0.25">
      <c r="A899" s="13" t="s">
        <v>911</v>
      </c>
      <c r="B899" s="13" t="s">
        <v>2194</v>
      </c>
      <c r="C899" s="13" t="s">
        <v>2197</v>
      </c>
      <c r="D899" s="13" t="s">
        <v>2204</v>
      </c>
      <c r="E899" s="13" t="s">
        <v>2213</v>
      </c>
      <c r="F899" s="13" t="s">
        <v>2215</v>
      </c>
      <c r="G899" s="13">
        <v>61.78</v>
      </c>
      <c r="H899" s="13">
        <v>0</v>
      </c>
      <c r="I899" s="13">
        <v>61.78</v>
      </c>
      <c r="J899" s="24">
        <v>45868</v>
      </c>
      <c r="K899" s="13">
        <v>24</v>
      </c>
      <c r="L899" s="44">
        <v>3.5</v>
      </c>
      <c r="M899" s="13" t="b">
        <v>0</v>
      </c>
      <c r="O899" s="25">
        <f t="shared" ref="O899:O962" si="56">DATE(2025,9,2)-J899</f>
        <v>34</v>
      </c>
      <c r="P899" s="13">
        <f t="shared" ref="P899:P962" si="57">H899*K899</f>
        <v>0</v>
      </c>
      <c r="Q899" s="13" t="str">
        <f t="shared" ref="Q899:Q962" si="58">IF(M899=FALSE,"",1)</f>
        <v/>
      </c>
      <c r="R899" s="13" t="str">
        <f t="shared" ref="R899:R962" si="59">IF(H899=0,"Non diskon","Diskon")</f>
        <v>Non diskon</v>
      </c>
    </row>
    <row r="900" spans="1:18" x14ac:dyDescent="0.25">
      <c r="A900" s="13" t="s">
        <v>912</v>
      </c>
      <c r="B900" s="13" t="s">
        <v>2190</v>
      </c>
      <c r="C900" s="13" t="s">
        <v>2196</v>
      </c>
      <c r="D900" s="13" t="s">
        <v>2207</v>
      </c>
      <c r="E900" s="13" t="s">
        <v>2213</v>
      </c>
      <c r="F900" s="13" t="s">
        <v>2220</v>
      </c>
      <c r="G900" s="13">
        <v>126.27</v>
      </c>
      <c r="H900" s="13">
        <v>0</v>
      </c>
      <c r="I900" s="13">
        <v>126.27</v>
      </c>
      <c r="J900" s="24">
        <v>45875</v>
      </c>
      <c r="K900" s="13">
        <v>1</v>
      </c>
      <c r="L900" s="44">
        <v>4.7</v>
      </c>
      <c r="M900" s="13" t="b">
        <v>0</v>
      </c>
      <c r="O900" s="25">
        <f t="shared" si="56"/>
        <v>27</v>
      </c>
      <c r="P900" s="13">
        <f t="shared" si="57"/>
        <v>0</v>
      </c>
      <c r="Q900" s="13" t="str">
        <f t="shared" si="58"/>
        <v/>
      </c>
      <c r="R900" s="13" t="str">
        <f t="shared" si="59"/>
        <v>Non diskon</v>
      </c>
    </row>
    <row r="901" spans="1:18" x14ac:dyDescent="0.25">
      <c r="A901" s="13" t="s">
        <v>913</v>
      </c>
      <c r="B901" s="13" t="s">
        <v>2190</v>
      </c>
      <c r="C901" s="13" t="s">
        <v>2197</v>
      </c>
      <c r="D901" s="13" t="s">
        <v>2205</v>
      </c>
      <c r="E901" s="13" t="s">
        <v>2209</v>
      </c>
      <c r="F901" s="13" t="s">
        <v>2217</v>
      </c>
      <c r="G901" s="13">
        <v>147.53</v>
      </c>
      <c r="H901" s="13">
        <v>0</v>
      </c>
      <c r="I901" s="13">
        <v>147.53</v>
      </c>
      <c r="J901" s="24">
        <v>45875</v>
      </c>
      <c r="K901" s="13">
        <v>33</v>
      </c>
      <c r="L901" s="44">
        <v>4.7</v>
      </c>
      <c r="M901" s="13" t="b">
        <v>1</v>
      </c>
      <c r="N901" s="13" t="s">
        <v>2228</v>
      </c>
      <c r="O901" s="25">
        <f t="shared" si="56"/>
        <v>27</v>
      </c>
      <c r="P901" s="13">
        <f t="shared" si="57"/>
        <v>0</v>
      </c>
      <c r="Q901" s="13">
        <f t="shared" si="58"/>
        <v>1</v>
      </c>
      <c r="R901" s="13" t="str">
        <f t="shared" si="59"/>
        <v>Non diskon</v>
      </c>
    </row>
    <row r="902" spans="1:18" x14ac:dyDescent="0.25">
      <c r="A902" s="13" t="s">
        <v>914</v>
      </c>
      <c r="B902" s="13" t="s">
        <v>2192</v>
      </c>
      <c r="C902" s="13" t="s">
        <v>2198</v>
      </c>
      <c r="D902" s="13" t="s">
        <v>2207</v>
      </c>
      <c r="F902" s="13" t="s">
        <v>2214</v>
      </c>
      <c r="G902" s="13">
        <v>36.979999999999997</v>
      </c>
      <c r="H902" s="13">
        <v>12.2</v>
      </c>
      <c r="I902" s="13">
        <v>32.47</v>
      </c>
      <c r="J902" s="24">
        <v>45875</v>
      </c>
      <c r="K902" s="13">
        <v>14</v>
      </c>
      <c r="L902" s="44">
        <v>4.8</v>
      </c>
      <c r="M902" s="13" t="b">
        <v>0</v>
      </c>
      <c r="O902" s="25">
        <f t="shared" si="56"/>
        <v>27</v>
      </c>
      <c r="P902" s="13">
        <f t="shared" si="57"/>
        <v>170.79999999999998</v>
      </c>
      <c r="Q902" s="13" t="str">
        <f t="shared" si="58"/>
        <v/>
      </c>
      <c r="R902" s="13" t="str">
        <f t="shared" si="59"/>
        <v>Diskon</v>
      </c>
    </row>
    <row r="903" spans="1:18" x14ac:dyDescent="0.25">
      <c r="A903" s="13" t="s">
        <v>915</v>
      </c>
      <c r="B903" s="13" t="s">
        <v>2193</v>
      </c>
      <c r="C903" s="13" t="s">
        <v>2200</v>
      </c>
      <c r="D903" s="13" t="s">
        <v>2206</v>
      </c>
      <c r="E903" s="13" t="s">
        <v>2213</v>
      </c>
      <c r="F903" s="13" t="s">
        <v>2215</v>
      </c>
      <c r="G903" s="13">
        <v>172.41</v>
      </c>
      <c r="H903" s="13">
        <v>0</v>
      </c>
      <c r="I903" s="13">
        <v>172.41</v>
      </c>
      <c r="J903" s="24">
        <v>45875</v>
      </c>
      <c r="K903" s="13">
        <v>33</v>
      </c>
      <c r="L903" s="44">
        <v>2.2999999999999998</v>
      </c>
      <c r="M903" s="13" t="b">
        <v>0</v>
      </c>
      <c r="O903" s="25">
        <f t="shared" si="56"/>
        <v>27</v>
      </c>
      <c r="P903" s="13">
        <f t="shared" si="57"/>
        <v>0</v>
      </c>
      <c r="Q903" s="13" t="str">
        <f t="shared" si="58"/>
        <v/>
      </c>
      <c r="R903" s="13" t="str">
        <f t="shared" si="59"/>
        <v>Non diskon</v>
      </c>
    </row>
    <row r="904" spans="1:18" x14ac:dyDescent="0.25">
      <c r="A904" s="13" t="s">
        <v>916</v>
      </c>
      <c r="B904" s="13" t="s">
        <v>2192</v>
      </c>
      <c r="C904" s="13" t="s">
        <v>2200</v>
      </c>
      <c r="D904" s="13" t="s">
        <v>2204</v>
      </c>
      <c r="F904" s="13" t="s">
        <v>2215</v>
      </c>
      <c r="G904" s="13">
        <v>53.79</v>
      </c>
      <c r="H904" s="13">
        <v>16</v>
      </c>
      <c r="I904" s="13">
        <v>45.18</v>
      </c>
      <c r="J904" s="24">
        <v>45566</v>
      </c>
      <c r="K904" s="13">
        <v>32</v>
      </c>
      <c r="L904" s="44">
        <v>2.7333333333333334</v>
      </c>
      <c r="M904" s="13" t="b">
        <v>0</v>
      </c>
      <c r="O904" s="25">
        <f t="shared" si="56"/>
        <v>336</v>
      </c>
      <c r="P904" s="13">
        <f t="shared" si="57"/>
        <v>512</v>
      </c>
      <c r="Q904" s="13" t="str">
        <f t="shared" si="58"/>
        <v/>
      </c>
      <c r="R904" s="13" t="str">
        <f t="shared" si="59"/>
        <v>Diskon</v>
      </c>
    </row>
    <row r="905" spans="1:18" x14ac:dyDescent="0.25">
      <c r="A905" s="13" t="s">
        <v>917</v>
      </c>
      <c r="B905" s="13" t="s">
        <v>2193</v>
      </c>
      <c r="C905" s="13" t="s">
        <v>2199</v>
      </c>
      <c r="D905" s="13" t="s">
        <v>2207</v>
      </c>
      <c r="E905" s="13" t="s">
        <v>2212</v>
      </c>
      <c r="F905" s="13" t="s">
        <v>2221</v>
      </c>
      <c r="G905" s="13">
        <v>80.56</v>
      </c>
      <c r="H905" s="13">
        <v>0</v>
      </c>
      <c r="I905" s="13">
        <v>80.56</v>
      </c>
      <c r="J905" s="24">
        <v>45875</v>
      </c>
      <c r="K905" s="13">
        <v>7</v>
      </c>
      <c r="L905" s="44">
        <v>1.9</v>
      </c>
      <c r="M905" s="13" t="b">
        <v>0</v>
      </c>
      <c r="O905" s="25">
        <f t="shared" si="56"/>
        <v>27</v>
      </c>
      <c r="P905" s="13">
        <f t="shared" si="57"/>
        <v>0</v>
      </c>
      <c r="Q905" s="13" t="str">
        <f t="shared" si="58"/>
        <v/>
      </c>
      <c r="R905" s="13" t="str">
        <f t="shared" si="59"/>
        <v>Non diskon</v>
      </c>
    </row>
    <row r="906" spans="1:18" x14ac:dyDescent="0.25">
      <c r="A906" s="13" t="s">
        <v>918</v>
      </c>
      <c r="B906" s="13" t="s">
        <v>2192</v>
      </c>
      <c r="C906" s="13" t="s">
        <v>2199</v>
      </c>
      <c r="D906" s="13" t="s">
        <v>2206</v>
      </c>
      <c r="F906" s="13" t="s">
        <v>2215</v>
      </c>
      <c r="G906" s="13">
        <v>51.72</v>
      </c>
      <c r="H906" s="13">
        <v>0</v>
      </c>
      <c r="I906" s="13">
        <v>51.72</v>
      </c>
      <c r="J906" s="24">
        <v>45875</v>
      </c>
      <c r="K906" s="13">
        <v>35</v>
      </c>
      <c r="L906" s="44">
        <v>3.7</v>
      </c>
      <c r="M906" s="13" t="b">
        <v>1</v>
      </c>
      <c r="N906" s="13" t="s">
        <v>2227</v>
      </c>
      <c r="O906" s="25">
        <f t="shared" si="56"/>
        <v>27</v>
      </c>
      <c r="P906" s="13">
        <f t="shared" si="57"/>
        <v>0</v>
      </c>
      <c r="Q906" s="13">
        <f t="shared" si="58"/>
        <v>1</v>
      </c>
      <c r="R906" s="13" t="str">
        <f t="shared" si="59"/>
        <v>Non diskon</v>
      </c>
    </row>
    <row r="907" spans="1:18" x14ac:dyDescent="0.25">
      <c r="A907" s="13" t="s">
        <v>919</v>
      </c>
      <c r="B907" s="13" t="s">
        <v>2194</v>
      </c>
      <c r="C907" s="13" t="s">
        <v>2199</v>
      </c>
      <c r="D907" s="13" t="s">
        <v>2204</v>
      </c>
      <c r="E907" s="13" t="s">
        <v>2208</v>
      </c>
      <c r="F907" s="13" t="s">
        <v>2215</v>
      </c>
      <c r="G907" s="13">
        <v>107.22</v>
      </c>
      <c r="H907" s="13">
        <v>37.799999999999997</v>
      </c>
      <c r="I907" s="13">
        <v>66.69</v>
      </c>
      <c r="J907" s="24">
        <v>45849</v>
      </c>
      <c r="K907" s="13">
        <v>21</v>
      </c>
      <c r="L907" s="44">
        <v>2.9</v>
      </c>
      <c r="M907" s="13" t="b">
        <v>0</v>
      </c>
      <c r="O907" s="25">
        <f t="shared" si="56"/>
        <v>53</v>
      </c>
      <c r="P907" s="13">
        <f t="shared" si="57"/>
        <v>793.8</v>
      </c>
      <c r="Q907" s="13" t="str">
        <f t="shared" si="58"/>
        <v/>
      </c>
      <c r="R907" s="13" t="str">
        <f t="shared" si="59"/>
        <v>Diskon</v>
      </c>
    </row>
    <row r="908" spans="1:18" x14ac:dyDescent="0.25">
      <c r="A908" s="13" t="s">
        <v>920</v>
      </c>
      <c r="B908" s="13" t="s">
        <v>2193</v>
      </c>
      <c r="C908" s="13" t="s">
        <v>2200</v>
      </c>
      <c r="D908" s="13" t="s">
        <v>2206</v>
      </c>
      <c r="E908" s="13" t="s">
        <v>2211</v>
      </c>
      <c r="F908" s="13" t="s">
        <v>2220</v>
      </c>
      <c r="G908" s="13">
        <v>174.99</v>
      </c>
      <c r="H908" s="13">
        <v>50.1</v>
      </c>
      <c r="I908" s="13">
        <v>87.32</v>
      </c>
      <c r="J908" s="24">
        <v>45875</v>
      </c>
      <c r="K908" s="13">
        <v>7</v>
      </c>
      <c r="L908" s="44">
        <v>4.9000000000000004</v>
      </c>
      <c r="M908" s="13" t="b">
        <v>0</v>
      </c>
      <c r="O908" s="25">
        <f t="shared" si="56"/>
        <v>27</v>
      </c>
      <c r="P908" s="13">
        <f t="shared" si="57"/>
        <v>350.7</v>
      </c>
      <c r="Q908" s="13" t="str">
        <f t="shared" si="58"/>
        <v/>
      </c>
      <c r="R908" s="13" t="str">
        <f t="shared" si="59"/>
        <v>Diskon</v>
      </c>
    </row>
    <row r="909" spans="1:18" x14ac:dyDescent="0.25">
      <c r="A909" s="13" t="s">
        <v>921</v>
      </c>
      <c r="B909" s="13" t="s">
        <v>2195</v>
      </c>
      <c r="C909" s="13" t="s">
        <v>2203</v>
      </c>
      <c r="D909" s="13" t="s">
        <v>2204</v>
      </c>
      <c r="E909" s="13" t="s">
        <v>2210</v>
      </c>
      <c r="F909" s="13" t="s">
        <v>2219</v>
      </c>
      <c r="G909" s="13">
        <v>90.52</v>
      </c>
      <c r="H909" s="13">
        <v>53.2</v>
      </c>
      <c r="I909" s="13">
        <v>42.36</v>
      </c>
      <c r="J909" s="24">
        <v>45866</v>
      </c>
      <c r="K909" s="13">
        <v>37</v>
      </c>
      <c r="L909" s="44">
        <v>2.2000000000000002</v>
      </c>
      <c r="M909" s="13" t="b">
        <v>0</v>
      </c>
      <c r="O909" s="25">
        <f t="shared" si="56"/>
        <v>36</v>
      </c>
      <c r="P909" s="13">
        <f t="shared" si="57"/>
        <v>1968.4</v>
      </c>
      <c r="Q909" s="13" t="str">
        <f t="shared" si="58"/>
        <v/>
      </c>
      <c r="R909" s="13" t="str">
        <f t="shared" si="59"/>
        <v>Diskon</v>
      </c>
    </row>
    <row r="910" spans="1:18" x14ac:dyDescent="0.25">
      <c r="A910" s="13" t="s">
        <v>922</v>
      </c>
      <c r="B910" s="13" t="s">
        <v>2193</v>
      </c>
      <c r="C910" s="13" t="s">
        <v>2203</v>
      </c>
      <c r="D910" s="13" t="s">
        <v>2207</v>
      </c>
      <c r="E910" s="13" t="s">
        <v>2211</v>
      </c>
      <c r="F910" s="13" t="s">
        <v>2220</v>
      </c>
      <c r="G910" s="13">
        <v>94.93</v>
      </c>
      <c r="H910" s="13">
        <v>16.600000000000001</v>
      </c>
      <c r="I910" s="13">
        <v>79.17</v>
      </c>
      <c r="J910" s="24">
        <v>45875</v>
      </c>
      <c r="K910" s="13">
        <v>39</v>
      </c>
      <c r="L910" s="44">
        <v>4.8</v>
      </c>
      <c r="M910" s="13" t="b">
        <v>0</v>
      </c>
      <c r="O910" s="25">
        <f t="shared" si="56"/>
        <v>27</v>
      </c>
      <c r="P910" s="13">
        <f t="shared" si="57"/>
        <v>647.40000000000009</v>
      </c>
      <c r="Q910" s="13" t="str">
        <f t="shared" si="58"/>
        <v/>
      </c>
      <c r="R910" s="13" t="str">
        <f t="shared" si="59"/>
        <v>Diskon</v>
      </c>
    </row>
    <row r="911" spans="1:18" x14ac:dyDescent="0.25">
      <c r="A911" s="13" t="s">
        <v>923</v>
      </c>
      <c r="B911" s="13" t="s">
        <v>2193</v>
      </c>
      <c r="C911" s="13" t="s">
        <v>2198</v>
      </c>
      <c r="D911" s="13" t="s">
        <v>2205</v>
      </c>
      <c r="E911" s="13" t="s">
        <v>2212</v>
      </c>
      <c r="F911" s="13" t="s">
        <v>2218</v>
      </c>
      <c r="G911" s="13">
        <v>179.82</v>
      </c>
      <c r="H911" s="13">
        <v>0</v>
      </c>
      <c r="I911" s="13">
        <v>179.82</v>
      </c>
      <c r="J911" s="24">
        <v>45875</v>
      </c>
      <c r="K911" s="13">
        <v>28</v>
      </c>
      <c r="L911" s="44">
        <v>2.4</v>
      </c>
      <c r="M911" s="13" t="b">
        <v>1</v>
      </c>
      <c r="N911" s="13" t="s">
        <v>2227</v>
      </c>
      <c r="O911" s="25">
        <f t="shared" si="56"/>
        <v>27</v>
      </c>
      <c r="P911" s="13">
        <f t="shared" si="57"/>
        <v>0</v>
      </c>
      <c r="Q911" s="13">
        <f t="shared" si="58"/>
        <v>1</v>
      </c>
      <c r="R911" s="13" t="str">
        <f t="shared" si="59"/>
        <v>Non diskon</v>
      </c>
    </row>
    <row r="912" spans="1:18" x14ac:dyDescent="0.25">
      <c r="A912" s="13" t="s">
        <v>924</v>
      </c>
      <c r="B912" s="13" t="s">
        <v>2191</v>
      </c>
      <c r="C912" s="13" t="s">
        <v>2197</v>
      </c>
      <c r="D912" s="13" t="s">
        <v>2204</v>
      </c>
      <c r="F912" s="13" t="s">
        <v>2224</v>
      </c>
      <c r="G912" s="13">
        <v>101.96</v>
      </c>
      <c r="H912" s="13">
        <v>23.7</v>
      </c>
      <c r="I912" s="13">
        <v>77.8</v>
      </c>
      <c r="J912" s="24">
        <v>45798</v>
      </c>
      <c r="K912" s="13">
        <v>29</v>
      </c>
      <c r="L912" s="44">
        <v>3.6</v>
      </c>
      <c r="M912" s="13" t="b">
        <v>0</v>
      </c>
      <c r="O912" s="25">
        <f t="shared" si="56"/>
        <v>104</v>
      </c>
      <c r="P912" s="13">
        <f t="shared" si="57"/>
        <v>687.3</v>
      </c>
      <c r="Q912" s="13" t="str">
        <f t="shared" si="58"/>
        <v/>
      </c>
      <c r="R912" s="13" t="str">
        <f t="shared" si="59"/>
        <v>Diskon</v>
      </c>
    </row>
    <row r="913" spans="1:18" x14ac:dyDescent="0.25">
      <c r="A913" s="13" t="s">
        <v>925</v>
      </c>
      <c r="B913" s="13" t="s">
        <v>2194</v>
      </c>
      <c r="C913" s="13" t="s">
        <v>2198</v>
      </c>
      <c r="D913" s="13" t="s">
        <v>2204</v>
      </c>
      <c r="E913" s="13" t="s">
        <v>2210</v>
      </c>
      <c r="F913" s="13" t="s">
        <v>2220</v>
      </c>
      <c r="G913" s="13">
        <v>27.11</v>
      </c>
      <c r="H913" s="13">
        <v>16.2</v>
      </c>
      <c r="I913" s="13">
        <v>22.72</v>
      </c>
      <c r="J913" s="24">
        <v>45634</v>
      </c>
      <c r="K913" s="13">
        <v>10</v>
      </c>
      <c r="L913" s="44">
        <v>2.4</v>
      </c>
      <c r="M913" s="13" t="b">
        <v>1</v>
      </c>
      <c r="N913" s="13" t="s">
        <v>2229</v>
      </c>
      <c r="O913" s="25">
        <f t="shared" si="56"/>
        <v>268</v>
      </c>
      <c r="P913" s="13">
        <f t="shared" si="57"/>
        <v>162</v>
      </c>
      <c r="Q913" s="13">
        <f t="shared" si="58"/>
        <v>1</v>
      </c>
      <c r="R913" s="13" t="str">
        <f t="shared" si="59"/>
        <v>Diskon</v>
      </c>
    </row>
    <row r="914" spans="1:18" x14ac:dyDescent="0.25">
      <c r="A914" s="13" t="s">
        <v>926</v>
      </c>
      <c r="B914" s="13" t="s">
        <v>2190</v>
      </c>
      <c r="C914" s="13" t="s">
        <v>2202</v>
      </c>
      <c r="D914" s="13" t="s">
        <v>2207</v>
      </c>
      <c r="E914" s="13" t="s">
        <v>2210</v>
      </c>
      <c r="F914" s="13" t="s">
        <v>2216</v>
      </c>
      <c r="G914" s="13">
        <v>141.83000000000001</v>
      </c>
      <c r="H914" s="13">
        <v>0</v>
      </c>
      <c r="I914" s="13">
        <v>141.83000000000001</v>
      </c>
      <c r="J914" s="24">
        <v>45875</v>
      </c>
      <c r="K914" s="13">
        <v>2</v>
      </c>
      <c r="L914" s="44">
        <v>2.4</v>
      </c>
      <c r="M914" s="13" t="b">
        <v>1</v>
      </c>
      <c r="N914" s="13" t="s">
        <v>2225</v>
      </c>
      <c r="O914" s="25">
        <f t="shared" si="56"/>
        <v>27</v>
      </c>
      <c r="P914" s="13">
        <f t="shared" si="57"/>
        <v>0</v>
      </c>
      <c r="Q914" s="13">
        <f t="shared" si="58"/>
        <v>1</v>
      </c>
      <c r="R914" s="13" t="str">
        <f t="shared" si="59"/>
        <v>Non diskon</v>
      </c>
    </row>
    <row r="915" spans="1:18" x14ac:dyDescent="0.25">
      <c r="A915" s="13" t="s">
        <v>927</v>
      </c>
      <c r="B915" s="13" t="s">
        <v>2193</v>
      </c>
      <c r="C915" s="13" t="s">
        <v>2202</v>
      </c>
      <c r="D915" s="13" t="s">
        <v>2204</v>
      </c>
      <c r="F915" s="13" t="s">
        <v>2221</v>
      </c>
      <c r="G915" s="13">
        <v>156.34</v>
      </c>
      <c r="H915" s="13">
        <v>37</v>
      </c>
      <c r="I915" s="13">
        <v>98.49</v>
      </c>
      <c r="J915" s="24">
        <v>45760</v>
      </c>
      <c r="K915" s="13">
        <v>45</v>
      </c>
      <c r="L915" s="44">
        <v>2.9</v>
      </c>
      <c r="M915" s="13" t="b">
        <v>1</v>
      </c>
      <c r="N915" s="13" t="s">
        <v>2226</v>
      </c>
      <c r="O915" s="25">
        <f t="shared" si="56"/>
        <v>142</v>
      </c>
      <c r="P915" s="13">
        <f t="shared" si="57"/>
        <v>1665</v>
      </c>
      <c r="Q915" s="13">
        <f t="shared" si="58"/>
        <v>1</v>
      </c>
      <c r="R915" s="13" t="str">
        <f t="shared" si="59"/>
        <v>Diskon</v>
      </c>
    </row>
    <row r="916" spans="1:18" x14ac:dyDescent="0.25">
      <c r="A916" s="13" t="s">
        <v>928</v>
      </c>
      <c r="B916" s="13" t="s">
        <v>2191</v>
      </c>
      <c r="C916" s="13" t="s">
        <v>2203</v>
      </c>
      <c r="D916" s="13" t="s">
        <v>2207</v>
      </c>
      <c r="E916" s="13" t="s">
        <v>2212</v>
      </c>
      <c r="F916" s="13" t="s">
        <v>2224</v>
      </c>
      <c r="G916" s="13">
        <v>81.84</v>
      </c>
      <c r="H916" s="13">
        <v>0</v>
      </c>
      <c r="I916" s="13">
        <v>81.84</v>
      </c>
      <c r="J916" s="24">
        <v>45875</v>
      </c>
      <c r="K916" s="13">
        <v>41</v>
      </c>
      <c r="L916" s="44">
        <v>2.4</v>
      </c>
      <c r="M916" s="13" t="b">
        <v>0</v>
      </c>
      <c r="O916" s="25">
        <f t="shared" si="56"/>
        <v>27</v>
      </c>
      <c r="P916" s="13">
        <f t="shared" si="57"/>
        <v>0</v>
      </c>
      <c r="Q916" s="13" t="str">
        <f t="shared" si="58"/>
        <v/>
      </c>
      <c r="R916" s="13" t="str">
        <f t="shared" si="59"/>
        <v>Non diskon</v>
      </c>
    </row>
    <row r="917" spans="1:18" x14ac:dyDescent="0.25">
      <c r="A917" s="13" t="s">
        <v>929</v>
      </c>
      <c r="B917" s="13" t="s">
        <v>2194</v>
      </c>
      <c r="C917" s="13" t="s">
        <v>2200</v>
      </c>
      <c r="D917" s="13" t="s">
        <v>2206</v>
      </c>
      <c r="E917" s="13" t="s">
        <v>2209</v>
      </c>
      <c r="F917" s="13" t="s">
        <v>2216</v>
      </c>
      <c r="G917" s="13">
        <v>36.44</v>
      </c>
      <c r="H917" s="13">
        <v>19.899999999999999</v>
      </c>
      <c r="I917" s="13">
        <v>29.19</v>
      </c>
      <c r="J917" s="24">
        <v>45875</v>
      </c>
      <c r="K917" s="13">
        <v>39</v>
      </c>
      <c r="L917" s="44">
        <v>1.8</v>
      </c>
      <c r="M917" s="13" t="b">
        <v>0</v>
      </c>
      <c r="O917" s="25">
        <f t="shared" si="56"/>
        <v>27</v>
      </c>
      <c r="P917" s="13">
        <f t="shared" si="57"/>
        <v>776.09999999999991</v>
      </c>
      <c r="Q917" s="13" t="str">
        <f t="shared" si="58"/>
        <v/>
      </c>
      <c r="R917" s="13" t="str">
        <f t="shared" si="59"/>
        <v>Diskon</v>
      </c>
    </row>
    <row r="918" spans="1:18" x14ac:dyDescent="0.25">
      <c r="A918" s="13" t="s">
        <v>930</v>
      </c>
      <c r="B918" s="13" t="s">
        <v>2190</v>
      </c>
      <c r="C918" s="13" t="s">
        <v>2201</v>
      </c>
      <c r="D918" s="13" t="s">
        <v>2206</v>
      </c>
      <c r="E918" s="13" t="s">
        <v>2210</v>
      </c>
      <c r="F918" s="13" t="s">
        <v>2215</v>
      </c>
      <c r="G918" s="13">
        <v>155.30000000000001</v>
      </c>
      <c r="H918" s="13">
        <v>0</v>
      </c>
      <c r="I918" s="13">
        <v>155.30000000000001</v>
      </c>
      <c r="J918" s="24">
        <v>45875</v>
      </c>
      <c r="K918" s="13">
        <v>9</v>
      </c>
      <c r="L918" s="44">
        <v>3</v>
      </c>
      <c r="M918" s="13" t="b">
        <v>0</v>
      </c>
      <c r="O918" s="25">
        <f t="shared" si="56"/>
        <v>27</v>
      </c>
      <c r="P918" s="13">
        <f t="shared" si="57"/>
        <v>0</v>
      </c>
      <c r="Q918" s="13" t="str">
        <f t="shared" si="58"/>
        <v/>
      </c>
      <c r="R918" s="13" t="str">
        <f t="shared" si="59"/>
        <v>Non diskon</v>
      </c>
    </row>
    <row r="919" spans="1:18" x14ac:dyDescent="0.25">
      <c r="A919" s="13" t="s">
        <v>931</v>
      </c>
      <c r="B919" s="13" t="s">
        <v>2194</v>
      </c>
      <c r="C919" s="13" t="s">
        <v>2197</v>
      </c>
      <c r="D919" s="13" t="s">
        <v>2206</v>
      </c>
      <c r="E919" s="13" t="s">
        <v>2208</v>
      </c>
      <c r="F919" s="13" t="s">
        <v>2214</v>
      </c>
      <c r="G919" s="13">
        <v>84.04</v>
      </c>
      <c r="H919" s="13">
        <v>28.5</v>
      </c>
      <c r="I919" s="13">
        <v>60.09</v>
      </c>
      <c r="J919" s="24">
        <v>45875</v>
      </c>
      <c r="K919" s="13">
        <v>3</v>
      </c>
      <c r="L919" s="44">
        <v>1</v>
      </c>
      <c r="M919" s="13" t="b">
        <v>0</v>
      </c>
      <c r="O919" s="25">
        <f t="shared" si="56"/>
        <v>27</v>
      </c>
      <c r="P919" s="13">
        <f t="shared" si="57"/>
        <v>85.5</v>
      </c>
      <c r="Q919" s="13" t="str">
        <f t="shared" si="58"/>
        <v/>
      </c>
      <c r="R919" s="13" t="str">
        <f t="shared" si="59"/>
        <v>Diskon</v>
      </c>
    </row>
    <row r="920" spans="1:18" x14ac:dyDescent="0.25">
      <c r="A920" s="13" t="s">
        <v>932</v>
      </c>
      <c r="B920" s="13" t="s">
        <v>2193</v>
      </c>
      <c r="C920" s="13" t="s">
        <v>2202</v>
      </c>
      <c r="D920" s="13" t="s">
        <v>2206</v>
      </c>
      <c r="E920" s="13" t="s">
        <v>2212</v>
      </c>
      <c r="F920" s="13" t="s">
        <v>2224</v>
      </c>
      <c r="G920" s="13">
        <v>98.76</v>
      </c>
      <c r="H920" s="13">
        <v>56.4</v>
      </c>
      <c r="I920" s="13">
        <v>43.06</v>
      </c>
      <c r="J920" s="24">
        <v>45875</v>
      </c>
      <c r="K920" s="13">
        <v>22</v>
      </c>
      <c r="L920" s="44">
        <v>4.5</v>
      </c>
      <c r="M920" s="13" t="b">
        <v>0</v>
      </c>
      <c r="O920" s="25">
        <f t="shared" si="56"/>
        <v>27</v>
      </c>
      <c r="P920" s="13">
        <f t="shared" si="57"/>
        <v>1240.8</v>
      </c>
      <c r="Q920" s="13" t="str">
        <f t="shared" si="58"/>
        <v/>
      </c>
      <c r="R920" s="13" t="str">
        <f t="shared" si="59"/>
        <v>Diskon</v>
      </c>
    </row>
    <row r="921" spans="1:18" x14ac:dyDescent="0.25">
      <c r="A921" s="13" t="s">
        <v>933</v>
      </c>
      <c r="B921" s="13" t="s">
        <v>2192</v>
      </c>
      <c r="C921" s="13" t="s">
        <v>2201</v>
      </c>
      <c r="D921" s="13" t="s">
        <v>2207</v>
      </c>
      <c r="F921" s="13" t="s">
        <v>2217</v>
      </c>
      <c r="G921" s="13">
        <v>52.99</v>
      </c>
      <c r="H921" s="13">
        <v>59.1</v>
      </c>
      <c r="I921" s="13">
        <v>21.67</v>
      </c>
      <c r="J921" s="24">
        <v>45875</v>
      </c>
      <c r="K921" s="13">
        <v>50</v>
      </c>
      <c r="L921" s="44">
        <v>3.4</v>
      </c>
      <c r="M921" s="13" t="b">
        <v>1</v>
      </c>
      <c r="N921" s="13" t="s">
        <v>2226</v>
      </c>
      <c r="O921" s="25">
        <f t="shared" si="56"/>
        <v>27</v>
      </c>
      <c r="P921" s="13">
        <f t="shared" si="57"/>
        <v>2955</v>
      </c>
      <c r="Q921" s="13">
        <f t="shared" si="58"/>
        <v>1</v>
      </c>
      <c r="R921" s="13" t="str">
        <f t="shared" si="59"/>
        <v>Diskon</v>
      </c>
    </row>
    <row r="922" spans="1:18" x14ac:dyDescent="0.25">
      <c r="A922" s="13" t="s">
        <v>934</v>
      </c>
      <c r="B922" s="13" t="s">
        <v>2194</v>
      </c>
      <c r="C922" s="13" t="s">
        <v>2197</v>
      </c>
      <c r="D922" s="13" t="s">
        <v>2204</v>
      </c>
      <c r="E922" s="13" t="s">
        <v>2209</v>
      </c>
      <c r="F922" s="13" t="s">
        <v>2214</v>
      </c>
      <c r="G922" s="13">
        <v>39.840000000000003</v>
      </c>
      <c r="H922" s="13">
        <v>0</v>
      </c>
      <c r="I922" s="13">
        <v>39.840000000000003</v>
      </c>
      <c r="J922" s="24">
        <v>45765</v>
      </c>
      <c r="K922" s="13">
        <v>24</v>
      </c>
      <c r="L922" s="44">
        <v>2.4</v>
      </c>
      <c r="M922" s="13" t="b">
        <v>0</v>
      </c>
      <c r="O922" s="25">
        <f t="shared" si="56"/>
        <v>137</v>
      </c>
      <c r="P922" s="13">
        <f t="shared" si="57"/>
        <v>0</v>
      </c>
      <c r="Q922" s="13" t="str">
        <f t="shared" si="58"/>
        <v/>
      </c>
      <c r="R922" s="13" t="str">
        <f t="shared" si="59"/>
        <v>Non diskon</v>
      </c>
    </row>
    <row r="923" spans="1:18" x14ac:dyDescent="0.25">
      <c r="A923" s="13" t="s">
        <v>935</v>
      </c>
      <c r="B923" s="13" t="s">
        <v>2192</v>
      </c>
      <c r="C923" s="13" t="s">
        <v>2201</v>
      </c>
      <c r="D923" s="13" t="s">
        <v>2204</v>
      </c>
      <c r="F923" s="13" t="s">
        <v>2220</v>
      </c>
      <c r="G923" s="13">
        <v>40.01</v>
      </c>
      <c r="H923" s="13">
        <v>0</v>
      </c>
      <c r="I923" s="13">
        <v>40.01</v>
      </c>
      <c r="J923" s="24">
        <v>45813</v>
      </c>
      <c r="K923" s="13">
        <v>22</v>
      </c>
      <c r="L923" s="44">
        <v>4.5</v>
      </c>
      <c r="M923" s="13" t="b">
        <v>0</v>
      </c>
      <c r="O923" s="25">
        <f t="shared" si="56"/>
        <v>89</v>
      </c>
      <c r="P923" s="13">
        <f t="shared" si="57"/>
        <v>0</v>
      </c>
      <c r="Q923" s="13" t="str">
        <f t="shared" si="58"/>
        <v/>
      </c>
      <c r="R923" s="13" t="str">
        <f t="shared" si="59"/>
        <v>Non diskon</v>
      </c>
    </row>
    <row r="924" spans="1:18" x14ac:dyDescent="0.25">
      <c r="A924" s="13" t="s">
        <v>936</v>
      </c>
      <c r="B924" s="13" t="s">
        <v>2190</v>
      </c>
      <c r="C924" s="13" t="s">
        <v>2201</v>
      </c>
      <c r="D924" s="13" t="s">
        <v>2207</v>
      </c>
      <c r="E924" s="13" t="s">
        <v>2209</v>
      </c>
      <c r="F924" s="13" t="s">
        <v>2222</v>
      </c>
      <c r="G924" s="13">
        <v>245.75</v>
      </c>
      <c r="H924" s="13">
        <v>0</v>
      </c>
      <c r="I924" s="13">
        <v>245.75</v>
      </c>
      <c r="J924" s="24">
        <v>45875</v>
      </c>
      <c r="K924" s="13">
        <v>12</v>
      </c>
      <c r="L924" s="44">
        <v>3.0305555555555546</v>
      </c>
      <c r="M924" s="13" t="b">
        <v>1</v>
      </c>
      <c r="N924" s="13" t="s">
        <v>2229</v>
      </c>
      <c r="O924" s="25">
        <f t="shared" si="56"/>
        <v>27</v>
      </c>
      <c r="P924" s="13">
        <f t="shared" si="57"/>
        <v>0</v>
      </c>
      <c r="Q924" s="13">
        <f t="shared" si="58"/>
        <v>1</v>
      </c>
      <c r="R924" s="13" t="str">
        <f t="shared" si="59"/>
        <v>Non diskon</v>
      </c>
    </row>
    <row r="925" spans="1:18" x14ac:dyDescent="0.25">
      <c r="A925" s="13" t="s">
        <v>937</v>
      </c>
      <c r="B925" s="13" t="s">
        <v>2194</v>
      </c>
      <c r="C925" s="13" t="s">
        <v>2196</v>
      </c>
      <c r="D925" s="13" t="s">
        <v>2205</v>
      </c>
      <c r="E925" s="13" t="s">
        <v>2208</v>
      </c>
      <c r="F925" s="13" t="s">
        <v>2218</v>
      </c>
      <c r="G925" s="13">
        <v>102.25</v>
      </c>
      <c r="H925" s="13">
        <v>0</v>
      </c>
      <c r="I925" s="13">
        <v>102.25</v>
      </c>
      <c r="J925" s="24">
        <v>45875</v>
      </c>
      <c r="K925" s="13">
        <v>6</v>
      </c>
      <c r="L925" s="44">
        <v>3.8</v>
      </c>
      <c r="M925" s="13" t="b">
        <v>0</v>
      </c>
      <c r="O925" s="25">
        <f t="shared" si="56"/>
        <v>27</v>
      </c>
      <c r="P925" s="13">
        <f t="shared" si="57"/>
        <v>0</v>
      </c>
      <c r="Q925" s="13" t="str">
        <f t="shared" si="58"/>
        <v/>
      </c>
      <c r="R925" s="13" t="str">
        <f t="shared" si="59"/>
        <v>Non diskon</v>
      </c>
    </row>
    <row r="926" spans="1:18" x14ac:dyDescent="0.25">
      <c r="A926" s="13" t="s">
        <v>938</v>
      </c>
      <c r="B926" s="13" t="s">
        <v>2191</v>
      </c>
      <c r="C926" s="13" t="s">
        <v>2201</v>
      </c>
      <c r="D926" s="13" t="s">
        <v>2207</v>
      </c>
      <c r="E926" s="13" t="s">
        <v>2213</v>
      </c>
      <c r="F926" s="13" t="s">
        <v>2218</v>
      </c>
      <c r="G926" s="13">
        <v>76.33</v>
      </c>
      <c r="H926" s="13">
        <v>0</v>
      </c>
      <c r="I926" s="13">
        <v>76.33</v>
      </c>
      <c r="J926" s="24">
        <v>45875</v>
      </c>
      <c r="K926" s="13">
        <v>15</v>
      </c>
      <c r="L926" s="44">
        <v>2</v>
      </c>
      <c r="M926" s="13" t="b">
        <v>1</v>
      </c>
      <c r="N926" s="13" t="s">
        <v>2230</v>
      </c>
      <c r="O926" s="25">
        <f t="shared" si="56"/>
        <v>27</v>
      </c>
      <c r="P926" s="13">
        <f t="shared" si="57"/>
        <v>0</v>
      </c>
      <c r="Q926" s="13">
        <f t="shared" si="58"/>
        <v>1</v>
      </c>
      <c r="R926" s="13" t="str">
        <f t="shared" si="59"/>
        <v>Non diskon</v>
      </c>
    </row>
    <row r="927" spans="1:18" x14ac:dyDescent="0.25">
      <c r="A927" s="13" t="s">
        <v>939</v>
      </c>
      <c r="B927" s="13" t="s">
        <v>2192</v>
      </c>
      <c r="C927" s="13" t="s">
        <v>2196</v>
      </c>
      <c r="D927" s="13" t="s">
        <v>2204</v>
      </c>
      <c r="F927" s="13" t="s">
        <v>2218</v>
      </c>
      <c r="G927" s="13">
        <v>51.79</v>
      </c>
      <c r="H927" s="13">
        <v>39</v>
      </c>
      <c r="I927" s="13">
        <v>31.59</v>
      </c>
      <c r="J927" s="24">
        <v>45733</v>
      </c>
      <c r="K927" s="13">
        <v>37</v>
      </c>
      <c r="L927" s="44">
        <v>2.5</v>
      </c>
      <c r="M927" s="13" t="b">
        <v>0</v>
      </c>
      <c r="O927" s="25">
        <f t="shared" si="56"/>
        <v>169</v>
      </c>
      <c r="P927" s="13">
        <f t="shared" si="57"/>
        <v>1443</v>
      </c>
      <c r="Q927" s="13" t="str">
        <f t="shared" si="58"/>
        <v/>
      </c>
      <c r="R927" s="13" t="str">
        <f t="shared" si="59"/>
        <v>Diskon</v>
      </c>
    </row>
    <row r="928" spans="1:18" x14ac:dyDescent="0.25">
      <c r="A928" s="13" t="s">
        <v>940</v>
      </c>
      <c r="B928" s="13" t="s">
        <v>2190</v>
      </c>
      <c r="C928" s="13" t="s">
        <v>2196</v>
      </c>
      <c r="D928" s="13" t="s">
        <v>2204</v>
      </c>
      <c r="E928" s="13" t="s">
        <v>2211</v>
      </c>
      <c r="F928" s="13" t="s">
        <v>2215</v>
      </c>
      <c r="G928" s="13">
        <v>141.24</v>
      </c>
      <c r="H928" s="13">
        <v>12.9</v>
      </c>
      <c r="I928" s="13">
        <v>123.02</v>
      </c>
      <c r="J928" s="24">
        <v>45567</v>
      </c>
      <c r="K928" s="13">
        <v>23</v>
      </c>
      <c r="L928" s="44">
        <v>1.7</v>
      </c>
      <c r="M928" s="13" t="b">
        <v>0</v>
      </c>
      <c r="O928" s="25">
        <f t="shared" si="56"/>
        <v>335</v>
      </c>
      <c r="P928" s="13">
        <f t="shared" si="57"/>
        <v>296.7</v>
      </c>
      <c r="Q928" s="13" t="str">
        <f t="shared" si="58"/>
        <v/>
      </c>
      <c r="R928" s="13" t="str">
        <f t="shared" si="59"/>
        <v>Diskon</v>
      </c>
    </row>
    <row r="929" spans="1:18" x14ac:dyDescent="0.25">
      <c r="A929" s="13" t="s">
        <v>941</v>
      </c>
      <c r="B929" s="13" t="s">
        <v>2192</v>
      </c>
      <c r="C929" s="13" t="s">
        <v>2197</v>
      </c>
      <c r="D929" s="13" t="s">
        <v>2204</v>
      </c>
      <c r="F929" s="13" t="s">
        <v>2216</v>
      </c>
      <c r="G929" s="13">
        <v>66.180000000000007</v>
      </c>
      <c r="H929" s="13">
        <v>0</v>
      </c>
      <c r="I929" s="13">
        <v>66.180000000000007</v>
      </c>
      <c r="J929" s="24">
        <v>45800</v>
      </c>
      <c r="K929" s="13">
        <v>20</v>
      </c>
      <c r="L929" s="44">
        <v>1.7</v>
      </c>
      <c r="M929" s="13" t="b">
        <v>0</v>
      </c>
      <c r="O929" s="25">
        <f t="shared" si="56"/>
        <v>102</v>
      </c>
      <c r="P929" s="13">
        <f t="shared" si="57"/>
        <v>0</v>
      </c>
      <c r="Q929" s="13" t="str">
        <f t="shared" si="58"/>
        <v/>
      </c>
      <c r="R929" s="13" t="str">
        <f t="shared" si="59"/>
        <v>Non diskon</v>
      </c>
    </row>
    <row r="930" spans="1:18" x14ac:dyDescent="0.25">
      <c r="A930" s="13" t="s">
        <v>942</v>
      </c>
      <c r="B930" s="13" t="s">
        <v>2191</v>
      </c>
      <c r="C930" s="13" t="s">
        <v>2198</v>
      </c>
      <c r="D930" s="13" t="s">
        <v>2207</v>
      </c>
      <c r="E930" s="13" t="s">
        <v>2213</v>
      </c>
      <c r="F930" s="13" t="s">
        <v>2222</v>
      </c>
      <c r="G930" s="13">
        <v>35.15</v>
      </c>
      <c r="H930" s="13">
        <v>0</v>
      </c>
      <c r="I930" s="13">
        <v>35.15</v>
      </c>
      <c r="J930" s="24">
        <v>45875</v>
      </c>
      <c r="K930" s="13">
        <v>38</v>
      </c>
      <c r="L930" s="44">
        <v>2.2000000000000002</v>
      </c>
      <c r="M930" s="13" t="b">
        <v>0</v>
      </c>
      <c r="O930" s="25">
        <f t="shared" si="56"/>
        <v>27</v>
      </c>
      <c r="P930" s="13">
        <f t="shared" si="57"/>
        <v>0</v>
      </c>
      <c r="Q930" s="13" t="str">
        <f t="shared" si="58"/>
        <v/>
      </c>
      <c r="R930" s="13" t="str">
        <f t="shared" si="59"/>
        <v>Non diskon</v>
      </c>
    </row>
    <row r="931" spans="1:18" x14ac:dyDescent="0.25">
      <c r="A931" s="13" t="s">
        <v>943</v>
      </c>
      <c r="B931" s="13" t="s">
        <v>2192</v>
      </c>
      <c r="C931" s="13" t="s">
        <v>2200</v>
      </c>
      <c r="D931" s="13" t="s">
        <v>2204</v>
      </c>
      <c r="F931" s="13" t="s">
        <v>2215</v>
      </c>
      <c r="G931" s="13">
        <v>35.619999999999997</v>
      </c>
      <c r="H931" s="13">
        <v>41.2</v>
      </c>
      <c r="I931" s="13">
        <v>20.94</v>
      </c>
      <c r="J931" s="24">
        <v>45736</v>
      </c>
      <c r="K931" s="13">
        <v>4</v>
      </c>
      <c r="L931" s="44">
        <v>3.7</v>
      </c>
      <c r="M931" s="13" t="b">
        <v>0</v>
      </c>
      <c r="O931" s="25">
        <f t="shared" si="56"/>
        <v>166</v>
      </c>
      <c r="P931" s="13">
        <f t="shared" si="57"/>
        <v>164.8</v>
      </c>
      <c r="Q931" s="13" t="str">
        <f t="shared" si="58"/>
        <v/>
      </c>
      <c r="R931" s="13" t="str">
        <f t="shared" si="59"/>
        <v>Diskon</v>
      </c>
    </row>
    <row r="932" spans="1:18" x14ac:dyDescent="0.25">
      <c r="A932" s="13" t="s">
        <v>944</v>
      </c>
      <c r="B932" s="13" t="s">
        <v>2192</v>
      </c>
      <c r="C932" s="13" t="s">
        <v>2203</v>
      </c>
      <c r="D932" s="13" t="s">
        <v>2207</v>
      </c>
      <c r="F932" s="13" t="s">
        <v>2220</v>
      </c>
      <c r="G932" s="13">
        <v>35.64</v>
      </c>
      <c r="H932" s="13">
        <v>0</v>
      </c>
      <c r="I932" s="13">
        <v>35.64</v>
      </c>
      <c r="J932" s="24">
        <v>45875</v>
      </c>
      <c r="K932" s="13">
        <v>48</v>
      </c>
      <c r="L932" s="44">
        <v>5</v>
      </c>
      <c r="M932" s="13" t="b">
        <v>1</v>
      </c>
      <c r="N932" s="13" t="s">
        <v>2225</v>
      </c>
      <c r="O932" s="25">
        <f t="shared" si="56"/>
        <v>27</v>
      </c>
      <c r="P932" s="13">
        <f t="shared" si="57"/>
        <v>0</v>
      </c>
      <c r="Q932" s="13">
        <f t="shared" si="58"/>
        <v>1</v>
      </c>
      <c r="R932" s="13" t="str">
        <f t="shared" si="59"/>
        <v>Non diskon</v>
      </c>
    </row>
    <row r="933" spans="1:18" x14ac:dyDescent="0.25">
      <c r="A933" s="13" t="s">
        <v>945</v>
      </c>
      <c r="B933" s="13" t="s">
        <v>2194</v>
      </c>
      <c r="C933" s="13" t="s">
        <v>2201</v>
      </c>
      <c r="D933" s="13" t="s">
        <v>2207</v>
      </c>
      <c r="E933" s="13" t="s">
        <v>2209</v>
      </c>
      <c r="F933" s="13" t="s">
        <v>2214</v>
      </c>
      <c r="G933" s="13">
        <v>86.68</v>
      </c>
      <c r="H933" s="13">
        <v>0</v>
      </c>
      <c r="I933" s="13">
        <v>86.68</v>
      </c>
      <c r="J933" s="24">
        <v>45875</v>
      </c>
      <c r="K933" s="13">
        <v>2</v>
      </c>
      <c r="L933" s="44">
        <v>3.0575757575757576</v>
      </c>
      <c r="M933" s="13" t="b">
        <v>0</v>
      </c>
      <c r="O933" s="25">
        <f t="shared" si="56"/>
        <v>27</v>
      </c>
      <c r="P933" s="13">
        <f t="shared" si="57"/>
        <v>0</v>
      </c>
      <c r="Q933" s="13" t="str">
        <f t="shared" si="58"/>
        <v/>
      </c>
      <c r="R933" s="13" t="str">
        <f t="shared" si="59"/>
        <v>Non diskon</v>
      </c>
    </row>
    <row r="934" spans="1:18" x14ac:dyDescent="0.25">
      <c r="A934" s="13" t="s">
        <v>946</v>
      </c>
      <c r="B934" s="13" t="s">
        <v>2192</v>
      </c>
      <c r="C934" s="13" t="s">
        <v>2200</v>
      </c>
      <c r="D934" s="13" t="s">
        <v>2206</v>
      </c>
      <c r="F934" s="13" t="s">
        <v>2215</v>
      </c>
      <c r="G934" s="13">
        <v>17.72</v>
      </c>
      <c r="H934" s="13">
        <v>0</v>
      </c>
      <c r="I934" s="13">
        <v>17.72</v>
      </c>
      <c r="J934" s="24">
        <v>45875</v>
      </c>
      <c r="K934" s="13">
        <v>9</v>
      </c>
      <c r="L934" s="44">
        <v>1.2</v>
      </c>
      <c r="M934" s="13" t="b">
        <v>0</v>
      </c>
      <c r="O934" s="25">
        <f t="shared" si="56"/>
        <v>27</v>
      </c>
      <c r="P934" s="13">
        <f t="shared" si="57"/>
        <v>0</v>
      </c>
      <c r="Q934" s="13" t="str">
        <f t="shared" si="58"/>
        <v/>
      </c>
      <c r="R934" s="13" t="str">
        <f t="shared" si="59"/>
        <v>Non diskon</v>
      </c>
    </row>
    <row r="935" spans="1:18" x14ac:dyDescent="0.25">
      <c r="A935" s="13" t="s">
        <v>947</v>
      </c>
      <c r="B935" s="13" t="s">
        <v>2190</v>
      </c>
      <c r="C935" s="13" t="s">
        <v>2197</v>
      </c>
      <c r="D935" s="13" t="s">
        <v>2206</v>
      </c>
      <c r="E935" s="13" t="s">
        <v>2211</v>
      </c>
      <c r="F935" s="13" t="s">
        <v>2215</v>
      </c>
      <c r="G935" s="13">
        <v>87.95</v>
      </c>
      <c r="H935" s="13">
        <v>13.3</v>
      </c>
      <c r="I935" s="13">
        <v>76.25</v>
      </c>
      <c r="J935" s="24">
        <v>45875</v>
      </c>
      <c r="K935" s="13">
        <v>4</v>
      </c>
      <c r="L935" s="44">
        <v>4.5</v>
      </c>
      <c r="M935" s="13" t="b">
        <v>0</v>
      </c>
      <c r="O935" s="25">
        <f t="shared" si="56"/>
        <v>27</v>
      </c>
      <c r="P935" s="13">
        <f t="shared" si="57"/>
        <v>53.2</v>
      </c>
      <c r="Q935" s="13" t="str">
        <f t="shared" si="58"/>
        <v/>
      </c>
      <c r="R935" s="13" t="str">
        <f t="shared" si="59"/>
        <v>Diskon</v>
      </c>
    </row>
    <row r="936" spans="1:18" x14ac:dyDescent="0.25">
      <c r="A936" s="13" t="s">
        <v>948</v>
      </c>
      <c r="B936" s="13" t="s">
        <v>2190</v>
      </c>
      <c r="C936" s="13" t="s">
        <v>2199</v>
      </c>
      <c r="D936" s="13" t="s">
        <v>2204</v>
      </c>
      <c r="E936" s="13" t="s">
        <v>2212</v>
      </c>
      <c r="F936" s="13" t="s">
        <v>2218</v>
      </c>
      <c r="G936" s="13">
        <v>216.26</v>
      </c>
      <c r="H936" s="13">
        <v>0</v>
      </c>
      <c r="I936" s="13">
        <v>216.26</v>
      </c>
      <c r="J936" s="24">
        <v>45763</v>
      </c>
      <c r="K936" s="13">
        <v>26</v>
      </c>
      <c r="L936" s="44">
        <v>1.1000000000000001</v>
      </c>
      <c r="M936" s="13" t="b">
        <v>0</v>
      </c>
      <c r="O936" s="25">
        <f t="shared" si="56"/>
        <v>139</v>
      </c>
      <c r="P936" s="13">
        <f t="shared" si="57"/>
        <v>0</v>
      </c>
      <c r="Q936" s="13" t="str">
        <f t="shared" si="58"/>
        <v/>
      </c>
      <c r="R936" s="13" t="str">
        <f t="shared" si="59"/>
        <v>Non diskon</v>
      </c>
    </row>
    <row r="937" spans="1:18" x14ac:dyDescent="0.25">
      <c r="A937" s="13" t="s">
        <v>949</v>
      </c>
      <c r="B937" s="13" t="s">
        <v>2190</v>
      </c>
      <c r="C937" s="13" t="s">
        <v>2199</v>
      </c>
      <c r="D937" s="13" t="s">
        <v>2207</v>
      </c>
      <c r="E937" s="13" t="s">
        <v>2210</v>
      </c>
      <c r="F937" s="13" t="s">
        <v>2216</v>
      </c>
      <c r="G937" s="13">
        <v>238.11</v>
      </c>
      <c r="H937" s="13">
        <v>0</v>
      </c>
      <c r="I937" s="13">
        <v>238.11</v>
      </c>
      <c r="J937" s="24">
        <v>45875</v>
      </c>
      <c r="K937" s="13">
        <v>49</v>
      </c>
      <c r="L937" s="44">
        <v>2.4137931034482762</v>
      </c>
      <c r="M937" s="13" t="b">
        <v>0</v>
      </c>
      <c r="O937" s="25">
        <f t="shared" si="56"/>
        <v>27</v>
      </c>
      <c r="P937" s="13">
        <f t="shared" si="57"/>
        <v>0</v>
      </c>
      <c r="Q937" s="13" t="str">
        <f t="shared" si="58"/>
        <v/>
      </c>
      <c r="R937" s="13" t="str">
        <f t="shared" si="59"/>
        <v>Non diskon</v>
      </c>
    </row>
    <row r="938" spans="1:18" x14ac:dyDescent="0.25">
      <c r="A938" s="13" t="s">
        <v>950</v>
      </c>
      <c r="B938" s="13" t="s">
        <v>2193</v>
      </c>
      <c r="C938" s="13" t="s">
        <v>2197</v>
      </c>
      <c r="D938" s="13" t="s">
        <v>2205</v>
      </c>
      <c r="E938" s="13" t="s">
        <v>2211</v>
      </c>
      <c r="F938" s="13" t="s">
        <v>2215</v>
      </c>
      <c r="G938" s="13">
        <v>112.77</v>
      </c>
      <c r="H938" s="13">
        <v>0</v>
      </c>
      <c r="I938" s="13">
        <v>112.77</v>
      </c>
      <c r="J938" s="24">
        <v>45875</v>
      </c>
      <c r="K938" s="13">
        <v>11</v>
      </c>
      <c r="L938" s="44">
        <v>4.0999999999999996</v>
      </c>
      <c r="M938" s="13" t="b">
        <v>0</v>
      </c>
      <c r="O938" s="25">
        <f t="shared" si="56"/>
        <v>27</v>
      </c>
      <c r="P938" s="13">
        <f t="shared" si="57"/>
        <v>0</v>
      </c>
      <c r="Q938" s="13" t="str">
        <f t="shared" si="58"/>
        <v/>
      </c>
      <c r="R938" s="13" t="str">
        <f t="shared" si="59"/>
        <v>Non diskon</v>
      </c>
    </row>
    <row r="939" spans="1:18" x14ac:dyDescent="0.25">
      <c r="A939" s="13" t="s">
        <v>951</v>
      </c>
      <c r="B939" s="13" t="s">
        <v>2192</v>
      </c>
      <c r="C939" s="13" t="s">
        <v>2202</v>
      </c>
      <c r="D939" s="13" t="s">
        <v>2205</v>
      </c>
      <c r="F939" s="13" t="s">
        <v>2222</v>
      </c>
      <c r="G939" s="13">
        <v>39.020000000000003</v>
      </c>
      <c r="H939" s="13">
        <v>44.8</v>
      </c>
      <c r="I939" s="13">
        <v>21.54</v>
      </c>
      <c r="J939" s="24">
        <v>45875</v>
      </c>
      <c r="K939" s="13">
        <v>29</v>
      </c>
      <c r="L939" s="44">
        <v>3.4</v>
      </c>
      <c r="M939" s="13" t="b">
        <v>0</v>
      </c>
      <c r="O939" s="25">
        <f t="shared" si="56"/>
        <v>27</v>
      </c>
      <c r="P939" s="13">
        <f t="shared" si="57"/>
        <v>1299.1999999999998</v>
      </c>
      <c r="Q939" s="13" t="str">
        <f t="shared" si="58"/>
        <v/>
      </c>
      <c r="R939" s="13" t="str">
        <f t="shared" si="59"/>
        <v>Diskon</v>
      </c>
    </row>
    <row r="940" spans="1:18" x14ac:dyDescent="0.25">
      <c r="A940" s="13" t="s">
        <v>952</v>
      </c>
      <c r="B940" s="13" t="s">
        <v>2191</v>
      </c>
      <c r="C940" s="13" t="s">
        <v>2201</v>
      </c>
      <c r="D940" s="13" t="s">
        <v>2204</v>
      </c>
      <c r="E940" s="13" t="s">
        <v>2211</v>
      </c>
      <c r="F940" s="13" t="s">
        <v>2223</v>
      </c>
      <c r="G940" s="13">
        <v>69.77</v>
      </c>
      <c r="H940" s="13">
        <v>0</v>
      </c>
      <c r="I940" s="13">
        <v>69.77</v>
      </c>
      <c r="J940" s="24">
        <v>45605</v>
      </c>
      <c r="K940" s="13">
        <v>29</v>
      </c>
      <c r="L940" s="44">
        <v>5</v>
      </c>
      <c r="M940" s="13" t="b">
        <v>0</v>
      </c>
      <c r="O940" s="25">
        <f t="shared" si="56"/>
        <v>297</v>
      </c>
      <c r="P940" s="13">
        <f t="shared" si="57"/>
        <v>0</v>
      </c>
      <c r="Q940" s="13" t="str">
        <f t="shared" si="58"/>
        <v/>
      </c>
      <c r="R940" s="13" t="str">
        <f t="shared" si="59"/>
        <v>Non diskon</v>
      </c>
    </row>
    <row r="941" spans="1:18" x14ac:dyDescent="0.25">
      <c r="A941" s="13" t="s">
        <v>953</v>
      </c>
      <c r="B941" s="13" t="s">
        <v>2195</v>
      </c>
      <c r="C941" s="13" t="s">
        <v>2200</v>
      </c>
      <c r="D941" s="13" t="s">
        <v>2204</v>
      </c>
      <c r="E941" s="13" t="s">
        <v>2213</v>
      </c>
      <c r="F941" s="13" t="s">
        <v>2223</v>
      </c>
      <c r="G941" s="13">
        <v>124.92</v>
      </c>
      <c r="H941" s="13">
        <v>48.4</v>
      </c>
      <c r="I941" s="13">
        <v>64.459999999999994</v>
      </c>
      <c r="J941" s="24">
        <v>45780</v>
      </c>
      <c r="K941" s="13">
        <v>22</v>
      </c>
      <c r="L941" s="44">
        <v>3.2</v>
      </c>
      <c r="M941" s="13" t="b">
        <v>0</v>
      </c>
      <c r="O941" s="25">
        <f t="shared" si="56"/>
        <v>122</v>
      </c>
      <c r="P941" s="13">
        <f t="shared" si="57"/>
        <v>1064.8</v>
      </c>
      <c r="Q941" s="13" t="str">
        <f t="shared" si="58"/>
        <v/>
      </c>
      <c r="R941" s="13" t="str">
        <f t="shared" si="59"/>
        <v>Diskon</v>
      </c>
    </row>
    <row r="942" spans="1:18" x14ac:dyDescent="0.25">
      <c r="A942" s="13" t="s">
        <v>954</v>
      </c>
      <c r="B942" s="13" t="s">
        <v>2195</v>
      </c>
      <c r="C942" s="13" t="s">
        <v>2198</v>
      </c>
      <c r="D942" s="13" t="s">
        <v>2207</v>
      </c>
      <c r="F942" s="13" t="s">
        <v>2223</v>
      </c>
      <c r="G942" s="13">
        <v>83.92</v>
      </c>
      <c r="H942" s="13">
        <v>29.4</v>
      </c>
      <c r="I942" s="13">
        <v>59.25</v>
      </c>
      <c r="J942" s="24">
        <v>45875</v>
      </c>
      <c r="K942" s="13">
        <v>20</v>
      </c>
      <c r="L942" s="44">
        <v>2.1</v>
      </c>
      <c r="M942" s="13" t="b">
        <v>1</v>
      </c>
      <c r="N942" s="13" t="s">
        <v>2228</v>
      </c>
      <c r="O942" s="25">
        <f t="shared" si="56"/>
        <v>27</v>
      </c>
      <c r="P942" s="13">
        <f t="shared" si="57"/>
        <v>588</v>
      </c>
      <c r="Q942" s="13">
        <f t="shared" si="58"/>
        <v>1</v>
      </c>
      <c r="R942" s="13" t="str">
        <f t="shared" si="59"/>
        <v>Diskon</v>
      </c>
    </row>
    <row r="943" spans="1:18" x14ac:dyDescent="0.25">
      <c r="A943" s="13" t="s">
        <v>955</v>
      </c>
      <c r="B943" s="13" t="s">
        <v>2190</v>
      </c>
      <c r="C943" s="13" t="s">
        <v>2203</v>
      </c>
      <c r="D943" s="13" t="s">
        <v>2206</v>
      </c>
      <c r="E943" s="13" t="s">
        <v>2212</v>
      </c>
      <c r="F943" s="13" t="s">
        <v>2221</v>
      </c>
      <c r="G943" s="13">
        <v>180.91</v>
      </c>
      <c r="H943" s="13">
        <v>0</v>
      </c>
      <c r="I943" s="13">
        <v>180.91</v>
      </c>
      <c r="J943" s="24">
        <v>45875</v>
      </c>
      <c r="K943" s="13">
        <v>10</v>
      </c>
      <c r="L943" s="44">
        <v>3.8</v>
      </c>
      <c r="M943" s="13" t="b">
        <v>0</v>
      </c>
      <c r="O943" s="25">
        <f t="shared" si="56"/>
        <v>27</v>
      </c>
      <c r="P943" s="13">
        <f t="shared" si="57"/>
        <v>0</v>
      </c>
      <c r="Q943" s="13" t="str">
        <f t="shared" si="58"/>
        <v/>
      </c>
      <c r="R943" s="13" t="str">
        <f t="shared" si="59"/>
        <v>Non diskon</v>
      </c>
    </row>
    <row r="944" spans="1:18" x14ac:dyDescent="0.25">
      <c r="A944" s="13" t="s">
        <v>956</v>
      </c>
      <c r="B944" s="13" t="s">
        <v>2193</v>
      </c>
      <c r="C944" s="13" t="s">
        <v>2203</v>
      </c>
      <c r="D944" s="13" t="s">
        <v>2204</v>
      </c>
      <c r="E944" s="13" t="s">
        <v>2211</v>
      </c>
      <c r="F944" s="13" t="s">
        <v>2224</v>
      </c>
      <c r="G944" s="13">
        <v>120.11</v>
      </c>
      <c r="H944" s="13">
        <v>0</v>
      </c>
      <c r="I944" s="13">
        <v>120.11</v>
      </c>
      <c r="J944" s="24">
        <v>45650</v>
      </c>
      <c r="K944" s="13">
        <v>27</v>
      </c>
      <c r="L944" s="44">
        <v>4.0999999999999996</v>
      </c>
      <c r="M944" s="13" t="b">
        <v>0</v>
      </c>
      <c r="O944" s="25">
        <f t="shared" si="56"/>
        <v>252</v>
      </c>
      <c r="P944" s="13">
        <f t="shared" si="57"/>
        <v>0</v>
      </c>
      <c r="Q944" s="13" t="str">
        <f t="shared" si="58"/>
        <v/>
      </c>
      <c r="R944" s="13" t="str">
        <f t="shared" si="59"/>
        <v>Non diskon</v>
      </c>
    </row>
    <row r="945" spans="1:18" x14ac:dyDescent="0.25">
      <c r="A945" s="13" t="s">
        <v>957</v>
      </c>
      <c r="B945" s="13" t="s">
        <v>2190</v>
      </c>
      <c r="C945" s="13" t="s">
        <v>2203</v>
      </c>
      <c r="D945" s="13" t="s">
        <v>2207</v>
      </c>
      <c r="E945" s="13" t="s">
        <v>2208</v>
      </c>
      <c r="F945" s="13" t="s">
        <v>2214</v>
      </c>
      <c r="G945" s="13">
        <v>225.01</v>
      </c>
      <c r="H945" s="13">
        <v>0</v>
      </c>
      <c r="I945" s="13">
        <v>225.01</v>
      </c>
      <c r="J945" s="24">
        <v>45875</v>
      </c>
      <c r="K945" s="13">
        <v>50</v>
      </c>
      <c r="L945" s="44">
        <v>1.9</v>
      </c>
      <c r="M945" s="13" t="b">
        <v>1</v>
      </c>
      <c r="N945" s="13" t="s">
        <v>2226</v>
      </c>
      <c r="O945" s="25">
        <f t="shared" si="56"/>
        <v>27</v>
      </c>
      <c r="P945" s="13">
        <f t="shared" si="57"/>
        <v>0</v>
      </c>
      <c r="Q945" s="13">
        <f t="shared" si="58"/>
        <v>1</v>
      </c>
      <c r="R945" s="13" t="str">
        <f t="shared" si="59"/>
        <v>Non diskon</v>
      </c>
    </row>
    <row r="946" spans="1:18" x14ac:dyDescent="0.25">
      <c r="A946" s="13" t="s">
        <v>958</v>
      </c>
      <c r="B946" s="13" t="s">
        <v>2195</v>
      </c>
      <c r="C946" s="13" t="s">
        <v>2199</v>
      </c>
      <c r="D946" s="13" t="s">
        <v>2207</v>
      </c>
      <c r="E946" s="13" t="s">
        <v>2209</v>
      </c>
      <c r="F946" s="13" t="s">
        <v>2220</v>
      </c>
      <c r="G946" s="13">
        <v>115.57</v>
      </c>
      <c r="H946" s="13">
        <v>0</v>
      </c>
      <c r="I946" s="13">
        <v>115.57</v>
      </c>
      <c r="J946" s="24">
        <v>45875</v>
      </c>
      <c r="K946" s="13">
        <v>32</v>
      </c>
      <c r="L946" s="44">
        <v>3</v>
      </c>
      <c r="M946" s="13" t="b">
        <v>0</v>
      </c>
      <c r="O946" s="25">
        <f t="shared" si="56"/>
        <v>27</v>
      </c>
      <c r="P946" s="13">
        <f t="shared" si="57"/>
        <v>0</v>
      </c>
      <c r="Q946" s="13" t="str">
        <f t="shared" si="58"/>
        <v/>
      </c>
      <c r="R946" s="13" t="str">
        <f t="shared" si="59"/>
        <v>Non diskon</v>
      </c>
    </row>
    <row r="947" spans="1:18" x14ac:dyDescent="0.25">
      <c r="A947" s="13" t="s">
        <v>959</v>
      </c>
      <c r="B947" s="13" t="s">
        <v>2192</v>
      </c>
      <c r="C947" s="13" t="s">
        <v>2202</v>
      </c>
      <c r="D947" s="13" t="s">
        <v>2206</v>
      </c>
      <c r="F947" s="13" t="s">
        <v>2219</v>
      </c>
      <c r="G947" s="13">
        <v>21.2</v>
      </c>
      <c r="H947" s="13">
        <v>19</v>
      </c>
      <c r="I947" s="13">
        <v>17.170000000000002</v>
      </c>
      <c r="J947" s="24">
        <v>45875</v>
      </c>
      <c r="K947" s="13">
        <v>22</v>
      </c>
      <c r="L947" s="44">
        <v>1.3</v>
      </c>
      <c r="M947" s="13" t="b">
        <v>0</v>
      </c>
      <c r="O947" s="25">
        <f t="shared" si="56"/>
        <v>27</v>
      </c>
      <c r="P947" s="13">
        <f t="shared" si="57"/>
        <v>418</v>
      </c>
      <c r="Q947" s="13" t="str">
        <f t="shared" si="58"/>
        <v/>
      </c>
      <c r="R947" s="13" t="str">
        <f t="shared" si="59"/>
        <v>Diskon</v>
      </c>
    </row>
    <row r="948" spans="1:18" x14ac:dyDescent="0.25">
      <c r="A948" s="13" t="s">
        <v>960</v>
      </c>
      <c r="B948" s="13" t="s">
        <v>2194</v>
      </c>
      <c r="C948" s="13" t="s">
        <v>2196</v>
      </c>
      <c r="D948" s="13" t="s">
        <v>2204</v>
      </c>
      <c r="E948" s="13" t="s">
        <v>2211</v>
      </c>
      <c r="F948" s="13" t="s">
        <v>2216</v>
      </c>
      <c r="G948" s="13">
        <v>52.36</v>
      </c>
      <c r="H948" s="13">
        <v>0</v>
      </c>
      <c r="I948" s="13">
        <v>52.36</v>
      </c>
      <c r="J948" s="24">
        <v>45769</v>
      </c>
      <c r="K948" s="13">
        <v>35</v>
      </c>
      <c r="L948" s="44">
        <v>2.9210526315789478</v>
      </c>
      <c r="M948" s="13" t="b">
        <v>0</v>
      </c>
      <c r="O948" s="25">
        <f t="shared" si="56"/>
        <v>133</v>
      </c>
      <c r="P948" s="13">
        <f t="shared" si="57"/>
        <v>0</v>
      </c>
      <c r="Q948" s="13" t="str">
        <f t="shared" si="58"/>
        <v/>
      </c>
      <c r="R948" s="13" t="str">
        <f t="shared" si="59"/>
        <v>Non diskon</v>
      </c>
    </row>
    <row r="949" spans="1:18" x14ac:dyDescent="0.25">
      <c r="A949" s="13" t="s">
        <v>961</v>
      </c>
      <c r="B949" s="13" t="s">
        <v>2192</v>
      </c>
      <c r="C949" s="13" t="s">
        <v>2201</v>
      </c>
      <c r="D949" s="13" t="s">
        <v>2206</v>
      </c>
      <c r="F949" s="13" t="s">
        <v>2218</v>
      </c>
      <c r="G949" s="13">
        <v>73.430000000000007</v>
      </c>
      <c r="H949" s="13">
        <v>0</v>
      </c>
      <c r="I949" s="13">
        <v>73.430000000000007</v>
      </c>
      <c r="J949" s="24">
        <v>45875</v>
      </c>
      <c r="K949" s="13">
        <v>22</v>
      </c>
      <c r="L949" s="44">
        <v>2.2999999999999998</v>
      </c>
      <c r="M949" s="13" t="b">
        <v>0</v>
      </c>
      <c r="O949" s="25">
        <f t="shared" si="56"/>
        <v>27</v>
      </c>
      <c r="P949" s="13">
        <f t="shared" si="57"/>
        <v>0</v>
      </c>
      <c r="Q949" s="13" t="str">
        <f t="shared" si="58"/>
        <v/>
      </c>
      <c r="R949" s="13" t="str">
        <f t="shared" si="59"/>
        <v>Non diskon</v>
      </c>
    </row>
    <row r="950" spans="1:18" x14ac:dyDescent="0.25">
      <c r="A950" s="13" t="s">
        <v>962</v>
      </c>
      <c r="B950" s="13" t="s">
        <v>2192</v>
      </c>
      <c r="C950" s="13" t="s">
        <v>2201</v>
      </c>
      <c r="D950" s="13" t="s">
        <v>2204</v>
      </c>
      <c r="F950" s="13" t="s">
        <v>2223</v>
      </c>
      <c r="G950" s="13">
        <v>70.75</v>
      </c>
      <c r="H950" s="13">
        <v>0</v>
      </c>
      <c r="I950" s="13">
        <v>70.75</v>
      </c>
      <c r="J950" s="24">
        <v>45789</v>
      </c>
      <c r="K950" s="13">
        <v>0</v>
      </c>
      <c r="L950" s="44">
        <v>1.4</v>
      </c>
      <c r="M950" s="13" t="b">
        <v>0</v>
      </c>
      <c r="O950" s="25">
        <f t="shared" si="56"/>
        <v>113</v>
      </c>
      <c r="P950" s="13">
        <f t="shared" si="57"/>
        <v>0</v>
      </c>
      <c r="Q950" s="13" t="str">
        <f t="shared" si="58"/>
        <v/>
      </c>
      <c r="R950" s="13" t="str">
        <f t="shared" si="59"/>
        <v>Non diskon</v>
      </c>
    </row>
    <row r="951" spans="1:18" x14ac:dyDescent="0.25">
      <c r="A951" s="13" t="s">
        <v>963</v>
      </c>
      <c r="B951" s="13" t="s">
        <v>2192</v>
      </c>
      <c r="C951" s="13" t="s">
        <v>2202</v>
      </c>
      <c r="D951" s="13" t="s">
        <v>2206</v>
      </c>
      <c r="F951" s="13" t="s">
        <v>2217</v>
      </c>
      <c r="G951" s="13">
        <v>58.9</v>
      </c>
      <c r="H951" s="13">
        <v>0</v>
      </c>
      <c r="I951" s="13">
        <v>58.9</v>
      </c>
      <c r="J951" s="24">
        <v>45875</v>
      </c>
      <c r="K951" s="13">
        <v>39</v>
      </c>
      <c r="L951" s="44">
        <v>4</v>
      </c>
      <c r="M951" s="13" t="b">
        <v>0</v>
      </c>
      <c r="O951" s="25">
        <f t="shared" si="56"/>
        <v>27</v>
      </c>
      <c r="P951" s="13">
        <f t="shared" si="57"/>
        <v>0</v>
      </c>
      <c r="Q951" s="13" t="str">
        <f t="shared" si="58"/>
        <v/>
      </c>
      <c r="R951" s="13" t="str">
        <f t="shared" si="59"/>
        <v>Non diskon</v>
      </c>
    </row>
    <row r="952" spans="1:18" x14ac:dyDescent="0.25">
      <c r="A952" s="13" t="s">
        <v>964</v>
      </c>
      <c r="B952" s="13" t="s">
        <v>2190</v>
      </c>
      <c r="C952" s="13" t="s">
        <v>2203</v>
      </c>
      <c r="D952" s="13" t="s">
        <v>2205</v>
      </c>
      <c r="E952" s="13" t="s">
        <v>2209</v>
      </c>
      <c r="F952" s="13" t="s">
        <v>2223</v>
      </c>
      <c r="G952" s="13">
        <v>104.78</v>
      </c>
      <c r="H952" s="13">
        <v>16.899999999999999</v>
      </c>
      <c r="I952" s="13">
        <v>87.07</v>
      </c>
      <c r="J952" s="24">
        <v>45875</v>
      </c>
      <c r="K952" s="13">
        <v>43</v>
      </c>
      <c r="L952" s="44">
        <v>4.3</v>
      </c>
      <c r="M952" s="13" t="b">
        <v>0</v>
      </c>
      <c r="O952" s="25">
        <f t="shared" si="56"/>
        <v>27</v>
      </c>
      <c r="P952" s="13">
        <f t="shared" si="57"/>
        <v>726.69999999999993</v>
      </c>
      <c r="Q952" s="13" t="str">
        <f t="shared" si="58"/>
        <v/>
      </c>
      <c r="R952" s="13" t="str">
        <f t="shared" si="59"/>
        <v>Diskon</v>
      </c>
    </row>
    <row r="953" spans="1:18" x14ac:dyDescent="0.25">
      <c r="A953" s="13" t="s">
        <v>965</v>
      </c>
      <c r="B953" s="13" t="s">
        <v>2192</v>
      </c>
      <c r="C953" s="13" t="s">
        <v>2203</v>
      </c>
      <c r="D953" s="13" t="s">
        <v>2206</v>
      </c>
      <c r="F953" s="13" t="s">
        <v>2219</v>
      </c>
      <c r="G953" s="13">
        <v>55.3</v>
      </c>
      <c r="H953" s="13">
        <v>0</v>
      </c>
      <c r="I953" s="13">
        <v>55.3</v>
      </c>
      <c r="J953" s="24">
        <v>45875</v>
      </c>
      <c r="K953" s="13">
        <v>17</v>
      </c>
      <c r="L953" s="44">
        <v>2.5</v>
      </c>
      <c r="M953" s="13" t="b">
        <v>0</v>
      </c>
      <c r="O953" s="25">
        <f t="shared" si="56"/>
        <v>27</v>
      </c>
      <c r="P953" s="13">
        <f t="shared" si="57"/>
        <v>0</v>
      </c>
      <c r="Q953" s="13" t="str">
        <f t="shared" si="58"/>
        <v/>
      </c>
      <c r="R953" s="13" t="str">
        <f t="shared" si="59"/>
        <v>Non diskon</v>
      </c>
    </row>
    <row r="954" spans="1:18" x14ac:dyDescent="0.25">
      <c r="A954" s="13" t="s">
        <v>966</v>
      </c>
      <c r="B954" s="13" t="s">
        <v>2194</v>
      </c>
      <c r="C954" s="13" t="s">
        <v>2202</v>
      </c>
      <c r="D954" s="13" t="s">
        <v>2207</v>
      </c>
      <c r="E954" s="13" t="s">
        <v>2212</v>
      </c>
      <c r="F954" s="13" t="s">
        <v>2216</v>
      </c>
      <c r="G954" s="13">
        <v>56.65</v>
      </c>
      <c r="H954" s="13">
        <v>34</v>
      </c>
      <c r="I954" s="13">
        <v>37.39</v>
      </c>
      <c r="J954" s="24">
        <v>45875</v>
      </c>
      <c r="K954" s="13">
        <v>23</v>
      </c>
      <c r="L954" s="44">
        <v>4.3</v>
      </c>
      <c r="M954" s="13" t="b">
        <v>0</v>
      </c>
      <c r="O954" s="25">
        <f t="shared" si="56"/>
        <v>27</v>
      </c>
      <c r="P954" s="13">
        <f t="shared" si="57"/>
        <v>782</v>
      </c>
      <c r="Q954" s="13" t="str">
        <f t="shared" si="58"/>
        <v/>
      </c>
      <c r="R954" s="13" t="str">
        <f t="shared" si="59"/>
        <v>Diskon</v>
      </c>
    </row>
    <row r="955" spans="1:18" x14ac:dyDescent="0.25">
      <c r="A955" s="13" t="s">
        <v>967</v>
      </c>
      <c r="B955" s="13" t="s">
        <v>2193</v>
      </c>
      <c r="C955" s="13" t="s">
        <v>2197</v>
      </c>
      <c r="D955" s="13" t="s">
        <v>2206</v>
      </c>
      <c r="E955" s="13" t="s">
        <v>2212</v>
      </c>
      <c r="F955" s="13" t="s">
        <v>2215</v>
      </c>
      <c r="G955" s="13">
        <v>199.14</v>
      </c>
      <c r="H955" s="13">
        <v>0</v>
      </c>
      <c r="I955" s="13">
        <v>199.14</v>
      </c>
      <c r="J955" s="24">
        <v>45875</v>
      </c>
      <c r="K955" s="13">
        <v>18</v>
      </c>
      <c r="L955" s="44">
        <v>2.8205128205128198</v>
      </c>
      <c r="M955" s="13" t="b">
        <v>0</v>
      </c>
      <c r="O955" s="25">
        <f t="shared" si="56"/>
        <v>27</v>
      </c>
      <c r="P955" s="13">
        <f t="shared" si="57"/>
        <v>0</v>
      </c>
      <c r="Q955" s="13" t="str">
        <f t="shared" si="58"/>
        <v/>
      </c>
      <c r="R955" s="13" t="str">
        <f t="shared" si="59"/>
        <v>Non diskon</v>
      </c>
    </row>
    <row r="956" spans="1:18" x14ac:dyDescent="0.25">
      <c r="A956" s="13" t="s">
        <v>968</v>
      </c>
      <c r="B956" s="13" t="s">
        <v>2193</v>
      </c>
      <c r="C956" s="13" t="s">
        <v>2196</v>
      </c>
      <c r="D956" s="13" t="s">
        <v>2206</v>
      </c>
      <c r="E956" s="13" t="s">
        <v>2213</v>
      </c>
      <c r="F956" s="13" t="s">
        <v>2215</v>
      </c>
      <c r="G956" s="13">
        <v>128.68</v>
      </c>
      <c r="H956" s="13">
        <v>0</v>
      </c>
      <c r="I956" s="13">
        <v>128.68</v>
      </c>
      <c r="J956" s="24">
        <v>45875</v>
      </c>
      <c r="K956" s="13">
        <v>8</v>
      </c>
      <c r="L956" s="44">
        <v>2.2000000000000002</v>
      </c>
      <c r="M956" s="13" t="b">
        <v>0</v>
      </c>
      <c r="O956" s="25">
        <f t="shared" si="56"/>
        <v>27</v>
      </c>
      <c r="P956" s="13">
        <f t="shared" si="57"/>
        <v>0</v>
      </c>
      <c r="Q956" s="13" t="str">
        <f t="shared" si="58"/>
        <v/>
      </c>
      <c r="R956" s="13" t="str">
        <f t="shared" si="59"/>
        <v>Non diskon</v>
      </c>
    </row>
    <row r="957" spans="1:18" x14ac:dyDescent="0.25">
      <c r="A957" s="13" t="s">
        <v>969</v>
      </c>
      <c r="B957" s="13" t="s">
        <v>2190</v>
      </c>
      <c r="C957" s="13" t="s">
        <v>2197</v>
      </c>
      <c r="D957" s="13" t="s">
        <v>2206</v>
      </c>
      <c r="E957" s="13" t="s">
        <v>2208</v>
      </c>
      <c r="F957" s="13" t="s">
        <v>2221</v>
      </c>
      <c r="G957" s="13">
        <v>150.37</v>
      </c>
      <c r="H957" s="13">
        <v>51.9</v>
      </c>
      <c r="I957" s="13">
        <v>72.33</v>
      </c>
      <c r="J957" s="24">
        <v>45875</v>
      </c>
      <c r="K957" s="13">
        <v>15</v>
      </c>
      <c r="L957" s="44">
        <v>5</v>
      </c>
      <c r="M957" s="13" t="b">
        <v>0</v>
      </c>
      <c r="O957" s="25">
        <f t="shared" si="56"/>
        <v>27</v>
      </c>
      <c r="P957" s="13">
        <f t="shared" si="57"/>
        <v>778.5</v>
      </c>
      <c r="Q957" s="13" t="str">
        <f t="shared" si="58"/>
        <v/>
      </c>
      <c r="R957" s="13" t="str">
        <f t="shared" si="59"/>
        <v>Diskon</v>
      </c>
    </row>
    <row r="958" spans="1:18" x14ac:dyDescent="0.25">
      <c r="A958" s="13" t="s">
        <v>970</v>
      </c>
      <c r="B958" s="13" t="s">
        <v>2195</v>
      </c>
      <c r="C958" s="13" t="s">
        <v>2203</v>
      </c>
      <c r="D958" s="13" t="s">
        <v>2205</v>
      </c>
      <c r="E958" s="13" t="s">
        <v>2213</v>
      </c>
      <c r="F958" s="13" t="s">
        <v>2215</v>
      </c>
      <c r="G958" s="13">
        <v>162.65</v>
      </c>
      <c r="H958" s="13">
        <v>0</v>
      </c>
      <c r="I958" s="13">
        <v>162.65</v>
      </c>
      <c r="J958" s="24">
        <v>45875</v>
      </c>
      <c r="K958" s="13">
        <v>36</v>
      </c>
      <c r="L958" s="44">
        <v>1.4</v>
      </c>
      <c r="M958" s="13" t="b">
        <v>0</v>
      </c>
      <c r="O958" s="25">
        <f t="shared" si="56"/>
        <v>27</v>
      </c>
      <c r="P958" s="13">
        <f t="shared" si="57"/>
        <v>0</v>
      </c>
      <c r="Q958" s="13" t="str">
        <f t="shared" si="58"/>
        <v/>
      </c>
      <c r="R958" s="13" t="str">
        <f t="shared" si="59"/>
        <v>Non diskon</v>
      </c>
    </row>
    <row r="959" spans="1:18" x14ac:dyDescent="0.25">
      <c r="A959" s="13" t="s">
        <v>971</v>
      </c>
      <c r="B959" s="13" t="s">
        <v>2194</v>
      </c>
      <c r="C959" s="13" t="s">
        <v>2199</v>
      </c>
      <c r="D959" s="13" t="s">
        <v>2207</v>
      </c>
      <c r="E959" s="13" t="s">
        <v>2211</v>
      </c>
      <c r="F959" s="13" t="s">
        <v>2217</v>
      </c>
      <c r="G959" s="13">
        <v>28.9</v>
      </c>
      <c r="H959" s="13">
        <v>0</v>
      </c>
      <c r="I959" s="13">
        <v>28.9</v>
      </c>
      <c r="J959" s="24">
        <v>45875</v>
      </c>
      <c r="K959" s="13">
        <v>5</v>
      </c>
      <c r="L959" s="44">
        <v>4.5999999999999996</v>
      </c>
      <c r="M959" s="13" t="b">
        <v>0</v>
      </c>
      <c r="O959" s="25">
        <f t="shared" si="56"/>
        <v>27</v>
      </c>
      <c r="P959" s="13">
        <f t="shared" si="57"/>
        <v>0</v>
      </c>
      <c r="Q959" s="13" t="str">
        <f t="shared" si="58"/>
        <v/>
      </c>
      <c r="R959" s="13" t="str">
        <f t="shared" si="59"/>
        <v>Non diskon</v>
      </c>
    </row>
    <row r="960" spans="1:18" x14ac:dyDescent="0.25">
      <c r="A960" s="13" t="s">
        <v>972</v>
      </c>
      <c r="B960" s="13" t="s">
        <v>2192</v>
      </c>
      <c r="C960" s="13" t="s">
        <v>2203</v>
      </c>
      <c r="D960" s="13" t="s">
        <v>2204</v>
      </c>
      <c r="F960" s="13" t="s">
        <v>2215</v>
      </c>
      <c r="G960" s="13">
        <v>75.59</v>
      </c>
      <c r="H960" s="13">
        <v>38.799999999999997</v>
      </c>
      <c r="I960" s="13">
        <v>46.26</v>
      </c>
      <c r="J960" s="24">
        <v>45745</v>
      </c>
      <c r="K960" s="13">
        <v>43</v>
      </c>
      <c r="L960" s="44">
        <v>1.1000000000000001</v>
      </c>
      <c r="M960" s="13" t="b">
        <v>0</v>
      </c>
      <c r="O960" s="25">
        <f t="shared" si="56"/>
        <v>157</v>
      </c>
      <c r="P960" s="13">
        <f t="shared" si="57"/>
        <v>1668.3999999999999</v>
      </c>
      <c r="Q960" s="13" t="str">
        <f t="shared" si="58"/>
        <v/>
      </c>
      <c r="R960" s="13" t="str">
        <f t="shared" si="59"/>
        <v>Diskon</v>
      </c>
    </row>
    <row r="961" spans="1:18" x14ac:dyDescent="0.25">
      <c r="A961" s="13" t="s">
        <v>973</v>
      </c>
      <c r="B961" s="13" t="s">
        <v>2191</v>
      </c>
      <c r="C961" s="13" t="s">
        <v>2196</v>
      </c>
      <c r="D961" s="13" t="s">
        <v>2204</v>
      </c>
      <c r="E961" s="13" t="s">
        <v>2210</v>
      </c>
      <c r="F961" s="13" t="s">
        <v>2224</v>
      </c>
      <c r="G961" s="13">
        <v>30.9</v>
      </c>
      <c r="H961" s="13">
        <v>5.5</v>
      </c>
      <c r="I961" s="13">
        <v>29.2</v>
      </c>
      <c r="J961" s="24">
        <v>45602</v>
      </c>
      <c r="K961" s="13">
        <v>25</v>
      </c>
      <c r="L961" s="44">
        <v>1.4</v>
      </c>
      <c r="M961" s="13" t="b">
        <v>0</v>
      </c>
      <c r="O961" s="25">
        <f t="shared" si="56"/>
        <v>300</v>
      </c>
      <c r="P961" s="13">
        <f t="shared" si="57"/>
        <v>137.5</v>
      </c>
      <c r="Q961" s="13" t="str">
        <f t="shared" si="58"/>
        <v/>
      </c>
      <c r="R961" s="13" t="str">
        <f t="shared" si="59"/>
        <v>Diskon</v>
      </c>
    </row>
    <row r="962" spans="1:18" x14ac:dyDescent="0.25">
      <c r="A962" s="13" t="s">
        <v>974</v>
      </c>
      <c r="B962" s="13" t="s">
        <v>2190</v>
      </c>
      <c r="C962" s="13" t="s">
        <v>2199</v>
      </c>
      <c r="D962" s="13" t="s">
        <v>2207</v>
      </c>
      <c r="E962" s="13" t="s">
        <v>2210</v>
      </c>
      <c r="F962" s="13" t="s">
        <v>2219</v>
      </c>
      <c r="G962" s="13">
        <v>101.04</v>
      </c>
      <c r="H962" s="13">
        <v>0</v>
      </c>
      <c r="I962" s="13">
        <v>101.04</v>
      </c>
      <c r="J962" s="24">
        <v>45875</v>
      </c>
      <c r="K962" s="13">
        <v>35</v>
      </c>
      <c r="L962" s="44">
        <v>3.5</v>
      </c>
      <c r="M962" s="13" t="b">
        <v>0</v>
      </c>
      <c r="O962" s="25">
        <f t="shared" si="56"/>
        <v>27</v>
      </c>
      <c r="P962" s="13">
        <f t="shared" si="57"/>
        <v>0</v>
      </c>
      <c r="Q962" s="13" t="str">
        <f t="shared" si="58"/>
        <v/>
      </c>
      <c r="R962" s="13" t="str">
        <f t="shared" si="59"/>
        <v>Non diskon</v>
      </c>
    </row>
    <row r="963" spans="1:18" x14ac:dyDescent="0.25">
      <c r="A963" s="13" t="s">
        <v>975</v>
      </c>
      <c r="B963" s="13" t="s">
        <v>2195</v>
      </c>
      <c r="C963" s="13" t="s">
        <v>2203</v>
      </c>
      <c r="D963" s="13" t="s">
        <v>2206</v>
      </c>
      <c r="E963" s="13" t="s">
        <v>2210</v>
      </c>
      <c r="F963" s="13" t="s">
        <v>2217</v>
      </c>
      <c r="G963" s="13">
        <v>54.81</v>
      </c>
      <c r="H963" s="13">
        <v>0</v>
      </c>
      <c r="I963" s="13">
        <v>54.81</v>
      </c>
      <c r="J963" s="24">
        <v>45875</v>
      </c>
      <c r="K963" s="13">
        <v>41</v>
      </c>
      <c r="L963" s="44">
        <v>1.2</v>
      </c>
      <c r="M963" s="13" t="b">
        <v>1</v>
      </c>
      <c r="N963" s="13" t="s">
        <v>2230</v>
      </c>
      <c r="O963" s="25">
        <f t="shared" ref="O963:O1026" si="60">DATE(2025,9,2)-J963</f>
        <v>27</v>
      </c>
      <c r="P963" s="13">
        <f t="shared" ref="P963:P1026" si="61">H963*K963</f>
        <v>0</v>
      </c>
      <c r="Q963" s="13">
        <f t="shared" ref="Q963:Q1026" si="62">IF(M963=FALSE,"",1)</f>
        <v>1</v>
      </c>
      <c r="R963" s="13" t="str">
        <f t="shared" ref="R963:R1026" si="63">IF(H963=0,"Non diskon","Diskon")</f>
        <v>Non diskon</v>
      </c>
    </row>
    <row r="964" spans="1:18" x14ac:dyDescent="0.25">
      <c r="A964" s="13" t="s">
        <v>976</v>
      </c>
      <c r="B964" s="13" t="s">
        <v>2193</v>
      </c>
      <c r="C964" s="13" t="s">
        <v>2200</v>
      </c>
      <c r="D964" s="13" t="s">
        <v>2207</v>
      </c>
      <c r="E964" s="13" t="s">
        <v>2213</v>
      </c>
      <c r="F964" s="13" t="s">
        <v>2222</v>
      </c>
      <c r="G964" s="13">
        <v>191.61</v>
      </c>
      <c r="H964" s="13">
        <v>42.1</v>
      </c>
      <c r="I964" s="13">
        <v>110.94</v>
      </c>
      <c r="J964" s="24">
        <v>45875</v>
      </c>
      <c r="K964" s="13">
        <v>28</v>
      </c>
      <c r="L964" s="44">
        <v>4</v>
      </c>
      <c r="M964" s="13" t="b">
        <v>0</v>
      </c>
      <c r="O964" s="25">
        <f t="shared" si="60"/>
        <v>27</v>
      </c>
      <c r="P964" s="13">
        <f t="shared" si="61"/>
        <v>1178.8</v>
      </c>
      <c r="Q964" s="13" t="str">
        <f t="shared" si="62"/>
        <v/>
      </c>
      <c r="R964" s="13" t="str">
        <f t="shared" si="63"/>
        <v>Diskon</v>
      </c>
    </row>
    <row r="965" spans="1:18" x14ac:dyDescent="0.25">
      <c r="A965" s="13" t="s">
        <v>977</v>
      </c>
      <c r="B965" s="13" t="s">
        <v>2191</v>
      </c>
      <c r="C965" s="13" t="s">
        <v>2199</v>
      </c>
      <c r="D965" s="13" t="s">
        <v>2207</v>
      </c>
      <c r="E965" s="13" t="s">
        <v>2211</v>
      </c>
      <c r="F965" s="13" t="s">
        <v>2215</v>
      </c>
      <c r="G965" s="13">
        <v>100.5</v>
      </c>
      <c r="H965" s="13">
        <v>0</v>
      </c>
      <c r="I965" s="13">
        <v>100.5</v>
      </c>
      <c r="J965" s="24">
        <v>45875</v>
      </c>
      <c r="K965" s="13">
        <v>12</v>
      </c>
      <c r="L965" s="44">
        <v>2.7</v>
      </c>
      <c r="M965" s="13" t="b">
        <v>1</v>
      </c>
      <c r="N965" s="13" t="s">
        <v>2227</v>
      </c>
      <c r="O965" s="25">
        <f t="shared" si="60"/>
        <v>27</v>
      </c>
      <c r="P965" s="13">
        <f t="shared" si="61"/>
        <v>0</v>
      </c>
      <c r="Q965" s="13">
        <f t="shared" si="62"/>
        <v>1</v>
      </c>
      <c r="R965" s="13" t="str">
        <f t="shared" si="63"/>
        <v>Non diskon</v>
      </c>
    </row>
    <row r="966" spans="1:18" x14ac:dyDescent="0.25">
      <c r="A966" s="13" t="s">
        <v>978</v>
      </c>
      <c r="B966" s="13" t="s">
        <v>2193</v>
      </c>
      <c r="C966" s="13" t="s">
        <v>2199</v>
      </c>
      <c r="D966" s="13" t="s">
        <v>2204</v>
      </c>
      <c r="E966" s="13" t="s">
        <v>2211</v>
      </c>
      <c r="F966" s="13" t="s">
        <v>2220</v>
      </c>
      <c r="G966" s="13">
        <v>92.35</v>
      </c>
      <c r="H966" s="13">
        <v>23.6</v>
      </c>
      <c r="I966" s="13">
        <v>70.56</v>
      </c>
      <c r="J966" s="24">
        <v>45624</v>
      </c>
      <c r="K966" s="13">
        <v>32</v>
      </c>
      <c r="L966" s="44">
        <v>2.2000000000000002</v>
      </c>
      <c r="M966" s="13" t="b">
        <v>0</v>
      </c>
      <c r="O966" s="25">
        <f t="shared" si="60"/>
        <v>278</v>
      </c>
      <c r="P966" s="13">
        <f t="shared" si="61"/>
        <v>755.2</v>
      </c>
      <c r="Q966" s="13" t="str">
        <f t="shared" si="62"/>
        <v/>
      </c>
      <c r="R966" s="13" t="str">
        <f t="shared" si="63"/>
        <v>Diskon</v>
      </c>
    </row>
    <row r="967" spans="1:18" x14ac:dyDescent="0.25">
      <c r="A967" s="13" t="s">
        <v>979</v>
      </c>
      <c r="B967" s="13" t="s">
        <v>2193</v>
      </c>
      <c r="C967" s="13" t="s">
        <v>2201</v>
      </c>
      <c r="D967" s="13" t="s">
        <v>2207</v>
      </c>
      <c r="E967" s="13" t="s">
        <v>2213</v>
      </c>
      <c r="F967" s="13" t="s">
        <v>2218</v>
      </c>
      <c r="G967" s="13">
        <v>161.24</v>
      </c>
      <c r="H967" s="13">
        <v>56.6</v>
      </c>
      <c r="I967" s="13">
        <v>69.98</v>
      </c>
      <c r="J967" s="24">
        <v>45875</v>
      </c>
      <c r="K967" s="13">
        <v>8</v>
      </c>
      <c r="L967" s="44">
        <v>2.1</v>
      </c>
      <c r="M967" s="13" t="b">
        <v>0</v>
      </c>
      <c r="O967" s="25">
        <f t="shared" si="60"/>
        <v>27</v>
      </c>
      <c r="P967" s="13">
        <f t="shared" si="61"/>
        <v>452.8</v>
      </c>
      <c r="Q967" s="13" t="str">
        <f t="shared" si="62"/>
        <v/>
      </c>
      <c r="R967" s="13" t="str">
        <f t="shared" si="63"/>
        <v>Diskon</v>
      </c>
    </row>
    <row r="968" spans="1:18" x14ac:dyDescent="0.25">
      <c r="A968" s="13" t="s">
        <v>980</v>
      </c>
      <c r="B968" s="13" t="s">
        <v>2195</v>
      </c>
      <c r="C968" s="13" t="s">
        <v>2199</v>
      </c>
      <c r="D968" s="13" t="s">
        <v>2205</v>
      </c>
      <c r="E968" s="13" t="s">
        <v>2212</v>
      </c>
      <c r="F968" s="13" t="s">
        <v>2218</v>
      </c>
      <c r="G968" s="13">
        <v>68.03</v>
      </c>
      <c r="H968" s="13">
        <v>6.3</v>
      </c>
      <c r="I968" s="13">
        <v>63.74</v>
      </c>
      <c r="J968" s="24">
        <v>45875</v>
      </c>
      <c r="K968" s="13">
        <v>43</v>
      </c>
      <c r="L968" s="44">
        <v>3.4</v>
      </c>
      <c r="M968" s="13" t="b">
        <v>0</v>
      </c>
      <c r="O968" s="25">
        <f t="shared" si="60"/>
        <v>27</v>
      </c>
      <c r="P968" s="13">
        <f t="shared" si="61"/>
        <v>270.89999999999998</v>
      </c>
      <c r="Q968" s="13" t="str">
        <f t="shared" si="62"/>
        <v/>
      </c>
      <c r="R968" s="13" t="str">
        <f t="shared" si="63"/>
        <v>Diskon</v>
      </c>
    </row>
    <row r="969" spans="1:18" x14ac:dyDescent="0.25">
      <c r="A969" s="13" t="s">
        <v>981</v>
      </c>
      <c r="B969" s="13" t="s">
        <v>2193</v>
      </c>
      <c r="C969" s="13" t="s">
        <v>2201</v>
      </c>
      <c r="D969" s="13" t="s">
        <v>2206</v>
      </c>
      <c r="E969" s="13" t="s">
        <v>2212</v>
      </c>
      <c r="F969" s="13" t="s">
        <v>2223</v>
      </c>
      <c r="G969" s="13">
        <v>121.21</v>
      </c>
      <c r="H969" s="13">
        <v>47.4</v>
      </c>
      <c r="I969" s="13">
        <v>63.76</v>
      </c>
      <c r="J969" s="24">
        <v>45875</v>
      </c>
      <c r="K969" s="13">
        <v>45</v>
      </c>
      <c r="L969" s="44">
        <v>3</v>
      </c>
      <c r="M969" s="13" t="b">
        <v>1</v>
      </c>
      <c r="N969" s="13" t="s">
        <v>2229</v>
      </c>
      <c r="O969" s="25">
        <f t="shared" si="60"/>
        <v>27</v>
      </c>
      <c r="P969" s="13">
        <f t="shared" si="61"/>
        <v>2133</v>
      </c>
      <c r="Q969" s="13">
        <f t="shared" si="62"/>
        <v>1</v>
      </c>
      <c r="R969" s="13" t="str">
        <f t="shared" si="63"/>
        <v>Diskon</v>
      </c>
    </row>
    <row r="970" spans="1:18" x14ac:dyDescent="0.25">
      <c r="A970" s="13" t="s">
        <v>982</v>
      </c>
      <c r="B970" s="13" t="s">
        <v>2191</v>
      </c>
      <c r="C970" s="13" t="s">
        <v>2196</v>
      </c>
      <c r="D970" s="13" t="s">
        <v>2205</v>
      </c>
      <c r="E970" s="13" t="s">
        <v>2209</v>
      </c>
      <c r="F970" s="13" t="s">
        <v>2219</v>
      </c>
      <c r="G970" s="13">
        <v>69.599999999999994</v>
      </c>
      <c r="H970" s="13">
        <v>28.8</v>
      </c>
      <c r="I970" s="13">
        <v>49.56</v>
      </c>
      <c r="J970" s="24">
        <v>45875</v>
      </c>
      <c r="K970" s="13">
        <v>42</v>
      </c>
      <c r="L970" s="44">
        <v>3.7</v>
      </c>
      <c r="M970" s="13" t="b">
        <v>0</v>
      </c>
      <c r="O970" s="25">
        <f t="shared" si="60"/>
        <v>27</v>
      </c>
      <c r="P970" s="13">
        <f t="shared" si="61"/>
        <v>1209.6000000000001</v>
      </c>
      <c r="Q970" s="13" t="str">
        <f t="shared" si="62"/>
        <v/>
      </c>
      <c r="R970" s="13" t="str">
        <f t="shared" si="63"/>
        <v>Diskon</v>
      </c>
    </row>
    <row r="971" spans="1:18" x14ac:dyDescent="0.25">
      <c r="A971" s="13" t="s">
        <v>983</v>
      </c>
      <c r="B971" s="13" t="s">
        <v>2190</v>
      </c>
      <c r="C971" s="13" t="s">
        <v>2198</v>
      </c>
      <c r="D971" s="13" t="s">
        <v>2205</v>
      </c>
      <c r="E971" s="13" t="s">
        <v>2212</v>
      </c>
      <c r="F971" s="13" t="s">
        <v>2217</v>
      </c>
      <c r="G971" s="13">
        <v>222.5</v>
      </c>
      <c r="H971" s="13">
        <v>18.7</v>
      </c>
      <c r="I971" s="13">
        <v>180.89</v>
      </c>
      <c r="J971" s="24">
        <v>45875</v>
      </c>
      <c r="K971" s="13">
        <v>47</v>
      </c>
      <c r="L971" s="44">
        <v>3.0177777777777774</v>
      </c>
      <c r="M971" s="13" t="b">
        <v>0</v>
      </c>
      <c r="O971" s="25">
        <f t="shared" si="60"/>
        <v>27</v>
      </c>
      <c r="P971" s="13">
        <f t="shared" si="61"/>
        <v>878.9</v>
      </c>
      <c r="Q971" s="13" t="str">
        <f t="shared" si="62"/>
        <v/>
      </c>
      <c r="R971" s="13" t="str">
        <f t="shared" si="63"/>
        <v>Diskon</v>
      </c>
    </row>
    <row r="972" spans="1:18" x14ac:dyDescent="0.25">
      <c r="A972" s="13" t="s">
        <v>984</v>
      </c>
      <c r="B972" s="13" t="s">
        <v>2194</v>
      </c>
      <c r="C972" s="13" t="s">
        <v>2203</v>
      </c>
      <c r="D972" s="13" t="s">
        <v>2206</v>
      </c>
      <c r="E972" s="13" t="s">
        <v>2211</v>
      </c>
      <c r="F972" s="13" t="s">
        <v>2215</v>
      </c>
      <c r="G972" s="13">
        <v>25.58</v>
      </c>
      <c r="H972" s="13">
        <v>54.5</v>
      </c>
      <c r="I972" s="13">
        <v>11.64</v>
      </c>
      <c r="J972" s="24">
        <v>45875</v>
      </c>
      <c r="K972" s="13">
        <v>34</v>
      </c>
      <c r="L972" s="44">
        <v>2.4</v>
      </c>
      <c r="M972" s="13" t="b">
        <v>0</v>
      </c>
      <c r="O972" s="25">
        <f t="shared" si="60"/>
        <v>27</v>
      </c>
      <c r="P972" s="13">
        <f t="shared" si="61"/>
        <v>1853</v>
      </c>
      <c r="Q972" s="13" t="str">
        <f t="shared" si="62"/>
        <v/>
      </c>
      <c r="R972" s="13" t="str">
        <f t="shared" si="63"/>
        <v>Diskon</v>
      </c>
    </row>
    <row r="973" spans="1:18" x14ac:dyDescent="0.25">
      <c r="A973" s="13" t="s">
        <v>985</v>
      </c>
      <c r="B973" s="13" t="s">
        <v>2195</v>
      </c>
      <c r="C973" s="13" t="s">
        <v>2199</v>
      </c>
      <c r="D973" s="13" t="s">
        <v>2207</v>
      </c>
      <c r="E973" s="13" t="s">
        <v>2208</v>
      </c>
      <c r="F973" s="13" t="s">
        <v>2219</v>
      </c>
      <c r="G973" s="13">
        <v>54.46</v>
      </c>
      <c r="H973" s="13">
        <v>6.6</v>
      </c>
      <c r="I973" s="13">
        <v>50.87</v>
      </c>
      <c r="J973" s="24">
        <v>45875</v>
      </c>
      <c r="K973" s="13">
        <v>17</v>
      </c>
      <c r="L973" s="44">
        <v>1.7</v>
      </c>
      <c r="M973" s="13" t="b">
        <v>0</v>
      </c>
      <c r="O973" s="25">
        <f t="shared" si="60"/>
        <v>27</v>
      </c>
      <c r="P973" s="13">
        <f t="shared" si="61"/>
        <v>112.19999999999999</v>
      </c>
      <c r="Q973" s="13" t="str">
        <f t="shared" si="62"/>
        <v/>
      </c>
      <c r="R973" s="13" t="str">
        <f t="shared" si="63"/>
        <v>Diskon</v>
      </c>
    </row>
    <row r="974" spans="1:18" x14ac:dyDescent="0.25">
      <c r="A974" s="13" t="s">
        <v>986</v>
      </c>
      <c r="B974" s="13" t="s">
        <v>2194</v>
      </c>
      <c r="C974" s="13" t="s">
        <v>2203</v>
      </c>
      <c r="D974" s="13" t="s">
        <v>2205</v>
      </c>
      <c r="E974" s="13" t="s">
        <v>2210</v>
      </c>
      <c r="F974" s="13" t="s">
        <v>2215</v>
      </c>
      <c r="G974" s="13">
        <v>43.32</v>
      </c>
      <c r="H974" s="13">
        <v>0</v>
      </c>
      <c r="I974" s="13">
        <v>43.32</v>
      </c>
      <c r="J974" s="24">
        <v>45875</v>
      </c>
      <c r="K974" s="13">
        <v>0</v>
      </c>
      <c r="L974" s="44">
        <v>2.6</v>
      </c>
      <c r="M974" s="13" t="b">
        <v>0</v>
      </c>
      <c r="O974" s="25">
        <f t="shared" si="60"/>
        <v>27</v>
      </c>
      <c r="P974" s="13">
        <f t="shared" si="61"/>
        <v>0</v>
      </c>
      <c r="Q974" s="13" t="str">
        <f t="shared" si="62"/>
        <v/>
      </c>
      <c r="R974" s="13" t="str">
        <f t="shared" si="63"/>
        <v>Non diskon</v>
      </c>
    </row>
    <row r="975" spans="1:18" x14ac:dyDescent="0.25">
      <c r="A975" s="13" t="s">
        <v>987</v>
      </c>
      <c r="B975" s="13" t="s">
        <v>2192</v>
      </c>
      <c r="C975" s="13" t="s">
        <v>2203</v>
      </c>
      <c r="D975" s="13" t="s">
        <v>2205</v>
      </c>
      <c r="F975" s="13" t="s">
        <v>2214</v>
      </c>
      <c r="G975" s="13">
        <v>75.09</v>
      </c>
      <c r="H975" s="13">
        <v>0</v>
      </c>
      <c r="I975" s="13">
        <v>75.09</v>
      </c>
      <c r="J975" s="24">
        <v>45875</v>
      </c>
      <c r="K975" s="13">
        <v>41</v>
      </c>
      <c r="L975" s="44">
        <v>3.5</v>
      </c>
      <c r="M975" s="13" t="b">
        <v>0</v>
      </c>
      <c r="O975" s="25">
        <f t="shared" si="60"/>
        <v>27</v>
      </c>
      <c r="P975" s="13">
        <f t="shared" si="61"/>
        <v>0</v>
      </c>
      <c r="Q975" s="13" t="str">
        <f t="shared" si="62"/>
        <v/>
      </c>
      <c r="R975" s="13" t="str">
        <f t="shared" si="63"/>
        <v>Non diskon</v>
      </c>
    </row>
    <row r="976" spans="1:18" x14ac:dyDescent="0.25">
      <c r="A976" s="13" t="s">
        <v>988</v>
      </c>
      <c r="B976" s="13" t="s">
        <v>2195</v>
      </c>
      <c r="C976" s="13" t="s">
        <v>2197</v>
      </c>
      <c r="D976" s="13" t="s">
        <v>2204</v>
      </c>
      <c r="E976" s="13" t="s">
        <v>2212</v>
      </c>
      <c r="F976" s="13" t="s">
        <v>2214</v>
      </c>
      <c r="G976" s="13">
        <v>167.46</v>
      </c>
      <c r="H976" s="13">
        <v>0</v>
      </c>
      <c r="I976" s="13">
        <v>167.46</v>
      </c>
      <c r="J976" s="24">
        <v>45522</v>
      </c>
      <c r="K976" s="13">
        <v>4</v>
      </c>
      <c r="L976" s="44">
        <v>1.3</v>
      </c>
      <c r="M976" s="13" t="b">
        <v>0</v>
      </c>
      <c r="O976" s="25">
        <f t="shared" si="60"/>
        <v>380</v>
      </c>
      <c r="P976" s="13">
        <f t="shared" si="61"/>
        <v>0</v>
      </c>
      <c r="Q976" s="13" t="str">
        <f t="shared" si="62"/>
        <v/>
      </c>
      <c r="R976" s="13" t="str">
        <f t="shared" si="63"/>
        <v>Non diskon</v>
      </c>
    </row>
    <row r="977" spans="1:18" x14ac:dyDescent="0.25">
      <c r="A977" s="13" t="s">
        <v>989</v>
      </c>
      <c r="B977" s="13" t="s">
        <v>2193</v>
      </c>
      <c r="C977" s="13" t="s">
        <v>2198</v>
      </c>
      <c r="D977" s="13" t="s">
        <v>2206</v>
      </c>
      <c r="E977" s="13" t="s">
        <v>2209</v>
      </c>
      <c r="F977" s="13" t="s">
        <v>2219</v>
      </c>
      <c r="G977" s="13">
        <v>111.24</v>
      </c>
      <c r="H977" s="13">
        <v>34.299999999999997</v>
      </c>
      <c r="I977" s="13">
        <v>73.08</v>
      </c>
      <c r="J977" s="24">
        <v>45875</v>
      </c>
      <c r="K977" s="13">
        <v>3</v>
      </c>
      <c r="L977" s="44">
        <v>2.2000000000000002</v>
      </c>
      <c r="M977" s="13" t="b">
        <v>0</v>
      </c>
      <c r="O977" s="25">
        <f t="shared" si="60"/>
        <v>27</v>
      </c>
      <c r="P977" s="13">
        <f t="shared" si="61"/>
        <v>102.89999999999999</v>
      </c>
      <c r="Q977" s="13" t="str">
        <f t="shared" si="62"/>
        <v/>
      </c>
      <c r="R977" s="13" t="str">
        <f t="shared" si="63"/>
        <v>Diskon</v>
      </c>
    </row>
    <row r="978" spans="1:18" x14ac:dyDescent="0.25">
      <c r="A978" s="13" t="s">
        <v>990</v>
      </c>
      <c r="B978" s="13" t="s">
        <v>2194</v>
      </c>
      <c r="C978" s="13" t="s">
        <v>2197</v>
      </c>
      <c r="D978" s="13" t="s">
        <v>2206</v>
      </c>
      <c r="E978" s="13" t="s">
        <v>2211</v>
      </c>
      <c r="F978" s="13" t="s">
        <v>2222</v>
      </c>
      <c r="G978" s="13">
        <v>59.36</v>
      </c>
      <c r="H978" s="13">
        <v>0</v>
      </c>
      <c r="I978" s="13">
        <v>59.36</v>
      </c>
      <c r="J978" s="24">
        <v>45875</v>
      </c>
      <c r="K978" s="13">
        <v>16</v>
      </c>
      <c r="L978" s="44">
        <v>3.0846153846153843</v>
      </c>
      <c r="M978" s="13" t="b">
        <v>0</v>
      </c>
      <c r="O978" s="25">
        <f t="shared" si="60"/>
        <v>27</v>
      </c>
      <c r="P978" s="13">
        <f t="shared" si="61"/>
        <v>0</v>
      </c>
      <c r="Q978" s="13" t="str">
        <f t="shared" si="62"/>
        <v/>
      </c>
      <c r="R978" s="13" t="str">
        <f t="shared" si="63"/>
        <v>Non diskon</v>
      </c>
    </row>
    <row r="979" spans="1:18" x14ac:dyDescent="0.25">
      <c r="A979" s="13" t="s">
        <v>991</v>
      </c>
      <c r="B979" s="13" t="s">
        <v>2193</v>
      </c>
      <c r="C979" s="13" t="s">
        <v>2198</v>
      </c>
      <c r="D979" s="13" t="s">
        <v>2206</v>
      </c>
      <c r="E979" s="13" t="s">
        <v>2210</v>
      </c>
      <c r="F979" s="13" t="s">
        <v>2222</v>
      </c>
      <c r="G979" s="13">
        <v>199.46</v>
      </c>
      <c r="H979" s="13">
        <v>0</v>
      </c>
      <c r="I979" s="13">
        <v>199.46</v>
      </c>
      <c r="J979" s="24">
        <v>45875</v>
      </c>
      <c r="K979" s="13">
        <v>15</v>
      </c>
      <c r="L979" s="44">
        <v>1.4</v>
      </c>
      <c r="M979" s="13" t="b">
        <v>0</v>
      </c>
      <c r="O979" s="25">
        <f t="shared" si="60"/>
        <v>27</v>
      </c>
      <c r="P979" s="13">
        <f t="shared" si="61"/>
        <v>0</v>
      </c>
      <c r="Q979" s="13" t="str">
        <f t="shared" si="62"/>
        <v/>
      </c>
      <c r="R979" s="13" t="str">
        <f t="shared" si="63"/>
        <v>Non diskon</v>
      </c>
    </row>
    <row r="980" spans="1:18" x14ac:dyDescent="0.25">
      <c r="A980" s="13" t="s">
        <v>992</v>
      </c>
      <c r="B980" s="13" t="s">
        <v>2193</v>
      </c>
      <c r="C980" s="13" t="s">
        <v>2203</v>
      </c>
      <c r="D980" s="13" t="s">
        <v>2206</v>
      </c>
      <c r="E980" s="13" t="s">
        <v>2213</v>
      </c>
      <c r="F980" s="13" t="s">
        <v>2217</v>
      </c>
      <c r="G980" s="13">
        <v>72.75</v>
      </c>
      <c r="H980" s="13">
        <v>50.2</v>
      </c>
      <c r="I980" s="13">
        <v>36.229999999999997</v>
      </c>
      <c r="J980" s="24">
        <v>45875</v>
      </c>
      <c r="K980" s="13">
        <v>28</v>
      </c>
      <c r="L980" s="44">
        <v>3.6</v>
      </c>
      <c r="M980" s="13" t="b">
        <v>0</v>
      </c>
      <c r="O980" s="25">
        <f t="shared" si="60"/>
        <v>27</v>
      </c>
      <c r="P980" s="13">
        <f t="shared" si="61"/>
        <v>1405.6000000000001</v>
      </c>
      <c r="Q980" s="13" t="str">
        <f t="shared" si="62"/>
        <v/>
      </c>
      <c r="R980" s="13" t="str">
        <f t="shared" si="63"/>
        <v>Diskon</v>
      </c>
    </row>
    <row r="981" spans="1:18" x14ac:dyDescent="0.25">
      <c r="A981" s="13" t="s">
        <v>993</v>
      </c>
      <c r="B981" s="13" t="s">
        <v>2194</v>
      </c>
      <c r="C981" s="13" t="s">
        <v>2199</v>
      </c>
      <c r="D981" s="13" t="s">
        <v>2206</v>
      </c>
      <c r="E981" s="13" t="s">
        <v>2212</v>
      </c>
      <c r="F981" s="13" t="s">
        <v>2215</v>
      </c>
      <c r="G981" s="13">
        <v>86.52</v>
      </c>
      <c r="H981" s="13">
        <v>27.6</v>
      </c>
      <c r="I981" s="13">
        <v>62.64</v>
      </c>
      <c r="J981" s="24">
        <v>45875</v>
      </c>
      <c r="K981" s="13">
        <v>47</v>
      </c>
      <c r="L981" s="44">
        <v>1.1000000000000001</v>
      </c>
      <c r="M981" s="13" t="b">
        <v>0</v>
      </c>
      <c r="O981" s="25">
        <f t="shared" si="60"/>
        <v>27</v>
      </c>
      <c r="P981" s="13">
        <f t="shared" si="61"/>
        <v>1297.2</v>
      </c>
      <c r="Q981" s="13" t="str">
        <f t="shared" si="62"/>
        <v/>
      </c>
      <c r="R981" s="13" t="str">
        <f t="shared" si="63"/>
        <v>Diskon</v>
      </c>
    </row>
    <row r="982" spans="1:18" x14ac:dyDescent="0.25">
      <c r="A982" s="13" t="s">
        <v>994</v>
      </c>
      <c r="B982" s="13" t="s">
        <v>2192</v>
      </c>
      <c r="C982" s="13" t="s">
        <v>2203</v>
      </c>
      <c r="D982" s="13" t="s">
        <v>2204</v>
      </c>
      <c r="F982" s="13" t="s">
        <v>2219</v>
      </c>
      <c r="G982" s="13">
        <v>52.69</v>
      </c>
      <c r="H982" s="13">
        <v>40.200000000000003</v>
      </c>
      <c r="I982" s="13">
        <v>31.51</v>
      </c>
      <c r="J982" s="24">
        <v>45611</v>
      </c>
      <c r="K982" s="13">
        <v>7</v>
      </c>
      <c r="L982" s="44">
        <v>2.7</v>
      </c>
      <c r="M982" s="13" t="b">
        <v>0</v>
      </c>
      <c r="O982" s="25">
        <f t="shared" si="60"/>
        <v>291</v>
      </c>
      <c r="P982" s="13">
        <f t="shared" si="61"/>
        <v>281.40000000000003</v>
      </c>
      <c r="Q982" s="13" t="str">
        <f t="shared" si="62"/>
        <v/>
      </c>
      <c r="R982" s="13" t="str">
        <f t="shared" si="63"/>
        <v>Diskon</v>
      </c>
    </row>
    <row r="983" spans="1:18" x14ac:dyDescent="0.25">
      <c r="A983" s="13" t="s">
        <v>995</v>
      </c>
      <c r="B983" s="13" t="s">
        <v>2190</v>
      </c>
      <c r="C983" s="13" t="s">
        <v>2198</v>
      </c>
      <c r="D983" s="13" t="s">
        <v>2206</v>
      </c>
      <c r="E983" s="13" t="s">
        <v>2209</v>
      </c>
      <c r="F983" s="13" t="s">
        <v>2216</v>
      </c>
      <c r="G983" s="13">
        <v>104.18</v>
      </c>
      <c r="H983" s="13">
        <v>0</v>
      </c>
      <c r="I983" s="13">
        <v>104.18</v>
      </c>
      <c r="J983" s="24">
        <v>45875</v>
      </c>
      <c r="K983" s="13">
        <v>12</v>
      </c>
      <c r="L983" s="44">
        <v>5</v>
      </c>
      <c r="M983" s="13" t="b">
        <v>0</v>
      </c>
      <c r="O983" s="25">
        <f t="shared" si="60"/>
        <v>27</v>
      </c>
      <c r="P983" s="13">
        <f t="shared" si="61"/>
        <v>0</v>
      </c>
      <c r="Q983" s="13" t="str">
        <f t="shared" si="62"/>
        <v/>
      </c>
      <c r="R983" s="13" t="str">
        <f t="shared" si="63"/>
        <v>Non diskon</v>
      </c>
    </row>
    <row r="984" spans="1:18" x14ac:dyDescent="0.25">
      <c r="A984" s="13" t="s">
        <v>996</v>
      </c>
      <c r="B984" s="13" t="s">
        <v>2190</v>
      </c>
      <c r="C984" s="13" t="s">
        <v>2200</v>
      </c>
      <c r="D984" s="13" t="s">
        <v>2205</v>
      </c>
      <c r="E984" s="13" t="s">
        <v>2209</v>
      </c>
      <c r="F984" s="13" t="s">
        <v>2214</v>
      </c>
      <c r="G984" s="13">
        <v>132.38</v>
      </c>
      <c r="H984" s="13">
        <v>58.2</v>
      </c>
      <c r="I984" s="13">
        <v>55.33</v>
      </c>
      <c r="J984" s="24">
        <v>45875</v>
      </c>
      <c r="K984" s="13">
        <v>24</v>
      </c>
      <c r="L984" s="44">
        <v>2.9228571428571426</v>
      </c>
      <c r="M984" s="13" t="b">
        <v>0</v>
      </c>
      <c r="O984" s="25">
        <f t="shared" si="60"/>
        <v>27</v>
      </c>
      <c r="P984" s="13">
        <f t="shared" si="61"/>
        <v>1396.8000000000002</v>
      </c>
      <c r="Q984" s="13" t="str">
        <f t="shared" si="62"/>
        <v/>
      </c>
      <c r="R984" s="13" t="str">
        <f t="shared" si="63"/>
        <v>Diskon</v>
      </c>
    </row>
    <row r="985" spans="1:18" x14ac:dyDescent="0.25">
      <c r="A985" s="13" t="s">
        <v>997</v>
      </c>
      <c r="B985" s="13" t="s">
        <v>2193</v>
      </c>
      <c r="C985" s="13" t="s">
        <v>2200</v>
      </c>
      <c r="D985" s="13" t="s">
        <v>2206</v>
      </c>
      <c r="E985" s="13" t="s">
        <v>2208</v>
      </c>
      <c r="F985" s="13" t="s">
        <v>2215</v>
      </c>
      <c r="G985" s="13">
        <v>64.400000000000006</v>
      </c>
      <c r="H985" s="13">
        <v>0</v>
      </c>
      <c r="I985" s="13">
        <v>64.400000000000006</v>
      </c>
      <c r="J985" s="24">
        <v>45875</v>
      </c>
      <c r="K985" s="13">
        <v>40</v>
      </c>
      <c r="L985" s="44">
        <v>4.9000000000000004</v>
      </c>
      <c r="M985" s="13" t="b">
        <v>0</v>
      </c>
      <c r="O985" s="25">
        <f t="shared" si="60"/>
        <v>27</v>
      </c>
      <c r="P985" s="13">
        <f t="shared" si="61"/>
        <v>0</v>
      </c>
      <c r="Q985" s="13" t="str">
        <f t="shared" si="62"/>
        <v/>
      </c>
      <c r="R985" s="13" t="str">
        <f t="shared" si="63"/>
        <v>Non diskon</v>
      </c>
    </row>
    <row r="986" spans="1:18" x14ac:dyDescent="0.25">
      <c r="A986" s="13" t="s">
        <v>998</v>
      </c>
      <c r="B986" s="13" t="s">
        <v>2194</v>
      </c>
      <c r="C986" s="13" t="s">
        <v>2196</v>
      </c>
      <c r="D986" s="13" t="s">
        <v>2207</v>
      </c>
      <c r="E986" s="13" t="s">
        <v>2208</v>
      </c>
      <c r="F986" s="13" t="s">
        <v>2218</v>
      </c>
      <c r="G986" s="13">
        <v>34.07</v>
      </c>
      <c r="H986" s="13">
        <v>0</v>
      </c>
      <c r="I986" s="13">
        <v>34.07</v>
      </c>
      <c r="J986" s="24">
        <v>45875</v>
      </c>
      <c r="K986" s="13">
        <v>25</v>
      </c>
      <c r="L986" s="44">
        <v>4.2</v>
      </c>
      <c r="M986" s="13" t="b">
        <v>1</v>
      </c>
      <c r="N986" s="13" t="s">
        <v>2230</v>
      </c>
      <c r="O986" s="25">
        <f t="shared" si="60"/>
        <v>27</v>
      </c>
      <c r="P986" s="13">
        <f t="shared" si="61"/>
        <v>0</v>
      </c>
      <c r="Q986" s="13">
        <f t="shared" si="62"/>
        <v>1</v>
      </c>
      <c r="R986" s="13" t="str">
        <f t="shared" si="63"/>
        <v>Non diskon</v>
      </c>
    </row>
    <row r="987" spans="1:18" x14ac:dyDescent="0.25">
      <c r="A987" s="13" t="s">
        <v>999</v>
      </c>
      <c r="B987" s="13" t="s">
        <v>2194</v>
      </c>
      <c r="C987" s="13" t="s">
        <v>2196</v>
      </c>
      <c r="D987" s="13" t="s">
        <v>2205</v>
      </c>
      <c r="E987" s="13" t="s">
        <v>2211</v>
      </c>
      <c r="F987" s="13" t="s">
        <v>2214</v>
      </c>
      <c r="G987" s="13">
        <v>43.33</v>
      </c>
      <c r="H987" s="13">
        <v>45.3</v>
      </c>
      <c r="I987" s="13">
        <v>23.7</v>
      </c>
      <c r="J987" s="24">
        <v>45875</v>
      </c>
      <c r="K987" s="13">
        <v>1</v>
      </c>
      <c r="L987" s="44">
        <v>3.4</v>
      </c>
      <c r="M987" s="13" t="b">
        <v>0</v>
      </c>
      <c r="O987" s="25">
        <f t="shared" si="60"/>
        <v>27</v>
      </c>
      <c r="P987" s="13">
        <f t="shared" si="61"/>
        <v>45.3</v>
      </c>
      <c r="Q987" s="13" t="str">
        <f t="shared" si="62"/>
        <v/>
      </c>
      <c r="R987" s="13" t="str">
        <f t="shared" si="63"/>
        <v>Diskon</v>
      </c>
    </row>
    <row r="988" spans="1:18" x14ac:dyDescent="0.25">
      <c r="A988" s="13" t="s">
        <v>1000</v>
      </c>
      <c r="B988" s="13" t="s">
        <v>2190</v>
      </c>
      <c r="C988" s="13" t="s">
        <v>2197</v>
      </c>
      <c r="D988" s="13" t="s">
        <v>2204</v>
      </c>
      <c r="E988" s="13" t="s">
        <v>2208</v>
      </c>
      <c r="F988" s="13" t="s">
        <v>2217</v>
      </c>
      <c r="G988" s="13">
        <v>122.92</v>
      </c>
      <c r="H988" s="13">
        <v>0</v>
      </c>
      <c r="I988" s="13">
        <v>122.92</v>
      </c>
      <c r="J988" s="24">
        <v>45602</v>
      </c>
      <c r="K988" s="13">
        <v>41</v>
      </c>
      <c r="L988" s="44">
        <v>2.9</v>
      </c>
      <c r="M988" s="13" t="b">
        <v>0</v>
      </c>
      <c r="O988" s="25">
        <f t="shared" si="60"/>
        <v>300</v>
      </c>
      <c r="P988" s="13">
        <f t="shared" si="61"/>
        <v>0</v>
      </c>
      <c r="Q988" s="13" t="str">
        <f t="shared" si="62"/>
        <v/>
      </c>
      <c r="R988" s="13" t="str">
        <f t="shared" si="63"/>
        <v>Non diskon</v>
      </c>
    </row>
    <row r="989" spans="1:18" x14ac:dyDescent="0.25">
      <c r="A989" s="13" t="s">
        <v>1001</v>
      </c>
      <c r="B989" s="13" t="s">
        <v>2193</v>
      </c>
      <c r="C989" s="13" t="s">
        <v>2196</v>
      </c>
      <c r="D989" s="13" t="s">
        <v>2204</v>
      </c>
      <c r="E989" s="13" t="s">
        <v>2210</v>
      </c>
      <c r="F989" s="13" t="s">
        <v>2218</v>
      </c>
      <c r="G989" s="13">
        <v>142.84</v>
      </c>
      <c r="H989" s="13">
        <v>0</v>
      </c>
      <c r="I989" s="13">
        <v>142.84</v>
      </c>
      <c r="J989" s="24">
        <v>45702</v>
      </c>
      <c r="K989" s="13">
        <v>36</v>
      </c>
      <c r="L989" s="44">
        <v>2.9153846153846157</v>
      </c>
      <c r="M989" s="13" t="b">
        <v>0</v>
      </c>
      <c r="O989" s="25">
        <f t="shared" si="60"/>
        <v>200</v>
      </c>
      <c r="P989" s="13">
        <f t="shared" si="61"/>
        <v>0</v>
      </c>
      <c r="Q989" s="13" t="str">
        <f t="shared" si="62"/>
        <v/>
      </c>
      <c r="R989" s="13" t="str">
        <f t="shared" si="63"/>
        <v>Non diskon</v>
      </c>
    </row>
    <row r="990" spans="1:18" x14ac:dyDescent="0.25">
      <c r="A990" s="13" t="s">
        <v>1002</v>
      </c>
      <c r="B990" s="13" t="s">
        <v>2193</v>
      </c>
      <c r="C990" s="13" t="s">
        <v>2202</v>
      </c>
      <c r="D990" s="13" t="s">
        <v>2207</v>
      </c>
      <c r="E990" s="13" t="s">
        <v>2211</v>
      </c>
      <c r="F990" s="13" t="s">
        <v>2216</v>
      </c>
      <c r="G990" s="13">
        <v>131.55000000000001</v>
      </c>
      <c r="H990" s="13">
        <v>0</v>
      </c>
      <c r="I990" s="13">
        <v>131.55000000000001</v>
      </c>
      <c r="J990" s="24">
        <v>45875</v>
      </c>
      <c r="K990" s="13">
        <v>45</v>
      </c>
      <c r="L990" s="44">
        <v>1.8</v>
      </c>
      <c r="M990" s="13" t="b">
        <v>0</v>
      </c>
      <c r="O990" s="25">
        <f t="shared" si="60"/>
        <v>27</v>
      </c>
      <c r="P990" s="13">
        <f t="shared" si="61"/>
        <v>0</v>
      </c>
      <c r="Q990" s="13" t="str">
        <f t="shared" si="62"/>
        <v/>
      </c>
      <c r="R990" s="13" t="str">
        <f t="shared" si="63"/>
        <v>Non diskon</v>
      </c>
    </row>
    <row r="991" spans="1:18" x14ac:dyDescent="0.25">
      <c r="A991" s="13" t="s">
        <v>1003</v>
      </c>
      <c r="B991" s="13" t="s">
        <v>2190</v>
      </c>
      <c r="C991" s="13" t="s">
        <v>2196</v>
      </c>
      <c r="D991" s="13" t="s">
        <v>2204</v>
      </c>
      <c r="E991" s="13" t="s">
        <v>2210</v>
      </c>
      <c r="F991" s="13" t="s">
        <v>2214</v>
      </c>
      <c r="G991" s="13">
        <v>192.58</v>
      </c>
      <c r="H991" s="13">
        <v>0</v>
      </c>
      <c r="I991" s="13">
        <v>192.58</v>
      </c>
      <c r="J991" s="24">
        <v>45764</v>
      </c>
      <c r="K991" s="13">
        <v>16</v>
      </c>
      <c r="L991" s="44">
        <v>1.2</v>
      </c>
      <c r="M991" s="13" t="b">
        <v>0</v>
      </c>
      <c r="O991" s="25">
        <f t="shared" si="60"/>
        <v>138</v>
      </c>
      <c r="P991" s="13">
        <f t="shared" si="61"/>
        <v>0</v>
      </c>
      <c r="Q991" s="13" t="str">
        <f t="shared" si="62"/>
        <v/>
      </c>
      <c r="R991" s="13" t="str">
        <f t="shared" si="63"/>
        <v>Non diskon</v>
      </c>
    </row>
    <row r="992" spans="1:18" x14ac:dyDescent="0.25">
      <c r="A992" s="13" t="s">
        <v>1004</v>
      </c>
      <c r="B992" s="13" t="s">
        <v>2192</v>
      </c>
      <c r="C992" s="13" t="s">
        <v>2201</v>
      </c>
      <c r="D992" s="13" t="s">
        <v>2204</v>
      </c>
      <c r="F992" s="13" t="s">
        <v>2223</v>
      </c>
      <c r="G992" s="13">
        <v>33.56</v>
      </c>
      <c r="H992" s="13">
        <v>0</v>
      </c>
      <c r="I992" s="13">
        <v>33.56</v>
      </c>
      <c r="J992" s="24">
        <v>45743</v>
      </c>
      <c r="K992" s="13">
        <v>24</v>
      </c>
      <c r="L992" s="44">
        <v>3</v>
      </c>
      <c r="M992" s="13" t="b">
        <v>0</v>
      </c>
      <c r="O992" s="25">
        <f t="shared" si="60"/>
        <v>159</v>
      </c>
      <c r="P992" s="13">
        <f t="shared" si="61"/>
        <v>0</v>
      </c>
      <c r="Q992" s="13" t="str">
        <f t="shared" si="62"/>
        <v/>
      </c>
      <c r="R992" s="13" t="str">
        <f t="shared" si="63"/>
        <v>Non diskon</v>
      </c>
    </row>
    <row r="993" spans="1:18" x14ac:dyDescent="0.25">
      <c r="A993" s="13" t="s">
        <v>1005</v>
      </c>
      <c r="B993" s="13" t="s">
        <v>2192</v>
      </c>
      <c r="C993" s="13" t="s">
        <v>2197</v>
      </c>
      <c r="D993" s="13" t="s">
        <v>2207</v>
      </c>
      <c r="F993" s="13" t="s">
        <v>2219</v>
      </c>
      <c r="G993" s="13">
        <v>59.1</v>
      </c>
      <c r="H993" s="13">
        <v>0</v>
      </c>
      <c r="I993" s="13">
        <v>59.1</v>
      </c>
      <c r="J993" s="24">
        <v>45875</v>
      </c>
      <c r="K993" s="13">
        <v>29</v>
      </c>
      <c r="L993" s="44">
        <v>1.3</v>
      </c>
      <c r="M993" s="13" t="b">
        <v>0</v>
      </c>
      <c r="O993" s="25">
        <f t="shared" si="60"/>
        <v>27</v>
      </c>
      <c r="P993" s="13">
        <f t="shared" si="61"/>
        <v>0</v>
      </c>
      <c r="Q993" s="13" t="str">
        <f t="shared" si="62"/>
        <v/>
      </c>
      <c r="R993" s="13" t="str">
        <f t="shared" si="63"/>
        <v>Non diskon</v>
      </c>
    </row>
    <row r="994" spans="1:18" x14ac:dyDescent="0.25">
      <c r="A994" s="13" t="s">
        <v>1006</v>
      </c>
      <c r="B994" s="13" t="s">
        <v>2193</v>
      </c>
      <c r="C994" s="13" t="s">
        <v>2202</v>
      </c>
      <c r="D994" s="13" t="s">
        <v>2206</v>
      </c>
      <c r="E994" s="13" t="s">
        <v>2210</v>
      </c>
      <c r="F994" s="13" t="s">
        <v>2218</v>
      </c>
      <c r="G994" s="13">
        <v>109.15</v>
      </c>
      <c r="H994" s="13">
        <v>20.7</v>
      </c>
      <c r="I994" s="13">
        <v>86.56</v>
      </c>
      <c r="J994" s="24">
        <v>45875</v>
      </c>
      <c r="K994" s="13">
        <v>28</v>
      </c>
      <c r="L994" s="44">
        <v>2</v>
      </c>
      <c r="M994" s="13" t="b">
        <v>1</v>
      </c>
      <c r="N994" s="13" t="s">
        <v>2229</v>
      </c>
      <c r="O994" s="25">
        <f t="shared" si="60"/>
        <v>27</v>
      </c>
      <c r="P994" s="13">
        <f t="shared" si="61"/>
        <v>579.6</v>
      </c>
      <c r="Q994" s="13">
        <f t="shared" si="62"/>
        <v>1</v>
      </c>
      <c r="R994" s="13" t="str">
        <f t="shared" si="63"/>
        <v>Diskon</v>
      </c>
    </row>
    <row r="995" spans="1:18" x14ac:dyDescent="0.25">
      <c r="A995" s="13" t="s">
        <v>1007</v>
      </c>
      <c r="B995" s="13" t="s">
        <v>2194</v>
      </c>
      <c r="C995" s="13" t="s">
        <v>2201</v>
      </c>
      <c r="D995" s="13" t="s">
        <v>2206</v>
      </c>
      <c r="F995" s="13" t="s">
        <v>2221</v>
      </c>
      <c r="G995" s="13">
        <v>59.1</v>
      </c>
      <c r="H995" s="13">
        <v>0</v>
      </c>
      <c r="I995" s="13">
        <v>59.1</v>
      </c>
      <c r="J995" s="24">
        <v>45875</v>
      </c>
      <c r="K995" s="13">
        <v>47</v>
      </c>
      <c r="L995" s="44">
        <v>4.5999999999999996</v>
      </c>
      <c r="M995" s="13" t="b">
        <v>0</v>
      </c>
      <c r="O995" s="25">
        <f t="shared" si="60"/>
        <v>27</v>
      </c>
      <c r="P995" s="13">
        <f t="shared" si="61"/>
        <v>0</v>
      </c>
      <c r="Q995" s="13" t="str">
        <f t="shared" si="62"/>
        <v/>
      </c>
      <c r="R995" s="13" t="str">
        <f t="shared" si="63"/>
        <v>Non diskon</v>
      </c>
    </row>
    <row r="996" spans="1:18" x14ac:dyDescent="0.25">
      <c r="A996" s="13" t="s">
        <v>1008</v>
      </c>
      <c r="B996" s="13" t="s">
        <v>2193</v>
      </c>
      <c r="C996" s="13" t="s">
        <v>2202</v>
      </c>
      <c r="D996" s="13" t="s">
        <v>2204</v>
      </c>
      <c r="E996" s="13" t="s">
        <v>2213</v>
      </c>
      <c r="F996" s="13" t="s">
        <v>2223</v>
      </c>
      <c r="G996" s="13">
        <v>99.33</v>
      </c>
      <c r="H996" s="13">
        <v>0</v>
      </c>
      <c r="I996" s="13">
        <v>99.33</v>
      </c>
      <c r="J996" s="24">
        <v>45798</v>
      </c>
      <c r="K996" s="13">
        <v>16</v>
      </c>
      <c r="L996" s="44">
        <v>3.9</v>
      </c>
      <c r="M996" s="13" t="b">
        <v>0</v>
      </c>
      <c r="O996" s="25">
        <f t="shared" si="60"/>
        <v>104</v>
      </c>
      <c r="P996" s="13">
        <f t="shared" si="61"/>
        <v>0</v>
      </c>
      <c r="Q996" s="13" t="str">
        <f t="shared" si="62"/>
        <v/>
      </c>
      <c r="R996" s="13" t="str">
        <f t="shared" si="63"/>
        <v>Non diskon</v>
      </c>
    </row>
    <row r="997" spans="1:18" x14ac:dyDescent="0.25">
      <c r="A997" s="13" t="s">
        <v>1009</v>
      </c>
      <c r="B997" s="13" t="s">
        <v>2195</v>
      </c>
      <c r="C997" s="13" t="s">
        <v>2201</v>
      </c>
      <c r="D997" s="13" t="s">
        <v>2205</v>
      </c>
      <c r="E997" s="13" t="s">
        <v>2208</v>
      </c>
      <c r="F997" s="13" t="s">
        <v>2222</v>
      </c>
      <c r="G997" s="13">
        <v>92.75</v>
      </c>
      <c r="H997" s="13">
        <v>0</v>
      </c>
      <c r="I997" s="13">
        <v>92.75</v>
      </c>
      <c r="J997" s="24">
        <v>45875</v>
      </c>
      <c r="K997" s="13">
        <v>29</v>
      </c>
      <c r="L997" s="44">
        <v>3.1874999999999991</v>
      </c>
      <c r="M997" s="13" t="b">
        <v>1</v>
      </c>
      <c r="N997" s="13" t="s">
        <v>2229</v>
      </c>
      <c r="O997" s="25">
        <f t="shared" si="60"/>
        <v>27</v>
      </c>
      <c r="P997" s="13">
        <f t="shared" si="61"/>
        <v>0</v>
      </c>
      <c r="Q997" s="13">
        <f t="shared" si="62"/>
        <v>1</v>
      </c>
      <c r="R997" s="13" t="str">
        <f t="shared" si="63"/>
        <v>Non diskon</v>
      </c>
    </row>
    <row r="998" spans="1:18" x14ac:dyDescent="0.25">
      <c r="A998" s="13" t="s">
        <v>1010</v>
      </c>
      <c r="B998" s="13" t="s">
        <v>2191</v>
      </c>
      <c r="C998" s="13" t="s">
        <v>2196</v>
      </c>
      <c r="D998" s="13" t="s">
        <v>2207</v>
      </c>
      <c r="E998" s="13" t="s">
        <v>2210</v>
      </c>
      <c r="F998" s="13" t="s">
        <v>2221</v>
      </c>
      <c r="G998" s="13">
        <v>116.82</v>
      </c>
      <c r="H998" s="13">
        <v>0</v>
      </c>
      <c r="I998" s="13">
        <v>116.82</v>
      </c>
      <c r="J998" s="24">
        <v>45875</v>
      </c>
      <c r="K998" s="13">
        <v>34</v>
      </c>
      <c r="L998" s="44">
        <v>2.9181818181818175</v>
      </c>
      <c r="M998" s="13" t="b">
        <v>0</v>
      </c>
      <c r="O998" s="25">
        <f t="shared" si="60"/>
        <v>27</v>
      </c>
      <c r="P998" s="13">
        <f t="shared" si="61"/>
        <v>0</v>
      </c>
      <c r="Q998" s="13" t="str">
        <f t="shared" si="62"/>
        <v/>
      </c>
      <c r="R998" s="13" t="str">
        <f t="shared" si="63"/>
        <v>Non diskon</v>
      </c>
    </row>
    <row r="999" spans="1:18" x14ac:dyDescent="0.25">
      <c r="A999" s="13" t="s">
        <v>1011</v>
      </c>
      <c r="B999" s="13" t="s">
        <v>2190</v>
      </c>
      <c r="C999" s="13" t="s">
        <v>2201</v>
      </c>
      <c r="D999" s="13" t="s">
        <v>2207</v>
      </c>
      <c r="E999" s="13" t="s">
        <v>2208</v>
      </c>
      <c r="F999" s="13" t="s">
        <v>2220</v>
      </c>
      <c r="G999" s="13">
        <v>129.78</v>
      </c>
      <c r="H999" s="13">
        <v>9.5</v>
      </c>
      <c r="I999" s="13">
        <v>117.45</v>
      </c>
      <c r="J999" s="24">
        <v>45875</v>
      </c>
      <c r="K999" s="13">
        <v>17</v>
      </c>
      <c r="L999" s="44">
        <v>4</v>
      </c>
      <c r="M999" s="13" t="b">
        <v>0</v>
      </c>
      <c r="O999" s="25">
        <f t="shared" si="60"/>
        <v>27</v>
      </c>
      <c r="P999" s="13">
        <f t="shared" si="61"/>
        <v>161.5</v>
      </c>
      <c r="Q999" s="13" t="str">
        <f t="shared" si="62"/>
        <v/>
      </c>
      <c r="R999" s="13" t="str">
        <f t="shared" si="63"/>
        <v>Diskon</v>
      </c>
    </row>
    <row r="1000" spans="1:18" x14ac:dyDescent="0.25">
      <c r="A1000" s="13" t="s">
        <v>1012</v>
      </c>
      <c r="B1000" s="13" t="s">
        <v>2195</v>
      </c>
      <c r="C1000" s="13" t="s">
        <v>2198</v>
      </c>
      <c r="D1000" s="13" t="s">
        <v>2204</v>
      </c>
      <c r="E1000" s="13" t="s">
        <v>2212</v>
      </c>
      <c r="F1000" s="13" t="s">
        <v>2224</v>
      </c>
      <c r="G1000" s="13">
        <v>135.69</v>
      </c>
      <c r="H1000" s="13">
        <v>3</v>
      </c>
      <c r="I1000" s="13">
        <v>131.62</v>
      </c>
      <c r="J1000" s="24">
        <v>45533</v>
      </c>
      <c r="K1000" s="13">
        <v>16</v>
      </c>
      <c r="L1000" s="44">
        <v>2.9000000000000008</v>
      </c>
      <c r="M1000" s="13" t="b">
        <v>0</v>
      </c>
      <c r="O1000" s="25">
        <f t="shared" si="60"/>
        <v>369</v>
      </c>
      <c r="P1000" s="13">
        <f t="shared" si="61"/>
        <v>48</v>
      </c>
      <c r="Q1000" s="13" t="str">
        <f t="shared" si="62"/>
        <v/>
      </c>
      <c r="R1000" s="13" t="str">
        <f t="shared" si="63"/>
        <v>Diskon</v>
      </c>
    </row>
    <row r="1001" spans="1:18" x14ac:dyDescent="0.25">
      <c r="A1001" s="13" t="s">
        <v>1013</v>
      </c>
      <c r="B1001" s="13" t="s">
        <v>2195</v>
      </c>
      <c r="C1001" s="13" t="s">
        <v>2202</v>
      </c>
      <c r="D1001" s="13" t="s">
        <v>2206</v>
      </c>
      <c r="F1001" s="13" t="s">
        <v>2214</v>
      </c>
      <c r="G1001" s="13">
        <v>48.14</v>
      </c>
      <c r="H1001" s="13">
        <v>28.3</v>
      </c>
      <c r="I1001" s="13">
        <v>34.520000000000003</v>
      </c>
      <c r="J1001" s="24">
        <v>45875</v>
      </c>
      <c r="K1001" s="13">
        <v>41</v>
      </c>
      <c r="L1001" s="44">
        <v>2.980952380952381</v>
      </c>
      <c r="M1001" s="13" t="b">
        <v>0</v>
      </c>
      <c r="O1001" s="25">
        <f t="shared" si="60"/>
        <v>27</v>
      </c>
      <c r="P1001" s="13">
        <f t="shared" si="61"/>
        <v>1160.3</v>
      </c>
      <c r="Q1001" s="13" t="str">
        <f t="shared" si="62"/>
        <v/>
      </c>
      <c r="R1001" s="13" t="str">
        <f t="shared" si="63"/>
        <v>Diskon</v>
      </c>
    </row>
    <row r="1002" spans="1:18" x14ac:dyDescent="0.25">
      <c r="A1002" s="13" t="s">
        <v>1014</v>
      </c>
      <c r="B1002" s="13" t="s">
        <v>2195</v>
      </c>
      <c r="C1002" s="13" t="s">
        <v>2199</v>
      </c>
      <c r="D1002" s="13" t="s">
        <v>2206</v>
      </c>
      <c r="E1002" s="13" t="s">
        <v>2212</v>
      </c>
      <c r="F1002" s="13" t="s">
        <v>2219</v>
      </c>
      <c r="G1002" s="13">
        <v>142.96</v>
      </c>
      <c r="H1002" s="13">
        <v>47.7</v>
      </c>
      <c r="I1002" s="13">
        <v>74.77</v>
      </c>
      <c r="J1002" s="24">
        <v>45875</v>
      </c>
      <c r="K1002" s="13">
        <v>7</v>
      </c>
      <c r="L1002" s="44">
        <v>2.8372093023255811</v>
      </c>
      <c r="M1002" s="13" t="b">
        <v>0</v>
      </c>
      <c r="O1002" s="25">
        <f t="shared" si="60"/>
        <v>27</v>
      </c>
      <c r="P1002" s="13">
        <f t="shared" si="61"/>
        <v>333.90000000000003</v>
      </c>
      <c r="Q1002" s="13" t="str">
        <f t="shared" si="62"/>
        <v/>
      </c>
      <c r="R1002" s="13" t="str">
        <f t="shared" si="63"/>
        <v>Diskon</v>
      </c>
    </row>
    <row r="1003" spans="1:18" x14ac:dyDescent="0.25">
      <c r="A1003" s="13" t="s">
        <v>1015</v>
      </c>
      <c r="B1003" s="13" t="s">
        <v>2191</v>
      </c>
      <c r="C1003" s="13" t="s">
        <v>2203</v>
      </c>
      <c r="D1003" s="13" t="s">
        <v>2204</v>
      </c>
      <c r="E1003" s="13" t="s">
        <v>2209</v>
      </c>
      <c r="F1003" s="13" t="s">
        <v>2221</v>
      </c>
      <c r="G1003" s="13">
        <v>51.72</v>
      </c>
      <c r="H1003" s="13">
        <v>0</v>
      </c>
      <c r="I1003" s="13">
        <v>51.72</v>
      </c>
      <c r="J1003" s="24">
        <v>45702</v>
      </c>
      <c r="K1003" s="13">
        <v>50</v>
      </c>
      <c r="L1003" s="44">
        <v>2.6870967741935483</v>
      </c>
      <c r="M1003" s="13" t="b">
        <v>0</v>
      </c>
      <c r="O1003" s="25">
        <f t="shared" si="60"/>
        <v>200</v>
      </c>
      <c r="P1003" s="13">
        <f t="shared" si="61"/>
        <v>0</v>
      </c>
      <c r="Q1003" s="13" t="str">
        <f t="shared" si="62"/>
        <v/>
      </c>
      <c r="R1003" s="13" t="str">
        <f t="shared" si="63"/>
        <v>Non diskon</v>
      </c>
    </row>
    <row r="1004" spans="1:18" x14ac:dyDescent="0.25">
      <c r="A1004" s="13" t="s">
        <v>1016</v>
      </c>
      <c r="B1004" s="13" t="s">
        <v>2192</v>
      </c>
      <c r="C1004" s="13" t="s">
        <v>2196</v>
      </c>
      <c r="D1004" s="13" t="s">
        <v>2206</v>
      </c>
      <c r="F1004" s="13" t="s">
        <v>2224</v>
      </c>
      <c r="G1004" s="13">
        <v>18.3</v>
      </c>
      <c r="H1004" s="13">
        <v>38.299999999999997</v>
      </c>
      <c r="I1004" s="13">
        <v>11.29</v>
      </c>
      <c r="J1004" s="24">
        <v>45875</v>
      </c>
      <c r="K1004" s="13">
        <v>14</v>
      </c>
      <c r="L1004" s="44">
        <v>1.1000000000000001</v>
      </c>
      <c r="M1004" s="13" t="b">
        <v>0</v>
      </c>
      <c r="O1004" s="25">
        <f t="shared" si="60"/>
        <v>27</v>
      </c>
      <c r="P1004" s="13">
        <f t="shared" si="61"/>
        <v>536.19999999999993</v>
      </c>
      <c r="Q1004" s="13" t="str">
        <f t="shared" si="62"/>
        <v/>
      </c>
      <c r="R1004" s="13" t="str">
        <f t="shared" si="63"/>
        <v>Diskon</v>
      </c>
    </row>
    <row r="1005" spans="1:18" x14ac:dyDescent="0.25">
      <c r="A1005" s="13" t="s">
        <v>1017</v>
      </c>
      <c r="B1005" s="13" t="s">
        <v>2190</v>
      </c>
      <c r="C1005" s="13" t="s">
        <v>2199</v>
      </c>
      <c r="D1005" s="13" t="s">
        <v>2204</v>
      </c>
      <c r="E1005" s="13" t="s">
        <v>2209</v>
      </c>
      <c r="F1005" s="13" t="s">
        <v>2222</v>
      </c>
      <c r="G1005" s="13">
        <v>214.99</v>
      </c>
      <c r="H1005" s="13">
        <v>29</v>
      </c>
      <c r="I1005" s="13">
        <v>152.63999999999999</v>
      </c>
      <c r="J1005" s="24">
        <v>45541</v>
      </c>
      <c r="K1005" s="13">
        <v>32</v>
      </c>
      <c r="L1005" s="44">
        <v>2.8</v>
      </c>
      <c r="M1005" s="13" t="b">
        <v>1</v>
      </c>
      <c r="N1005" s="13" t="s">
        <v>2230</v>
      </c>
      <c r="O1005" s="25">
        <f t="shared" si="60"/>
        <v>361</v>
      </c>
      <c r="P1005" s="13">
        <f t="shared" si="61"/>
        <v>928</v>
      </c>
      <c r="Q1005" s="13">
        <f t="shared" si="62"/>
        <v>1</v>
      </c>
      <c r="R1005" s="13" t="str">
        <f t="shared" si="63"/>
        <v>Diskon</v>
      </c>
    </row>
    <row r="1006" spans="1:18" x14ac:dyDescent="0.25">
      <c r="A1006" s="13" t="s">
        <v>1018</v>
      </c>
      <c r="B1006" s="13" t="s">
        <v>2192</v>
      </c>
      <c r="C1006" s="13" t="s">
        <v>2202</v>
      </c>
      <c r="D1006" s="13" t="s">
        <v>2204</v>
      </c>
      <c r="F1006" s="13" t="s">
        <v>2214</v>
      </c>
      <c r="G1006" s="13">
        <v>20.77</v>
      </c>
      <c r="H1006" s="13">
        <v>0</v>
      </c>
      <c r="I1006" s="13">
        <v>20.77</v>
      </c>
      <c r="J1006" s="24">
        <v>45521</v>
      </c>
      <c r="K1006" s="13">
        <v>31</v>
      </c>
      <c r="L1006" s="44">
        <v>2</v>
      </c>
      <c r="M1006" s="13" t="b">
        <v>0</v>
      </c>
      <c r="O1006" s="25">
        <f t="shared" si="60"/>
        <v>381</v>
      </c>
      <c r="P1006" s="13">
        <f t="shared" si="61"/>
        <v>0</v>
      </c>
      <c r="Q1006" s="13" t="str">
        <f t="shared" si="62"/>
        <v/>
      </c>
      <c r="R1006" s="13" t="str">
        <f t="shared" si="63"/>
        <v>Non diskon</v>
      </c>
    </row>
    <row r="1007" spans="1:18" x14ac:dyDescent="0.25">
      <c r="A1007" s="13" t="s">
        <v>1019</v>
      </c>
      <c r="B1007" s="13" t="s">
        <v>2192</v>
      </c>
      <c r="C1007" s="13" t="s">
        <v>2202</v>
      </c>
      <c r="D1007" s="13" t="s">
        <v>2207</v>
      </c>
      <c r="F1007" s="13" t="s">
        <v>2215</v>
      </c>
      <c r="G1007" s="13">
        <v>77.959999999999994</v>
      </c>
      <c r="H1007" s="13">
        <v>0</v>
      </c>
      <c r="I1007" s="13">
        <v>77.959999999999994</v>
      </c>
      <c r="J1007" s="24">
        <v>45875</v>
      </c>
      <c r="K1007" s="13">
        <v>39</v>
      </c>
      <c r="L1007" s="44">
        <v>4.8</v>
      </c>
      <c r="M1007" s="13" t="b">
        <v>0</v>
      </c>
      <c r="O1007" s="25">
        <f t="shared" si="60"/>
        <v>27</v>
      </c>
      <c r="P1007" s="13">
        <f t="shared" si="61"/>
        <v>0</v>
      </c>
      <c r="Q1007" s="13" t="str">
        <f t="shared" si="62"/>
        <v/>
      </c>
      <c r="R1007" s="13" t="str">
        <f t="shared" si="63"/>
        <v>Non diskon</v>
      </c>
    </row>
    <row r="1008" spans="1:18" x14ac:dyDescent="0.25">
      <c r="A1008" s="13" t="s">
        <v>1020</v>
      </c>
      <c r="B1008" s="13" t="s">
        <v>2192</v>
      </c>
      <c r="C1008" s="13" t="s">
        <v>2196</v>
      </c>
      <c r="D1008" s="13" t="s">
        <v>2206</v>
      </c>
      <c r="F1008" s="13" t="s">
        <v>2223</v>
      </c>
      <c r="G1008" s="13">
        <v>73.33</v>
      </c>
      <c r="H1008" s="13">
        <v>34.6</v>
      </c>
      <c r="I1008" s="13">
        <v>47.96</v>
      </c>
      <c r="J1008" s="24">
        <v>45875</v>
      </c>
      <c r="K1008" s="13">
        <v>45</v>
      </c>
      <c r="L1008" s="44">
        <v>2.1</v>
      </c>
      <c r="M1008" s="13" t="b">
        <v>0</v>
      </c>
      <c r="O1008" s="25">
        <f t="shared" si="60"/>
        <v>27</v>
      </c>
      <c r="P1008" s="13">
        <f t="shared" si="61"/>
        <v>1557</v>
      </c>
      <c r="Q1008" s="13" t="str">
        <f t="shared" si="62"/>
        <v/>
      </c>
      <c r="R1008" s="13" t="str">
        <f t="shared" si="63"/>
        <v>Diskon</v>
      </c>
    </row>
    <row r="1009" spans="1:18" x14ac:dyDescent="0.25">
      <c r="A1009" s="13" t="s">
        <v>1021</v>
      </c>
      <c r="B1009" s="13" t="s">
        <v>2192</v>
      </c>
      <c r="C1009" s="13" t="s">
        <v>2203</v>
      </c>
      <c r="D1009" s="13" t="s">
        <v>2206</v>
      </c>
      <c r="F1009" s="13" t="s">
        <v>2223</v>
      </c>
      <c r="G1009" s="13">
        <v>75.22</v>
      </c>
      <c r="H1009" s="13">
        <v>25.9</v>
      </c>
      <c r="I1009" s="13">
        <v>55.74</v>
      </c>
      <c r="J1009" s="24">
        <v>45875</v>
      </c>
      <c r="K1009" s="13">
        <v>31</v>
      </c>
      <c r="L1009" s="44">
        <v>1.9</v>
      </c>
      <c r="M1009" s="13" t="b">
        <v>1</v>
      </c>
      <c r="N1009" s="13" t="s">
        <v>2225</v>
      </c>
      <c r="O1009" s="25">
        <f t="shared" si="60"/>
        <v>27</v>
      </c>
      <c r="P1009" s="13">
        <f t="shared" si="61"/>
        <v>802.9</v>
      </c>
      <c r="Q1009" s="13">
        <f t="shared" si="62"/>
        <v>1</v>
      </c>
      <c r="R1009" s="13" t="str">
        <f t="shared" si="63"/>
        <v>Diskon</v>
      </c>
    </row>
    <row r="1010" spans="1:18" x14ac:dyDescent="0.25">
      <c r="A1010" s="13" t="s">
        <v>1022</v>
      </c>
      <c r="B1010" s="13" t="s">
        <v>2194</v>
      </c>
      <c r="C1010" s="13" t="s">
        <v>2202</v>
      </c>
      <c r="D1010" s="13" t="s">
        <v>2206</v>
      </c>
      <c r="E1010" s="13" t="s">
        <v>2212</v>
      </c>
      <c r="F1010" s="13" t="s">
        <v>2216</v>
      </c>
      <c r="G1010" s="13">
        <v>46.65</v>
      </c>
      <c r="H1010" s="13">
        <v>24.2</v>
      </c>
      <c r="I1010" s="13">
        <v>35.36</v>
      </c>
      <c r="J1010" s="24">
        <v>45875</v>
      </c>
      <c r="K1010" s="13">
        <v>8</v>
      </c>
      <c r="L1010" s="44">
        <v>3.2</v>
      </c>
      <c r="M1010" s="13" t="b">
        <v>0</v>
      </c>
      <c r="O1010" s="25">
        <f t="shared" si="60"/>
        <v>27</v>
      </c>
      <c r="P1010" s="13">
        <f t="shared" si="61"/>
        <v>193.6</v>
      </c>
      <c r="Q1010" s="13" t="str">
        <f t="shared" si="62"/>
        <v/>
      </c>
      <c r="R1010" s="13" t="str">
        <f t="shared" si="63"/>
        <v>Diskon</v>
      </c>
    </row>
    <row r="1011" spans="1:18" x14ac:dyDescent="0.25">
      <c r="A1011" s="13" t="s">
        <v>1023</v>
      </c>
      <c r="B1011" s="13" t="s">
        <v>2195</v>
      </c>
      <c r="C1011" s="13" t="s">
        <v>2199</v>
      </c>
      <c r="D1011" s="13" t="s">
        <v>2206</v>
      </c>
      <c r="E1011" s="13" t="s">
        <v>2211</v>
      </c>
      <c r="F1011" s="13" t="s">
        <v>2215</v>
      </c>
      <c r="G1011" s="13">
        <v>108.19</v>
      </c>
      <c r="H1011" s="13">
        <v>0</v>
      </c>
      <c r="I1011" s="13">
        <v>108.19</v>
      </c>
      <c r="J1011" s="24">
        <v>45875</v>
      </c>
      <c r="K1011" s="13">
        <v>21</v>
      </c>
      <c r="L1011" s="44">
        <v>2.8372093023255811</v>
      </c>
      <c r="M1011" s="13" t="b">
        <v>0</v>
      </c>
      <c r="O1011" s="25">
        <f t="shared" si="60"/>
        <v>27</v>
      </c>
      <c r="P1011" s="13">
        <f t="shared" si="61"/>
        <v>0</v>
      </c>
      <c r="Q1011" s="13" t="str">
        <f t="shared" si="62"/>
        <v/>
      </c>
      <c r="R1011" s="13" t="str">
        <f t="shared" si="63"/>
        <v>Non diskon</v>
      </c>
    </row>
    <row r="1012" spans="1:18" x14ac:dyDescent="0.25">
      <c r="A1012" s="13" t="s">
        <v>1024</v>
      </c>
      <c r="B1012" s="13" t="s">
        <v>2195</v>
      </c>
      <c r="C1012" s="13" t="s">
        <v>2196</v>
      </c>
      <c r="D1012" s="13" t="s">
        <v>2204</v>
      </c>
      <c r="E1012" s="13" t="s">
        <v>2209</v>
      </c>
      <c r="F1012" s="13" t="s">
        <v>2214</v>
      </c>
      <c r="G1012" s="13">
        <v>62.82</v>
      </c>
      <c r="H1012" s="13">
        <v>0</v>
      </c>
      <c r="I1012" s="13">
        <v>62.82</v>
      </c>
      <c r="J1012" s="24">
        <v>45573</v>
      </c>
      <c r="K1012" s="13">
        <v>36</v>
      </c>
      <c r="L1012" s="44">
        <v>2.1</v>
      </c>
      <c r="M1012" s="13" t="b">
        <v>0</v>
      </c>
      <c r="O1012" s="25">
        <f t="shared" si="60"/>
        <v>329</v>
      </c>
      <c r="P1012" s="13">
        <f t="shared" si="61"/>
        <v>0</v>
      </c>
      <c r="Q1012" s="13" t="str">
        <f t="shared" si="62"/>
        <v/>
      </c>
      <c r="R1012" s="13" t="str">
        <f t="shared" si="63"/>
        <v>Non diskon</v>
      </c>
    </row>
    <row r="1013" spans="1:18" x14ac:dyDescent="0.25">
      <c r="A1013" s="13" t="s">
        <v>1025</v>
      </c>
      <c r="B1013" s="13" t="s">
        <v>2191</v>
      </c>
      <c r="C1013" s="13" t="s">
        <v>2196</v>
      </c>
      <c r="D1013" s="13" t="s">
        <v>2207</v>
      </c>
      <c r="E1013" s="13" t="s">
        <v>2210</v>
      </c>
      <c r="F1013" s="13" t="s">
        <v>2215</v>
      </c>
      <c r="G1013" s="13">
        <v>57.32</v>
      </c>
      <c r="H1013" s="13">
        <v>57.4</v>
      </c>
      <c r="I1013" s="13">
        <v>24.42</v>
      </c>
      <c r="J1013" s="24">
        <v>45875</v>
      </c>
      <c r="K1013" s="13">
        <v>46</v>
      </c>
      <c r="L1013" s="44">
        <v>3.1</v>
      </c>
      <c r="M1013" s="13" t="b">
        <v>0</v>
      </c>
      <c r="O1013" s="25">
        <f t="shared" si="60"/>
        <v>27</v>
      </c>
      <c r="P1013" s="13">
        <f t="shared" si="61"/>
        <v>2640.4</v>
      </c>
      <c r="Q1013" s="13" t="str">
        <f t="shared" si="62"/>
        <v/>
      </c>
      <c r="R1013" s="13" t="str">
        <f t="shared" si="63"/>
        <v>Diskon</v>
      </c>
    </row>
    <row r="1014" spans="1:18" x14ac:dyDescent="0.25">
      <c r="A1014" s="13" t="s">
        <v>1026</v>
      </c>
      <c r="B1014" s="13" t="s">
        <v>2190</v>
      </c>
      <c r="C1014" s="13" t="s">
        <v>2200</v>
      </c>
      <c r="D1014" s="13" t="s">
        <v>2205</v>
      </c>
      <c r="E1014" s="13" t="s">
        <v>2211</v>
      </c>
      <c r="F1014" s="13" t="s">
        <v>2220</v>
      </c>
      <c r="G1014" s="13">
        <v>153.59</v>
      </c>
      <c r="H1014" s="13">
        <v>0</v>
      </c>
      <c r="I1014" s="13">
        <v>153.59</v>
      </c>
      <c r="J1014" s="24">
        <v>45875</v>
      </c>
      <c r="K1014" s="13">
        <v>31</v>
      </c>
      <c r="L1014" s="44">
        <v>2.9</v>
      </c>
      <c r="M1014" s="13" t="b">
        <v>1</v>
      </c>
      <c r="N1014" s="13" t="s">
        <v>2227</v>
      </c>
      <c r="O1014" s="25">
        <f t="shared" si="60"/>
        <v>27</v>
      </c>
      <c r="P1014" s="13">
        <f t="shared" si="61"/>
        <v>0</v>
      </c>
      <c r="Q1014" s="13">
        <f t="shared" si="62"/>
        <v>1</v>
      </c>
      <c r="R1014" s="13" t="str">
        <f t="shared" si="63"/>
        <v>Non diskon</v>
      </c>
    </row>
    <row r="1015" spans="1:18" x14ac:dyDescent="0.25">
      <c r="A1015" s="13" t="s">
        <v>1027</v>
      </c>
      <c r="B1015" s="13" t="s">
        <v>2193</v>
      </c>
      <c r="C1015" s="13" t="s">
        <v>2199</v>
      </c>
      <c r="D1015" s="13" t="s">
        <v>2205</v>
      </c>
      <c r="E1015" s="13" t="s">
        <v>2208</v>
      </c>
      <c r="F1015" s="13" t="s">
        <v>2223</v>
      </c>
      <c r="G1015" s="13">
        <v>101.14</v>
      </c>
      <c r="H1015" s="13">
        <v>0</v>
      </c>
      <c r="I1015" s="13">
        <v>101.14</v>
      </c>
      <c r="J1015" s="24">
        <v>45875</v>
      </c>
      <c r="K1015" s="13">
        <v>43</v>
      </c>
      <c r="L1015" s="44">
        <v>2.8</v>
      </c>
      <c r="M1015" s="13" t="b">
        <v>0</v>
      </c>
      <c r="O1015" s="25">
        <f t="shared" si="60"/>
        <v>27</v>
      </c>
      <c r="P1015" s="13">
        <f t="shared" si="61"/>
        <v>0</v>
      </c>
      <c r="Q1015" s="13" t="str">
        <f t="shared" si="62"/>
        <v/>
      </c>
      <c r="R1015" s="13" t="str">
        <f t="shared" si="63"/>
        <v>Non diskon</v>
      </c>
    </row>
    <row r="1016" spans="1:18" x14ac:dyDescent="0.25">
      <c r="A1016" s="13" t="s">
        <v>1028</v>
      </c>
      <c r="B1016" s="13" t="s">
        <v>2194</v>
      </c>
      <c r="C1016" s="13" t="s">
        <v>2201</v>
      </c>
      <c r="D1016" s="13" t="s">
        <v>2204</v>
      </c>
      <c r="E1016" s="13" t="s">
        <v>2211</v>
      </c>
      <c r="F1016" s="13" t="s">
        <v>2224</v>
      </c>
      <c r="G1016" s="13">
        <v>43.89</v>
      </c>
      <c r="H1016" s="13">
        <v>15.6</v>
      </c>
      <c r="I1016" s="13">
        <v>37.04</v>
      </c>
      <c r="J1016" s="24">
        <v>45777</v>
      </c>
      <c r="K1016" s="13">
        <v>31</v>
      </c>
      <c r="L1016" s="44">
        <v>1.7</v>
      </c>
      <c r="M1016" s="13" t="b">
        <v>1</v>
      </c>
      <c r="N1016" s="13" t="s">
        <v>2230</v>
      </c>
      <c r="O1016" s="25">
        <f t="shared" si="60"/>
        <v>125</v>
      </c>
      <c r="P1016" s="13">
        <f t="shared" si="61"/>
        <v>483.59999999999997</v>
      </c>
      <c r="Q1016" s="13">
        <f t="shared" si="62"/>
        <v>1</v>
      </c>
      <c r="R1016" s="13" t="str">
        <f t="shared" si="63"/>
        <v>Diskon</v>
      </c>
    </row>
    <row r="1017" spans="1:18" x14ac:dyDescent="0.25">
      <c r="A1017" s="13" t="s">
        <v>1029</v>
      </c>
      <c r="B1017" s="13" t="s">
        <v>2190</v>
      </c>
      <c r="C1017" s="13" t="s">
        <v>2196</v>
      </c>
      <c r="D1017" s="13" t="s">
        <v>2205</v>
      </c>
      <c r="E1017" s="13" t="s">
        <v>2210</v>
      </c>
      <c r="F1017" s="13" t="s">
        <v>2218</v>
      </c>
      <c r="G1017" s="13">
        <v>130.16</v>
      </c>
      <c r="H1017" s="13">
        <v>47.5</v>
      </c>
      <c r="I1017" s="13">
        <v>68.33</v>
      </c>
      <c r="J1017" s="24">
        <v>45875</v>
      </c>
      <c r="K1017" s="13">
        <v>21</v>
      </c>
      <c r="L1017" s="44">
        <v>2.7030303030303036</v>
      </c>
      <c r="M1017" s="13" t="b">
        <v>0</v>
      </c>
      <c r="O1017" s="25">
        <f t="shared" si="60"/>
        <v>27</v>
      </c>
      <c r="P1017" s="13">
        <f t="shared" si="61"/>
        <v>997.5</v>
      </c>
      <c r="Q1017" s="13" t="str">
        <f t="shared" si="62"/>
        <v/>
      </c>
      <c r="R1017" s="13" t="str">
        <f t="shared" si="63"/>
        <v>Diskon</v>
      </c>
    </row>
    <row r="1018" spans="1:18" x14ac:dyDescent="0.25">
      <c r="A1018" s="13" t="s">
        <v>1030</v>
      </c>
      <c r="B1018" s="13" t="s">
        <v>2195</v>
      </c>
      <c r="C1018" s="13" t="s">
        <v>2202</v>
      </c>
      <c r="D1018" s="13" t="s">
        <v>2205</v>
      </c>
      <c r="E1018" s="13" t="s">
        <v>2209</v>
      </c>
      <c r="F1018" s="13" t="s">
        <v>2216</v>
      </c>
      <c r="G1018" s="13">
        <v>153.12</v>
      </c>
      <c r="H1018" s="13">
        <v>0</v>
      </c>
      <c r="I1018" s="13">
        <v>153.12</v>
      </c>
      <c r="J1018" s="24">
        <v>45875</v>
      </c>
      <c r="K1018" s="13">
        <v>27</v>
      </c>
      <c r="L1018" s="44">
        <v>3.3</v>
      </c>
      <c r="M1018" s="13" t="b">
        <v>0</v>
      </c>
      <c r="O1018" s="25">
        <f t="shared" si="60"/>
        <v>27</v>
      </c>
      <c r="P1018" s="13">
        <f t="shared" si="61"/>
        <v>0</v>
      </c>
      <c r="Q1018" s="13" t="str">
        <f t="shared" si="62"/>
        <v/>
      </c>
      <c r="R1018" s="13" t="str">
        <f t="shared" si="63"/>
        <v>Non diskon</v>
      </c>
    </row>
    <row r="1019" spans="1:18" x14ac:dyDescent="0.25">
      <c r="A1019" s="13" t="s">
        <v>1031</v>
      </c>
      <c r="B1019" s="13" t="s">
        <v>2191</v>
      </c>
      <c r="C1019" s="13" t="s">
        <v>2203</v>
      </c>
      <c r="D1019" s="13" t="s">
        <v>2207</v>
      </c>
      <c r="E1019" s="13" t="s">
        <v>2211</v>
      </c>
      <c r="F1019" s="13" t="s">
        <v>2219</v>
      </c>
      <c r="G1019" s="13">
        <v>37.119999999999997</v>
      </c>
      <c r="H1019" s="13">
        <v>12.1</v>
      </c>
      <c r="I1019" s="13">
        <v>32.630000000000003</v>
      </c>
      <c r="J1019" s="24">
        <v>45875</v>
      </c>
      <c r="K1019" s="13">
        <v>43</v>
      </c>
      <c r="L1019" s="44">
        <v>3.2</v>
      </c>
      <c r="M1019" s="13" t="b">
        <v>0</v>
      </c>
      <c r="O1019" s="25">
        <f t="shared" si="60"/>
        <v>27</v>
      </c>
      <c r="P1019" s="13">
        <f t="shared" si="61"/>
        <v>520.29999999999995</v>
      </c>
      <c r="Q1019" s="13" t="str">
        <f t="shared" si="62"/>
        <v/>
      </c>
      <c r="R1019" s="13" t="str">
        <f t="shared" si="63"/>
        <v>Diskon</v>
      </c>
    </row>
    <row r="1020" spans="1:18" x14ac:dyDescent="0.25">
      <c r="A1020" s="13" t="s">
        <v>1032</v>
      </c>
      <c r="B1020" s="13" t="s">
        <v>2191</v>
      </c>
      <c r="C1020" s="13" t="s">
        <v>2199</v>
      </c>
      <c r="D1020" s="13" t="s">
        <v>2207</v>
      </c>
      <c r="E1020" s="13" t="s">
        <v>2211</v>
      </c>
      <c r="F1020" s="13" t="s">
        <v>2223</v>
      </c>
      <c r="G1020" s="13">
        <v>41.05</v>
      </c>
      <c r="H1020" s="13">
        <v>0</v>
      </c>
      <c r="I1020" s="13">
        <v>41.05</v>
      </c>
      <c r="J1020" s="24">
        <v>45875</v>
      </c>
      <c r="K1020" s="13">
        <v>24</v>
      </c>
      <c r="L1020" s="44">
        <v>2.9742857142857138</v>
      </c>
      <c r="M1020" s="13" t="b">
        <v>0</v>
      </c>
      <c r="O1020" s="25">
        <f t="shared" si="60"/>
        <v>27</v>
      </c>
      <c r="P1020" s="13">
        <f t="shared" si="61"/>
        <v>0</v>
      </c>
      <c r="Q1020" s="13" t="str">
        <f t="shared" si="62"/>
        <v/>
      </c>
      <c r="R1020" s="13" t="str">
        <f t="shared" si="63"/>
        <v>Non diskon</v>
      </c>
    </row>
    <row r="1021" spans="1:18" x14ac:dyDescent="0.25">
      <c r="A1021" s="13" t="s">
        <v>1033</v>
      </c>
      <c r="B1021" s="13" t="s">
        <v>2193</v>
      </c>
      <c r="C1021" s="13" t="s">
        <v>2203</v>
      </c>
      <c r="D1021" s="13" t="s">
        <v>2206</v>
      </c>
      <c r="E1021" s="13" t="s">
        <v>2213</v>
      </c>
      <c r="F1021" s="13" t="s">
        <v>2222</v>
      </c>
      <c r="G1021" s="13">
        <v>61.04</v>
      </c>
      <c r="H1021" s="13">
        <v>0</v>
      </c>
      <c r="I1021" s="13">
        <v>61.04</v>
      </c>
      <c r="J1021" s="24">
        <v>45875</v>
      </c>
      <c r="K1021" s="13">
        <v>43</v>
      </c>
      <c r="L1021" s="44">
        <v>1.9</v>
      </c>
      <c r="M1021" s="13" t="b">
        <v>0</v>
      </c>
      <c r="O1021" s="25">
        <f t="shared" si="60"/>
        <v>27</v>
      </c>
      <c r="P1021" s="13">
        <f t="shared" si="61"/>
        <v>0</v>
      </c>
      <c r="Q1021" s="13" t="str">
        <f t="shared" si="62"/>
        <v/>
      </c>
      <c r="R1021" s="13" t="str">
        <f t="shared" si="63"/>
        <v>Non diskon</v>
      </c>
    </row>
    <row r="1022" spans="1:18" x14ac:dyDescent="0.25">
      <c r="A1022" s="13" t="s">
        <v>1034</v>
      </c>
      <c r="B1022" s="13" t="s">
        <v>2191</v>
      </c>
      <c r="C1022" s="13" t="s">
        <v>2201</v>
      </c>
      <c r="D1022" s="13" t="s">
        <v>2207</v>
      </c>
      <c r="E1022" s="13" t="s">
        <v>2210</v>
      </c>
      <c r="F1022" s="13" t="s">
        <v>2216</v>
      </c>
      <c r="G1022" s="13">
        <v>97.17</v>
      </c>
      <c r="H1022" s="13">
        <v>0</v>
      </c>
      <c r="I1022" s="13">
        <v>97.17</v>
      </c>
      <c r="J1022" s="24">
        <v>45875</v>
      </c>
      <c r="K1022" s="13">
        <v>35</v>
      </c>
      <c r="L1022" s="44">
        <v>3</v>
      </c>
      <c r="M1022" s="13" t="b">
        <v>0</v>
      </c>
      <c r="O1022" s="25">
        <f t="shared" si="60"/>
        <v>27</v>
      </c>
      <c r="P1022" s="13">
        <f t="shared" si="61"/>
        <v>0</v>
      </c>
      <c r="Q1022" s="13" t="str">
        <f t="shared" si="62"/>
        <v/>
      </c>
      <c r="R1022" s="13" t="str">
        <f t="shared" si="63"/>
        <v>Non diskon</v>
      </c>
    </row>
    <row r="1023" spans="1:18" x14ac:dyDescent="0.25">
      <c r="A1023" s="13" t="s">
        <v>1035</v>
      </c>
      <c r="B1023" s="13" t="s">
        <v>2192</v>
      </c>
      <c r="C1023" s="13" t="s">
        <v>2197</v>
      </c>
      <c r="D1023" s="13" t="s">
        <v>2207</v>
      </c>
      <c r="F1023" s="13" t="s">
        <v>2214</v>
      </c>
      <c r="G1023" s="13">
        <v>63.45</v>
      </c>
      <c r="H1023" s="13">
        <v>0</v>
      </c>
      <c r="I1023" s="13">
        <v>63.45</v>
      </c>
      <c r="J1023" s="24">
        <v>45875</v>
      </c>
      <c r="K1023" s="13">
        <v>4</v>
      </c>
      <c r="L1023" s="44">
        <v>3.9</v>
      </c>
      <c r="M1023" s="13" t="b">
        <v>0</v>
      </c>
      <c r="O1023" s="25">
        <f t="shared" si="60"/>
        <v>27</v>
      </c>
      <c r="P1023" s="13">
        <f t="shared" si="61"/>
        <v>0</v>
      </c>
      <c r="Q1023" s="13" t="str">
        <f t="shared" si="62"/>
        <v/>
      </c>
      <c r="R1023" s="13" t="str">
        <f t="shared" si="63"/>
        <v>Non diskon</v>
      </c>
    </row>
    <row r="1024" spans="1:18" x14ac:dyDescent="0.25">
      <c r="A1024" s="13" t="s">
        <v>1036</v>
      </c>
      <c r="B1024" s="13" t="s">
        <v>2191</v>
      </c>
      <c r="C1024" s="13" t="s">
        <v>2199</v>
      </c>
      <c r="D1024" s="13" t="s">
        <v>2206</v>
      </c>
      <c r="F1024" s="13" t="s">
        <v>2218</v>
      </c>
      <c r="G1024" s="13">
        <v>117.39</v>
      </c>
      <c r="H1024" s="13">
        <v>0</v>
      </c>
      <c r="I1024" s="13">
        <v>117.39</v>
      </c>
      <c r="J1024" s="24">
        <v>45875</v>
      </c>
      <c r="K1024" s="13">
        <v>14</v>
      </c>
      <c r="L1024" s="44">
        <v>3.2</v>
      </c>
      <c r="M1024" s="13" t="b">
        <v>0</v>
      </c>
      <c r="O1024" s="25">
        <f t="shared" si="60"/>
        <v>27</v>
      </c>
      <c r="P1024" s="13">
        <f t="shared" si="61"/>
        <v>0</v>
      </c>
      <c r="Q1024" s="13" t="str">
        <f t="shared" si="62"/>
        <v/>
      </c>
      <c r="R1024" s="13" t="str">
        <f t="shared" si="63"/>
        <v>Non diskon</v>
      </c>
    </row>
    <row r="1025" spans="1:18" x14ac:dyDescent="0.25">
      <c r="A1025" s="13" t="s">
        <v>1037</v>
      </c>
      <c r="B1025" s="13" t="s">
        <v>2191</v>
      </c>
      <c r="C1025" s="13" t="s">
        <v>2198</v>
      </c>
      <c r="D1025" s="13" t="s">
        <v>2204</v>
      </c>
      <c r="E1025" s="13" t="s">
        <v>2210</v>
      </c>
      <c r="F1025" s="13" t="s">
        <v>2224</v>
      </c>
      <c r="G1025" s="13">
        <v>32.89</v>
      </c>
      <c r="H1025" s="13">
        <v>0</v>
      </c>
      <c r="I1025" s="13">
        <v>32.89</v>
      </c>
      <c r="J1025" s="24">
        <v>45846</v>
      </c>
      <c r="K1025" s="13">
        <v>6</v>
      </c>
      <c r="L1025" s="44">
        <v>4.5999999999999996</v>
      </c>
      <c r="M1025" s="13" t="b">
        <v>0</v>
      </c>
      <c r="O1025" s="25">
        <f t="shared" si="60"/>
        <v>56</v>
      </c>
      <c r="P1025" s="13">
        <f t="shared" si="61"/>
        <v>0</v>
      </c>
      <c r="Q1025" s="13" t="str">
        <f t="shared" si="62"/>
        <v/>
      </c>
      <c r="R1025" s="13" t="str">
        <f t="shared" si="63"/>
        <v>Non diskon</v>
      </c>
    </row>
    <row r="1026" spans="1:18" x14ac:dyDescent="0.25">
      <c r="A1026" s="13" t="s">
        <v>1038</v>
      </c>
      <c r="B1026" s="13" t="s">
        <v>2194</v>
      </c>
      <c r="C1026" s="13" t="s">
        <v>2201</v>
      </c>
      <c r="D1026" s="13" t="s">
        <v>2204</v>
      </c>
      <c r="E1026" s="13" t="s">
        <v>2209</v>
      </c>
      <c r="F1026" s="13" t="s">
        <v>2219</v>
      </c>
      <c r="G1026" s="13">
        <v>102.6</v>
      </c>
      <c r="H1026" s="13">
        <v>38.6</v>
      </c>
      <c r="I1026" s="13">
        <v>63</v>
      </c>
      <c r="J1026" s="24">
        <v>45787</v>
      </c>
      <c r="K1026" s="13">
        <v>14</v>
      </c>
      <c r="L1026" s="44">
        <v>4</v>
      </c>
      <c r="M1026" s="13" t="b">
        <v>0</v>
      </c>
      <c r="O1026" s="25">
        <f t="shared" si="60"/>
        <v>115</v>
      </c>
      <c r="P1026" s="13">
        <f t="shared" si="61"/>
        <v>540.4</v>
      </c>
      <c r="Q1026" s="13" t="str">
        <f t="shared" si="62"/>
        <v/>
      </c>
      <c r="R1026" s="13" t="str">
        <f t="shared" si="63"/>
        <v>Diskon</v>
      </c>
    </row>
    <row r="1027" spans="1:18" x14ac:dyDescent="0.25">
      <c r="A1027" s="13" t="s">
        <v>1039</v>
      </c>
      <c r="B1027" s="13" t="s">
        <v>2193</v>
      </c>
      <c r="C1027" s="13" t="s">
        <v>2202</v>
      </c>
      <c r="D1027" s="13" t="s">
        <v>2204</v>
      </c>
      <c r="E1027" s="13" t="s">
        <v>2211</v>
      </c>
      <c r="F1027" s="13" t="s">
        <v>2222</v>
      </c>
      <c r="G1027" s="13">
        <v>155.91999999999999</v>
      </c>
      <c r="H1027" s="13">
        <v>32.200000000000003</v>
      </c>
      <c r="I1027" s="13">
        <v>105.71</v>
      </c>
      <c r="J1027" s="24">
        <v>45567</v>
      </c>
      <c r="K1027" s="13">
        <v>5</v>
      </c>
      <c r="L1027" s="44">
        <v>2</v>
      </c>
      <c r="M1027" s="13" t="b">
        <v>0</v>
      </c>
      <c r="O1027" s="25">
        <f t="shared" ref="O1027:O1090" si="64">DATE(2025,9,2)-J1027</f>
        <v>335</v>
      </c>
      <c r="P1027" s="13">
        <f t="shared" ref="P1027:P1090" si="65">H1027*K1027</f>
        <v>161</v>
      </c>
      <c r="Q1027" s="13" t="str">
        <f t="shared" ref="Q1027:Q1090" si="66">IF(M1027=FALSE,"",1)</f>
        <v/>
      </c>
      <c r="R1027" s="13" t="str">
        <f t="shared" ref="R1027:R1090" si="67">IF(H1027=0,"Non diskon","Diskon")</f>
        <v>Diskon</v>
      </c>
    </row>
    <row r="1028" spans="1:18" x14ac:dyDescent="0.25">
      <c r="A1028" s="13" t="s">
        <v>1040</v>
      </c>
      <c r="B1028" s="13" t="s">
        <v>2190</v>
      </c>
      <c r="C1028" s="13" t="s">
        <v>2202</v>
      </c>
      <c r="D1028" s="13" t="s">
        <v>2206</v>
      </c>
      <c r="E1028" s="13" t="s">
        <v>2209</v>
      </c>
      <c r="F1028" s="13" t="s">
        <v>2223</v>
      </c>
      <c r="G1028" s="13">
        <v>178.39</v>
      </c>
      <c r="H1028" s="13">
        <v>0</v>
      </c>
      <c r="I1028" s="13">
        <v>178.39</v>
      </c>
      <c r="J1028" s="24">
        <v>45875</v>
      </c>
      <c r="K1028" s="13">
        <v>29</v>
      </c>
      <c r="L1028" s="44">
        <v>4.2</v>
      </c>
      <c r="M1028" s="13" t="b">
        <v>0</v>
      </c>
      <c r="O1028" s="25">
        <f t="shared" si="64"/>
        <v>27</v>
      </c>
      <c r="P1028" s="13">
        <f t="shared" si="65"/>
        <v>0</v>
      </c>
      <c r="Q1028" s="13" t="str">
        <f t="shared" si="66"/>
        <v/>
      </c>
      <c r="R1028" s="13" t="str">
        <f t="shared" si="67"/>
        <v>Non diskon</v>
      </c>
    </row>
    <row r="1029" spans="1:18" x14ac:dyDescent="0.25">
      <c r="A1029" s="13" t="s">
        <v>1041</v>
      </c>
      <c r="B1029" s="13" t="s">
        <v>2190</v>
      </c>
      <c r="C1029" s="13" t="s">
        <v>2200</v>
      </c>
      <c r="D1029" s="13" t="s">
        <v>2204</v>
      </c>
      <c r="E1029" s="13" t="s">
        <v>2208</v>
      </c>
      <c r="F1029" s="13" t="s">
        <v>2218</v>
      </c>
      <c r="G1029" s="13">
        <v>151.1</v>
      </c>
      <c r="H1029" s="13">
        <v>0</v>
      </c>
      <c r="I1029" s="13">
        <v>151.1</v>
      </c>
      <c r="J1029" s="24">
        <v>45738</v>
      </c>
      <c r="K1029" s="13">
        <v>24</v>
      </c>
      <c r="L1029" s="44">
        <v>2.4</v>
      </c>
      <c r="M1029" s="13" t="b">
        <v>0</v>
      </c>
      <c r="O1029" s="25">
        <f t="shared" si="64"/>
        <v>164</v>
      </c>
      <c r="P1029" s="13">
        <f t="shared" si="65"/>
        <v>0</v>
      </c>
      <c r="Q1029" s="13" t="str">
        <f t="shared" si="66"/>
        <v/>
      </c>
      <c r="R1029" s="13" t="str">
        <f t="shared" si="67"/>
        <v>Non diskon</v>
      </c>
    </row>
    <row r="1030" spans="1:18" x14ac:dyDescent="0.25">
      <c r="A1030" s="13" t="s">
        <v>1042</v>
      </c>
      <c r="B1030" s="13" t="s">
        <v>2191</v>
      </c>
      <c r="C1030" s="13" t="s">
        <v>2203</v>
      </c>
      <c r="D1030" s="13" t="s">
        <v>2207</v>
      </c>
      <c r="E1030" s="13" t="s">
        <v>2211</v>
      </c>
      <c r="F1030" s="13" t="s">
        <v>2221</v>
      </c>
      <c r="G1030" s="13">
        <v>91.03</v>
      </c>
      <c r="H1030" s="13">
        <v>55.4</v>
      </c>
      <c r="I1030" s="13">
        <v>40.6</v>
      </c>
      <c r="J1030" s="24">
        <v>45875</v>
      </c>
      <c r="K1030" s="13">
        <v>2</v>
      </c>
      <c r="L1030" s="44">
        <v>2.5</v>
      </c>
      <c r="M1030" s="13" t="b">
        <v>0</v>
      </c>
      <c r="O1030" s="25">
        <f t="shared" si="64"/>
        <v>27</v>
      </c>
      <c r="P1030" s="13">
        <f t="shared" si="65"/>
        <v>110.8</v>
      </c>
      <c r="Q1030" s="13" t="str">
        <f t="shared" si="66"/>
        <v/>
      </c>
      <c r="R1030" s="13" t="str">
        <f t="shared" si="67"/>
        <v>Diskon</v>
      </c>
    </row>
    <row r="1031" spans="1:18" x14ac:dyDescent="0.25">
      <c r="A1031" s="13" t="s">
        <v>1043</v>
      </c>
      <c r="B1031" s="13" t="s">
        <v>2191</v>
      </c>
      <c r="C1031" s="13" t="s">
        <v>2200</v>
      </c>
      <c r="D1031" s="13" t="s">
        <v>2206</v>
      </c>
      <c r="E1031" s="13" t="s">
        <v>2213</v>
      </c>
      <c r="F1031" s="13" t="s">
        <v>2218</v>
      </c>
      <c r="G1031" s="13">
        <v>89.03</v>
      </c>
      <c r="H1031" s="13">
        <v>41.3</v>
      </c>
      <c r="I1031" s="13">
        <v>52.26</v>
      </c>
      <c r="J1031" s="24">
        <v>45875</v>
      </c>
      <c r="K1031" s="13">
        <v>50</v>
      </c>
      <c r="L1031" s="44">
        <v>2.9657142857142857</v>
      </c>
      <c r="M1031" s="13" t="b">
        <v>0</v>
      </c>
      <c r="O1031" s="25">
        <f t="shared" si="64"/>
        <v>27</v>
      </c>
      <c r="P1031" s="13">
        <f t="shared" si="65"/>
        <v>2065</v>
      </c>
      <c r="Q1031" s="13" t="str">
        <f t="shared" si="66"/>
        <v/>
      </c>
      <c r="R1031" s="13" t="str">
        <f t="shared" si="67"/>
        <v>Diskon</v>
      </c>
    </row>
    <row r="1032" spans="1:18" x14ac:dyDescent="0.25">
      <c r="A1032" s="13" t="s">
        <v>1044</v>
      </c>
      <c r="B1032" s="13" t="s">
        <v>2195</v>
      </c>
      <c r="C1032" s="13" t="s">
        <v>2201</v>
      </c>
      <c r="D1032" s="13" t="s">
        <v>2207</v>
      </c>
      <c r="E1032" s="13" t="s">
        <v>2210</v>
      </c>
      <c r="F1032" s="13" t="s">
        <v>2220</v>
      </c>
      <c r="G1032" s="13">
        <v>147.58000000000001</v>
      </c>
      <c r="H1032" s="13">
        <v>0</v>
      </c>
      <c r="I1032" s="13">
        <v>147.58000000000001</v>
      </c>
      <c r="J1032" s="24">
        <v>45875</v>
      </c>
      <c r="K1032" s="13">
        <v>10</v>
      </c>
      <c r="L1032" s="44">
        <v>4.3</v>
      </c>
      <c r="M1032" s="13" t="b">
        <v>0</v>
      </c>
      <c r="O1032" s="25">
        <f t="shared" si="64"/>
        <v>27</v>
      </c>
      <c r="P1032" s="13">
        <f t="shared" si="65"/>
        <v>0</v>
      </c>
      <c r="Q1032" s="13" t="str">
        <f t="shared" si="66"/>
        <v/>
      </c>
      <c r="R1032" s="13" t="str">
        <f t="shared" si="67"/>
        <v>Non diskon</v>
      </c>
    </row>
    <row r="1033" spans="1:18" x14ac:dyDescent="0.25">
      <c r="A1033" s="13" t="s">
        <v>1045</v>
      </c>
      <c r="B1033" s="13" t="s">
        <v>2195</v>
      </c>
      <c r="C1033" s="13" t="s">
        <v>2198</v>
      </c>
      <c r="D1033" s="13" t="s">
        <v>2207</v>
      </c>
      <c r="E1033" s="13" t="s">
        <v>2208</v>
      </c>
      <c r="F1033" s="13" t="s">
        <v>2219</v>
      </c>
      <c r="G1033" s="13">
        <v>79.98</v>
      </c>
      <c r="H1033" s="13">
        <v>0</v>
      </c>
      <c r="I1033" s="13">
        <v>79.98</v>
      </c>
      <c r="J1033" s="24">
        <v>45875</v>
      </c>
      <c r="K1033" s="13">
        <v>25</v>
      </c>
      <c r="L1033" s="44">
        <v>1.5</v>
      </c>
      <c r="M1033" s="13" t="b">
        <v>0</v>
      </c>
      <c r="O1033" s="25">
        <f t="shared" si="64"/>
        <v>27</v>
      </c>
      <c r="P1033" s="13">
        <f t="shared" si="65"/>
        <v>0</v>
      </c>
      <c r="Q1033" s="13" t="str">
        <f t="shared" si="66"/>
        <v/>
      </c>
      <c r="R1033" s="13" t="str">
        <f t="shared" si="67"/>
        <v>Non diskon</v>
      </c>
    </row>
    <row r="1034" spans="1:18" x14ac:dyDescent="0.25">
      <c r="A1034" s="13" t="s">
        <v>1046</v>
      </c>
      <c r="B1034" s="13" t="s">
        <v>2195</v>
      </c>
      <c r="C1034" s="13" t="s">
        <v>2200</v>
      </c>
      <c r="D1034" s="13" t="s">
        <v>2206</v>
      </c>
      <c r="E1034" s="13" t="s">
        <v>2212</v>
      </c>
      <c r="F1034" s="13" t="s">
        <v>2221</v>
      </c>
      <c r="G1034" s="13">
        <v>86.38</v>
      </c>
      <c r="H1034" s="13">
        <v>0</v>
      </c>
      <c r="I1034" s="13">
        <v>86.38</v>
      </c>
      <c r="J1034" s="24">
        <v>45875</v>
      </c>
      <c r="K1034" s="13">
        <v>40</v>
      </c>
      <c r="L1034" s="44">
        <v>2.7</v>
      </c>
      <c r="M1034" s="13" t="b">
        <v>0</v>
      </c>
      <c r="O1034" s="25">
        <f t="shared" si="64"/>
        <v>27</v>
      </c>
      <c r="P1034" s="13">
        <f t="shared" si="65"/>
        <v>0</v>
      </c>
      <c r="Q1034" s="13" t="str">
        <f t="shared" si="66"/>
        <v/>
      </c>
      <c r="R1034" s="13" t="str">
        <f t="shared" si="67"/>
        <v>Non diskon</v>
      </c>
    </row>
    <row r="1035" spans="1:18" x14ac:dyDescent="0.25">
      <c r="A1035" s="13" t="s">
        <v>1047</v>
      </c>
      <c r="B1035" s="13" t="s">
        <v>2191</v>
      </c>
      <c r="C1035" s="13" t="s">
        <v>2198</v>
      </c>
      <c r="D1035" s="13" t="s">
        <v>2207</v>
      </c>
      <c r="E1035" s="13" t="s">
        <v>2211</v>
      </c>
      <c r="F1035" s="13" t="s">
        <v>2224</v>
      </c>
      <c r="G1035" s="13">
        <v>47.29</v>
      </c>
      <c r="H1035" s="13">
        <v>40.4</v>
      </c>
      <c r="I1035" s="13">
        <v>28.18</v>
      </c>
      <c r="J1035" s="24">
        <v>45875</v>
      </c>
      <c r="K1035" s="13">
        <v>26</v>
      </c>
      <c r="L1035" s="44">
        <v>4.4000000000000004</v>
      </c>
      <c r="M1035" s="13" t="b">
        <v>0</v>
      </c>
      <c r="O1035" s="25">
        <f t="shared" si="64"/>
        <v>27</v>
      </c>
      <c r="P1035" s="13">
        <f t="shared" si="65"/>
        <v>1050.3999999999999</v>
      </c>
      <c r="Q1035" s="13" t="str">
        <f t="shared" si="66"/>
        <v/>
      </c>
      <c r="R1035" s="13" t="str">
        <f t="shared" si="67"/>
        <v>Diskon</v>
      </c>
    </row>
    <row r="1036" spans="1:18" x14ac:dyDescent="0.25">
      <c r="A1036" s="13" t="s">
        <v>1048</v>
      </c>
      <c r="B1036" s="13" t="s">
        <v>2190</v>
      </c>
      <c r="C1036" s="13" t="s">
        <v>2203</v>
      </c>
      <c r="D1036" s="13" t="s">
        <v>2204</v>
      </c>
      <c r="E1036" s="13" t="s">
        <v>2209</v>
      </c>
      <c r="F1036" s="13" t="s">
        <v>2222</v>
      </c>
      <c r="G1036" s="13">
        <v>196.54</v>
      </c>
      <c r="H1036" s="13">
        <v>22.6</v>
      </c>
      <c r="I1036" s="13">
        <v>152.12</v>
      </c>
      <c r="J1036" s="24">
        <v>45789</v>
      </c>
      <c r="K1036" s="13">
        <v>33</v>
      </c>
      <c r="L1036" s="44">
        <v>1.4</v>
      </c>
      <c r="M1036" s="13" t="b">
        <v>0</v>
      </c>
      <c r="O1036" s="25">
        <f t="shared" si="64"/>
        <v>113</v>
      </c>
      <c r="P1036" s="13">
        <f t="shared" si="65"/>
        <v>745.80000000000007</v>
      </c>
      <c r="Q1036" s="13" t="str">
        <f t="shared" si="66"/>
        <v/>
      </c>
      <c r="R1036" s="13" t="str">
        <f t="shared" si="67"/>
        <v>Diskon</v>
      </c>
    </row>
    <row r="1037" spans="1:18" x14ac:dyDescent="0.25">
      <c r="A1037" s="13" t="s">
        <v>1049</v>
      </c>
      <c r="B1037" s="13" t="s">
        <v>2191</v>
      </c>
      <c r="C1037" s="13" t="s">
        <v>2196</v>
      </c>
      <c r="D1037" s="13" t="s">
        <v>2204</v>
      </c>
      <c r="E1037" s="13" t="s">
        <v>2211</v>
      </c>
      <c r="F1037" s="13" t="s">
        <v>2218</v>
      </c>
      <c r="G1037" s="13">
        <v>72.72</v>
      </c>
      <c r="H1037" s="13">
        <v>0</v>
      </c>
      <c r="I1037" s="13">
        <v>72.72</v>
      </c>
      <c r="J1037" s="24">
        <v>45688</v>
      </c>
      <c r="K1037" s="13">
        <v>23</v>
      </c>
      <c r="L1037" s="44">
        <v>1.6</v>
      </c>
      <c r="M1037" s="13" t="b">
        <v>0</v>
      </c>
      <c r="O1037" s="25">
        <f t="shared" si="64"/>
        <v>214</v>
      </c>
      <c r="P1037" s="13">
        <f t="shared" si="65"/>
        <v>0</v>
      </c>
      <c r="Q1037" s="13" t="str">
        <f t="shared" si="66"/>
        <v/>
      </c>
      <c r="R1037" s="13" t="str">
        <f t="shared" si="67"/>
        <v>Non diskon</v>
      </c>
    </row>
    <row r="1038" spans="1:18" x14ac:dyDescent="0.25">
      <c r="A1038" s="13" t="s">
        <v>1050</v>
      </c>
      <c r="B1038" s="13" t="s">
        <v>2191</v>
      </c>
      <c r="C1038" s="13" t="s">
        <v>2202</v>
      </c>
      <c r="D1038" s="13" t="s">
        <v>2207</v>
      </c>
      <c r="E1038" s="13" t="s">
        <v>2211</v>
      </c>
      <c r="F1038" s="13" t="s">
        <v>2221</v>
      </c>
      <c r="G1038" s="13">
        <v>115.5</v>
      </c>
      <c r="H1038" s="13">
        <v>0</v>
      </c>
      <c r="I1038" s="13">
        <v>115.5</v>
      </c>
      <c r="J1038" s="24">
        <v>45875</v>
      </c>
      <c r="K1038" s="13">
        <v>36</v>
      </c>
      <c r="L1038" s="44">
        <v>2.9074999999999998</v>
      </c>
      <c r="M1038" s="13" t="b">
        <v>1</v>
      </c>
      <c r="N1038" s="13" t="s">
        <v>2228</v>
      </c>
      <c r="O1038" s="25">
        <f t="shared" si="64"/>
        <v>27</v>
      </c>
      <c r="P1038" s="13">
        <f t="shared" si="65"/>
        <v>0</v>
      </c>
      <c r="Q1038" s="13">
        <f t="shared" si="66"/>
        <v>1</v>
      </c>
      <c r="R1038" s="13" t="str">
        <f t="shared" si="67"/>
        <v>Non diskon</v>
      </c>
    </row>
    <row r="1039" spans="1:18" x14ac:dyDescent="0.25">
      <c r="A1039" s="13" t="s">
        <v>1051</v>
      </c>
      <c r="B1039" s="13" t="s">
        <v>2192</v>
      </c>
      <c r="C1039" s="13" t="s">
        <v>2200</v>
      </c>
      <c r="D1039" s="13" t="s">
        <v>2207</v>
      </c>
      <c r="F1039" s="13" t="s">
        <v>2218</v>
      </c>
      <c r="G1039" s="13">
        <v>68.22</v>
      </c>
      <c r="H1039" s="13">
        <v>8.1</v>
      </c>
      <c r="I1039" s="13">
        <v>62.69</v>
      </c>
      <c r="J1039" s="24">
        <v>45875</v>
      </c>
      <c r="K1039" s="13">
        <v>28</v>
      </c>
      <c r="L1039" s="44">
        <v>4</v>
      </c>
      <c r="M1039" s="13" t="b">
        <v>0</v>
      </c>
      <c r="O1039" s="25">
        <f t="shared" si="64"/>
        <v>27</v>
      </c>
      <c r="P1039" s="13">
        <f t="shared" si="65"/>
        <v>226.79999999999998</v>
      </c>
      <c r="Q1039" s="13" t="str">
        <f t="shared" si="66"/>
        <v/>
      </c>
      <c r="R1039" s="13" t="str">
        <f t="shared" si="67"/>
        <v>Diskon</v>
      </c>
    </row>
    <row r="1040" spans="1:18" x14ac:dyDescent="0.25">
      <c r="A1040" s="13" t="s">
        <v>1052</v>
      </c>
      <c r="B1040" s="13" t="s">
        <v>2191</v>
      </c>
      <c r="C1040" s="13" t="s">
        <v>2199</v>
      </c>
      <c r="D1040" s="13" t="s">
        <v>2206</v>
      </c>
      <c r="E1040" s="13" t="s">
        <v>2211</v>
      </c>
      <c r="F1040" s="13" t="s">
        <v>2216</v>
      </c>
      <c r="G1040" s="13">
        <v>91.03</v>
      </c>
      <c r="H1040" s="13">
        <v>0</v>
      </c>
      <c r="I1040" s="13">
        <v>91.03</v>
      </c>
      <c r="J1040" s="24">
        <v>45875</v>
      </c>
      <c r="K1040" s="13">
        <v>20</v>
      </c>
      <c r="L1040" s="44">
        <v>2.1</v>
      </c>
      <c r="M1040" s="13" t="b">
        <v>0</v>
      </c>
      <c r="O1040" s="25">
        <f t="shared" si="64"/>
        <v>27</v>
      </c>
      <c r="P1040" s="13">
        <f t="shared" si="65"/>
        <v>0</v>
      </c>
      <c r="Q1040" s="13" t="str">
        <f t="shared" si="66"/>
        <v/>
      </c>
      <c r="R1040" s="13" t="str">
        <f t="shared" si="67"/>
        <v>Non diskon</v>
      </c>
    </row>
    <row r="1041" spans="1:18" x14ac:dyDescent="0.25">
      <c r="A1041" s="13" t="s">
        <v>1053</v>
      </c>
      <c r="B1041" s="13" t="s">
        <v>2190</v>
      </c>
      <c r="C1041" s="13" t="s">
        <v>2203</v>
      </c>
      <c r="D1041" s="13" t="s">
        <v>2206</v>
      </c>
      <c r="E1041" s="13" t="s">
        <v>2211</v>
      </c>
      <c r="F1041" s="13" t="s">
        <v>2223</v>
      </c>
      <c r="G1041" s="13">
        <v>100.39</v>
      </c>
      <c r="H1041" s="13">
        <v>16.5</v>
      </c>
      <c r="I1041" s="13">
        <v>83.83</v>
      </c>
      <c r="J1041" s="24">
        <v>45875</v>
      </c>
      <c r="K1041" s="13">
        <v>17</v>
      </c>
      <c r="L1041" s="44">
        <v>4.5999999999999996</v>
      </c>
      <c r="M1041" s="13" t="b">
        <v>0</v>
      </c>
      <c r="O1041" s="25">
        <f t="shared" si="64"/>
        <v>27</v>
      </c>
      <c r="P1041" s="13">
        <f t="shared" si="65"/>
        <v>280.5</v>
      </c>
      <c r="Q1041" s="13" t="str">
        <f t="shared" si="66"/>
        <v/>
      </c>
      <c r="R1041" s="13" t="str">
        <f t="shared" si="67"/>
        <v>Diskon</v>
      </c>
    </row>
    <row r="1042" spans="1:18" x14ac:dyDescent="0.25">
      <c r="A1042" s="13" t="s">
        <v>1054</v>
      </c>
      <c r="B1042" s="13" t="s">
        <v>2191</v>
      </c>
      <c r="C1042" s="13" t="s">
        <v>2202</v>
      </c>
      <c r="D1042" s="13" t="s">
        <v>2206</v>
      </c>
      <c r="E1042" s="13" t="s">
        <v>2212</v>
      </c>
      <c r="F1042" s="13" t="s">
        <v>2222</v>
      </c>
      <c r="G1042" s="13">
        <v>100.03</v>
      </c>
      <c r="H1042" s="13">
        <v>0</v>
      </c>
      <c r="I1042" s="13">
        <v>100.03</v>
      </c>
      <c r="J1042" s="24">
        <v>45875</v>
      </c>
      <c r="K1042" s="13">
        <v>39</v>
      </c>
      <c r="L1042" s="44">
        <v>1.2</v>
      </c>
      <c r="M1042" s="13" t="b">
        <v>0</v>
      </c>
      <c r="O1042" s="25">
        <f t="shared" si="64"/>
        <v>27</v>
      </c>
      <c r="P1042" s="13">
        <f t="shared" si="65"/>
        <v>0</v>
      </c>
      <c r="Q1042" s="13" t="str">
        <f t="shared" si="66"/>
        <v/>
      </c>
      <c r="R1042" s="13" t="str">
        <f t="shared" si="67"/>
        <v>Non diskon</v>
      </c>
    </row>
    <row r="1043" spans="1:18" x14ac:dyDescent="0.25">
      <c r="A1043" s="13" t="s">
        <v>1055</v>
      </c>
      <c r="B1043" s="13" t="s">
        <v>2192</v>
      </c>
      <c r="C1043" s="13" t="s">
        <v>2202</v>
      </c>
      <c r="D1043" s="13" t="s">
        <v>2204</v>
      </c>
      <c r="F1043" s="13" t="s">
        <v>2217</v>
      </c>
      <c r="G1043" s="13">
        <v>50.14</v>
      </c>
      <c r="H1043" s="13">
        <v>29.2</v>
      </c>
      <c r="I1043" s="13">
        <v>35.5</v>
      </c>
      <c r="J1043" s="24">
        <v>45692</v>
      </c>
      <c r="K1043" s="13">
        <v>33</v>
      </c>
      <c r="L1043" s="44">
        <v>4.4000000000000004</v>
      </c>
      <c r="M1043" s="13" t="b">
        <v>0</v>
      </c>
      <c r="O1043" s="25">
        <f t="shared" si="64"/>
        <v>210</v>
      </c>
      <c r="P1043" s="13">
        <f t="shared" si="65"/>
        <v>963.6</v>
      </c>
      <c r="Q1043" s="13" t="str">
        <f t="shared" si="66"/>
        <v/>
      </c>
      <c r="R1043" s="13" t="str">
        <f t="shared" si="67"/>
        <v>Diskon</v>
      </c>
    </row>
    <row r="1044" spans="1:18" x14ac:dyDescent="0.25">
      <c r="A1044" s="13" t="s">
        <v>1056</v>
      </c>
      <c r="B1044" s="13" t="s">
        <v>2194</v>
      </c>
      <c r="C1044" s="13" t="s">
        <v>2196</v>
      </c>
      <c r="D1044" s="13" t="s">
        <v>2207</v>
      </c>
      <c r="E1044" s="13" t="s">
        <v>2208</v>
      </c>
      <c r="F1044" s="13" t="s">
        <v>2216</v>
      </c>
      <c r="G1044" s="13">
        <v>33.130000000000003</v>
      </c>
      <c r="H1044" s="13">
        <v>0</v>
      </c>
      <c r="I1044" s="13">
        <v>33.130000000000003</v>
      </c>
      <c r="J1044" s="24">
        <v>45875</v>
      </c>
      <c r="K1044" s="13">
        <v>41</v>
      </c>
      <c r="L1044" s="44">
        <v>3.3</v>
      </c>
      <c r="M1044" s="13" t="b">
        <v>0</v>
      </c>
      <c r="O1044" s="25">
        <f t="shared" si="64"/>
        <v>27</v>
      </c>
      <c r="P1044" s="13">
        <f t="shared" si="65"/>
        <v>0</v>
      </c>
      <c r="Q1044" s="13" t="str">
        <f t="shared" si="66"/>
        <v/>
      </c>
      <c r="R1044" s="13" t="str">
        <f t="shared" si="67"/>
        <v>Non diskon</v>
      </c>
    </row>
    <row r="1045" spans="1:18" x14ac:dyDescent="0.25">
      <c r="A1045" s="13" t="s">
        <v>1057</v>
      </c>
      <c r="B1045" s="13" t="s">
        <v>2192</v>
      </c>
      <c r="C1045" s="13" t="s">
        <v>2200</v>
      </c>
      <c r="D1045" s="13" t="s">
        <v>2204</v>
      </c>
      <c r="F1045" s="13" t="s">
        <v>2222</v>
      </c>
      <c r="G1045" s="13">
        <v>67.67</v>
      </c>
      <c r="H1045" s="13">
        <v>0</v>
      </c>
      <c r="I1045" s="13">
        <v>67.67</v>
      </c>
      <c r="J1045" s="24">
        <v>45560</v>
      </c>
      <c r="K1045" s="13">
        <v>7</v>
      </c>
      <c r="L1045" s="44">
        <v>3.3</v>
      </c>
      <c r="M1045" s="13" t="b">
        <v>0</v>
      </c>
      <c r="O1045" s="25">
        <f t="shared" si="64"/>
        <v>342</v>
      </c>
      <c r="P1045" s="13">
        <f t="shared" si="65"/>
        <v>0</v>
      </c>
      <c r="Q1045" s="13" t="str">
        <f t="shared" si="66"/>
        <v/>
      </c>
      <c r="R1045" s="13" t="str">
        <f t="shared" si="67"/>
        <v>Non diskon</v>
      </c>
    </row>
    <row r="1046" spans="1:18" x14ac:dyDescent="0.25">
      <c r="A1046" s="13" t="s">
        <v>1058</v>
      </c>
      <c r="B1046" s="13" t="s">
        <v>2194</v>
      </c>
      <c r="C1046" s="13" t="s">
        <v>2198</v>
      </c>
      <c r="D1046" s="13" t="s">
        <v>2207</v>
      </c>
      <c r="E1046" s="13" t="s">
        <v>2210</v>
      </c>
      <c r="F1046" s="13" t="s">
        <v>2216</v>
      </c>
      <c r="G1046" s="13">
        <v>93.94</v>
      </c>
      <c r="H1046" s="13">
        <v>56.3</v>
      </c>
      <c r="I1046" s="13">
        <v>41.05</v>
      </c>
      <c r="J1046" s="24">
        <v>45875</v>
      </c>
      <c r="K1046" s="13">
        <v>36</v>
      </c>
      <c r="L1046" s="44">
        <v>1.1000000000000001</v>
      </c>
      <c r="M1046" s="13" t="b">
        <v>0</v>
      </c>
      <c r="O1046" s="25">
        <f t="shared" si="64"/>
        <v>27</v>
      </c>
      <c r="P1046" s="13">
        <f t="shared" si="65"/>
        <v>2026.8</v>
      </c>
      <c r="Q1046" s="13" t="str">
        <f t="shared" si="66"/>
        <v/>
      </c>
      <c r="R1046" s="13" t="str">
        <f t="shared" si="67"/>
        <v>Diskon</v>
      </c>
    </row>
    <row r="1047" spans="1:18" x14ac:dyDescent="0.25">
      <c r="A1047" s="13" t="s">
        <v>1059</v>
      </c>
      <c r="B1047" s="13" t="s">
        <v>2191</v>
      </c>
      <c r="C1047" s="13" t="s">
        <v>2198</v>
      </c>
      <c r="D1047" s="13" t="s">
        <v>2206</v>
      </c>
      <c r="E1047" s="13" t="s">
        <v>2212</v>
      </c>
      <c r="F1047" s="13" t="s">
        <v>2216</v>
      </c>
      <c r="G1047" s="13">
        <v>34.56</v>
      </c>
      <c r="H1047" s="13">
        <v>11.2</v>
      </c>
      <c r="I1047" s="13">
        <v>30.69</v>
      </c>
      <c r="J1047" s="24">
        <v>45875</v>
      </c>
      <c r="K1047" s="13">
        <v>46</v>
      </c>
      <c r="L1047" s="44">
        <v>3.4</v>
      </c>
      <c r="M1047" s="13" t="b">
        <v>0</v>
      </c>
      <c r="O1047" s="25">
        <f t="shared" si="64"/>
        <v>27</v>
      </c>
      <c r="P1047" s="13">
        <f t="shared" si="65"/>
        <v>515.19999999999993</v>
      </c>
      <c r="Q1047" s="13" t="str">
        <f t="shared" si="66"/>
        <v/>
      </c>
      <c r="R1047" s="13" t="str">
        <f t="shared" si="67"/>
        <v>Diskon</v>
      </c>
    </row>
    <row r="1048" spans="1:18" x14ac:dyDescent="0.25">
      <c r="A1048" s="13" t="s">
        <v>1060</v>
      </c>
      <c r="B1048" s="13" t="s">
        <v>2190</v>
      </c>
      <c r="C1048" s="13" t="s">
        <v>2201</v>
      </c>
      <c r="D1048" s="13" t="s">
        <v>2207</v>
      </c>
      <c r="E1048" s="13" t="s">
        <v>2213</v>
      </c>
      <c r="F1048" s="13" t="s">
        <v>2216</v>
      </c>
      <c r="G1048" s="13">
        <v>235.33</v>
      </c>
      <c r="H1048" s="13">
        <v>0</v>
      </c>
      <c r="I1048" s="13">
        <v>235.33</v>
      </c>
      <c r="J1048" s="24">
        <v>45875</v>
      </c>
      <c r="K1048" s="13">
        <v>11</v>
      </c>
      <c r="L1048" s="44">
        <v>4.7</v>
      </c>
      <c r="M1048" s="13" t="b">
        <v>1</v>
      </c>
      <c r="N1048" s="13" t="s">
        <v>2226</v>
      </c>
      <c r="O1048" s="25">
        <f t="shared" si="64"/>
        <v>27</v>
      </c>
      <c r="P1048" s="13">
        <f t="shared" si="65"/>
        <v>0</v>
      </c>
      <c r="Q1048" s="13">
        <f t="shared" si="66"/>
        <v>1</v>
      </c>
      <c r="R1048" s="13" t="str">
        <f t="shared" si="67"/>
        <v>Non diskon</v>
      </c>
    </row>
    <row r="1049" spans="1:18" x14ac:dyDescent="0.25">
      <c r="A1049" s="13" t="s">
        <v>1061</v>
      </c>
      <c r="B1049" s="13" t="s">
        <v>2191</v>
      </c>
      <c r="C1049" s="13" t="s">
        <v>2197</v>
      </c>
      <c r="D1049" s="13" t="s">
        <v>2204</v>
      </c>
      <c r="E1049" s="13" t="s">
        <v>2212</v>
      </c>
      <c r="F1049" s="13" t="s">
        <v>2214</v>
      </c>
      <c r="G1049" s="13">
        <v>25.45</v>
      </c>
      <c r="H1049" s="13">
        <v>0</v>
      </c>
      <c r="I1049" s="13">
        <v>25.45</v>
      </c>
      <c r="J1049" s="24">
        <v>45514</v>
      </c>
      <c r="K1049" s="13">
        <v>29</v>
      </c>
      <c r="L1049" s="44">
        <v>3.7</v>
      </c>
      <c r="M1049" s="13" t="b">
        <v>0</v>
      </c>
      <c r="O1049" s="25">
        <f t="shared" si="64"/>
        <v>388</v>
      </c>
      <c r="P1049" s="13">
        <f t="shared" si="65"/>
        <v>0</v>
      </c>
      <c r="Q1049" s="13" t="str">
        <f t="shared" si="66"/>
        <v/>
      </c>
      <c r="R1049" s="13" t="str">
        <f t="shared" si="67"/>
        <v>Non diskon</v>
      </c>
    </row>
    <row r="1050" spans="1:18" x14ac:dyDescent="0.25">
      <c r="A1050" s="13" t="s">
        <v>1062</v>
      </c>
      <c r="B1050" s="13" t="s">
        <v>2191</v>
      </c>
      <c r="C1050" s="13" t="s">
        <v>2202</v>
      </c>
      <c r="D1050" s="13" t="s">
        <v>2205</v>
      </c>
      <c r="E1050" s="13" t="s">
        <v>2208</v>
      </c>
      <c r="F1050" s="13" t="s">
        <v>2218</v>
      </c>
      <c r="G1050" s="13">
        <v>71.44</v>
      </c>
      <c r="H1050" s="13">
        <v>0</v>
      </c>
      <c r="I1050" s="13">
        <v>71.44</v>
      </c>
      <c r="J1050" s="24">
        <v>45875</v>
      </c>
      <c r="K1050" s="13">
        <v>18</v>
      </c>
      <c r="L1050" s="44">
        <v>4.3</v>
      </c>
      <c r="M1050" s="13" t="b">
        <v>0</v>
      </c>
      <c r="O1050" s="25">
        <f t="shared" si="64"/>
        <v>27</v>
      </c>
      <c r="P1050" s="13">
        <f t="shared" si="65"/>
        <v>0</v>
      </c>
      <c r="Q1050" s="13" t="str">
        <f t="shared" si="66"/>
        <v/>
      </c>
      <c r="R1050" s="13" t="str">
        <f t="shared" si="67"/>
        <v>Non diskon</v>
      </c>
    </row>
    <row r="1051" spans="1:18" x14ac:dyDescent="0.25">
      <c r="A1051" s="13" t="s">
        <v>1063</v>
      </c>
      <c r="B1051" s="13" t="s">
        <v>2195</v>
      </c>
      <c r="C1051" s="13" t="s">
        <v>2198</v>
      </c>
      <c r="D1051" s="13" t="s">
        <v>2207</v>
      </c>
      <c r="E1051" s="13" t="s">
        <v>2208</v>
      </c>
      <c r="F1051" s="13" t="s">
        <v>2217</v>
      </c>
      <c r="G1051" s="13">
        <v>98.33</v>
      </c>
      <c r="H1051" s="13">
        <v>0</v>
      </c>
      <c r="I1051" s="13">
        <v>98.33</v>
      </c>
      <c r="J1051" s="24">
        <v>45875</v>
      </c>
      <c r="K1051" s="13">
        <v>46</v>
      </c>
      <c r="L1051" s="44">
        <v>3.7</v>
      </c>
      <c r="M1051" s="13" t="b">
        <v>0</v>
      </c>
      <c r="O1051" s="25">
        <f t="shared" si="64"/>
        <v>27</v>
      </c>
      <c r="P1051" s="13">
        <f t="shared" si="65"/>
        <v>0</v>
      </c>
      <c r="Q1051" s="13" t="str">
        <f t="shared" si="66"/>
        <v/>
      </c>
      <c r="R1051" s="13" t="str">
        <f t="shared" si="67"/>
        <v>Non diskon</v>
      </c>
    </row>
    <row r="1052" spans="1:18" x14ac:dyDescent="0.25">
      <c r="A1052" s="13" t="s">
        <v>1064</v>
      </c>
      <c r="B1052" s="13" t="s">
        <v>2195</v>
      </c>
      <c r="C1052" s="13" t="s">
        <v>2203</v>
      </c>
      <c r="D1052" s="13" t="s">
        <v>2204</v>
      </c>
      <c r="E1052" s="13" t="s">
        <v>2210</v>
      </c>
      <c r="F1052" s="13" t="s">
        <v>2219</v>
      </c>
      <c r="G1052" s="13">
        <v>171.1</v>
      </c>
      <c r="H1052" s="13">
        <v>0</v>
      </c>
      <c r="I1052" s="13">
        <v>171.1</v>
      </c>
      <c r="J1052" s="24">
        <v>45861</v>
      </c>
      <c r="K1052" s="13">
        <v>34</v>
      </c>
      <c r="L1052" s="44">
        <v>2.9636363636363638</v>
      </c>
      <c r="M1052" s="13" t="b">
        <v>0</v>
      </c>
      <c r="O1052" s="25">
        <f t="shared" si="64"/>
        <v>41</v>
      </c>
      <c r="P1052" s="13">
        <f t="shared" si="65"/>
        <v>0</v>
      </c>
      <c r="Q1052" s="13" t="str">
        <f t="shared" si="66"/>
        <v/>
      </c>
      <c r="R1052" s="13" t="str">
        <f t="shared" si="67"/>
        <v>Non diskon</v>
      </c>
    </row>
    <row r="1053" spans="1:18" x14ac:dyDescent="0.25">
      <c r="A1053" s="13" t="s">
        <v>1065</v>
      </c>
      <c r="B1053" s="13" t="s">
        <v>2195</v>
      </c>
      <c r="C1053" s="13" t="s">
        <v>2203</v>
      </c>
      <c r="D1053" s="13" t="s">
        <v>2205</v>
      </c>
      <c r="E1053" s="13" t="s">
        <v>2212</v>
      </c>
      <c r="F1053" s="13" t="s">
        <v>2217</v>
      </c>
      <c r="G1053" s="13">
        <v>155.57</v>
      </c>
      <c r="H1053" s="13">
        <v>0</v>
      </c>
      <c r="I1053" s="13">
        <v>155.57</v>
      </c>
      <c r="J1053" s="24">
        <v>45875</v>
      </c>
      <c r="K1053" s="13">
        <v>48</v>
      </c>
      <c r="L1053" s="44">
        <v>3.8</v>
      </c>
      <c r="M1053" s="13" t="b">
        <v>0</v>
      </c>
      <c r="O1053" s="25">
        <f t="shared" si="64"/>
        <v>27</v>
      </c>
      <c r="P1053" s="13">
        <f t="shared" si="65"/>
        <v>0</v>
      </c>
      <c r="Q1053" s="13" t="str">
        <f t="shared" si="66"/>
        <v/>
      </c>
      <c r="R1053" s="13" t="str">
        <f t="shared" si="67"/>
        <v>Non diskon</v>
      </c>
    </row>
    <row r="1054" spans="1:18" x14ac:dyDescent="0.25">
      <c r="A1054" s="13" t="s">
        <v>1066</v>
      </c>
      <c r="B1054" s="13" t="s">
        <v>2190</v>
      </c>
      <c r="C1054" s="13" t="s">
        <v>2199</v>
      </c>
      <c r="D1054" s="13" t="s">
        <v>2206</v>
      </c>
      <c r="E1054" s="13" t="s">
        <v>2209</v>
      </c>
      <c r="F1054" s="13" t="s">
        <v>2220</v>
      </c>
      <c r="G1054" s="13">
        <v>198.44</v>
      </c>
      <c r="H1054" s="13">
        <v>0</v>
      </c>
      <c r="I1054" s="13">
        <v>198.44</v>
      </c>
      <c r="J1054" s="24">
        <v>45875</v>
      </c>
      <c r="K1054" s="13">
        <v>40</v>
      </c>
      <c r="L1054" s="44">
        <v>2.2000000000000002</v>
      </c>
      <c r="M1054" s="13" t="b">
        <v>0</v>
      </c>
      <c r="O1054" s="25">
        <f t="shared" si="64"/>
        <v>27</v>
      </c>
      <c r="P1054" s="13">
        <f t="shared" si="65"/>
        <v>0</v>
      </c>
      <c r="Q1054" s="13" t="str">
        <f t="shared" si="66"/>
        <v/>
      </c>
      <c r="R1054" s="13" t="str">
        <f t="shared" si="67"/>
        <v>Non diskon</v>
      </c>
    </row>
    <row r="1055" spans="1:18" x14ac:dyDescent="0.25">
      <c r="A1055" s="13" t="s">
        <v>1067</v>
      </c>
      <c r="B1055" s="13" t="s">
        <v>2193</v>
      </c>
      <c r="C1055" s="13" t="s">
        <v>2201</v>
      </c>
      <c r="D1055" s="13" t="s">
        <v>2204</v>
      </c>
      <c r="E1055" s="13" t="s">
        <v>2213</v>
      </c>
      <c r="F1055" s="13" t="s">
        <v>2216</v>
      </c>
      <c r="G1055" s="13">
        <v>175.85</v>
      </c>
      <c r="H1055" s="13">
        <v>18.100000000000001</v>
      </c>
      <c r="I1055" s="13">
        <v>144.02000000000001</v>
      </c>
      <c r="J1055" s="24">
        <v>45686</v>
      </c>
      <c r="K1055" s="13">
        <v>4</v>
      </c>
      <c r="L1055" s="44">
        <v>4</v>
      </c>
      <c r="M1055" s="13" t="b">
        <v>0</v>
      </c>
      <c r="O1055" s="25">
        <f t="shared" si="64"/>
        <v>216</v>
      </c>
      <c r="P1055" s="13">
        <f t="shared" si="65"/>
        <v>72.400000000000006</v>
      </c>
      <c r="Q1055" s="13" t="str">
        <f t="shared" si="66"/>
        <v/>
      </c>
      <c r="R1055" s="13" t="str">
        <f t="shared" si="67"/>
        <v>Diskon</v>
      </c>
    </row>
    <row r="1056" spans="1:18" x14ac:dyDescent="0.25">
      <c r="A1056" s="13" t="s">
        <v>1068</v>
      </c>
      <c r="B1056" s="13" t="s">
        <v>2190</v>
      </c>
      <c r="C1056" s="13" t="s">
        <v>2203</v>
      </c>
      <c r="D1056" s="13" t="s">
        <v>2207</v>
      </c>
      <c r="E1056" s="13" t="s">
        <v>2213</v>
      </c>
      <c r="F1056" s="13" t="s">
        <v>2215</v>
      </c>
      <c r="G1056" s="13">
        <v>100.23</v>
      </c>
      <c r="H1056" s="13">
        <v>0</v>
      </c>
      <c r="I1056" s="13">
        <v>100.23</v>
      </c>
      <c r="J1056" s="24">
        <v>45875</v>
      </c>
      <c r="K1056" s="13">
        <v>12</v>
      </c>
      <c r="L1056" s="44">
        <v>3.5</v>
      </c>
      <c r="M1056" s="13" t="b">
        <v>0</v>
      </c>
      <c r="O1056" s="25">
        <f t="shared" si="64"/>
        <v>27</v>
      </c>
      <c r="P1056" s="13">
        <f t="shared" si="65"/>
        <v>0</v>
      </c>
      <c r="Q1056" s="13" t="str">
        <f t="shared" si="66"/>
        <v/>
      </c>
      <c r="R1056" s="13" t="str">
        <f t="shared" si="67"/>
        <v>Non diskon</v>
      </c>
    </row>
    <row r="1057" spans="1:18" x14ac:dyDescent="0.25">
      <c r="A1057" s="13" t="s">
        <v>1069</v>
      </c>
      <c r="B1057" s="13" t="s">
        <v>2190</v>
      </c>
      <c r="C1057" s="13" t="s">
        <v>2196</v>
      </c>
      <c r="D1057" s="13" t="s">
        <v>2205</v>
      </c>
      <c r="E1057" s="13" t="s">
        <v>2211</v>
      </c>
      <c r="F1057" s="13" t="s">
        <v>2221</v>
      </c>
      <c r="G1057" s="13">
        <v>88.94</v>
      </c>
      <c r="H1057" s="13">
        <v>0</v>
      </c>
      <c r="I1057" s="13">
        <v>88.94</v>
      </c>
      <c r="J1057" s="24">
        <v>45875</v>
      </c>
      <c r="K1057" s="13">
        <v>36</v>
      </c>
      <c r="L1057" s="44">
        <v>2.7030303030303036</v>
      </c>
      <c r="M1057" s="13" t="b">
        <v>0</v>
      </c>
      <c r="O1057" s="25">
        <f t="shared" si="64"/>
        <v>27</v>
      </c>
      <c r="P1057" s="13">
        <f t="shared" si="65"/>
        <v>0</v>
      </c>
      <c r="Q1057" s="13" t="str">
        <f t="shared" si="66"/>
        <v/>
      </c>
      <c r="R1057" s="13" t="str">
        <f t="shared" si="67"/>
        <v>Non diskon</v>
      </c>
    </row>
    <row r="1058" spans="1:18" x14ac:dyDescent="0.25">
      <c r="A1058" s="13" t="s">
        <v>1070</v>
      </c>
      <c r="B1058" s="13" t="s">
        <v>2190</v>
      </c>
      <c r="C1058" s="13" t="s">
        <v>2200</v>
      </c>
      <c r="D1058" s="13" t="s">
        <v>2206</v>
      </c>
      <c r="E1058" s="13" t="s">
        <v>2211</v>
      </c>
      <c r="F1058" s="13" t="s">
        <v>2222</v>
      </c>
      <c r="G1058" s="13">
        <v>205.91</v>
      </c>
      <c r="H1058" s="13">
        <v>0</v>
      </c>
      <c r="I1058" s="13">
        <v>205.91</v>
      </c>
      <c r="J1058" s="24">
        <v>45875</v>
      </c>
      <c r="K1058" s="13">
        <v>3</v>
      </c>
      <c r="L1058" s="44">
        <v>4.8</v>
      </c>
      <c r="M1058" s="13" t="b">
        <v>0</v>
      </c>
      <c r="O1058" s="25">
        <f t="shared" si="64"/>
        <v>27</v>
      </c>
      <c r="P1058" s="13">
        <f t="shared" si="65"/>
        <v>0</v>
      </c>
      <c r="Q1058" s="13" t="str">
        <f t="shared" si="66"/>
        <v/>
      </c>
      <c r="R1058" s="13" t="str">
        <f t="shared" si="67"/>
        <v>Non diskon</v>
      </c>
    </row>
    <row r="1059" spans="1:18" x14ac:dyDescent="0.25">
      <c r="A1059" s="13" t="s">
        <v>1071</v>
      </c>
      <c r="B1059" s="13" t="s">
        <v>2192</v>
      </c>
      <c r="C1059" s="13" t="s">
        <v>2197</v>
      </c>
      <c r="D1059" s="13" t="s">
        <v>2206</v>
      </c>
      <c r="F1059" s="13" t="s">
        <v>2215</v>
      </c>
      <c r="G1059" s="13">
        <v>29.06</v>
      </c>
      <c r="H1059" s="13">
        <v>1.1000000000000001</v>
      </c>
      <c r="I1059" s="13">
        <v>28.74</v>
      </c>
      <c r="J1059" s="24">
        <v>45875</v>
      </c>
      <c r="K1059" s="13">
        <v>12</v>
      </c>
      <c r="L1059" s="44">
        <v>1.1000000000000001</v>
      </c>
      <c r="M1059" s="13" t="b">
        <v>1</v>
      </c>
      <c r="N1059" s="13" t="s">
        <v>2225</v>
      </c>
      <c r="O1059" s="25">
        <f t="shared" si="64"/>
        <v>27</v>
      </c>
      <c r="P1059" s="13">
        <f t="shared" si="65"/>
        <v>13.200000000000001</v>
      </c>
      <c r="Q1059" s="13">
        <f t="shared" si="66"/>
        <v>1</v>
      </c>
      <c r="R1059" s="13" t="str">
        <f t="shared" si="67"/>
        <v>Diskon</v>
      </c>
    </row>
    <row r="1060" spans="1:18" x14ac:dyDescent="0.25">
      <c r="A1060" s="13" t="s">
        <v>1072</v>
      </c>
      <c r="B1060" s="13" t="s">
        <v>2192</v>
      </c>
      <c r="C1060" s="13" t="s">
        <v>2202</v>
      </c>
      <c r="D1060" s="13" t="s">
        <v>2207</v>
      </c>
      <c r="F1060" s="13" t="s">
        <v>2224</v>
      </c>
      <c r="G1060" s="13">
        <v>68.56</v>
      </c>
      <c r="H1060" s="13">
        <v>0</v>
      </c>
      <c r="I1060" s="13">
        <v>68.56</v>
      </c>
      <c r="J1060" s="24">
        <v>45875</v>
      </c>
      <c r="K1060" s="13">
        <v>2</v>
      </c>
      <c r="L1060" s="44">
        <v>2.4</v>
      </c>
      <c r="M1060" s="13" t="b">
        <v>0</v>
      </c>
      <c r="O1060" s="25">
        <f t="shared" si="64"/>
        <v>27</v>
      </c>
      <c r="P1060" s="13">
        <f t="shared" si="65"/>
        <v>0</v>
      </c>
      <c r="Q1060" s="13" t="str">
        <f t="shared" si="66"/>
        <v/>
      </c>
      <c r="R1060" s="13" t="str">
        <f t="shared" si="67"/>
        <v>Non diskon</v>
      </c>
    </row>
    <row r="1061" spans="1:18" x14ac:dyDescent="0.25">
      <c r="A1061" s="13" t="s">
        <v>1073</v>
      </c>
      <c r="B1061" s="13" t="s">
        <v>2191</v>
      </c>
      <c r="C1061" s="13" t="s">
        <v>2203</v>
      </c>
      <c r="D1061" s="13" t="s">
        <v>2207</v>
      </c>
      <c r="E1061" s="13" t="s">
        <v>2209</v>
      </c>
      <c r="F1061" s="13" t="s">
        <v>2223</v>
      </c>
      <c r="G1061" s="13">
        <v>91.6</v>
      </c>
      <c r="H1061" s="13">
        <v>59.5</v>
      </c>
      <c r="I1061" s="13">
        <v>37.1</v>
      </c>
      <c r="J1061" s="24">
        <v>45875</v>
      </c>
      <c r="K1061" s="13">
        <v>2</v>
      </c>
      <c r="L1061" s="44">
        <v>4.3</v>
      </c>
      <c r="M1061" s="13" t="b">
        <v>0</v>
      </c>
      <c r="O1061" s="25">
        <f t="shared" si="64"/>
        <v>27</v>
      </c>
      <c r="P1061" s="13">
        <f t="shared" si="65"/>
        <v>119</v>
      </c>
      <c r="Q1061" s="13" t="str">
        <f t="shared" si="66"/>
        <v/>
      </c>
      <c r="R1061" s="13" t="str">
        <f t="shared" si="67"/>
        <v>Diskon</v>
      </c>
    </row>
    <row r="1062" spans="1:18" x14ac:dyDescent="0.25">
      <c r="A1062" s="13" t="s">
        <v>1074</v>
      </c>
      <c r="B1062" s="13" t="s">
        <v>2195</v>
      </c>
      <c r="C1062" s="13" t="s">
        <v>2200</v>
      </c>
      <c r="D1062" s="13" t="s">
        <v>2207</v>
      </c>
      <c r="E1062" s="13" t="s">
        <v>2212</v>
      </c>
      <c r="F1062" s="13" t="s">
        <v>2216</v>
      </c>
      <c r="G1062" s="13">
        <v>96.57</v>
      </c>
      <c r="H1062" s="13">
        <v>0</v>
      </c>
      <c r="I1062" s="13">
        <v>96.57</v>
      </c>
      <c r="J1062" s="24">
        <v>45875</v>
      </c>
      <c r="K1062" s="13">
        <v>6</v>
      </c>
      <c r="L1062" s="44">
        <v>1.9</v>
      </c>
      <c r="M1062" s="13" t="b">
        <v>0</v>
      </c>
      <c r="O1062" s="25">
        <f t="shared" si="64"/>
        <v>27</v>
      </c>
      <c r="P1062" s="13">
        <f t="shared" si="65"/>
        <v>0</v>
      </c>
      <c r="Q1062" s="13" t="str">
        <f t="shared" si="66"/>
        <v/>
      </c>
      <c r="R1062" s="13" t="str">
        <f t="shared" si="67"/>
        <v>Non diskon</v>
      </c>
    </row>
    <row r="1063" spans="1:18" x14ac:dyDescent="0.25">
      <c r="A1063" s="13" t="s">
        <v>1075</v>
      </c>
      <c r="B1063" s="13" t="s">
        <v>2194</v>
      </c>
      <c r="C1063" s="13" t="s">
        <v>2200</v>
      </c>
      <c r="D1063" s="13" t="s">
        <v>2205</v>
      </c>
      <c r="E1063" s="13" t="s">
        <v>2210</v>
      </c>
      <c r="F1063" s="13" t="s">
        <v>2215</v>
      </c>
      <c r="G1063" s="13">
        <v>35.630000000000003</v>
      </c>
      <c r="H1063" s="13">
        <v>57.9</v>
      </c>
      <c r="I1063" s="13">
        <v>15</v>
      </c>
      <c r="J1063" s="24">
        <v>45875</v>
      </c>
      <c r="K1063" s="13">
        <v>11</v>
      </c>
      <c r="L1063" s="44">
        <v>1.8</v>
      </c>
      <c r="M1063" s="13" t="b">
        <v>0</v>
      </c>
      <c r="O1063" s="25">
        <f t="shared" si="64"/>
        <v>27</v>
      </c>
      <c r="P1063" s="13">
        <f t="shared" si="65"/>
        <v>636.9</v>
      </c>
      <c r="Q1063" s="13" t="str">
        <f t="shared" si="66"/>
        <v/>
      </c>
      <c r="R1063" s="13" t="str">
        <f t="shared" si="67"/>
        <v>Diskon</v>
      </c>
    </row>
    <row r="1064" spans="1:18" x14ac:dyDescent="0.25">
      <c r="A1064" s="13" t="s">
        <v>1076</v>
      </c>
      <c r="B1064" s="13" t="s">
        <v>2193</v>
      </c>
      <c r="C1064" s="13" t="s">
        <v>2197</v>
      </c>
      <c r="D1064" s="13" t="s">
        <v>2205</v>
      </c>
      <c r="E1064" s="13" t="s">
        <v>2212</v>
      </c>
      <c r="F1064" s="13" t="s">
        <v>2220</v>
      </c>
      <c r="G1064" s="13">
        <v>118.98</v>
      </c>
      <c r="H1064" s="13">
        <v>38.1</v>
      </c>
      <c r="I1064" s="13">
        <v>73.650000000000006</v>
      </c>
      <c r="J1064" s="24">
        <v>45875</v>
      </c>
      <c r="K1064" s="13">
        <v>36</v>
      </c>
      <c r="L1064" s="44">
        <v>1.1000000000000001</v>
      </c>
      <c r="M1064" s="13" t="b">
        <v>1</v>
      </c>
      <c r="N1064" s="13" t="s">
        <v>2225</v>
      </c>
      <c r="O1064" s="25">
        <f t="shared" si="64"/>
        <v>27</v>
      </c>
      <c r="P1064" s="13">
        <f t="shared" si="65"/>
        <v>1371.6000000000001</v>
      </c>
      <c r="Q1064" s="13">
        <f t="shared" si="66"/>
        <v>1</v>
      </c>
      <c r="R1064" s="13" t="str">
        <f t="shared" si="67"/>
        <v>Diskon</v>
      </c>
    </row>
    <row r="1065" spans="1:18" x14ac:dyDescent="0.25">
      <c r="A1065" s="13" t="s">
        <v>1077</v>
      </c>
      <c r="B1065" s="13" t="s">
        <v>2193</v>
      </c>
      <c r="C1065" s="13" t="s">
        <v>2200</v>
      </c>
      <c r="D1065" s="13" t="s">
        <v>2204</v>
      </c>
      <c r="E1065" s="13" t="s">
        <v>2208</v>
      </c>
      <c r="F1065" s="13" t="s">
        <v>2214</v>
      </c>
      <c r="G1065" s="13">
        <v>62.62</v>
      </c>
      <c r="H1065" s="13">
        <v>10.1</v>
      </c>
      <c r="I1065" s="13">
        <v>56.3</v>
      </c>
      <c r="J1065" s="24">
        <v>45762</v>
      </c>
      <c r="K1065" s="13">
        <v>32</v>
      </c>
      <c r="L1065" s="44">
        <v>2.9</v>
      </c>
      <c r="M1065" s="13" t="b">
        <v>0</v>
      </c>
      <c r="O1065" s="25">
        <f t="shared" si="64"/>
        <v>140</v>
      </c>
      <c r="P1065" s="13">
        <f t="shared" si="65"/>
        <v>323.2</v>
      </c>
      <c r="Q1065" s="13" t="str">
        <f t="shared" si="66"/>
        <v/>
      </c>
      <c r="R1065" s="13" t="str">
        <f t="shared" si="67"/>
        <v>Diskon</v>
      </c>
    </row>
    <row r="1066" spans="1:18" x14ac:dyDescent="0.25">
      <c r="A1066" s="13" t="s">
        <v>1078</v>
      </c>
      <c r="B1066" s="13" t="s">
        <v>2193</v>
      </c>
      <c r="C1066" s="13" t="s">
        <v>2203</v>
      </c>
      <c r="D1066" s="13" t="s">
        <v>2207</v>
      </c>
      <c r="E1066" s="13" t="s">
        <v>2213</v>
      </c>
      <c r="F1066" s="13" t="s">
        <v>2224</v>
      </c>
      <c r="G1066" s="13">
        <v>153.34</v>
      </c>
      <c r="H1066" s="13">
        <v>55.5</v>
      </c>
      <c r="I1066" s="13">
        <v>68.239999999999995</v>
      </c>
      <c r="J1066" s="24">
        <v>45875</v>
      </c>
      <c r="K1066" s="13">
        <v>46</v>
      </c>
      <c r="L1066" s="44">
        <v>4.2</v>
      </c>
      <c r="M1066" s="13" t="b">
        <v>1</v>
      </c>
      <c r="N1066" s="13" t="s">
        <v>2230</v>
      </c>
      <c r="O1066" s="25">
        <f t="shared" si="64"/>
        <v>27</v>
      </c>
      <c r="P1066" s="13">
        <f t="shared" si="65"/>
        <v>2553</v>
      </c>
      <c r="Q1066" s="13">
        <f t="shared" si="66"/>
        <v>1</v>
      </c>
      <c r="R1066" s="13" t="str">
        <f t="shared" si="67"/>
        <v>Diskon</v>
      </c>
    </row>
    <row r="1067" spans="1:18" x14ac:dyDescent="0.25">
      <c r="A1067" s="13" t="s">
        <v>1079</v>
      </c>
      <c r="B1067" s="13" t="s">
        <v>2191</v>
      </c>
      <c r="C1067" s="13" t="s">
        <v>2201</v>
      </c>
      <c r="D1067" s="13" t="s">
        <v>2207</v>
      </c>
      <c r="E1067" s="13" t="s">
        <v>2209</v>
      </c>
      <c r="F1067" s="13" t="s">
        <v>2220</v>
      </c>
      <c r="G1067" s="13">
        <v>71.66</v>
      </c>
      <c r="H1067" s="13">
        <v>49.7</v>
      </c>
      <c r="I1067" s="13">
        <v>36.04</v>
      </c>
      <c r="J1067" s="24">
        <v>45875</v>
      </c>
      <c r="K1067" s="13">
        <v>33</v>
      </c>
      <c r="L1067" s="44">
        <v>2.9846153846153847</v>
      </c>
      <c r="M1067" s="13" t="b">
        <v>1</v>
      </c>
      <c r="N1067" s="13" t="s">
        <v>2225</v>
      </c>
      <c r="O1067" s="25">
        <f t="shared" si="64"/>
        <v>27</v>
      </c>
      <c r="P1067" s="13">
        <f t="shared" si="65"/>
        <v>1640.1000000000001</v>
      </c>
      <c r="Q1067" s="13">
        <f t="shared" si="66"/>
        <v>1</v>
      </c>
      <c r="R1067" s="13" t="str">
        <f t="shared" si="67"/>
        <v>Diskon</v>
      </c>
    </row>
    <row r="1068" spans="1:18" x14ac:dyDescent="0.25">
      <c r="A1068" s="13" t="s">
        <v>1080</v>
      </c>
      <c r="B1068" s="13" t="s">
        <v>2195</v>
      </c>
      <c r="C1068" s="13" t="s">
        <v>2201</v>
      </c>
      <c r="D1068" s="13" t="s">
        <v>2204</v>
      </c>
      <c r="E1068" s="13" t="s">
        <v>2210</v>
      </c>
      <c r="F1068" s="13" t="s">
        <v>2216</v>
      </c>
      <c r="G1068" s="13">
        <v>107.58</v>
      </c>
      <c r="H1068" s="13">
        <v>55.9</v>
      </c>
      <c r="I1068" s="13">
        <v>47.44</v>
      </c>
      <c r="J1068" s="24">
        <v>45703</v>
      </c>
      <c r="K1068" s="13">
        <v>19</v>
      </c>
      <c r="L1068" s="44">
        <v>4.4000000000000004</v>
      </c>
      <c r="M1068" s="13" t="b">
        <v>0</v>
      </c>
      <c r="O1068" s="25">
        <f t="shared" si="64"/>
        <v>199</v>
      </c>
      <c r="P1068" s="13">
        <f t="shared" si="65"/>
        <v>1062.0999999999999</v>
      </c>
      <c r="Q1068" s="13" t="str">
        <f t="shared" si="66"/>
        <v/>
      </c>
      <c r="R1068" s="13" t="str">
        <f t="shared" si="67"/>
        <v>Diskon</v>
      </c>
    </row>
    <row r="1069" spans="1:18" x14ac:dyDescent="0.25">
      <c r="A1069" s="13" t="s">
        <v>1081</v>
      </c>
      <c r="B1069" s="13" t="s">
        <v>2193</v>
      </c>
      <c r="C1069" s="13" t="s">
        <v>2196</v>
      </c>
      <c r="D1069" s="13" t="s">
        <v>2204</v>
      </c>
      <c r="E1069" s="13" t="s">
        <v>2208</v>
      </c>
      <c r="F1069" s="13" t="s">
        <v>2219</v>
      </c>
      <c r="G1069" s="13">
        <v>137.16</v>
      </c>
      <c r="H1069" s="13">
        <v>0</v>
      </c>
      <c r="I1069" s="13">
        <v>137.16</v>
      </c>
      <c r="J1069" s="24">
        <v>45749</v>
      </c>
      <c r="K1069" s="13">
        <v>34</v>
      </c>
      <c r="L1069" s="44">
        <v>4</v>
      </c>
      <c r="M1069" s="13" t="b">
        <v>0</v>
      </c>
      <c r="O1069" s="25">
        <f t="shared" si="64"/>
        <v>153</v>
      </c>
      <c r="P1069" s="13">
        <f t="shared" si="65"/>
        <v>0</v>
      </c>
      <c r="Q1069" s="13" t="str">
        <f t="shared" si="66"/>
        <v/>
      </c>
      <c r="R1069" s="13" t="str">
        <f t="shared" si="67"/>
        <v>Non diskon</v>
      </c>
    </row>
    <row r="1070" spans="1:18" x14ac:dyDescent="0.25">
      <c r="A1070" s="13" t="s">
        <v>1082</v>
      </c>
      <c r="B1070" s="13" t="s">
        <v>2191</v>
      </c>
      <c r="C1070" s="13" t="s">
        <v>2198</v>
      </c>
      <c r="D1070" s="13" t="s">
        <v>2205</v>
      </c>
      <c r="E1070" s="13" t="s">
        <v>2213</v>
      </c>
      <c r="F1070" s="13" t="s">
        <v>2217</v>
      </c>
      <c r="G1070" s="13">
        <v>119.29</v>
      </c>
      <c r="H1070" s="13">
        <v>0</v>
      </c>
      <c r="I1070" s="13">
        <v>119.29</v>
      </c>
      <c r="J1070" s="24">
        <v>45875</v>
      </c>
      <c r="K1070" s="13">
        <v>3</v>
      </c>
      <c r="L1070" s="44">
        <v>2.953125</v>
      </c>
      <c r="M1070" s="13" t="b">
        <v>0</v>
      </c>
      <c r="O1070" s="25">
        <f t="shared" si="64"/>
        <v>27</v>
      </c>
      <c r="P1070" s="13">
        <f t="shared" si="65"/>
        <v>0</v>
      </c>
      <c r="Q1070" s="13" t="str">
        <f t="shared" si="66"/>
        <v/>
      </c>
      <c r="R1070" s="13" t="str">
        <f t="shared" si="67"/>
        <v>Non diskon</v>
      </c>
    </row>
    <row r="1071" spans="1:18" x14ac:dyDescent="0.25">
      <c r="A1071" s="13" t="s">
        <v>1083</v>
      </c>
      <c r="B1071" s="13" t="s">
        <v>2191</v>
      </c>
      <c r="C1071" s="13" t="s">
        <v>2199</v>
      </c>
      <c r="D1071" s="13" t="s">
        <v>2204</v>
      </c>
      <c r="E1071" s="13" t="s">
        <v>2213</v>
      </c>
      <c r="F1071" s="13" t="s">
        <v>2222</v>
      </c>
      <c r="G1071" s="13">
        <v>104.09</v>
      </c>
      <c r="H1071" s="13">
        <v>0</v>
      </c>
      <c r="I1071" s="13">
        <v>104.09</v>
      </c>
      <c r="J1071" s="24">
        <v>45647</v>
      </c>
      <c r="K1071" s="13">
        <v>29</v>
      </c>
      <c r="L1071" s="44">
        <v>2.9742857142857138</v>
      </c>
      <c r="M1071" s="13" t="b">
        <v>0</v>
      </c>
      <c r="O1071" s="25">
        <f t="shared" si="64"/>
        <v>255</v>
      </c>
      <c r="P1071" s="13">
        <f t="shared" si="65"/>
        <v>0</v>
      </c>
      <c r="Q1071" s="13" t="str">
        <f t="shared" si="66"/>
        <v/>
      </c>
      <c r="R1071" s="13" t="str">
        <f t="shared" si="67"/>
        <v>Non diskon</v>
      </c>
    </row>
    <row r="1072" spans="1:18" x14ac:dyDescent="0.25">
      <c r="A1072" s="13" t="s">
        <v>1084</v>
      </c>
      <c r="B1072" s="13" t="s">
        <v>2195</v>
      </c>
      <c r="C1072" s="13" t="s">
        <v>2198</v>
      </c>
      <c r="D1072" s="13" t="s">
        <v>2206</v>
      </c>
      <c r="F1072" s="13" t="s">
        <v>2215</v>
      </c>
      <c r="G1072" s="13">
        <v>73.069999999999993</v>
      </c>
      <c r="H1072" s="13">
        <v>0</v>
      </c>
      <c r="I1072" s="13">
        <v>73.069999999999993</v>
      </c>
      <c r="J1072" s="24">
        <v>45875</v>
      </c>
      <c r="K1072" s="13">
        <v>5</v>
      </c>
      <c r="L1072" s="44">
        <v>4.2</v>
      </c>
      <c r="M1072" s="13" t="b">
        <v>0</v>
      </c>
      <c r="O1072" s="25">
        <f t="shared" si="64"/>
        <v>27</v>
      </c>
      <c r="P1072" s="13">
        <f t="shared" si="65"/>
        <v>0</v>
      </c>
      <c r="Q1072" s="13" t="str">
        <f t="shared" si="66"/>
        <v/>
      </c>
      <c r="R1072" s="13" t="str">
        <f t="shared" si="67"/>
        <v>Non diskon</v>
      </c>
    </row>
    <row r="1073" spans="1:18" x14ac:dyDescent="0.25">
      <c r="A1073" s="13" t="s">
        <v>1085</v>
      </c>
      <c r="B1073" s="13" t="s">
        <v>2194</v>
      </c>
      <c r="C1073" s="13" t="s">
        <v>2196</v>
      </c>
      <c r="D1073" s="13" t="s">
        <v>2206</v>
      </c>
      <c r="E1073" s="13" t="s">
        <v>2211</v>
      </c>
      <c r="F1073" s="13" t="s">
        <v>2220</v>
      </c>
      <c r="G1073" s="13">
        <v>76.94</v>
      </c>
      <c r="H1073" s="13">
        <v>7.6</v>
      </c>
      <c r="I1073" s="13">
        <v>71.09</v>
      </c>
      <c r="J1073" s="24">
        <v>45875</v>
      </c>
      <c r="K1073" s="13">
        <v>20</v>
      </c>
      <c r="L1073" s="44">
        <v>3.7</v>
      </c>
      <c r="M1073" s="13" t="b">
        <v>0</v>
      </c>
      <c r="O1073" s="25">
        <f t="shared" si="64"/>
        <v>27</v>
      </c>
      <c r="P1073" s="13">
        <f t="shared" si="65"/>
        <v>152</v>
      </c>
      <c r="Q1073" s="13" t="str">
        <f t="shared" si="66"/>
        <v/>
      </c>
      <c r="R1073" s="13" t="str">
        <f t="shared" si="67"/>
        <v>Diskon</v>
      </c>
    </row>
    <row r="1074" spans="1:18" x14ac:dyDescent="0.25">
      <c r="A1074" s="13" t="s">
        <v>1086</v>
      </c>
      <c r="B1074" s="13" t="s">
        <v>2194</v>
      </c>
      <c r="C1074" s="13" t="s">
        <v>2203</v>
      </c>
      <c r="D1074" s="13" t="s">
        <v>2205</v>
      </c>
      <c r="E1074" s="13" t="s">
        <v>2208</v>
      </c>
      <c r="F1074" s="13" t="s">
        <v>2221</v>
      </c>
      <c r="G1074" s="13">
        <v>119.92</v>
      </c>
      <c r="H1074" s="13">
        <v>0</v>
      </c>
      <c r="I1074" s="13">
        <v>119.92</v>
      </c>
      <c r="J1074" s="24">
        <v>45875</v>
      </c>
      <c r="K1074" s="13">
        <v>37</v>
      </c>
      <c r="L1074" s="44">
        <v>5</v>
      </c>
      <c r="M1074" s="13" t="b">
        <v>0</v>
      </c>
      <c r="O1074" s="25">
        <f t="shared" si="64"/>
        <v>27</v>
      </c>
      <c r="P1074" s="13">
        <f t="shared" si="65"/>
        <v>0</v>
      </c>
      <c r="Q1074" s="13" t="str">
        <f t="shared" si="66"/>
        <v/>
      </c>
      <c r="R1074" s="13" t="str">
        <f t="shared" si="67"/>
        <v>Non diskon</v>
      </c>
    </row>
    <row r="1075" spans="1:18" x14ac:dyDescent="0.25">
      <c r="A1075" s="13" t="s">
        <v>1087</v>
      </c>
      <c r="B1075" s="13" t="s">
        <v>2190</v>
      </c>
      <c r="C1075" s="13" t="s">
        <v>2201</v>
      </c>
      <c r="D1075" s="13" t="s">
        <v>2205</v>
      </c>
      <c r="E1075" s="13" t="s">
        <v>2212</v>
      </c>
      <c r="F1075" s="13" t="s">
        <v>2217</v>
      </c>
      <c r="G1075" s="13">
        <v>116.49</v>
      </c>
      <c r="H1075" s="13">
        <v>0</v>
      </c>
      <c r="I1075" s="13">
        <v>116.49</v>
      </c>
      <c r="J1075" s="24">
        <v>45875</v>
      </c>
      <c r="K1075" s="13">
        <v>17</v>
      </c>
      <c r="L1075" s="44">
        <v>3.3</v>
      </c>
      <c r="M1075" s="13" t="b">
        <v>1</v>
      </c>
      <c r="N1075" s="13" t="s">
        <v>2227</v>
      </c>
      <c r="O1075" s="25">
        <f t="shared" si="64"/>
        <v>27</v>
      </c>
      <c r="P1075" s="13">
        <f t="shared" si="65"/>
        <v>0</v>
      </c>
      <c r="Q1075" s="13">
        <f t="shared" si="66"/>
        <v>1</v>
      </c>
      <c r="R1075" s="13" t="str">
        <f t="shared" si="67"/>
        <v>Non diskon</v>
      </c>
    </row>
    <row r="1076" spans="1:18" x14ac:dyDescent="0.25">
      <c r="A1076" s="13" t="s">
        <v>1088</v>
      </c>
      <c r="B1076" s="13" t="s">
        <v>2193</v>
      </c>
      <c r="C1076" s="13" t="s">
        <v>2202</v>
      </c>
      <c r="D1076" s="13" t="s">
        <v>2206</v>
      </c>
      <c r="E1076" s="13" t="s">
        <v>2208</v>
      </c>
      <c r="F1076" s="13" t="s">
        <v>2215</v>
      </c>
      <c r="G1076" s="13">
        <v>179.59</v>
      </c>
      <c r="H1076" s="13">
        <v>14.7</v>
      </c>
      <c r="I1076" s="13">
        <v>153.19</v>
      </c>
      <c r="J1076" s="24">
        <v>45875</v>
      </c>
      <c r="K1076" s="13">
        <v>47</v>
      </c>
      <c r="L1076" s="44">
        <v>2.9</v>
      </c>
      <c r="M1076" s="13" t="b">
        <v>0</v>
      </c>
      <c r="O1076" s="25">
        <f t="shared" si="64"/>
        <v>27</v>
      </c>
      <c r="P1076" s="13">
        <f t="shared" si="65"/>
        <v>690.9</v>
      </c>
      <c r="Q1076" s="13" t="str">
        <f t="shared" si="66"/>
        <v/>
      </c>
      <c r="R1076" s="13" t="str">
        <f t="shared" si="67"/>
        <v>Diskon</v>
      </c>
    </row>
    <row r="1077" spans="1:18" x14ac:dyDescent="0.25">
      <c r="A1077" s="13" t="s">
        <v>1089</v>
      </c>
      <c r="B1077" s="13" t="s">
        <v>2192</v>
      </c>
      <c r="C1077" s="13" t="s">
        <v>2197</v>
      </c>
      <c r="D1077" s="13" t="s">
        <v>2205</v>
      </c>
      <c r="F1077" s="13" t="s">
        <v>2216</v>
      </c>
      <c r="G1077" s="13">
        <v>33.799999999999997</v>
      </c>
      <c r="H1077" s="13">
        <v>0</v>
      </c>
      <c r="I1077" s="13">
        <v>33.799999999999997</v>
      </c>
      <c r="J1077" s="24">
        <v>45875</v>
      </c>
      <c r="K1077" s="13">
        <v>34</v>
      </c>
      <c r="L1077" s="44">
        <v>4.8</v>
      </c>
      <c r="M1077" s="13" t="b">
        <v>0</v>
      </c>
      <c r="O1077" s="25">
        <f t="shared" si="64"/>
        <v>27</v>
      </c>
      <c r="P1077" s="13">
        <f t="shared" si="65"/>
        <v>0</v>
      </c>
      <c r="Q1077" s="13" t="str">
        <f t="shared" si="66"/>
        <v/>
      </c>
      <c r="R1077" s="13" t="str">
        <f t="shared" si="67"/>
        <v>Non diskon</v>
      </c>
    </row>
    <row r="1078" spans="1:18" x14ac:dyDescent="0.25">
      <c r="A1078" s="13" t="s">
        <v>1090</v>
      </c>
      <c r="B1078" s="13" t="s">
        <v>2191</v>
      </c>
      <c r="C1078" s="13" t="s">
        <v>2197</v>
      </c>
      <c r="D1078" s="13" t="s">
        <v>2206</v>
      </c>
      <c r="E1078" s="13" t="s">
        <v>2209</v>
      </c>
      <c r="F1078" s="13" t="s">
        <v>2221</v>
      </c>
      <c r="G1078" s="13">
        <v>41.57</v>
      </c>
      <c r="H1078" s="13">
        <v>3.3</v>
      </c>
      <c r="I1078" s="13">
        <v>40.200000000000003</v>
      </c>
      <c r="J1078" s="24">
        <v>45875</v>
      </c>
      <c r="K1078" s="13">
        <v>5</v>
      </c>
      <c r="L1078" s="44">
        <v>2.9</v>
      </c>
      <c r="M1078" s="13" t="b">
        <v>0</v>
      </c>
      <c r="O1078" s="25">
        <f t="shared" si="64"/>
        <v>27</v>
      </c>
      <c r="P1078" s="13">
        <f t="shared" si="65"/>
        <v>16.5</v>
      </c>
      <c r="Q1078" s="13" t="str">
        <f t="shared" si="66"/>
        <v/>
      </c>
      <c r="R1078" s="13" t="str">
        <f t="shared" si="67"/>
        <v>Diskon</v>
      </c>
    </row>
    <row r="1079" spans="1:18" x14ac:dyDescent="0.25">
      <c r="A1079" s="13" t="s">
        <v>1091</v>
      </c>
      <c r="B1079" s="13" t="s">
        <v>2193</v>
      </c>
      <c r="C1079" s="13" t="s">
        <v>2203</v>
      </c>
      <c r="D1079" s="13" t="s">
        <v>2204</v>
      </c>
      <c r="E1079" s="13" t="s">
        <v>2208</v>
      </c>
      <c r="F1079" s="13" t="s">
        <v>2223</v>
      </c>
      <c r="G1079" s="13">
        <v>139.1</v>
      </c>
      <c r="H1079" s="13">
        <v>47</v>
      </c>
      <c r="I1079" s="13">
        <v>73.72</v>
      </c>
      <c r="J1079" s="24">
        <v>45661</v>
      </c>
      <c r="K1079" s="13">
        <v>6</v>
      </c>
      <c r="L1079" s="44">
        <v>3.4</v>
      </c>
      <c r="M1079" s="13" t="b">
        <v>0</v>
      </c>
      <c r="O1079" s="25">
        <f t="shared" si="64"/>
        <v>241</v>
      </c>
      <c r="P1079" s="13">
        <f t="shared" si="65"/>
        <v>282</v>
      </c>
      <c r="Q1079" s="13" t="str">
        <f t="shared" si="66"/>
        <v/>
      </c>
      <c r="R1079" s="13" t="str">
        <f t="shared" si="67"/>
        <v>Diskon</v>
      </c>
    </row>
    <row r="1080" spans="1:18" x14ac:dyDescent="0.25">
      <c r="A1080" s="13" t="s">
        <v>1092</v>
      </c>
      <c r="B1080" s="13" t="s">
        <v>2195</v>
      </c>
      <c r="C1080" s="13" t="s">
        <v>2199</v>
      </c>
      <c r="D1080" s="13" t="s">
        <v>2206</v>
      </c>
      <c r="E1080" s="13" t="s">
        <v>2209</v>
      </c>
      <c r="F1080" s="13" t="s">
        <v>2215</v>
      </c>
      <c r="G1080" s="13">
        <v>102.04</v>
      </c>
      <c r="H1080" s="13">
        <v>0</v>
      </c>
      <c r="I1080" s="13">
        <v>102.04</v>
      </c>
      <c r="J1080" s="24">
        <v>45875</v>
      </c>
      <c r="K1080" s="13">
        <v>34</v>
      </c>
      <c r="L1080" s="44">
        <v>3.4</v>
      </c>
      <c r="M1080" s="13" t="b">
        <v>0</v>
      </c>
      <c r="O1080" s="25">
        <f t="shared" si="64"/>
        <v>27</v>
      </c>
      <c r="P1080" s="13">
        <f t="shared" si="65"/>
        <v>0</v>
      </c>
      <c r="Q1080" s="13" t="str">
        <f t="shared" si="66"/>
        <v/>
      </c>
      <c r="R1080" s="13" t="str">
        <f t="shared" si="67"/>
        <v>Non diskon</v>
      </c>
    </row>
    <row r="1081" spans="1:18" x14ac:dyDescent="0.25">
      <c r="A1081" s="13" t="s">
        <v>1093</v>
      </c>
      <c r="B1081" s="13" t="s">
        <v>2194</v>
      </c>
      <c r="C1081" s="13" t="s">
        <v>2202</v>
      </c>
      <c r="D1081" s="13" t="s">
        <v>2206</v>
      </c>
      <c r="E1081" s="13" t="s">
        <v>2211</v>
      </c>
      <c r="F1081" s="13" t="s">
        <v>2222</v>
      </c>
      <c r="G1081" s="13">
        <v>47.25</v>
      </c>
      <c r="H1081" s="13">
        <v>54.2</v>
      </c>
      <c r="I1081" s="13">
        <v>21.64</v>
      </c>
      <c r="J1081" s="24">
        <v>45875</v>
      </c>
      <c r="K1081" s="13">
        <v>4</v>
      </c>
      <c r="L1081" s="44">
        <v>4.9000000000000004</v>
      </c>
      <c r="M1081" s="13" t="b">
        <v>0</v>
      </c>
      <c r="O1081" s="25">
        <f t="shared" si="64"/>
        <v>27</v>
      </c>
      <c r="P1081" s="13">
        <f t="shared" si="65"/>
        <v>216.8</v>
      </c>
      <c r="Q1081" s="13" t="str">
        <f t="shared" si="66"/>
        <v/>
      </c>
      <c r="R1081" s="13" t="str">
        <f t="shared" si="67"/>
        <v>Diskon</v>
      </c>
    </row>
    <row r="1082" spans="1:18" x14ac:dyDescent="0.25">
      <c r="A1082" s="13" t="s">
        <v>1094</v>
      </c>
      <c r="B1082" s="13" t="s">
        <v>2195</v>
      </c>
      <c r="C1082" s="13" t="s">
        <v>2197</v>
      </c>
      <c r="D1082" s="13" t="s">
        <v>2207</v>
      </c>
      <c r="E1082" s="13" t="s">
        <v>2212</v>
      </c>
      <c r="F1082" s="13" t="s">
        <v>2217</v>
      </c>
      <c r="G1082" s="13">
        <v>55.08</v>
      </c>
      <c r="H1082" s="13">
        <v>0</v>
      </c>
      <c r="I1082" s="13">
        <v>55.08</v>
      </c>
      <c r="J1082" s="24">
        <v>45875</v>
      </c>
      <c r="K1082" s="13">
        <v>48</v>
      </c>
      <c r="L1082" s="44">
        <v>4.0999999999999996</v>
      </c>
      <c r="M1082" s="13" t="b">
        <v>0</v>
      </c>
      <c r="O1082" s="25">
        <f t="shared" si="64"/>
        <v>27</v>
      </c>
      <c r="P1082" s="13">
        <f t="shared" si="65"/>
        <v>0</v>
      </c>
      <c r="Q1082" s="13" t="str">
        <f t="shared" si="66"/>
        <v/>
      </c>
      <c r="R1082" s="13" t="str">
        <f t="shared" si="67"/>
        <v>Non diskon</v>
      </c>
    </row>
    <row r="1083" spans="1:18" x14ac:dyDescent="0.25">
      <c r="A1083" s="13" t="s">
        <v>1095</v>
      </c>
      <c r="B1083" s="13" t="s">
        <v>2190</v>
      </c>
      <c r="C1083" s="13" t="s">
        <v>2203</v>
      </c>
      <c r="D1083" s="13" t="s">
        <v>2205</v>
      </c>
      <c r="E1083" s="13" t="s">
        <v>2209</v>
      </c>
      <c r="F1083" s="13" t="s">
        <v>2220</v>
      </c>
      <c r="G1083" s="13">
        <v>88.32</v>
      </c>
      <c r="H1083" s="13">
        <v>54.8</v>
      </c>
      <c r="I1083" s="13">
        <v>39.92</v>
      </c>
      <c r="J1083" s="24">
        <v>45875</v>
      </c>
      <c r="K1083" s="13">
        <v>36</v>
      </c>
      <c r="L1083" s="44">
        <v>3.1</v>
      </c>
      <c r="M1083" s="13" t="b">
        <v>0</v>
      </c>
      <c r="O1083" s="25">
        <f t="shared" si="64"/>
        <v>27</v>
      </c>
      <c r="P1083" s="13">
        <f t="shared" si="65"/>
        <v>1972.8</v>
      </c>
      <c r="Q1083" s="13" t="str">
        <f t="shared" si="66"/>
        <v/>
      </c>
      <c r="R1083" s="13" t="str">
        <f t="shared" si="67"/>
        <v>Diskon</v>
      </c>
    </row>
    <row r="1084" spans="1:18" x14ac:dyDescent="0.25">
      <c r="A1084" s="13" t="s">
        <v>1096</v>
      </c>
      <c r="B1084" s="13" t="s">
        <v>2194</v>
      </c>
      <c r="C1084" s="13" t="s">
        <v>2199</v>
      </c>
      <c r="D1084" s="13" t="s">
        <v>2206</v>
      </c>
      <c r="E1084" s="13" t="s">
        <v>2213</v>
      </c>
      <c r="F1084" s="13" t="s">
        <v>2214</v>
      </c>
      <c r="G1084" s="13">
        <v>74.900000000000006</v>
      </c>
      <c r="H1084" s="13">
        <v>16.8</v>
      </c>
      <c r="I1084" s="13">
        <v>62.32</v>
      </c>
      <c r="J1084" s="24">
        <v>45875</v>
      </c>
      <c r="K1084" s="13">
        <v>13</v>
      </c>
      <c r="L1084" s="44">
        <v>2.8142857142857149</v>
      </c>
      <c r="M1084" s="13" t="b">
        <v>1</v>
      </c>
      <c r="N1084" s="13" t="s">
        <v>2225</v>
      </c>
      <c r="O1084" s="25">
        <f t="shared" si="64"/>
        <v>27</v>
      </c>
      <c r="P1084" s="13">
        <f t="shared" si="65"/>
        <v>218.4</v>
      </c>
      <c r="Q1084" s="13">
        <f t="shared" si="66"/>
        <v>1</v>
      </c>
      <c r="R1084" s="13" t="str">
        <f t="shared" si="67"/>
        <v>Diskon</v>
      </c>
    </row>
    <row r="1085" spans="1:18" x14ac:dyDescent="0.25">
      <c r="A1085" s="13" t="s">
        <v>1097</v>
      </c>
      <c r="B1085" s="13" t="s">
        <v>2194</v>
      </c>
      <c r="C1085" s="13" t="s">
        <v>2199</v>
      </c>
      <c r="D1085" s="13" t="s">
        <v>2205</v>
      </c>
      <c r="E1085" s="13" t="s">
        <v>2213</v>
      </c>
      <c r="F1085" s="13" t="s">
        <v>2217</v>
      </c>
      <c r="G1085" s="13">
        <v>69.88</v>
      </c>
      <c r="H1085" s="13">
        <v>57.4</v>
      </c>
      <c r="I1085" s="13">
        <v>29.77</v>
      </c>
      <c r="J1085" s="24">
        <v>45875</v>
      </c>
      <c r="K1085" s="13">
        <v>30</v>
      </c>
      <c r="L1085" s="44">
        <v>4.2</v>
      </c>
      <c r="M1085" s="13" t="b">
        <v>0</v>
      </c>
      <c r="O1085" s="25">
        <f t="shared" si="64"/>
        <v>27</v>
      </c>
      <c r="P1085" s="13">
        <f t="shared" si="65"/>
        <v>1722</v>
      </c>
      <c r="Q1085" s="13" t="str">
        <f t="shared" si="66"/>
        <v/>
      </c>
      <c r="R1085" s="13" t="str">
        <f t="shared" si="67"/>
        <v>Diskon</v>
      </c>
    </row>
    <row r="1086" spans="1:18" x14ac:dyDescent="0.25">
      <c r="A1086" s="13" t="s">
        <v>1098</v>
      </c>
      <c r="B1086" s="13" t="s">
        <v>2193</v>
      </c>
      <c r="C1086" s="13" t="s">
        <v>2197</v>
      </c>
      <c r="D1086" s="13" t="s">
        <v>2206</v>
      </c>
      <c r="E1086" s="13" t="s">
        <v>2210</v>
      </c>
      <c r="F1086" s="13" t="s">
        <v>2218</v>
      </c>
      <c r="G1086" s="13">
        <v>142.83000000000001</v>
      </c>
      <c r="H1086" s="13">
        <v>0</v>
      </c>
      <c r="I1086" s="13">
        <v>142.83000000000001</v>
      </c>
      <c r="J1086" s="24">
        <v>45875</v>
      </c>
      <c r="K1086" s="13">
        <v>25</v>
      </c>
      <c r="L1086" s="44">
        <v>3.5</v>
      </c>
      <c r="M1086" s="13" t="b">
        <v>0</v>
      </c>
      <c r="O1086" s="25">
        <f t="shared" si="64"/>
        <v>27</v>
      </c>
      <c r="P1086" s="13">
        <f t="shared" si="65"/>
        <v>0</v>
      </c>
      <c r="Q1086" s="13" t="str">
        <f t="shared" si="66"/>
        <v/>
      </c>
      <c r="R1086" s="13" t="str">
        <f t="shared" si="67"/>
        <v>Non diskon</v>
      </c>
    </row>
    <row r="1087" spans="1:18" x14ac:dyDescent="0.25">
      <c r="A1087" s="13" t="s">
        <v>1099</v>
      </c>
      <c r="B1087" s="13" t="s">
        <v>2193</v>
      </c>
      <c r="C1087" s="13" t="s">
        <v>2196</v>
      </c>
      <c r="D1087" s="13" t="s">
        <v>2206</v>
      </c>
      <c r="F1087" s="13" t="s">
        <v>2223</v>
      </c>
      <c r="G1087" s="13">
        <v>140.16999999999999</v>
      </c>
      <c r="H1087" s="13">
        <v>0</v>
      </c>
      <c r="I1087" s="13">
        <v>140.16999999999999</v>
      </c>
      <c r="J1087" s="24">
        <v>45875</v>
      </c>
      <c r="K1087" s="13">
        <v>43</v>
      </c>
      <c r="L1087" s="44">
        <v>3.1</v>
      </c>
      <c r="M1087" s="13" t="b">
        <v>0</v>
      </c>
      <c r="O1087" s="25">
        <f t="shared" si="64"/>
        <v>27</v>
      </c>
      <c r="P1087" s="13">
        <f t="shared" si="65"/>
        <v>0</v>
      </c>
      <c r="Q1087" s="13" t="str">
        <f t="shared" si="66"/>
        <v/>
      </c>
      <c r="R1087" s="13" t="str">
        <f t="shared" si="67"/>
        <v>Non diskon</v>
      </c>
    </row>
    <row r="1088" spans="1:18" x14ac:dyDescent="0.25">
      <c r="A1088" s="13" t="s">
        <v>1100</v>
      </c>
      <c r="B1088" s="13" t="s">
        <v>2191</v>
      </c>
      <c r="C1088" s="13" t="s">
        <v>2202</v>
      </c>
      <c r="D1088" s="13" t="s">
        <v>2205</v>
      </c>
      <c r="E1088" s="13" t="s">
        <v>2213</v>
      </c>
      <c r="F1088" s="13" t="s">
        <v>2224</v>
      </c>
      <c r="G1088" s="13">
        <v>106.11</v>
      </c>
      <c r="H1088" s="13">
        <v>33.799999999999997</v>
      </c>
      <c r="I1088" s="13">
        <v>70.239999999999995</v>
      </c>
      <c r="J1088" s="24">
        <v>45875</v>
      </c>
      <c r="K1088" s="13">
        <v>15</v>
      </c>
      <c r="L1088" s="44">
        <v>4.5</v>
      </c>
      <c r="M1088" s="13" t="b">
        <v>0</v>
      </c>
      <c r="O1088" s="25">
        <f t="shared" si="64"/>
        <v>27</v>
      </c>
      <c r="P1088" s="13">
        <f t="shared" si="65"/>
        <v>506.99999999999994</v>
      </c>
      <c r="Q1088" s="13" t="str">
        <f t="shared" si="66"/>
        <v/>
      </c>
      <c r="R1088" s="13" t="str">
        <f t="shared" si="67"/>
        <v>Diskon</v>
      </c>
    </row>
    <row r="1089" spans="1:18" x14ac:dyDescent="0.25">
      <c r="A1089" s="13" t="s">
        <v>1101</v>
      </c>
      <c r="B1089" s="13" t="s">
        <v>2195</v>
      </c>
      <c r="C1089" s="13" t="s">
        <v>2200</v>
      </c>
      <c r="D1089" s="13" t="s">
        <v>2207</v>
      </c>
      <c r="E1089" s="13" t="s">
        <v>2212</v>
      </c>
      <c r="F1089" s="13" t="s">
        <v>2215</v>
      </c>
      <c r="G1089" s="13">
        <v>53.23</v>
      </c>
      <c r="H1089" s="13">
        <v>0</v>
      </c>
      <c r="I1089" s="13">
        <v>53.23</v>
      </c>
      <c r="J1089" s="24">
        <v>45875</v>
      </c>
      <c r="K1089" s="13">
        <v>41</v>
      </c>
      <c r="L1089" s="44">
        <v>2.8</v>
      </c>
      <c r="M1089" s="13" t="b">
        <v>1</v>
      </c>
      <c r="N1089" s="13" t="s">
        <v>2225</v>
      </c>
      <c r="O1089" s="25">
        <f t="shared" si="64"/>
        <v>27</v>
      </c>
      <c r="P1089" s="13">
        <f t="shared" si="65"/>
        <v>0</v>
      </c>
      <c r="Q1089" s="13">
        <f t="shared" si="66"/>
        <v>1</v>
      </c>
      <c r="R1089" s="13" t="str">
        <f t="shared" si="67"/>
        <v>Non diskon</v>
      </c>
    </row>
    <row r="1090" spans="1:18" x14ac:dyDescent="0.25">
      <c r="A1090" s="13" t="s">
        <v>1102</v>
      </c>
      <c r="B1090" s="13" t="s">
        <v>2190</v>
      </c>
      <c r="C1090" s="13" t="s">
        <v>2198</v>
      </c>
      <c r="D1090" s="13" t="s">
        <v>2204</v>
      </c>
      <c r="E1090" s="13" t="s">
        <v>2211</v>
      </c>
      <c r="F1090" s="13" t="s">
        <v>2216</v>
      </c>
      <c r="G1090" s="13">
        <v>92.25</v>
      </c>
      <c r="H1090" s="13">
        <v>0</v>
      </c>
      <c r="I1090" s="13">
        <v>92.25</v>
      </c>
      <c r="J1090" s="24">
        <v>45805</v>
      </c>
      <c r="K1090" s="13">
        <v>22</v>
      </c>
      <c r="L1090" s="44">
        <v>3.3</v>
      </c>
      <c r="M1090" s="13" t="b">
        <v>1</v>
      </c>
      <c r="N1090" s="13" t="s">
        <v>2230</v>
      </c>
      <c r="O1090" s="25">
        <f t="shared" si="64"/>
        <v>97</v>
      </c>
      <c r="P1090" s="13">
        <f t="shared" si="65"/>
        <v>0</v>
      </c>
      <c r="Q1090" s="13">
        <f t="shared" si="66"/>
        <v>1</v>
      </c>
      <c r="R1090" s="13" t="str">
        <f t="shared" si="67"/>
        <v>Non diskon</v>
      </c>
    </row>
    <row r="1091" spans="1:18" x14ac:dyDescent="0.25">
      <c r="A1091" s="13" t="s">
        <v>1103</v>
      </c>
      <c r="B1091" s="13" t="s">
        <v>2192</v>
      </c>
      <c r="C1091" s="13" t="s">
        <v>2201</v>
      </c>
      <c r="D1091" s="13" t="s">
        <v>2207</v>
      </c>
      <c r="F1091" s="13" t="s">
        <v>2224</v>
      </c>
      <c r="G1091" s="13">
        <v>39.17</v>
      </c>
      <c r="H1091" s="13">
        <v>0</v>
      </c>
      <c r="I1091" s="13">
        <v>39.17</v>
      </c>
      <c r="J1091" s="24">
        <v>45875</v>
      </c>
      <c r="K1091" s="13">
        <v>4</v>
      </c>
      <c r="L1091" s="44">
        <v>3.5</v>
      </c>
      <c r="M1091" s="13" t="b">
        <v>1</v>
      </c>
      <c r="N1091" s="13" t="s">
        <v>2225</v>
      </c>
      <c r="O1091" s="25">
        <f t="shared" ref="O1091:O1154" si="68">DATE(2025,9,2)-J1091</f>
        <v>27</v>
      </c>
      <c r="P1091" s="13">
        <f t="shared" ref="P1091:P1154" si="69">H1091*K1091</f>
        <v>0</v>
      </c>
      <c r="Q1091" s="13">
        <f t="shared" ref="Q1091:Q1154" si="70">IF(M1091=FALSE,"",1)</f>
        <v>1</v>
      </c>
      <c r="R1091" s="13" t="str">
        <f t="shared" ref="R1091:R1154" si="71">IF(H1091=0,"Non diskon","Diskon")</f>
        <v>Non diskon</v>
      </c>
    </row>
    <row r="1092" spans="1:18" x14ac:dyDescent="0.25">
      <c r="A1092" s="13" t="s">
        <v>1104</v>
      </c>
      <c r="B1092" s="13" t="s">
        <v>2192</v>
      </c>
      <c r="C1092" s="13" t="s">
        <v>2202</v>
      </c>
      <c r="D1092" s="13" t="s">
        <v>2204</v>
      </c>
      <c r="F1092" s="13" t="s">
        <v>2217</v>
      </c>
      <c r="G1092" s="13">
        <v>72.83</v>
      </c>
      <c r="H1092" s="13">
        <v>0</v>
      </c>
      <c r="I1092" s="13">
        <v>72.83</v>
      </c>
      <c r="J1092" s="24">
        <v>45622</v>
      </c>
      <c r="K1092" s="13">
        <v>6</v>
      </c>
      <c r="L1092" s="44">
        <v>2</v>
      </c>
      <c r="M1092" s="13" t="b">
        <v>0</v>
      </c>
      <c r="O1092" s="25">
        <f t="shared" si="68"/>
        <v>280</v>
      </c>
      <c r="P1092" s="13">
        <f t="shared" si="69"/>
        <v>0</v>
      </c>
      <c r="Q1092" s="13" t="str">
        <f t="shared" si="70"/>
        <v/>
      </c>
      <c r="R1092" s="13" t="str">
        <f t="shared" si="71"/>
        <v>Non diskon</v>
      </c>
    </row>
    <row r="1093" spans="1:18" x14ac:dyDescent="0.25">
      <c r="A1093" s="13" t="s">
        <v>1105</v>
      </c>
      <c r="B1093" s="13" t="s">
        <v>2194</v>
      </c>
      <c r="C1093" s="13" t="s">
        <v>2203</v>
      </c>
      <c r="D1093" s="13" t="s">
        <v>2205</v>
      </c>
      <c r="E1093" s="13" t="s">
        <v>2210</v>
      </c>
      <c r="F1093" s="13" t="s">
        <v>2224</v>
      </c>
      <c r="G1093" s="13">
        <v>29.73</v>
      </c>
      <c r="H1093" s="13">
        <v>28.7</v>
      </c>
      <c r="I1093" s="13">
        <v>21.2</v>
      </c>
      <c r="J1093" s="24">
        <v>45875</v>
      </c>
      <c r="K1093" s="13">
        <v>37</v>
      </c>
      <c r="L1093" s="44">
        <v>2.5</v>
      </c>
      <c r="M1093" s="13" t="b">
        <v>0</v>
      </c>
      <c r="O1093" s="25">
        <f t="shared" si="68"/>
        <v>27</v>
      </c>
      <c r="P1093" s="13">
        <f t="shared" si="69"/>
        <v>1061.8999999999999</v>
      </c>
      <c r="Q1093" s="13" t="str">
        <f t="shared" si="70"/>
        <v/>
      </c>
      <c r="R1093" s="13" t="str">
        <f t="shared" si="71"/>
        <v>Diskon</v>
      </c>
    </row>
    <row r="1094" spans="1:18" x14ac:dyDescent="0.25">
      <c r="A1094" s="13" t="s">
        <v>1106</v>
      </c>
      <c r="B1094" s="13" t="s">
        <v>2195</v>
      </c>
      <c r="C1094" s="13" t="s">
        <v>2199</v>
      </c>
      <c r="D1094" s="13" t="s">
        <v>2205</v>
      </c>
      <c r="E1094" s="13" t="s">
        <v>2208</v>
      </c>
      <c r="F1094" s="13" t="s">
        <v>2216</v>
      </c>
      <c r="G1094" s="13">
        <v>144.1</v>
      </c>
      <c r="H1094" s="13">
        <v>0</v>
      </c>
      <c r="I1094" s="13">
        <v>144.1</v>
      </c>
      <c r="J1094" s="24">
        <v>45875</v>
      </c>
      <c r="K1094" s="13">
        <v>36</v>
      </c>
      <c r="L1094" s="44">
        <v>2.5</v>
      </c>
      <c r="M1094" s="13" t="b">
        <v>0</v>
      </c>
      <c r="O1094" s="25">
        <f t="shared" si="68"/>
        <v>27</v>
      </c>
      <c r="P1094" s="13">
        <f t="shared" si="69"/>
        <v>0</v>
      </c>
      <c r="Q1094" s="13" t="str">
        <f t="shared" si="70"/>
        <v/>
      </c>
      <c r="R1094" s="13" t="str">
        <f t="shared" si="71"/>
        <v>Non diskon</v>
      </c>
    </row>
    <row r="1095" spans="1:18" x14ac:dyDescent="0.25">
      <c r="A1095" s="13" t="s">
        <v>1107</v>
      </c>
      <c r="B1095" s="13" t="s">
        <v>2195</v>
      </c>
      <c r="C1095" s="13" t="s">
        <v>2200</v>
      </c>
      <c r="D1095" s="13" t="s">
        <v>2207</v>
      </c>
      <c r="E1095" s="13" t="s">
        <v>2208</v>
      </c>
      <c r="F1095" s="13" t="s">
        <v>2224</v>
      </c>
      <c r="G1095" s="13">
        <v>109.23</v>
      </c>
      <c r="H1095" s="13">
        <v>10.8</v>
      </c>
      <c r="I1095" s="13">
        <v>97.43</v>
      </c>
      <c r="J1095" s="24">
        <v>45875</v>
      </c>
      <c r="K1095" s="13">
        <v>38</v>
      </c>
      <c r="L1095" s="44">
        <v>3.3</v>
      </c>
      <c r="M1095" s="13" t="b">
        <v>0</v>
      </c>
      <c r="O1095" s="25">
        <f t="shared" si="68"/>
        <v>27</v>
      </c>
      <c r="P1095" s="13">
        <f t="shared" si="69"/>
        <v>410.40000000000003</v>
      </c>
      <c r="Q1095" s="13" t="str">
        <f t="shared" si="70"/>
        <v/>
      </c>
      <c r="R1095" s="13" t="str">
        <f t="shared" si="71"/>
        <v>Diskon</v>
      </c>
    </row>
    <row r="1096" spans="1:18" x14ac:dyDescent="0.25">
      <c r="A1096" s="13" t="s">
        <v>1108</v>
      </c>
      <c r="B1096" s="13" t="s">
        <v>2190</v>
      </c>
      <c r="C1096" s="13" t="s">
        <v>2199</v>
      </c>
      <c r="D1096" s="13" t="s">
        <v>2205</v>
      </c>
      <c r="E1096" s="13" t="s">
        <v>2208</v>
      </c>
      <c r="F1096" s="13" t="s">
        <v>2215</v>
      </c>
      <c r="G1096" s="13">
        <v>180.65</v>
      </c>
      <c r="H1096" s="13">
        <v>17.5</v>
      </c>
      <c r="I1096" s="13">
        <v>149.04</v>
      </c>
      <c r="J1096" s="24">
        <v>45875</v>
      </c>
      <c r="K1096" s="13">
        <v>41</v>
      </c>
      <c r="L1096" s="44">
        <v>1.4</v>
      </c>
      <c r="M1096" s="13" t="b">
        <v>0</v>
      </c>
      <c r="O1096" s="25">
        <f t="shared" si="68"/>
        <v>27</v>
      </c>
      <c r="P1096" s="13">
        <f t="shared" si="69"/>
        <v>717.5</v>
      </c>
      <c r="Q1096" s="13" t="str">
        <f t="shared" si="70"/>
        <v/>
      </c>
      <c r="R1096" s="13" t="str">
        <f t="shared" si="71"/>
        <v>Diskon</v>
      </c>
    </row>
    <row r="1097" spans="1:18" x14ac:dyDescent="0.25">
      <c r="A1097" s="13" t="s">
        <v>1109</v>
      </c>
      <c r="B1097" s="13" t="s">
        <v>2190</v>
      </c>
      <c r="C1097" s="13" t="s">
        <v>2198</v>
      </c>
      <c r="D1097" s="13" t="s">
        <v>2204</v>
      </c>
      <c r="E1097" s="13" t="s">
        <v>2213</v>
      </c>
      <c r="F1097" s="13" t="s">
        <v>2220</v>
      </c>
      <c r="G1097" s="13">
        <v>129.24</v>
      </c>
      <c r="H1097" s="13">
        <v>46.2</v>
      </c>
      <c r="I1097" s="13">
        <v>69.53</v>
      </c>
      <c r="J1097" s="24">
        <v>45743</v>
      </c>
      <c r="K1097" s="13">
        <v>28</v>
      </c>
      <c r="L1097" s="44">
        <v>3.2</v>
      </c>
      <c r="M1097" s="13" t="b">
        <v>0</v>
      </c>
      <c r="O1097" s="25">
        <f t="shared" si="68"/>
        <v>159</v>
      </c>
      <c r="P1097" s="13">
        <f t="shared" si="69"/>
        <v>1293.6000000000001</v>
      </c>
      <c r="Q1097" s="13" t="str">
        <f t="shared" si="70"/>
        <v/>
      </c>
      <c r="R1097" s="13" t="str">
        <f t="shared" si="71"/>
        <v>Diskon</v>
      </c>
    </row>
    <row r="1098" spans="1:18" x14ac:dyDescent="0.25">
      <c r="A1098" s="13" t="s">
        <v>1110</v>
      </c>
      <c r="B1098" s="13" t="s">
        <v>2193</v>
      </c>
      <c r="C1098" s="13" t="s">
        <v>2202</v>
      </c>
      <c r="D1098" s="13" t="s">
        <v>2207</v>
      </c>
      <c r="E1098" s="13" t="s">
        <v>2212</v>
      </c>
      <c r="F1098" s="13" t="s">
        <v>2219</v>
      </c>
      <c r="G1098" s="13">
        <v>195.67</v>
      </c>
      <c r="H1098" s="13">
        <v>47.1</v>
      </c>
      <c r="I1098" s="13">
        <v>103.51</v>
      </c>
      <c r="J1098" s="24">
        <v>45875</v>
      </c>
      <c r="K1098" s="13">
        <v>36</v>
      </c>
      <c r="L1098" s="44">
        <v>4</v>
      </c>
      <c r="M1098" s="13" t="b">
        <v>0</v>
      </c>
      <c r="O1098" s="25">
        <f t="shared" si="68"/>
        <v>27</v>
      </c>
      <c r="P1098" s="13">
        <f t="shared" si="69"/>
        <v>1695.6000000000001</v>
      </c>
      <c r="Q1098" s="13" t="str">
        <f t="shared" si="70"/>
        <v/>
      </c>
      <c r="R1098" s="13" t="str">
        <f t="shared" si="71"/>
        <v>Diskon</v>
      </c>
    </row>
    <row r="1099" spans="1:18" x14ac:dyDescent="0.25">
      <c r="A1099" s="13" t="s">
        <v>1111</v>
      </c>
      <c r="B1099" s="13" t="s">
        <v>2192</v>
      </c>
      <c r="C1099" s="13" t="s">
        <v>2198</v>
      </c>
      <c r="D1099" s="13" t="s">
        <v>2205</v>
      </c>
      <c r="F1099" s="13" t="s">
        <v>2222</v>
      </c>
      <c r="G1099" s="13">
        <v>65.64</v>
      </c>
      <c r="H1099" s="13">
        <v>20.7</v>
      </c>
      <c r="I1099" s="13">
        <v>52.05</v>
      </c>
      <c r="J1099" s="24">
        <v>45875</v>
      </c>
      <c r="K1099" s="13">
        <v>20</v>
      </c>
      <c r="L1099" s="44">
        <v>2.6</v>
      </c>
      <c r="M1099" s="13" t="b">
        <v>0</v>
      </c>
      <c r="O1099" s="25">
        <f t="shared" si="68"/>
        <v>27</v>
      </c>
      <c r="P1099" s="13">
        <f t="shared" si="69"/>
        <v>414</v>
      </c>
      <c r="Q1099" s="13" t="str">
        <f t="shared" si="70"/>
        <v/>
      </c>
      <c r="R1099" s="13" t="str">
        <f t="shared" si="71"/>
        <v>Diskon</v>
      </c>
    </row>
    <row r="1100" spans="1:18" x14ac:dyDescent="0.25">
      <c r="A1100" s="13" t="s">
        <v>1112</v>
      </c>
      <c r="B1100" s="13" t="s">
        <v>2194</v>
      </c>
      <c r="C1100" s="13" t="s">
        <v>2200</v>
      </c>
      <c r="D1100" s="13" t="s">
        <v>2204</v>
      </c>
      <c r="E1100" s="13" t="s">
        <v>2212</v>
      </c>
      <c r="F1100" s="13" t="s">
        <v>2223</v>
      </c>
      <c r="G1100" s="13">
        <v>113.18</v>
      </c>
      <c r="H1100" s="13">
        <v>0</v>
      </c>
      <c r="I1100" s="13">
        <v>113.18</v>
      </c>
      <c r="J1100" s="24">
        <v>45749</v>
      </c>
      <c r="K1100" s="13">
        <v>3</v>
      </c>
      <c r="L1100" s="44">
        <v>4.9000000000000004</v>
      </c>
      <c r="M1100" s="13" t="b">
        <v>0</v>
      </c>
      <c r="O1100" s="25">
        <f t="shared" si="68"/>
        <v>153</v>
      </c>
      <c r="P1100" s="13">
        <f t="shared" si="69"/>
        <v>0</v>
      </c>
      <c r="Q1100" s="13" t="str">
        <f t="shared" si="70"/>
        <v/>
      </c>
      <c r="R1100" s="13" t="str">
        <f t="shared" si="71"/>
        <v>Non diskon</v>
      </c>
    </row>
    <row r="1101" spans="1:18" x14ac:dyDescent="0.25">
      <c r="A1101" s="13" t="s">
        <v>1113</v>
      </c>
      <c r="B1101" s="13" t="s">
        <v>2193</v>
      </c>
      <c r="C1101" s="13" t="s">
        <v>2201</v>
      </c>
      <c r="D1101" s="13" t="s">
        <v>2206</v>
      </c>
      <c r="E1101" s="13" t="s">
        <v>2208</v>
      </c>
      <c r="F1101" s="13" t="s">
        <v>2221</v>
      </c>
      <c r="G1101" s="13">
        <v>173.69</v>
      </c>
      <c r="H1101" s="13">
        <v>0</v>
      </c>
      <c r="I1101" s="13">
        <v>173.69</v>
      </c>
      <c r="J1101" s="24">
        <v>45875</v>
      </c>
      <c r="K1101" s="13">
        <v>25</v>
      </c>
      <c r="L1101" s="44">
        <v>3.6</v>
      </c>
      <c r="M1101" s="13" t="b">
        <v>0</v>
      </c>
      <c r="O1101" s="25">
        <f t="shared" si="68"/>
        <v>27</v>
      </c>
      <c r="P1101" s="13">
        <f t="shared" si="69"/>
        <v>0</v>
      </c>
      <c r="Q1101" s="13" t="str">
        <f t="shared" si="70"/>
        <v/>
      </c>
      <c r="R1101" s="13" t="str">
        <f t="shared" si="71"/>
        <v>Non diskon</v>
      </c>
    </row>
    <row r="1102" spans="1:18" x14ac:dyDescent="0.25">
      <c r="A1102" s="13" t="s">
        <v>1114</v>
      </c>
      <c r="B1102" s="13" t="s">
        <v>2190</v>
      </c>
      <c r="C1102" s="13" t="s">
        <v>2196</v>
      </c>
      <c r="D1102" s="13" t="s">
        <v>2206</v>
      </c>
      <c r="E1102" s="13" t="s">
        <v>2210</v>
      </c>
      <c r="F1102" s="13" t="s">
        <v>2218</v>
      </c>
      <c r="G1102" s="13">
        <v>156.54</v>
      </c>
      <c r="H1102" s="13">
        <v>0</v>
      </c>
      <c r="I1102" s="13">
        <v>156.54</v>
      </c>
      <c r="J1102" s="24">
        <v>45875</v>
      </c>
      <c r="K1102" s="13">
        <v>23</v>
      </c>
      <c r="L1102" s="44">
        <v>1.8</v>
      </c>
      <c r="M1102" s="13" t="b">
        <v>0</v>
      </c>
      <c r="O1102" s="25">
        <f t="shared" si="68"/>
        <v>27</v>
      </c>
      <c r="P1102" s="13">
        <f t="shared" si="69"/>
        <v>0</v>
      </c>
      <c r="Q1102" s="13" t="str">
        <f t="shared" si="70"/>
        <v/>
      </c>
      <c r="R1102" s="13" t="str">
        <f t="shared" si="71"/>
        <v>Non diskon</v>
      </c>
    </row>
    <row r="1103" spans="1:18" x14ac:dyDescent="0.25">
      <c r="A1103" s="13" t="s">
        <v>1115</v>
      </c>
      <c r="B1103" s="13" t="s">
        <v>2195</v>
      </c>
      <c r="C1103" s="13" t="s">
        <v>2200</v>
      </c>
      <c r="D1103" s="13" t="s">
        <v>2204</v>
      </c>
      <c r="E1103" s="13" t="s">
        <v>2208</v>
      </c>
      <c r="F1103" s="13" t="s">
        <v>2224</v>
      </c>
      <c r="G1103" s="13">
        <v>103.78</v>
      </c>
      <c r="H1103" s="13">
        <v>39</v>
      </c>
      <c r="I1103" s="13">
        <v>63.31</v>
      </c>
      <c r="J1103" s="24">
        <v>45577</v>
      </c>
      <c r="K1103" s="13">
        <v>5</v>
      </c>
      <c r="L1103" s="44">
        <v>3.1051282051282048</v>
      </c>
      <c r="M1103" s="13" t="b">
        <v>0</v>
      </c>
      <c r="O1103" s="25">
        <f t="shared" si="68"/>
        <v>325</v>
      </c>
      <c r="P1103" s="13">
        <f t="shared" si="69"/>
        <v>195</v>
      </c>
      <c r="Q1103" s="13" t="str">
        <f t="shared" si="70"/>
        <v/>
      </c>
      <c r="R1103" s="13" t="str">
        <f t="shared" si="71"/>
        <v>Diskon</v>
      </c>
    </row>
    <row r="1104" spans="1:18" x14ac:dyDescent="0.25">
      <c r="A1104" s="13" t="s">
        <v>1116</v>
      </c>
      <c r="B1104" s="13" t="s">
        <v>2192</v>
      </c>
      <c r="C1104" s="13" t="s">
        <v>2202</v>
      </c>
      <c r="D1104" s="13" t="s">
        <v>2206</v>
      </c>
      <c r="F1104" s="13" t="s">
        <v>2216</v>
      </c>
      <c r="G1104" s="13">
        <v>79.599999999999994</v>
      </c>
      <c r="H1104" s="13">
        <v>0</v>
      </c>
      <c r="I1104" s="13">
        <v>79.599999999999994</v>
      </c>
      <c r="J1104" s="24">
        <v>45875</v>
      </c>
      <c r="K1104" s="13">
        <v>22</v>
      </c>
      <c r="L1104" s="44">
        <v>3.2720930232558145</v>
      </c>
      <c r="M1104" s="13" t="b">
        <v>0</v>
      </c>
      <c r="O1104" s="25">
        <f t="shared" si="68"/>
        <v>27</v>
      </c>
      <c r="P1104" s="13">
        <f t="shared" si="69"/>
        <v>0</v>
      </c>
      <c r="Q1104" s="13" t="str">
        <f t="shared" si="70"/>
        <v/>
      </c>
      <c r="R1104" s="13" t="str">
        <f t="shared" si="71"/>
        <v>Non diskon</v>
      </c>
    </row>
    <row r="1105" spans="1:18" x14ac:dyDescent="0.25">
      <c r="A1105" s="13" t="s">
        <v>1117</v>
      </c>
      <c r="B1105" s="13" t="s">
        <v>2192</v>
      </c>
      <c r="C1105" s="13" t="s">
        <v>2201</v>
      </c>
      <c r="D1105" s="13" t="s">
        <v>2206</v>
      </c>
      <c r="F1105" s="13" t="s">
        <v>2221</v>
      </c>
      <c r="G1105" s="13">
        <v>34.18</v>
      </c>
      <c r="H1105" s="13">
        <v>18.899999999999999</v>
      </c>
      <c r="I1105" s="13">
        <v>27.72</v>
      </c>
      <c r="J1105" s="24">
        <v>45875</v>
      </c>
      <c r="K1105" s="13">
        <v>50</v>
      </c>
      <c r="L1105" s="44">
        <v>3.6</v>
      </c>
      <c r="M1105" s="13" t="b">
        <v>0</v>
      </c>
      <c r="O1105" s="25">
        <f t="shared" si="68"/>
        <v>27</v>
      </c>
      <c r="P1105" s="13">
        <f t="shared" si="69"/>
        <v>944.99999999999989</v>
      </c>
      <c r="Q1105" s="13" t="str">
        <f t="shared" si="70"/>
        <v/>
      </c>
      <c r="R1105" s="13" t="str">
        <f t="shared" si="71"/>
        <v>Diskon</v>
      </c>
    </row>
    <row r="1106" spans="1:18" x14ac:dyDescent="0.25">
      <c r="A1106" s="13" t="s">
        <v>1118</v>
      </c>
      <c r="B1106" s="13" t="s">
        <v>2194</v>
      </c>
      <c r="C1106" s="13" t="s">
        <v>2202</v>
      </c>
      <c r="D1106" s="13" t="s">
        <v>2205</v>
      </c>
      <c r="E1106" s="13" t="s">
        <v>2211</v>
      </c>
      <c r="F1106" s="13" t="s">
        <v>2219</v>
      </c>
      <c r="G1106" s="13">
        <v>58.44</v>
      </c>
      <c r="H1106" s="13">
        <v>0</v>
      </c>
      <c r="I1106" s="13">
        <v>58.44</v>
      </c>
      <c r="J1106" s="24">
        <v>45875</v>
      </c>
      <c r="K1106" s="13">
        <v>3</v>
      </c>
      <c r="L1106" s="44">
        <v>2.6</v>
      </c>
      <c r="M1106" s="13" t="b">
        <v>1</v>
      </c>
      <c r="N1106" s="13" t="s">
        <v>2230</v>
      </c>
      <c r="O1106" s="25">
        <f t="shared" si="68"/>
        <v>27</v>
      </c>
      <c r="P1106" s="13">
        <f t="shared" si="69"/>
        <v>0</v>
      </c>
      <c r="Q1106" s="13">
        <f t="shared" si="70"/>
        <v>1</v>
      </c>
      <c r="R1106" s="13" t="str">
        <f t="shared" si="71"/>
        <v>Non diskon</v>
      </c>
    </row>
    <row r="1107" spans="1:18" x14ac:dyDescent="0.25">
      <c r="A1107" s="13" t="s">
        <v>1119</v>
      </c>
      <c r="B1107" s="13" t="s">
        <v>2192</v>
      </c>
      <c r="C1107" s="13" t="s">
        <v>2196</v>
      </c>
      <c r="D1107" s="13" t="s">
        <v>2207</v>
      </c>
      <c r="F1107" s="13" t="s">
        <v>2222</v>
      </c>
      <c r="G1107" s="13">
        <v>30.62</v>
      </c>
      <c r="H1107" s="13">
        <v>0</v>
      </c>
      <c r="I1107" s="13">
        <v>30.62</v>
      </c>
      <c r="J1107" s="24">
        <v>45875</v>
      </c>
      <c r="K1107" s="13">
        <v>31</v>
      </c>
      <c r="L1107" s="44">
        <v>3</v>
      </c>
      <c r="M1107" s="13" t="b">
        <v>1</v>
      </c>
      <c r="N1107" s="13" t="s">
        <v>2227</v>
      </c>
      <c r="O1107" s="25">
        <f t="shared" si="68"/>
        <v>27</v>
      </c>
      <c r="P1107" s="13">
        <f t="shared" si="69"/>
        <v>0</v>
      </c>
      <c r="Q1107" s="13">
        <f t="shared" si="70"/>
        <v>1</v>
      </c>
      <c r="R1107" s="13" t="str">
        <f t="shared" si="71"/>
        <v>Non diskon</v>
      </c>
    </row>
    <row r="1108" spans="1:18" x14ac:dyDescent="0.25">
      <c r="A1108" s="13" t="s">
        <v>1120</v>
      </c>
      <c r="B1108" s="13" t="s">
        <v>2190</v>
      </c>
      <c r="C1108" s="13" t="s">
        <v>2197</v>
      </c>
      <c r="D1108" s="13" t="s">
        <v>2206</v>
      </c>
      <c r="E1108" s="13" t="s">
        <v>2211</v>
      </c>
      <c r="F1108" s="13" t="s">
        <v>2223</v>
      </c>
      <c r="G1108" s="13">
        <v>213.94</v>
      </c>
      <c r="H1108" s="13">
        <v>0</v>
      </c>
      <c r="I1108" s="13">
        <v>213.94</v>
      </c>
      <c r="J1108" s="24">
        <v>45875</v>
      </c>
      <c r="K1108" s="13">
        <v>16</v>
      </c>
      <c r="L1108" s="44">
        <v>4.7</v>
      </c>
      <c r="M1108" s="13" t="b">
        <v>0</v>
      </c>
      <c r="O1108" s="25">
        <f t="shared" si="68"/>
        <v>27</v>
      </c>
      <c r="P1108" s="13">
        <f t="shared" si="69"/>
        <v>0</v>
      </c>
      <c r="Q1108" s="13" t="str">
        <f t="shared" si="70"/>
        <v/>
      </c>
      <c r="R1108" s="13" t="str">
        <f t="shared" si="71"/>
        <v>Non diskon</v>
      </c>
    </row>
    <row r="1109" spans="1:18" x14ac:dyDescent="0.25">
      <c r="A1109" s="13" t="s">
        <v>1121</v>
      </c>
      <c r="B1109" s="13" t="s">
        <v>2194</v>
      </c>
      <c r="C1109" s="13" t="s">
        <v>2203</v>
      </c>
      <c r="D1109" s="13" t="s">
        <v>2206</v>
      </c>
      <c r="E1109" s="13" t="s">
        <v>2208</v>
      </c>
      <c r="F1109" s="13" t="s">
        <v>2215</v>
      </c>
      <c r="G1109" s="13">
        <v>29.31</v>
      </c>
      <c r="H1109" s="13">
        <v>0</v>
      </c>
      <c r="I1109" s="13">
        <v>29.31</v>
      </c>
      <c r="J1109" s="24">
        <v>45875</v>
      </c>
      <c r="K1109" s="13">
        <v>25</v>
      </c>
      <c r="L1109" s="44">
        <v>4.5999999999999996</v>
      </c>
      <c r="M1109" s="13" t="b">
        <v>1</v>
      </c>
      <c r="N1109" s="13" t="s">
        <v>2229</v>
      </c>
      <c r="O1109" s="25">
        <f t="shared" si="68"/>
        <v>27</v>
      </c>
      <c r="P1109" s="13">
        <f t="shared" si="69"/>
        <v>0</v>
      </c>
      <c r="Q1109" s="13">
        <f t="shared" si="70"/>
        <v>1</v>
      </c>
      <c r="R1109" s="13" t="str">
        <f t="shared" si="71"/>
        <v>Non diskon</v>
      </c>
    </row>
    <row r="1110" spans="1:18" x14ac:dyDescent="0.25">
      <c r="A1110" s="13" t="s">
        <v>1122</v>
      </c>
      <c r="B1110" s="13" t="s">
        <v>2191</v>
      </c>
      <c r="C1110" s="13" t="s">
        <v>2203</v>
      </c>
      <c r="D1110" s="13" t="s">
        <v>2204</v>
      </c>
      <c r="E1110" s="13" t="s">
        <v>2213</v>
      </c>
      <c r="F1110" s="13" t="s">
        <v>2214</v>
      </c>
      <c r="G1110" s="13">
        <v>49.12</v>
      </c>
      <c r="H1110" s="13">
        <v>0</v>
      </c>
      <c r="I1110" s="13">
        <v>49.12</v>
      </c>
      <c r="J1110" s="24">
        <v>45836</v>
      </c>
      <c r="K1110" s="13">
        <v>47</v>
      </c>
      <c r="L1110" s="44">
        <v>2.6870967741935483</v>
      </c>
      <c r="M1110" s="13" t="b">
        <v>0</v>
      </c>
      <c r="O1110" s="25">
        <f t="shared" si="68"/>
        <v>66</v>
      </c>
      <c r="P1110" s="13">
        <f t="shared" si="69"/>
        <v>0</v>
      </c>
      <c r="Q1110" s="13" t="str">
        <f t="shared" si="70"/>
        <v/>
      </c>
      <c r="R1110" s="13" t="str">
        <f t="shared" si="71"/>
        <v>Non diskon</v>
      </c>
    </row>
    <row r="1111" spans="1:18" x14ac:dyDescent="0.25">
      <c r="A1111" s="13" t="s">
        <v>1123</v>
      </c>
      <c r="B1111" s="13" t="s">
        <v>2194</v>
      </c>
      <c r="C1111" s="13" t="s">
        <v>2198</v>
      </c>
      <c r="D1111" s="13" t="s">
        <v>2206</v>
      </c>
      <c r="F1111" s="13" t="s">
        <v>2223</v>
      </c>
      <c r="G1111" s="13">
        <v>113.23</v>
      </c>
      <c r="H1111" s="13">
        <v>0</v>
      </c>
      <c r="I1111" s="13">
        <v>113.23</v>
      </c>
      <c r="J1111" s="24">
        <v>45875</v>
      </c>
      <c r="K1111" s="13">
        <v>13</v>
      </c>
      <c r="L1111" s="44">
        <v>3.7</v>
      </c>
      <c r="M1111" s="13" t="b">
        <v>0</v>
      </c>
      <c r="O1111" s="25">
        <f t="shared" si="68"/>
        <v>27</v>
      </c>
      <c r="P1111" s="13">
        <f t="shared" si="69"/>
        <v>0</v>
      </c>
      <c r="Q1111" s="13" t="str">
        <f t="shared" si="70"/>
        <v/>
      </c>
      <c r="R1111" s="13" t="str">
        <f t="shared" si="71"/>
        <v>Non diskon</v>
      </c>
    </row>
    <row r="1112" spans="1:18" x14ac:dyDescent="0.25">
      <c r="A1112" s="13" t="s">
        <v>1124</v>
      </c>
      <c r="B1112" s="13" t="s">
        <v>2190</v>
      </c>
      <c r="C1112" s="13" t="s">
        <v>2198</v>
      </c>
      <c r="D1112" s="13" t="s">
        <v>2204</v>
      </c>
      <c r="E1112" s="13" t="s">
        <v>2211</v>
      </c>
      <c r="F1112" s="13" t="s">
        <v>2224</v>
      </c>
      <c r="G1112" s="13">
        <v>103.65</v>
      </c>
      <c r="H1112" s="13">
        <v>0</v>
      </c>
      <c r="I1112" s="13">
        <v>103.65</v>
      </c>
      <c r="J1112" s="24">
        <v>45612</v>
      </c>
      <c r="K1112" s="13">
        <v>4</v>
      </c>
      <c r="L1112" s="44">
        <v>1</v>
      </c>
      <c r="M1112" s="13" t="b">
        <v>0</v>
      </c>
      <c r="O1112" s="25">
        <f t="shared" si="68"/>
        <v>290</v>
      </c>
      <c r="P1112" s="13">
        <f t="shared" si="69"/>
        <v>0</v>
      </c>
      <c r="Q1112" s="13" t="str">
        <f t="shared" si="70"/>
        <v/>
      </c>
      <c r="R1112" s="13" t="str">
        <f t="shared" si="71"/>
        <v>Non diskon</v>
      </c>
    </row>
    <row r="1113" spans="1:18" x14ac:dyDescent="0.25">
      <c r="A1113" s="13" t="s">
        <v>1125</v>
      </c>
      <c r="B1113" s="13" t="s">
        <v>2195</v>
      </c>
      <c r="C1113" s="13" t="s">
        <v>2201</v>
      </c>
      <c r="D1113" s="13" t="s">
        <v>2206</v>
      </c>
      <c r="F1113" s="13" t="s">
        <v>2218</v>
      </c>
      <c r="G1113" s="13">
        <v>71.84</v>
      </c>
      <c r="H1113" s="13">
        <v>49.4</v>
      </c>
      <c r="I1113" s="13">
        <v>36.35</v>
      </c>
      <c r="J1113" s="24">
        <v>45875</v>
      </c>
      <c r="K1113" s="13">
        <v>25</v>
      </c>
      <c r="L1113" s="44">
        <v>3.1874999999999991</v>
      </c>
      <c r="M1113" s="13" t="b">
        <v>0</v>
      </c>
      <c r="O1113" s="25">
        <f t="shared" si="68"/>
        <v>27</v>
      </c>
      <c r="P1113" s="13">
        <f t="shared" si="69"/>
        <v>1235</v>
      </c>
      <c r="Q1113" s="13" t="str">
        <f t="shared" si="70"/>
        <v/>
      </c>
      <c r="R1113" s="13" t="str">
        <f t="shared" si="71"/>
        <v>Diskon</v>
      </c>
    </row>
    <row r="1114" spans="1:18" x14ac:dyDescent="0.25">
      <c r="A1114" s="13" t="s">
        <v>1126</v>
      </c>
      <c r="B1114" s="13" t="s">
        <v>2193</v>
      </c>
      <c r="C1114" s="13" t="s">
        <v>2196</v>
      </c>
      <c r="D1114" s="13" t="s">
        <v>2205</v>
      </c>
      <c r="E1114" s="13" t="s">
        <v>2209</v>
      </c>
      <c r="F1114" s="13" t="s">
        <v>2218</v>
      </c>
      <c r="G1114" s="13">
        <v>128.31</v>
      </c>
      <c r="H1114" s="13">
        <v>0</v>
      </c>
      <c r="I1114" s="13">
        <v>128.31</v>
      </c>
      <c r="J1114" s="24">
        <v>45875</v>
      </c>
      <c r="K1114" s="13">
        <v>36</v>
      </c>
      <c r="L1114" s="44">
        <v>4</v>
      </c>
      <c r="M1114" s="13" t="b">
        <v>1</v>
      </c>
      <c r="N1114" s="13" t="s">
        <v>2229</v>
      </c>
      <c r="O1114" s="25">
        <f t="shared" si="68"/>
        <v>27</v>
      </c>
      <c r="P1114" s="13">
        <f t="shared" si="69"/>
        <v>0</v>
      </c>
      <c r="Q1114" s="13">
        <f t="shared" si="70"/>
        <v>1</v>
      </c>
      <c r="R1114" s="13" t="str">
        <f t="shared" si="71"/>
        <v>Non diskon</v>
      </c>
    </row>
    <row r="1115" spans="1:18" x14ac:dyDescent="0.25">
      <c r="A1115" s="13" t="s">
        <v>1127</v>
      </c>
      <c r="B1115" s="13" t="s">
        <v>2193</v>
      </c>
      <c r="C1115" s="13" t="s">
        <v>2203</v>
      </c>
      <c r="D1115" s="13" t="s">
        <v>2205</v>
      </c>
      <c r="E1115" s="13" t="s">
        <v>2209</v>
      </c>
      <c r="F1115" s="13" t="s">
        <v>2219</v>
      </c>
      <c r="G1115" s="13">
        <v>118.97</v>
      </c>
      <c r="H1115" s="13">
        <v>0</v>
      </c>
      <c r="I1115" s="13">
        <v>118.97</v>
      </c>
      <c r="J1115" s="24">
        <v>45875</v>
      </c>
      <c r="K1115" s="13">
        <v>45</v>
      </c>
      <c r="L1115" s="44">
        <v>3.8</v>
      </c>
      <c r="M1115" s="13" t="b">
        <v>0</v>
      </c>
      <c r="O1115" s="25">
        <f t="shared" si="68"/>
        <v>27</v>
      </c>
      <c r="P1115" s="13">
        <f t="shared" si="69"/>
        <v>0</v>
      </c>
      <c r="Q1115" s="13" t="str">
        <f t="shared" si="70"/>
        <v/>
      </c>
      <c r="R1115" s="13" t="str">
        <f t="shared" si="71"/>
        <v>Non diskon</v>
      </c>
    </row>
    <row r="1116" spans="1:18" x14ac:dyDescent="0.25">
      <c r="A1116" s="13" t="s">
        <v>1128</v>
      </c>
      <c r="B1116" s="13" t="s">
        <v>2194</v>
      </c>
      <c r="C1116" s="13" t="s">
        <v>2196</v>
      </c>
      <c r="D1116" s="13" t="s">
        <v>2205</v>
      </c>
      <c r="E1116" s="13" t="s">
        <v>2210</v>
      </c>
      <c r="F1116" s="13" t="s">
        <v>2214</v>
      </c>
      <c r="G1116" s="13">
        <v>31.98</v>
      </c>
      <c r="H1116" s="13">
        <v>16.5</v>
      </c>
      <c r="I1116" s="13">
        <v>26.7</v>
      </c>
      <c r="J1116" s="24">
        <v>45875</v>
      </c>
      <c r="K1116" s="13">
        <v>48</v>
      </c>
      <c r="L1116" s="44">
        <v>1.8</v>
      </c>
      <c r="M1116" s="13" t="b">
        <v>0</v>
      </c>
      <c r="O1116" s="25">
        <f t="shared" si="68"/>
        <v>27</v>
      </c>
      <c r="P1116" s="13">
        <f t="shared" si="69"/>
        <v>792</v>
      </c>
      <c r="Q1116" s="13" t="str">
        <f t="shared" si="70"/>
        <v/>
      </c>
      <c r="R1116" s="13" t="str">
        <f t="shared" si="71"/>
        <v>Diskon</v>
      </c>
    </row>
    <row r="1117" spans="1:18" x14ac:dyDescent="0.25">
      <c r="A1117" s="13" t="s">
        <v>1129</v>
      </c>
      <c r="B1117" s="13" t="s">
        <v>2191</v>
      </c>
      <c r="C1117" s="13" t="s">
        <v>2198</v>
      </c>
      <c r="D1117" s="13" t="s">
        <v>2205</v>
      </c>
      <c r="E1117" s="13" t="s">
        <v>2211</v>
      </c>
      <c r="F1117" s="13" t="s">
        <v>2223</v>
      </c>
      <c r="G1117" s="13">
        <v>115.89</v>
      </c>
      <c r="H1117" s="13">
        <v>26.8</v>
      </c>
      <c r="I1117" s="13">
        <v>84.83</v>
      </c>
      <c r="J1117" s="24">
        <v>45875</v>
      </c>
      <c r="K1117" s="13">
        <v>26</v>
      </c>
      <c r="L1117" s="44">
        <v>4.5999999999999996</v>
      </c>
      <c r="M1117" s="13" t="b">
        <v>0</v>
      </c>
      <c r="O1117" s="25">
        <f t="shared" si="68"/>
        <v>27</v>
      </c>
      <c r="P1117" s="13">
        <f t="shared" si="69"/>
        <v>696.80000000000007</v>
      </c>
      <c r="Q1117" s="13" t="str">
        <f t="shared" si="70"/>
        <v/>
      </c>
      <c r="R1117" s="13" t="str">
        <f t="shared" si="71"/>
        <v>Diskon</v>
      </c>
    </row>
    <row r="1118" spans="1:18" x14ac:dyDescent="0.25">
      <c r="A1118" s="13" t="s">
        <v>1130</v>
      </c>
      <c r="B1118" s="13" t="s">
        <v>2195</v>
      </c>
      <c r="C1118" s="13" t="s">
        <v>2201</v>
      </c>
      <c r="D1118" s="13" t="s">
        <v>2206</v>
      </c>
      <c r="E1118" s="13" t="s">
        <v>2208</v>
      </c>
      <c r="F1118" s="13" t="s">
        <v>2215</v>
      </c>
      <c r="G1118" s="13">
        <v>140.06</v>
      </c>
      <c r="H1118" s="13">
        <v>0</v>
      </c>
      <c r="I1118" s="13">
        <v>140.06</v>
      </c>
      <c r="J1118" s="24">
        <v>45875</v>
      </c>
      <c r="K1118" s="13">
        <v>37</v>
      </c>
      <c r="L1118" s="44">
        <v>2.2999999999999998</v>
      </c>
      <c r="M1118" s="13" t="b">
        <v>0</v>
      </c>
      <c r="O1118" s="25">
        <f t="shared" si="68"/>
        <v>27</v>
      </c>
      <c r="P1118" s="13">
        <f t="shared" si="69"/>
        <v>0</v>
      </c>
      <c r="Q1118" s="13" t="str">
        <f t="shared" si="70"/>
        <v/>
      </c>
      <c r="R1118" s="13" t="str">
        <f t="shared" si="71"/>
        <v>Non diskon</v>
      </c>
    </row>
    <row r="1119" spans="1:18" x14ac:dyDescent="0.25">
      <c r="A1119" s="13" t="s">
        <v>1131</v>
      </c>
      <c r="B1119" s="13" t="s">
        <v>2193</v>
      </c>
      <c r="C1119" s="13" t="s">
        <v>2199</v>
      </c>
      <c r="D1119" s="13" t="s">
        <v>2206</v>
      </c>
      <c r="E1119" s="13" t="s">
        <v>2212</v>
      </c>
      <c r="F1119" s="13" t="s">
        <v>2215</v>
      </c>
      <c r="G1119" s="13">
        <v>154.82</v>
      </c>
      <c r="H1119" s="13">
        <v>0</v>
      </c>
      <c r="I1119" s="13">
        <v>154.82</v>
      </c>
      <c r="J1119" s="24">
        <v>45875</v>
      </c>
      <c r="K1119" s="13">
        <v>10</v>
      </c>
      <c r="L1119" s="44">
        <v>4.0999999999999996</v>
      </c>
      <c r="M1119" s="13" t="b">
        <v>0</v>
      </c>
      <c r="O1119" s="25">
        <f t="shared" si="68"/>
        <v>27</v>
      </c>
      <c r="P1119" s="13">
        <f t="shared" si="69"/>
        <v>0</v>
      </c>
      <c r="Q1119" s="13" t="str">
        <f t="shared" si="70"/>
        <v/>
      </c>
      <c r="R1119" s="13" t="str">
        <f t="shared" si="71"/>
        <v>Non diskon</v>
      </c>
    </row>
    <row r="1120" spans="1:18" x14ac:dyDescent="0.25">
      <c r="A1120" s="13" t="s">
        <v>1132</v>
      </c>
      <c r="B1120" s="13" t="s">
        <v>2195</v>
      </c>
      <c r="C1120" s="13" t="s">
        <v>2197</v>
      </c>
      <c r="D1120" s="13" t="s">
        <v>2205</v>
      </c>
      <c r="E1120" s="13" t="s">
        <v>2208</v>
      </c>
      <c r="F1120" s="13" t="s">
        <v>2219</v>
      </c>
      <c r="G1120" s="13">
        <v>114.21</v>
      </c>
      <c r="H1120" s="13">
        <v>20.2</v>
      </c>
      <c r="I1120" s="13">
        <v>91.14</v>
      </c>
      <c r="J1120" s="24">
        <v>45875</v>
      </c>
      <c r="K1120" s="13">
        <v>5</v>
      </c>
      <c r="L1120" s="44">
        <v>2</v>
      </c>
      <c r="M1120" s="13" t="b">
        <v>1</v>
      </c>
      <c r="N1120" s="13" t="s">
        <v>2230</v>
      </c>
      <c r="O1120" s="25">
        <f t="shared" si="68"/>
        <v>27</v>
      </c>
      <c r="P1120" s="13">
        <f t="shared" si="69"/>
        <v>101</v>
      </c>
      <c r="Q1120" s="13">
        <f t="shared" si="70"/>
        <v>1</v>
      </c>
      <c r="R1120" s="13" t="str">
        <f t="shared" si="71"/>
        <v>Diskon</v>
      </c>
    </row>
    <row r="1121" spans="1:18" x14ac:dyDescent="0.25">
      <c r="A1121" s="13" t="s">
        <v>1133</v>
      </c>
      <c r="B1121" s="13" t="s">
        <v>2193</v>
      </c>
      <c r="C1121" s="13" t="s">
        <v>2196</v>
      </c>
      <c r="D1121" s="13" t="s">
        <v>2205</v>
      </c>
      <c r="E1121" s="13" t="s">
        <v>2208</v>
      </c>
      <c r="F1121" s="13" t="s">
        <v>2219</v>
      </c>
      <c r="G1121" s="13">
        <v>114.84</v>
      </c>
      <c r="H1121" s="13">
        <v>0</v>
      </c>
      <c r="I1121" s="13">
        <v>114.84</v>
      </c>
      <c r="J1121" s="24">
        <v>45875</v>
      </c>
      <c r="K1121" s="13">
        <v>38</v>
      </c>
      <c r="L1121" s="44">
        <v>2.6</v>
      </c>
      <c r="M1121" s="13" t="b">
        <v>1</v>
      </c>
      <c r="N1121" s="13" t="s">
        <v>2225</v>
      </c>
      <c r="O1121" s="25">
        <f t="shared" si="68"/>
        <v>27</v>
      </c>
      <c r="P1121" s="13">
        <f t="shared" si="69"/>
        <v>0</v>
      </c>
      <c r="Q1121" s="13">
        <f t="shared" si="70"/>
        <v>1</v>
      </c>
      <c r="R1121" s="13" t="str">
        <f t="shared" si="71"/>
        <v>Non diskon</v>
      </c>
    </row>
    <row r="1122" spans="1:18" x14ac:dyDescent="0.25">
      <c r="A1122" s="13" t="s">
        <v>1134</v>
      </c>
      <c r="B1122" s="13" t="s">
        <v>2195</v>
      </c>
      <c r="C1122" s="13" t="s">
        <v>2199</v>
      </c>
      <c r="D1122" s="13" t="s">
        <v>2205</v>
      </c>
      <c r="E1122" s="13" t="s">
        <v>2208</v>
      </c>
      <c r="F1122" s="13" t="s">
        <v>2222</v>
      </c>
      <c r="G1122" s="13">
        <v>131.32</v>
      </c>
      <c r="H1122" s="13">
        <v>6.8</v>
      </c>
      <c r="I1122" s="13">
        <v>122.39</v>
      </c>
      <c r="J1122" s="24">
        <v>45875</v>
      </c>
      <c r="K1122" s="13">
        <v>18</v>
      </c>
      <c r="L1122" s="44">
        <v>2</v>
      </c>
      <c r="M1122" s="13" t="b">
        <v>0</v>
      </c>
      <c r="O1122" s="25">
        <f t="shared" si="68"/>
        <v>27</v>
      </c>
      <c r="P1122" s="13">
        <f t="shared" si="69"/>
        <v>122.39999999999999</v>
      </c>
      <c r="Q1122" s="13" t="str">
        <f t="shared" si="70"/>
        <v/>
      </c>
      <c r="R1122" s="13" t="str">
        <f t="shared" si="71"/>
        <v>Diskon</v>
      </c>
    </row>
    <row r="1123" spans="1:18" x14ac:dyDescent="0.25">
      <c r="A1123" s="13" t="s">
        <v>1135</v>
      </c>
      <c r="B1123" s="13" t="s">
        <v>2191</v>
      </c>
      <c r="C1123" s="13" t="s">
        <v>2199</v>
      </c>
      <c r="D1123" s="13" t="s">
        <v>2206</v>
      </c>
      <c r="E1123" s="13" t="s">
        <v>2210</v>
      </c>
      <c r="F1123" s="13" t="s">
        <v>2215</v>
      </c>
      <c r="G1123" s="13">
        <v>91.41</v>
      </c>
      <c r="H1123" s="13">
        <v>32.1</v>
      </c>
      <c r="I1123" s="13">
        <v>62.07</v>
      </c>
      <c r="J1123" s="24">
        <v>45875</v>
      </c>
      <c r="K1123" s="13">
        <v>49</v>
      </c>
      <c r="L1123" s="44">
        <v>2.2999999999999998</v>
      </c>
      <c r="M1123" s="13" t="b">
        <v>0</v>
      </c>
      <c r="O1123" s="25">
        <f t="shared" si="68"/>
        <v>27</v>
      </c>
      <c r="P1123" s="13">
        <f t="shared" si="69"/>
        <v>1572.9</v>
      </c>
      <c r="Q1123" s="13" t="str">
        <f t="shared" si="70"/>
        <v/>
      </c>
      <c r="R1123" s="13" t="str">
        <f t="shared" si="71"/>
        <v>Diskon</v>
      </c>
    </row>
    <row r="1124" spans="1:18" x14ac:dyDescent="0.25">
      <c r="A1124" s="13" t="s">
        <v>1136</v>
      </c>
      <c r="B1124" s="13" t="s">
        <v>2190</v>
      </c>
      <c r="C1124" s="13" t="s">
        <v>2202</v>
      </c>
      <c r="D1124" s="13" t="s">
        <v>2206</v>
      </c>
      <c r="E1124" s="13" t="s">
        <v>2212</v>
      </c>
      <c r="F1124" s="13" t="s">
        <v>2216</v>
      </c>
      <c r="G1124" s="13">
        <v>202.28</v>
      </c>
      <c r="H1124" s="13">
        <v>0</v>
      </c>
      <c r="I1124" s="13">
        <v>202.28</v>
      </c>
      <c r="J1124" s="24">
        <v>45875</v>
      </c>
      <c r="K1124" s="13">
        <v>4</v>
      </c>
      <c r="L1124" s="44">
        <v>2.9034482758620692</v>
      </c>
      <c r="M1124" s="13" t="b">
        <v>0</v>
      </c>
      <c r="O1124" s="25">
        <f t="shared" si="68"/>
        <v>27</v>
      </c>
      <c r="P1124" s="13">
        <f t="shared" si="69"/>
        <v>0</v>
      </c>
      <c r="Q1124" s="13" t="str">
        <f t="shared" si="70"/>
        <v/>
      </c>
      <c r="R1124" s="13" t="str">
        <f t="shared" si="71"/>
        <v>Non diskon</v>
      </c>
    </row>
    <row r="1125" spans="1:18" x14ac:dyDescent="0.25">
      <c r="A1125" s="13" t="s">
        <v>1137</v>
      </c>
      <c r="B1125" s="13" t="s">
        <v>2194</v>
      </c>
      <c r="C1125" s="13" t="s">
        <v>2203</v>
      </c>
      <c r="D1125" s="13" t="s">
        <v>2206</v>
      </c>
      <c r="E1125" s="13" t="s">
        <v>2213</v>
      </c>
      <c r="F1125" s="13" t="s">
        <v>2214</v>
      </c>
      <c r="G1125" s="13">
        <v>119.63</v>
      </c>
      <c r="H1125" s="13">
        <v>0</v>
      </c>
      <c r="I1125" s="13">
        <v>119.63</v>
      </c>
      <c r="J1125" s="24">
        <v>45875</v>
      </c>
      <c r="K1125" s="13">
        <v>14</v>
      </c>
      <c r="L1125" s="44">
        <v>2.1</v>
      </c>
      <c r="M1125" s="13" t="b">
        <v>0</v>
      </c>
      <c r="O1125" s="25">
        <f t="shared" si="68"/>
        <v>27</v>
      </c>
      <c r="P1125" s="13">
        <f t="shared" si="69"/>
        <v>0</v>
      </c>
      <c r="Q1125" s="13" t="str">
        <f t="shared" si="70"/>
        <v/>
      </c>
      <c r="R1125" s="13" t="str">
        <f t="shared" si="71"/>
        <v>Non diskon</v>
      </c>
    </row>
    <row r="1126" spans="1:18" x14ac:dyDescent="0.25">
      <c r="A1126" s="13" t="s">
        <v>1138</v>
      </c>
      <c r="B1126" s="13" t="s">
        <v>2193</v>
      </c>
      <c r="C1126" s="13" t="s">
        <v>2198</v>
      </c>
      <c r="D1126" s="13" t="s">
        <v>2207</v>
      </c>
      <c r="E1126" s="13" t="s">
        <v>2209</v>
      </c>
      <c r="F1126" s="13" t="s">
        <v>2219</v>
      </c>
      <c r="G1126" s="13">
        <v>167.89</v>
      </c>
      <c r="H1126" s="13">
        <v>0</v>
      </c>
      <c r="I1126" s="13">
        <v>167.89</v>
      </c>
      <c r="J1126" s="24">
        <v>45875</v>
      </c>
      <c r="K1126" s="13">
        <v>12</v>
      </c>
      <c r="L1126" s="44">
        <v>1</v>
      </c>
      <c r="M1126" s="13" t="b">
        <v>0</v>
      </c>
      <c r="O1126" s="25">
        <f t="shared" si="68"/>
        <v>27</v>
      </c>
      <c r="P1126" s="13">
        <f t="shared" si="69"/>
        <v>0</v>
      </c>
      <c r="Q1126" s="13" t="str">
        <f t="shared" si="70"/>
        <v/>
      </c>
      <c r="R1126" s="13" t="str">
        <f t="shared" si="71"/>
        <v>Non diskon</v>
      </c>
    </row>
    <row r="1127" spans="1:18" x14ac:dyDescent="0.25">
      <c r="A1127" s="13" t="s">
        <v>1139</v>
      </c>
      <c r="B1127" s="13" t="s">
        <v>2193</v>
      </c>
      <c r="C1127" s="13" t="s">
        <v>2197</v>
      </c>
      <c r="D1127" s="13" t="s">
        <v>2204</v>
      </c>
      <c r="E1127" s="13" t="s">
        <v>2208</v>
      </c>
      <c r="F1127" s="13" t="s">
        <v>2219</v>
      </c>
      <c r="G1127" s="13">
        <v>100.39</v>
      </c>
      <c r="H1127" s="13">
        <v>0</v>
      </c>
      <c r="I1127" s="13">
        <v>100.39</v>
      </c>
      <c r="J1127" s="24">
        <v>45723</v>
      </c>
      <c r="K1127" s="13">
        <v>24</v>
      </c>
      <c r="L1127" s="44">
        <v>3.2</v>
      </c>
      <c r="M1127" s="13" t="b">
        <v>1</v>
      </c>
      <c r="N1127" s="13" t="s">
        <v>2228</v>
      </c>
      <c r="O1127" s="25">
        <f t="shared" si="68"/>
        <v>179</v>
      </c>
      <c r="P1127" s="13">
        <f t="shared" si="69"/>
        <v>0</v>
      </c>
      <c r="Q1127" s="13">
        <f t="shared" si="70"/>
        <v>1</v>
      </c>
      <c r="R1127" s="13" t="str">
        <f t="shared" si="71"/>
        <v>Non diskon</v>
      </c>
    </row>
    <row r="1128" spans="1:18" x14ac:dyDescent="0.25">
      <c r="A1128" s="13" t="s">
        <v>1140</v>
      </c>
      <c r="B1128" s="13" t="s">
        <v>2195</v>
      </c>
      <c r="C1128" s="13" t="s">
        <v>2202</v>
      </c>
      <c r="D1128" s="13" t="s">
        <v>2207</v>
      </c>
      <c r="E1128" s="13" t="s">
        <v>2209</v>
      </c>
      <c r="F1128" s="13" t="s">
        <v>2218</v>
      </c>
      <c r="G1128" s="13">
        <v>162.41999999999999</v>
      </c>
      <c r="H1128" s="13">
        <v>40.9</v>
      </c>
      <c r="I1128" s="13">
        <v>95.99</v>
      </c>
      <c r="J1128" s="24">
        <v>45875</v>
      </c>
      <c r="K1128" s="13">
        <v>32</v>
      </c>
      <c r="L1128" s="44">
        <v>1</v>
      </c>
      <c r="M1128" s="13" t="b">
        <v>0</v>
      </c>
      <c r="O1128" s="25">
        <f t="shared" si="68"/>
        <v>27</v>
      </c>
      <c r="P1128" s="13">
        <f t="shared" si="69"/>
        <v>1308.8</v>
      </c>
      <c r="Q1128" s="13" t="str">
        <f t="shared" si="70"/>
        <v/>
      </c>
      <c r="R1128" s="13" t="str">
        <f t="shared" si="71"/>
        <v>Diskon</v>
      </c>
    </row>
    <row r="1129" spans="1:18" x14ac:dyDescent="0.25">
      <c r="A1129" s="13" t="s">
        <v>1141</v>
      </c>
      <c r="B1129" s="13" t="s">
        <v>2193</v>
      </c>
      <c r="C1129" s="13" t="s">
        <v>2202</v>
      </c>
      <c r="D1129" s="13" t="s">
        <v>2204</v>
      </c>
      <c r="E1129" s="13" t="s">
        <v>2212</v>
      </c>
      <c r="F1129" s="13" t="s">
        <v>2218</v>
      </c>
      <c r="G1129" s="13">
        <v>65.069999999999993</v>
      </c>
      <c r="H1129" s="13">
        <v>5.0999999999999996</v>
      </c>
      <c r="I1129" s="13">
        <v>61.75</v>
      </c>
      <c r="J1129" s="24">
        <v>45674</v>
      </c>
      <c r="K1129" s="13">
        <v>16</v>
      </c>
      <c r="L1129" s="44">
        <v>4.3</v>
      </c>
      <c r="M1129" s="13" t="b">
        <v>0</v>
      </c>
      <c r="O1129" s="25">
        <f t="shared" si="68"/>
        <v>228</v>
      </c>
      <c r="P1129" s="13">
        <f t="shared" si="69"/>
        <v>81.599999999999994</v>
      </c>
      <c r="Q1129" s="13" t="str">
        <f t="shared" si="70"/>
        <v/>
      </c>
      <c r="R1129" s="13" t="str">
        <f t="shared" si="71"/>
        <v>Diskon</v>
      </c>
    </row>
    <row r="1130" spans="1:18" x14ac:dyDescent="0.25">
      <c r="A1130" s="13" t="s">
        <v>1142</v>
      </c>
      <c r="B1130" s="13" t="s">
        <v>2194</v>
      </c>
      <c r="C1130" s="13" t="s">
        <v>2203</v>
      </c>
      <c r="D1130" s="13" t="s">
        <v>2204</v>
      </c>
      <c r="E1130" s="13" t="s">
        <v>2211</v>
      </c>
      <c r="F1130" s="13" t="s">
        <v>2214</v>
      </c>
      <c r="G1130" s="13">
        <v>78.099999999999994</v>
      </c>
      <c r="H1130" s="13">
        <v>48.7</v>
      </c>
      <c r="I1130" s="13">
        <v>40.07</v>
      </c>
      <c r="J1130" s="24">
        <v>45783</v>
      </c>
      <c r="K1130" s="13">
        <v>0</v>
      </c>
      <c r="L1130" s="44">
        <v>3.1021739130434773</v>
      </c>
      <c r="M1130" s="13" t="b">
        <v>0</v>
      </c>
      <c r="O1130" s="25">
        <f t="shared" si="68"/>
        <v>119</v>
      </c>
      <c r="P1130" s="13">
        <f t="shared" si="69"/>
        <v>0</v>
      </c>
      <c r="Q1130" s="13" t="str">
        <f t="shared" si="70"/>
        <v/>
      </c>
      <c r="R1130" s="13" t="str">
        <f t="shared" si="71"/>
        <v>Diskon</v>
      </c>
    </row>
    <row r="1131" spans="1:18" x14ac:dyDescent="0.25">
      <c r="A1131" s="13" t="s">
        <v>1143</v>
      </c>
      <c r="B1131" s="13" t="s">
        <v>2190</v>
      </c>
      <c r="C1131" s="13" t="s">
        <v>2196</v>
      </c>
      <c r="D1131" s="13" t="s">
        <v>2204</v>
      </c>
      <c r="E1131" s="13" t="s">
        <v>2213</v>
      </c>
      <c r="F1131" s="13" t="s">
        <v>2219</v>
      </c>
      <c r="G1131" s="13">
        <v>115.73</v>
      </c>
      <c r="H1131" s="13">
        <v>59.8</v>
      </c>
      <c r="I1131" s="13">
        <v>46.52</v>
      </c>
      <c r="J1131" s="24">
        <v>45563</v>
      </c>
      <c r="K1131" s="13">
        <v>10</v>
      </c>
      <c r="L1131" s="44">
        <v>4.2</v>
      </c>
      <c r="M1131" s="13" t="b">
        <v>0</v>
      </c>
      <c r="O1131" s="25">
        <f t="shared" si="68"/>
        <v>339</v>
      </c>
      <c r="P1131" s="13">
        <f t="shared" si="69"/>
        <v>598</v>
      </c>
      <c r="Q1131" s="13" t="str">
        <f t="shared" si="70"/>
        <v/>
      </c>
      <c r="R1131" s="13" t="str">
        <f t="shared" si="71"/>
        <v>Diskon</v>
      </c>
    </row>
    <row r="1132" spans="1:18" x14ac:dyDescent="0.25">
      <c r="A1132" s="13" t="s">
        <v>1144</v>
      </c>
      <c r="B1132" s="13" t="s">
        <v>2192</v>
      </c>
      <c r="C1132" s="13" t="s">
        <v>2201</v>
      </c>
      <c r="D1132" s="13" t="s">
        <v>2206</v>
      </c>
      <c r="F1132" s="13" t="s">
        <v>2222</v>
      </c>
      <c r="G1132" s="13">
        <v>21.57</v>
      </c>
      <c r="H1132" s="13">
        <v>11.9</v>
      </c>
      <c r="I1132" s="13">
        <v>19</v>
      </c>
      <c r="J1132" s="24">
        <v>45875</v>
      </c>
      <c r="K1132" s="13">
        <v>37</v>
      </c>
      <c r="L1132" s="44">
        <v>3</v>
      </c>
      <c r="M1132" s="13" t="b">
        <v>1</v>
      </c>
      <c r="N1132" s="13" t="s">
        <v>2229</v>
      </c>
      <c r="O1132" s="25">
        <f t="shared" si="68"/>
        <v>27</v>
      </c>
      <c r="P1132" s="13">
        <f t="shared" si="69"/>
        <v>440.3</v>
      </c>
      <c r="Q1132" s="13">
        <f t="shared" si="70"/>
        <v>1</v>
      </c>
      <c r="R1132" s="13" t="str">
        <f t="shared" si="71"/>
        <v>Diskon</v>
      </c>
    </row>
    <row r="1133" spans="1:18" x14ac:dyDescent="0.25">
      <c r="A1133" s="13" t="s">
        <v>1145</v>
      </c>
      <c r="B1133" s="13" t="s">
        <v>2195</v>
      </c>
      <c r="C1133" s="13" t="s">
        <v>2198</v>
      </c>
      <c r="D1133" s="13" t="s">
        <v>2206</v>
      </c>
      <c r="E1133" s="13" t="s">
        <v>2210</v>
      </c>
      <c r="F1133" s="13" t="s">
        <v>2224</v>
      </c>
      <c r="G1133" s="13">
        <v>75.849999999999994</v>
      </c>
      <c r="H1133" s="13">
        <v>50.3</v>
      </c>
      <c r="I1133" s="13">
        <v>37.700000000000003</v>
      </c>
      <c r="J1133" s="24">
        <v>45875</v>
      </c>
      <c r="K1133" s="13">
        <v>50</v>
      </c>
      <c r="L1133" s="44">
        <v>4.7</v>
      </c>
      <c r="M1133" s="13" t="b">
        <v>1</v>
      </c>
      <c r="N1133" s="13" t="s">
        <v>2228</v>
      </c>
      <c r="O1133" s="25">
        <f t="shared" si="68"/>
        <v>27</v>
      </c>
      <c r="P1133" s="13">
        <f t="shared" si="69"/>
        <v>2515</v>
      </c>
      <c r="Q1133" s="13">
        <f t="shared" si="70"/>
        <v>1</v>
      </c>
      <c r="R1133" s="13" t="str">
        <f t="shared" si="71"/>
        <v>Diskon</v>
      </c>
    </row>
    <row r="1134" spans="1:18" x14ac:dyDescent="0.25">
      <c r="A1134" s="13" t="s">
        <v>1146</v>
      </c>
      <c r="B1134" s="13" t="s">
        <v>2190</v>
      </c>
      <c r="C1134" s="13" t="s">
        <v>2197</v>
      </c>
      <c r="D1134" s="13" t="s">
        <v>2207</v>
      </c>
      <c r="E1134" s="13" t="s">
        <v>2209</v>
      </c>
      <c r="F1134" s="13" t="s">
        <v>2220</v>
      </c>
      <c r="G1134" s="13">
        <v>170.91</v>
      </c>
      <c r="H1134" s="13">
        <v>0</v>
      </c>
      <c r="I1134" s="13">
        <v>170.91</v>
      </c>
      <c r="J1134" s="24">
        <v>45875</v>
      </c>
      <c r="K1134" s="13">
        <v>36</v>
      </c>
      <c r="L1134" s="44">
        <v>1.6</v>
      </c>
      <c r="M1134" s="13" t="b">
        <v>1</v>
      </c>
      <c r="N1134" s="13" t="s">
        <v>2228</v>
      </c>
      <c r="O1134" s="25">
        <f t="shared" si="68"/>
        <v>27</v>
      </c>
      <c r="P1134" s="13">
        <f t="shared" si="69"/>
        <v>0</v>
      </c>
      <c r="Q1134" s="13">
        <f t="shared" si="70"/>
        <v>1</v>
      </c>
      <c r="R1134" s="13" t="str">
        <f t="shared" si="71"/>
        <v>Non diskon</v>
      </c>
    </row>
    <row r="1135" spans="1:18" x14ac:dyDescent="0.25">
      <c r="A1135" s="13" t="s">
        <v>1147</v>
      </c>
      <c r="B1135" s="13" t="s">
        <v>2193</v>
      </c>
      <c r="C1135" s="13" t="s">
        <v>2200</v>
      </c>
      <c r="D1135" s="13" t="s">
        <v>2206</v>
      </c>
      <c r="E1135" s="13" t="s">
        <v>2208</v>
      </c>
      <c r="F1135" s="13" t="s">
        <v>2217</v>
      </c>
      <c r="G1135" s="13">
        <v>94.06</v>
      </c>
      <c r="H1135" s="13">
        <v>22.4</v>
      </c>
      <c r="I1135" s="13">
        <v>72.989999999999995</v>
      </c>
      <c r="J1135" s="24">
        <v>45875</v>
      </c>
      <c r="K1135" s="13">
        <v>0</v>
      </c>
      <c r="L1135" s="44">
        <v>3.3021276595744684</v>
      </c>
      <c r="M1135" s="13" t="b">
        <v>0</v>
      </c>
      <c r="O1135" s="25">
        <f t="shared" si="68"/>
        <v>27</v>
      </c>
      <c r="P1135" s="13">
        <f t="shared" si="69"/>
        <v>0</v>
      </c>
      <c r="Q1135" s="13" t="str">
        <f t="shared" si="70"/>
        <v/>
      </c>
      <c r="R1135" s="13" t="str">
        <f t="shared" si="71"/>
        <v>Diskon</v>
      </c>
    </row>
    <row r="1136" spans="1:18" x14ac:dyDescent="0.25">
      <c r="A1136" s="13" t="s">
        <v>1148</v>
      </c>
      <c r="B1136" s="13" t="s">
        <v>2194</v>
      </c>
      <c r="C1136" s="13" t="s">
        <v>2200</v>
      </c>
      <c r="D1136" s="13" t="s">
        <v>2207</v>
      </c>
      <c r="E1136" s="13" t="s">
        <v>2210</v>
      </c>
      <c r="F1136" s="13" t="s">
        <v>2219</v>
      </c>
      <c r="G1136" s="13">
        <v>84.44</v>
      </c>
      <c r="H1136" s="13">
        <v>0</v>
      </c>
      <c r="I1136" s="13">
        <v>84.44</v>
      </c>
      <c r="J1136" s="24">
        <v>45875</v>
      </c>
      <c r="K1136" s="13">
        <v>2</v>
      </c>
      <c r="L1136" s="44">
        <v>1.1000000000000001</v>
      </c>
      <c r="M1136" s="13" t="b">
        <v>0</v>
      </c>
      <c r="O1136" s="25">
        <f t="shared" si="68"/>
        <v>27</v>
      </c>
      <c r="P1136" s="13">
        <f t="shared" si="69"/>
        <v>0</v>
      </c>
      <c r="Q1136" s="13" t="str">
        <f t="shared" si="70"/>
        <v/>
      </c>
      <c r="R1136" s="13" t="str">
        <f t="shared" si="71"/>
        <v>Non diskon</v>
      </c>
    </row>
    <row r="1137" spans="1:18" x14ac:dyDescent="0.25">
      <c r="A1137" s="13" t="s">
        <v>1149</v>
      </c>
      <c r="B1137" s="13" t="s">
        <v>2190</v>
      </c>
      <c r="C1137" s="13" t="s">
        <v>2196</v>
      </c>
      <c r="D1137" s="13" t="s">
        <v>2207</v>
      </c>
      <c r="E1137" s="13" t="s">
        <v>2212</v>
      </c>
      <c r="F1137" s="13" t="s">
        <v>2215</v>
      </c>
      <c r="G1137" s="13">
        <v>93.11</v>
      </c>
      <c r="H1137" s="13">
        <v>0</v>
      </c>
      <c r="I1137" s="13">
        <v>93.11</v>
      </c>
      <c r="J1137" s="24">
        <v>45875</v>
      </c>
      <c r="K1137" s="13">
        <v>43</v>
      </c>
      <c r="L1137" s="44">
        <v>2.8</v>
      </c>
      <c r="M1137" s="13" t="b">
        <v>0</v>
      </c>
      <c r="O1137" s="25">
        <f t="shared" si="68"/>
        <v>27</v>
      </c>
      <c r="P1137" s="13">
        <f t="shared" si="69"/>
        <v>0</v>
      </c>
      <c r="Q1137" s="13" t="str">
        <f t="shared" si="70"/>
        <v/>
      </c>
      <c r="R1137" s="13" t="str">
        <f t="shared" si="71"/>
        <v>Non diskon</v>
      </c>
    </row>
    <row r="1138" spans="1:18" x14ac:dyDescent="0.25">
      <c r="A1138" s="13" t="s">
        <v>1150</v>
      </c>
      <c r="B1138" s="13" t="s">
        <v>2191</v>
      </c>
      <c r="C1138" s="13" t="s">
        <v>2196</v>
      </c>
      <c r="D1138" s="13" t="s">
        <v>2205</v>
      </c>
      <c r="E1138" s="13" t="s">
        <v>2210</v>
      </c>
      <c r="F1138" s="13" t="s">
        <v>2219</v>
      </c>
      <c r="G1138" s="13">
        <v>84.85</v>
      </c>
      <c r="H1138" s="13">
        <v>8.8000000000000007</v>
      </c>
      <c r="I1138" s="13">
        <v>77.38</v>
      </c>
      <c r="J1138" s="24">
        <v>45875</v>
      </c>
      <c r="K1138" s="13">
        <v>19</v>
      </c>
      <c r="L1138" s="44">
        <v>4.0999999999999996</v>
      </c>
      <c r="M1138" s="13" t="b">
        <v>1</v>
      </c>
      <c r="N1138" s="13" t="s">
        <v>2229</v>
      </c>
      <c r="O1138" s="25">
        <f t="shared" si="68"/>
        <v>27</v>
      </c>
      <c r="P1138" s="13">
        <f t="shared" si="69"/>
        <v>167.20000000000002</v>
      </c>
      <c r="Q1138" s="13">
        <f t="shared" si="70"/>
        <v>1</v>
      </c>
      <c r="R1138" s="13" t="str">
        <f t="shared" si="71"/>
        <v>Diskon</v>
      </c>
    </row>
    <row r="1139" spans="1:18" x14ac:dyDescent="0.25">
      <c r="A1139" s="13" t="s">
        <v>1151</v>
      </c>
      <c r="B1139" s="13" t="s">
        <v>2193</v>
      </c>
      <c r="C1139" s="13" t="s">
        <v>2197</v>
      </c>
      <c r="D1139" s="13" t="s">
        <v>2204</v>
      </c>
      <c r="E1139" s="13" t="s">
        <v>2213</v>
      </c>
      <c r="F1139" s="13" t="s">
        <v>2220</v>
      </c>
      <c r="G1139" s="13">
        <v>138.41</v>
      </c>
      <c r="H1139" s="13">
        <v>0</v>
      </c>
      <c r="I1139" s="13">
        <v>138.41</v>
      </c>
      <c r="J1139" s="24">
        <v>45613</v>
      </c>
      <c r="K1139" s="13">
        <v>40</v>
      </c>
      <c r="L1139" s="44">
        <v>3.1</v>
      </c>
      <c r="M1139" s="13" t="b">
        <v>0</v>
      </c>
      <c r="O1139" s="25">
        <f t="shared" si="68"/>
        <v>289</v>
      </c>
      <c r="P1139" s="13">
        <f t="shared" si="69"/>
        <v>0</v>
      </c>
      <c r="Q1139" s="13" t="str">
        <f t="shared" si="70"/>
        <v/>
      </c>
      <c r="R1139" s="13" t="str">
        <f t="shared" si="71"/>
        <v>Non diskon</v>
      </c>
    </row>
    <row r="1140" spans="1:18" x14ac:dyDescent="0.25">
      <c r="A1140" s="13" t="s">
        <v>1152</v>
      </c>
      <c r="B1140" s="13" t="s">
        <v>2192</v>
      </c>
      <c r="C1140" s="13" t="s">
        <v>2196</v>
      </c>
      <c r="D1140" s="13" t="s">
        <v>2206</v>
      </c>
      <c r="F1140" s="13" t="s">
        <v>2215</v>
      </c>
      <c r="G1140" s="13">
        <v>20.190000000000001</v>
      </c>
      <c r="H1140" s="13">
        <v>21.6</v>
      </c>
      <c r="I1140" s="13">
        <v>15.83</v>
      </c>
      <c r="J1140" s="24">
        <v>45875</v>
      </c>
      <c r="K1140" s="13">
        <v>45</v>
      </c>
      <c r="L1140" s="44">
        <v>4.4000000000000004</v>
      </c>
      <c r="M1140" s="13" t="b">
        <v>1</v>
      </c>
      <c r="N1140" s="13" t="s">
        <v>2229</v>
      </c>
      <c r="O1140" s="25">
        <f t="shared" si="68"/>
        <v>27</v>
      </c>
      <c r="P1140" s="13">
        <f t="shared" si="69"/>
        <v>972.00000000000011</v>
      </c>
      <c r="Q1140" s="13">
        <f t="shared" si="70"/>
        <v>1</v>
      </c>
      <c r="R1140" s="13" t="str">
        <f t="shared" si="71"/>
        <v>Diskon</v>
      </c>
    </row>
    <row r="1141" spans="1:18" x14ac:dyDescent="0.25">
      <c r="A1141" s="13" t="s">
        <v>1153</v>
      </c>
      <c r="B1141" s="13" t="s">
        <v>2195</v>
      </c>
      <c r="C1141" s="13" t="s">
        <v>2198</v>
      </c>
      <c r="D1141" s="13" t="s">
        <v>2206</v>
      </c>
      <c r="E1141" s="13" t="s">
        <v>2213</v>
      </c>
      <c r="F1141" s="13" t="s">
        <v>2218</v>
      </c>
      <c r="G1141" s="13">
        <v>124.17</v>
      </c>
      <c r="H1141" s="13">
        <v>37.6</v>
      </c>
      <c r="I1141" s="13">
        <v>77.48</v>
      </c>
      <c r="J1141" s="24">
        <v>45875</v>
      </c>
      <c r="K1141" s="13">
        <v>24</v>
      </c>
      <c r="L1141" s="44">
        <v>2.2999999999999998</v>
      </c>
      <c r="M1141" s="13" t="b">
        <v>0</v>
      </c>
      <c r="O1141" s="25">
        <f t="shared" si="68"/>
        <v>27</v>
      </c>
      <c r="P1141" s="13">
        <f t="shared" si="69"/>
        <v>902.40000000000009</v>
      </c>
      <c r="Q1141" s="13" t="str">
        <f t="shared" si="70"/>
        <v/>
      </c>
      <c r="R1141" s="13" t="str">
        <f t="shared" si="71"/>
        <v>Diskon</v>
      </c>
    </row>
    <row r="1142" spans="1:18" x14ac:dyDescent="0.25">
      <c r="A1142" s="13" t="s">
        <v>1154</v>
      </c>
      <c r="B1142" s="13" t="s">
        <v>2190</v>
      </c>
      <c r="C1142" s="13" t="s">
        <v>2198</v>
      </c>
      <c r="D1142" s="13" t="s">
        <v>2204</v>
      </c>
      <c r="E1142" s="13" t="s">
        <v>2209</v>
      </c>
      <c r="F1142" s="13" t="s">
        <v>2214</v>
      </c>
      <c r="G1142" s="13">
        <v>133.91999999999999</v>
      </c>
      <c r="H1142" s="13">
        <v>0</v>
      </c>
      <c r="I1142" s="13">
        <v>133.91999999999999</v>
      </c>
      <c r="J1142" s="24">
        <v>45760</v>
      </c>
      <c r="K1142" s="13">
        <v>41</v>
      </c>
      <c r="L1142" s="44">
        <v>2.8</v>
      </c>
      <c r="M1142" s="13" t="b">
        <v>0</v>
      </c>
      <c r="O1142" s="25">
        <f t="shared" si="68"/>
        <v>142</v>
      </c>
      <c r="P1142" s="13">
        <f t="shared" si="69"/>
        <v>0</v>
      </c>
      <c r="Q1142" s="13" t="str">
        <f t="shared" si="70"/>
        <v/>
      </c>
      <c r="R1142" s="13" t="str">
        <f t="shared" si="71"/>
        <v>Non diskon</v>
      </c>
    </row>
    <row r="1143" spans="1:18" x14ac:dyDescent="0.25">
      <c r="A1143" s="13" t="s">
        <v>1155</v>
      </c>
      <c r="B1143" s="13" t="s">
        <v>2192</v>
      </c>
      <c r="C1143" s="13" t="s">
        <v>2198</v>
      </c>
      <c r="D1143" s="13" t="s">
        <v>2204</v>
      </c>
      <c r="F1143" s="13" t="s">
        <v>2218</v>
      </c>
      <c r="G1143" s="13">
        <v>77.78</v>
      </c>
      <c r="H1143" s="13">
        <v>0</v>
      </c>
      <c r="I1143" s="13">
        <v>77.78</v>
      </c>
      <c r="J1143" s="24">
        <v>45845</v>
      </c>
      <c r="K1143" s="13">
        <v>23</v>
      </c>
      <c r="L1143" s="44">
        <v>2.5</v>
      </c>
      <c r="M1143" s="13" t="b">
        <v>1</v>
      </c>
      <c r="N1143" s="13" t="s">
        <v>2226</v>
      </c>
      <c r="O1143" s="25">
        <f t="shared" si="68"/>
        <v>57</v>
      </c>
      <c r="P1143" s="13">
        <f t="shared" si="69"/>
        <v>0</v>
      </c>
      <c r="Q1143" s="13">
        <f t="shared" si="70"/>
        <v>1</v>
      </c>
      <c r="R1143" s="13" t="str">
        <f t="shared" si="71"/>
        <v>Non diskon</v>
      </c>
    </row>
    <row r="1144" spans="1:18" x14ac:dyDescent="0.25">
      <c r="A1144" s="13" t="s">
        <v>1156</v>
      </c>
      <c r="B1144" s="13" t="s">
        <v>2195</v>
      </c>
      <c r="C1144" s="13" t="s">
        <v>2199</v>
      </c>
      <c r="D1144" s="13" t="s">
        <v>2205</v>
      </c>
      <c r="E1144" s="13" t="s">
        <v>2211</v>
      </c>
      <c r="F1144" s="13" t="s">
        <v>2224</v>
      </c>
      <c r="G1144" s="13">
        <v>157.69</v>
      </c>
      <c r="H1144" s="13">
        <v>35.9</v>
      </c>
      <c r="I1144" s="13">
        <v>101.08</v>
      </c>
      <c r="J1144" s="24">
        <v>45875</v>
      </c>
      <c r="K1144" s="13">
        <v>6</v>
      </c>
      <c r="L1144" s="44">
        <v>1</v>
      </c>
      <c r="M1144" s="13" t="b">
        <v>0</v>
      </c>
      <c r="O1144" s="25">
        <f t="shared" si="68"/>
        <v>27</v>
      </c>
      <c r="P1144" s="13">
        <f t="shared" si="69"/>
        <v>215.39999999999998</v>
      </c>
      <c r="Q1144" s="13" t="str">
        <f t="shared" si="70"/>
        <v/>
      </c>
      <c r="R1144" s="13" t="str">
        <f t="shared" si="71"/>
        <v>Diskon</v>
      </c>
    </row>
    <row r="1145" spans="1:18" x14ac:dyDescent="0.25">
      <c r="A1145" s="13" t="s">
        <v>1157</v>
      </c>
      <c r="B1145" s="13" t="s">
        <v>2191</v>
      </c>
      <c r="C1145" s="13" t="s">
        <v>2196</v>
      </c>
      <c r="D1145" s="13" t="s">
        <v>2205</v>
      </c>
      <c r="E1145" s="13" t="s">
        <v>2209</v>
      </c>
      <c r="F1145" s="13" t="s">
        <v>2216</v>
      </c>
      <c r="G1145" s="13">
        <v>99.57</v>
      </c>
      <c r="H1145" s="13">
        <v>0</v>
      </c>
      <c r="I1145" s="13">
        <v>99.57</v>
      </c>
      <c r="J1145" s="24">
        <v>45875</v>
      </c>
      <c r="K1145" s="13">
        <v>17</v>
      </c>
      <c r="L1145" s="44">
        <v>1</v>
      </c>
      <c r="M1145" s="13" t="b">
        <v>0</v>
      </c>
      <c r="O1145" s="25">
        <f t="shared" si="68"/>
        <v>27</v>
      </c>
      <c r="P1145" s="13">
        <f t="shared" si="69"/>
        <v>0</v>
      </c>
      <c r="Q1145" s="13" t="str">
        <f t="shared" si="70"/>
        <v/>
      </c>
      <c r="R1145" s="13" t="str">
        <f t="shared" si="71"/>
        <v>Non diskon</v>
      </c>
    </row>
    <row r="1146" spans="1:18" x14ac:dyDescent="0.25">
      <c r="A1146" s="13" t="s">
        <v>1158</v>
      </c>
      <c r="B1146" s="13" t="s">
        <v>2192</v>
      </c>
      <c r="C1146" s="13" t="s">
        <v>2196</v>
      </c>
      <c r="D1146" s="13" t="s">
        <v>2207</v>
      </c>
      <c r="F1146" s="13" t="s">
        <v>2224</v>
      </c>
      <c r="G1146" s="13">
        <v>43.61</v>
      </c>
      <c r="H1146" s="13">
        <v>33.299999999999997</v>
      </c>
      <c r="I1146" s="13">
        <v>29.09</v>
      </c>
      <c r="J1146" s="24">
        <v>45875</v>
      </c>
      <c r="K1146" s="13">
        <v>47</v>
      </c>
      <c r="L1146" s="44">
        <v>2.5</v>
      </c>
      <c r="M1146" s="13" t="b">
        <v>0</v>
      </c>
      <c r="O1146" s="25">
        <f t="shared" si="68"/>
        <v>27</v>
      </c>
      <c r="P1146" s="13">
        <f t="shared" si="69"/>
        <v>1565.1</v>
      </c>
      <c r="Q1146" s="13" t="str">
        <f t="shared" si="70"/>
        <v/>
      </c>
      <c r="R1146" s="13" t="str">
        <f t="shared" si="71"/>
        <v>Diskon</v>
      </c>
    </row>
    <row r="1147" spans="1:18" x14ac:dyDescent="0.25">
      <c r="A1147" s="13" t="s">
        <v>1159</v>
      </c>
      <c r="B1147" s="13" t="s">
        <v>2190</v>
      </c>
      <c r="C1147" s="13" t="s">
        <v>2202</v>
      </c>
      <c r="D1147" s="13" t="s">
        <v>2205</v>
      </c>
      <c r="E1147" s="13" t="s">
        <v>2213</v>
      </c>
      <c r="F1147" s="13" t="s">
        <v>2224</v>
      </c>
      <c r="G1147" s="13">
        <v>88.87</v>
      </c>
      <c r="H1147" s="13">
        <v>0</v>
      </c>
      <c r="I1147" s="13">
        <v>88.87</v>
      </c>
      <c r="J1147" s="24">
        <v>45875</v>
      </c>
      <c r="K1147" s="13">
        <v>27</v>
      </c>
      <c r="L1147" s="44">
        <v>2.4</v>
      </c>
      <c r="M1147" s="13" t="b">
        <v>0</v>
      </c>
      <c r="O1147" s="25">
        <f t="shared" si="68"/>
        <v>27</v>
      </c>
      <c r="P1147" s="13">
        <f t="shared" si="69"/>
        <v>0</v>
      </c>
      <c r="Q1147" s="13" t="str">
        <f t="shared" si="70"/>
        <v/>
      </c>
      <c r="R1147" s="13" t="str">
        <f t="shared" si="71"/>
        <v>Non diskon</v>
      </c>
    </row>
    <row r="1148" spans="1:18" x14ac:dyDescent="0.25">
      <c r="A1148" s="13" t="s">
        <v>1160</v>
      </c>
      <c r="B1148" s="13" t="s">
        <v>2194</v>
      </c>
      <c r="C1148" s="13" t="s">
        <v>2203</v>
      </c>
      <c r="D1148" s="13" t="s">
        <v>2206</v>
      </c>
      <c r="E1148" s="13" t="s">
        <v>2213</v>
      </c>
      <c r="F1148" s="13" t="s">
        <v>2217</v>
      </c>
      <c r="G1148" s="13">
        <v>112.6</v>
      </c>
      <c r="H1148" s="13">
        <v>19.8</v>
      </c>
      <c r="I1148" s="13">
        <v>90.31</v>
      </c>
      <c r="J1148" s="24">
        <v>45875</v>
      </c>
      <c r="K1148" s="13">
        <v>2</v>
      </c>
      <c r="L1148" s="44">
        <v>1</v>
      </c>
      <c r="M1148" s="13" t="b">
        <v>0</v>
      </c>
      <c r="O1148" s="25">
        <f t="shared" si="68"/>
        <v>27</v>
      </c>
      <c r="P1148" s="13">
        <f t="shared" si="69"/>
        <v>39.6</v>
      </c>
      <c r="Q1148" s="13" t="str">
        <f t="shared" si="70"/>
        <v/>
      </c>
      <c r="R1148" s="13" t="str">
        <f t="shared" si="71"/>
        <v>Diskon</v>
      </c>
    </row>
    <row r="1149" spans="1:18" x14ac:dyDescent="0.25">
      <c r="A1149" s="13" t="s">
        <v>1161</v>
      </c>
      <c r="B1149" s="13" t="s">
        <v>2191</v>
      </c>
      <c r="C1149" s="13" t="s">
        <v>2197</v>
      </c>
      <c r="D1149" s="13" t="s">
        <v>2206</v>
      </c>
      <c r="E1149" s="13" t="s">
        <v>2208</v>
      </c>
      <c r="F1149" s="13" t="s">
        <v>2220</v>
      </c>
      <c r="G1149" s="13">
        <v>33.35</v>
      </c>
      <c r="H1149" s="13">
        <v>0</v>
      </c>
      <c r="I1149" s="13">
        <v>33.35</v>
      </c>
      <c r="J1149" s="24">
        <v>45875</v>
      </c>
      <c r="K1149" s="13">
        <v>29</v>
      </c>
      <c r="L1149" s="44">
        <v>1.2</v>
      </c>
      <c r="M1149" s="13" t="b">
        <v>0</v>
      </c>
      <c r="O1149" s="25">
        <f t="shared" si="68"/>
        <v>27</v>
      </c>
      <c r="P1149" s="13">
        <f t="shared" si="69"/>
        <v>0</v>
      </c>
      <c r="Q1149" s="13" t="str">
        <f t="shared" si="70"/>
        <v/>
      </c>
      <c r="R1149" s="13" t="str">
        <f t="shared" si="71"/>
        <v>Non diskon</v>
      </c>
    </row>
    <row r="1150" spans="1:18" x14ac:dyDescent="0.25">
      <c r="A1150" s="13" t="s">
        <v>1162</v>
      </c>
      <c r="B1150" s="13" t="s">
        <v>2194</v>
      </c>
      <c r="C1150" s="13" t="s">
        <v>2203</v>
      </c>
      <c r="D1150" s="13" t="s">
        <v>2206</v>
      </c>
      <c r="E1150" s="13" t="s">
        <v>2209</v>
      </c>
      <c r="F1150" s="13" t="s">
        <v>2222</v>
      </c>
      <c r="G1150" s="13">
        <v>115.82</v>
      </c>
      <c r="H1150" s="13">
        <v>2.9</v>
      </c>
      <c r="I1150" s="13">
        <v>112.46</v>
      </c>
      <c r="J1150" s="24">
        <v>45875</v>
      </c>
      <c r="K1150" s="13">
        <v>46</v>
      </c>
      <c r="L1150" s="44">
        <v>3.1021739130434773</v>
      </c>
      <c r="M1150" s="13" t="b">
        <v>0</v>
      </c>
      <c r="O1150" s="25">
        <f t="shared" si="68"/>
        <v>27</v>
      </c>
      <c r="P1150" s="13">
        <f t="shared" si="69"/>
        <v>133.4</v>
      </c>
      <c r="Q1150" s="13" t="str">
        <f t="shared" si="70"/>
        <v/>
      </c>
      <c r="R1150" s="13" t="str">
        <f t="shared" si="71"/>
        <v>Diskon</v>
      </c>
    </row>
    <row r="1151" spans="1:18" x14ac:dyDescent="0.25">
      <c r="A1151" s="13" t="s">
        <v>1163</v>
      </c>
      <c r="B1151" s="13" t="s">
        <v>2191</v>
      </c>
      <c r="C1151" s="13" t="s">
        <v>2198</v>
      </c>
      <c r="D1151" s="13" t="s">
        <v>2206</v>
      </c>
      <c r="E1151" s="13" t="s">
        <v>2208</v>
      </c>
      <c r="F1151" s="13" t="s">
        <v>2217</v>
      </c>
      <c r="G1151" s="13">
        <v>107.79</v>
      </c>
      <c r="H1151" s="13">
        <v>3.1</v>
      </c>
      <c r="I1151" s="13">
        <v>104.45</v>
      </c>
      <c r="J1151" s="24">
        <v>45875</v>
      </c>
      <c r="K1151" s="13">
        <v>6</v>
      </c>
      <c r="L1151" s="44">
        <v>2.8</v>
      </c>
      <c r="M1151" s="13" t="b">
        <v>0</v>
      </c>
      <c r="O1151" s="25">
        <f t="shared" si="68"/>
        <v>27</v>
      </c>
      <c r="P1151" s="13">
        <f t="shared" si="69"/>
        <v>18.600000000000001</v>
      </c>
      <c r="Q1151" s="13" t="str">
        <f t="shared" si="70"/>
        <v/>
      </c>
      <c r="R1151" s="13" t="str">
        <f t="shared" si="71"/>
        <v>Diskon</v>
      </c>
    </row>
    <row r="1152" spans="1:18" x14ac:dyDescent="0.25">
      <c r="A1152" s="13" t="s">
        <v>1164</v>
      </c>
      <c r="B1152" s="13" t="s">
        <v>2191</v>
      </c>
      <c r="C1152" s="13" t="s">
        <v>2200</v>
      </c>
      <c r="D1152" s="13" t="s">
        <v>2207</v>
      </c>
      <c r="E1152" s="13" t="s">
        <v>2210</v>
      </c>
      <c r="F1152" s="13" t="s">
        <v>2217</v>
      </c>
      <c r="G1152" s="13">
        <v>53.87</v>
      </c>
      <c r="H1152" s="13">
        <v>0</v>
      </c>
      <c r="I1152" s="13">
        <v>53.87</v>
      </c>
      <c r="J1152" s="24">
        <v>45875</v>
      </c>
      <c r="K1152" s="13">
        <v>50</v>
      </c>
      <c r="L1152" s="44">
        <v>4.2</v>
      </c>
      <c r="M1152" s="13" t="b">
        <v>1</v>
      </c>
      <c r="N1152" s="13" t="s">
        <v>2227</v>
      </c>
      <c r="O1152" s="25">
        <f t="shared" si="68"/>
        <v>27</v>
      </c>
      <c r="P1152" s="13">
        <f t="shared" si="69"/>
        <v>0</v>
      </c>
      <c r="Q1152" s="13">
        <f t="shared" si="70"/>
        <v>1</v>
      </c>
      <c r="R1152" s="13" t="str">
        <f t="shared" si="71"/>
        <v>Non diskon</v>
      </c>
    </row>
    <row r="1153" spans="1:18" x14ac:dyDescent="0.25">
      <c r="A1153" s="13" t="s">
        <v>1165</v>
      </c>
      <c r="B1153" s="13" t="s">
        <v>2191</v>
      </c>
      <c r="C1153" s="13" t="s">
        <v>2202</v>
      </c>
      <c r="D1153" s="13" t="s">
        <v>2204</v>
      </c>
      <c r="E1153" s="13" t="s">
        <v>2212</v>
      </c>
      <c r="F1153" s="13" t="s">
        <v>2220</v>
      </c>
      <c r="G1153" s="13">
        <v>72.5</v>
      </c>
      <c r="H1153" s="13">
        <v>40.799999999999997</v>
      </c>
      <c r="I1153" s="13">
        <v>42.92</v>
      </c>
      <c r="J1153" s="24">
        <v>45656</v>
      </c>
      <c r="K1153" s="13">
        <v>23</v>
      </c>
      <c r="L1153" s="44">
        <v>4.4000000000000004</v>
      </c>
      <c r="M1153" s="13" t="b">
        <v>0</v>
      </c>
      <c r="O1153" s="25">
        <f t="shared" si="68"/>
        <v>246</v>
      </c>
      <c r="P1153" s="13">
        <f t="shared" si="69"/>
        <v>938.4</v>
      </c>
      <c r="Q1153" s="13" t="str">
        <f t="shared" si="70"/>
        <v/>
      </c>
      <c r="R1153" s="13" t="str">
        <f t="shared" si="71"/>
        <v>Diskon</v>
      </c>
    </row>
    <row r="1154" spans="1:18" x14ac:dyDescent="0.25">
      <c r="A1154" s="13" t="s">
        <v>1166</v>
      </c>
      <c r="B1154" s="13" t="s">
        <v>2193</v>
      </c>
      <c r="C1154" s="13" t="s">
        <v>2202</v>
      </c>
      <c r="D1154" s="13" t="s">
        <v>2204</v>
      </c>
      <c r="E1154" s="13" t="s">
        <v>2210</v>
      </c>
      <c r="F1154" s="13" t="s">
        <v>2218</v>
      </c>
      <c r="G1154" s="13">
        <v>152.32</v>
      </c>
      <c r="H1154" s="13">
        <v>0</v>
      </c>
      <c r="I1154" s="13">
        <v>152.32</v>
      </c>
      <c r="J1154" s="24">
        <v>45817</v>
      </c>
      <c r="K1154" s="13">
        <v>15</v>
      </c>
      <c r="L1154" s="44">
        <v>2.9083333333333328</v>
      </c>
      <c r="M1154" s="13" t="b">
        <v>0</v>
      </c>
      <c r="O1154" s="25">
        <f t="shared" si="68"/>
        <v>85</v>
      </c>
      <c r="P1154" s="13">
        <f t="shared" si="69"/>
        <v>0</v>
      </c>
      <c r="Q1154" s="13" t="str">
        <f t="shared" si="70"/>
        <v/>
      </c>
      <c r="R1154" s="13" t="str">
        <f t="shared" si="71"/>
        <v>Non diskon</v>
      </c>
    </row>
    <row r="1155" spans="1:18" x14ac:dyDescent="0.25">
      <c r="A1155" s="13" t="s">
        <v>1167</v>
      </c>
      <c r="B1155" s="13" t="s">
        <v>2195</v>
      </c>
      <c r="C1155" s="13" t="s">
        <v>2200</v>
      </c>
      <c r="D1155" s="13" t="s">
        <v>2205</v>
      </c>
      <c r="E1155" s="13" t="s">
        <v>2213</v>
      </c>
      <c r="F1155" s="13" t="s">
        <v>2214</v>
      </c>
      <c r="G1155" s="13">
        <v>67.63</v>
      </c>
      <c r="H1155" s="13">
        <v>0</v>
      </c>
      <c r="I1155" s="13">
        <v>67.63</v>
      </c>
      <c r="J1155" s="24">
        <v>45875</v>
      </c>
      <c r="K1155" s="13">
        <v>9</v>
      </c>
      <c r="L1155" s="44">
        <v>4.7</v>
      </c>
      <c r="M1155" s="13" t="b">
        <v>0</v>
      </c>
      <c r="O1155" s="25">
        <f t="shared" ref="O1155:O1218" si="72">DATE(2025,9,2)-J1155</f>
        <v>27</v>
      </c>
      <c r="P1155" s="13">
        <f t="shared" ref="P1155:P1218" si="73">H1155*K1155</f>
        <v>0</v>
      </c>
      <c r="Q1155" s="13" t="str">
        <f t="shared" ref="Q1155:Q1218" si="74">IF(M1155=FALSE,"",1)</f>
        <v/>
      </c>
      <c r="R1155" s="13" t="str">
        <f t="shared" ref="R1155:R1218" si="75">IF(H1155=0,"Non diskon","Diskon")</f>
        <v>Non diskon</v>
      </c>
    </row>
    <row r="1156" spans="1:18" x14ac:dyDescent="0.25">
      <c r="A1156" s="13" t="s">
        <v>1168</v>
      </c>
      <c r="B1156" s="13" t="s">
        <v>2190</v>
      </c>
      <c r="C1156" s="13" t="s">
        <v>2197</v>
      </c>
      <c r="D1156" s="13" t="s">
        <v>2207</v>
      </c>
      <c r="E1156" s="13" t="s">
        <v>2212</v>
      </c>
      <c r="F1156" s="13" t="s">
        <v>2223</v>
      </c>
      <c r="G1156" s="13">
        <v>221.94</v>
      </c>
      <c r="H1156" s="13">
        <v>0</v>
      </c>
      <c r="I1156" s="13">
        <v>221.94</v>
      </c>
      <c r="J1156" s="24">
        <v>45875</v>
      </c>
      <c r="K1156" s="13">
        <v>35</v>
      </c>
      <c r="L1156" s="44">
        <v>1.5</v>
      </c>
      <c r="M1156" s="13" t="b">
        <v>0</v>
      </c>
      <c r="O1156" s="25">
        <f t="shared" si="72"/>
        <v>27</v>
      </c>
      <c r="P1156" s="13">
        <f t="shared" si="73"/>
        <v>0</v>
      </c>
      <c r="Q1156" s="13" t="str">
        <f t="shared" si="74"/>
        <v/>
      </c>
      <c r="R1156" s="13" t="str">
        <f t="shared" si="75"/>
        <v>Non diskon</v>
      </c>
    </row>
    <row r="1157" spans="1:18" x14ac:dyDescent="0.25">
      <c r="A1157" s="13" t="s">
        <v>1169</v>
      </c>
      <c r="B1157" s="13" t="s">
        <v>2194</v>
      </c>
      <c r="C1157" s="13" t="s">
        <v>2196</v>
      </c>
      <c r="D1157" s="13" t="s">
        <v>2206</v>
      </c>
      <c r="E1157" s="13" t="s">
        <v>2212</v>
      </c>
      <c r="F1157" s="13" t="s">
        <v>2215</v>
      </c>
      <c r="G1157" s="13">
        <v>118.77</v>
      </c>
      <c r="H1157" s="13">
        <v>8.4</v>
      </c>
      <c r="I1157" s="13">
        <v>108.79</v>
      </c>
      <c r="J1157" s="24">
        <v>45875</v>
      </c>
      <c r="K1157" s="13">
        <v>30</v>
      </c>
      <c r="L1157" s="44">
        <v>4.5999999999999996</v>
      </c>
      <c r="M1157" s="13" t="b">
        <v>1</v>
      </c>
      <c r="N1157" s="13" t="s">
        <v>2230</v>
      </c>
      <c r="O1157" s="25">
        <f t="shared" si="72"/>
        <v>27</v>
      </c>
      <c r="P1157" s="13">
        <f t="shared" si="73"/>
        <v>252</v>
      </c>
      <c r="Q1157" s="13">
        <f t="shared" si="74"/>
        <v>1</v>
      </c>
      <c r="R1157" s="13" t="str">
        <f t="shared" si="75"/>
        <v>Diskon</v>
      </c>
    </row>
    <row r="1158" spans="1:18" x14ac:dyDescent="0.25">
      <c r="A1158" s="13" t="s">
        <v>1170</v>
      </c>
      <c r="B1158" s="13" t="s">
        <v>2191</v>
      </c>
      <c r="C1158" s="13" t="s">
        <v>2203</v>
      </c>
      <c r="D1158" s="13" t="s">
        <v>2206</v>
      </c>
      <c r="E1158" s="13" t="s">
        <v>2212</v>
      </c>
      <c r="F1158" s="13" t="s">
        <v>2220</v>
      </c>
      <c r="G1158" s="13">
        <v>100.17</v>
      </c>
      <c r="H1158" s="13">
        <v>0</v>
      </c>
      <c r="I1158" s="13">
        <v>100.17</v>
      </c>
      <c r="J1158" s="24">
        <v>45875</v>
      </c>
      <c r="K1158" s="13">
        <v>18</v>
      </c>
      <c r="L1158" s="44">
        <v>1.2</v>
      </c>
      <c r="M1158" s="13" t="b">
        <v>0</v>
      </c>
      <c r="O1158" s="25">
        <f t="shared" si="72"/>
        <v>27</v>
      </c>
      <c r="P1158" s="13">
        <f t="shared" si="73"/>
        <v>0</v>
      </c>
      <c r="Q1158" s="13" t="str">
        <f t="shared" si="74"/>
        <v/>
      </c>
      <c r="R1158" s="13" t="str">
        <f t="shared" si="75"/>
        <v>Non diskon</v>
      </c>
    </row>
    <row r="1159" spans="1:18" x14ac:dyDescent="0.25">
      <c r="A1159" s="13" t="s">
        <v>1171</v>
      </c>
      <c r="B1159" s="13" t="s">
        <v>2192</v>
      </c>
      <c r="C1159" s="13" t="s">
        <v>2198</v>
      </c>
      <c r="D1159" s="13" t="s">
        <v>2207</v>
      </c>
      <c r="F1159" s="13" t="s">
        <v>2217</v>
      </c>
      <c r="G1159" s="13">
        <v>18.45</v>
      </c>
      <c r="H1159" s="13">
        <v>0</v>
      </c>
      <c r="I1159" s="13">
        <v>18.45</v>
      </c>
      <c r="J1159" s="24">
        <v>45875</v>
      </c>
      <c r="K1159" s="13">
        <v>39</v>
      </c>
      <c r="L1159" s="44">
        <v>2.2000000000000002</v>
      </c>
      <c r="M1159" s="13" t="b">
        <v>0</v>
      </c>
      <c r="O1159" s="25">
        <f t="shared" si="72"/>
        <v>27</v>
      </c>
      <c r="P1159" s="13">
        <f t="shared" si="73"/>
        <v>0</v>
      </c>
      <c r="Q1159" s="13" t="str">
        <f t="shared" si="74"/>
        <v/>
      </c>
      <c r="R1159" s="13" t="str">
        <f t="shared" si="75"/>
        <v>Non diskon</v>
      </c>
    </row>
    <row r="1160" spans="1:18" x14ac:dyDescent="0.25">
      <c r="A1160" s="13" t="s">
        <v>1172</v>
      </c>
      <c r="B1160" s="13" t="s">
        <v>2192</v>
      </c>
      <c r="C1160" s="13" t="s">
        <v>2202</v>
      </c>
      <c r="D1160" s="13" t="s">
        <v>2207</v>
      </c>
      <c r="F1160" s="13" t="s">
        <v>2223</v>
      </c>
      <c r="G1160" s="13">
        <v>45.56</v>
      </c>
      <c r="H1160" s="13">
        <v>13.5</v>
      </c>
      <c r="I1160" s="13">
        <v>39.409999999999997</v>
      </c>
      <c r="J1160" s="24">
        <v>45875</v>
      </c>
      <c r="K1160" s="13">
        <v>40</v>
      </c>
      <c r="L1160" s="44">
        <v>3.2</v>
      </c>
      <c r="M1160" s="13" t="b">
        <v>0</v>
      </c>
      <c r="O1160" s="25">
        <f t="shared" si="72"/>
        <v>27</v>
      </c>
      <c r="P1160" s="13">
        <f t="shared" si="73"/>
        <v>540</v>
      </c>
      <c r="Q1160" s="13" t="str">
        <f t="shared" si="74"/>
        <v/>
      </c>
      <c r="R1160" s="13" t="str">
        <f t="shared" si="75"/>
        <v>Diskon</v>
      </c>
    </row>
    <row r="1161" spans="1:18" x14ac:dyDescent="0.25">
      <c r="A1161" s="13" t="s">
        <v>1173</v>
      </c>
      <c r="B1161" s="13" t="s">
        <v>2191</v>
      </c>
      <c r="C1161" s="13" t="s">
        <v>2197</v>
      </c>
      <c r="D1161" s="13" t="s">
        <v>2204</v>
      </c>
      <c r="E1161" s="13" t="s">
        <v>2210</v>
      </c>
      <c r="F1161" s="13" t="s">
        <v>2223</v>
      </c>
      <c r="G1161" s="13">
        <v>62.21</v>
      </c>
      <c r="H1161" s="13">
        <v>0</v>
      </c>
      <c r="I1161" s="13">
        <v>62.21</v>
      </c>
      <c r="J1161" s="24">
        <v>45861</v>
      </c>
      <c r="K1161" s="13">
        <v>38</v>
      </c>
      <c r="L1161" s="44">
        <v>2.6</v>
      </c>
      <c r="M1161" s="13" t="b">
        <v>0</v>
      </c>
      <c r="O1161" s="25">
        <f t="shared" si="72"/>
        <v>41</v>
      </c>
      <c r="P1161" s="13">
        <f t="shared" si="73"/>
        <v>0</v>
      </c>
      <c r="Q1161" s="13" t="str">
        <f t="shared" si="74"/>
        <v/>
      </c>
      <c r="R1161" s="13" t="str">
        <f t="shared" si="75"/>
        <v>Non diskon</v>
      </c>
    </row>
    <row r="1162" spans="1:18" x14ac:dyDescent="0.25">
      <c r="A1162" s="13" t="s">
        <v>1174</v>
      </c>
      <c r="B1162" s="13" t="s">
        <v>2192</v>
      </c>
      <c r="C1162" s="13" t="s">
        <v>2203</v>
      </c>
      <c r="D1162" s="13" t="s">
        <v>2205</v>
      </c>
      <c r="F1162" s="13" t="s">
        <v>2219</v>
      </c>
      <c r="G1162" s="13">
        <v>37.020000000000003</v>
      </c>
      <c r="H1162" s="13">
        <v>0</v>
      </c>
      <c r="I1162" s="13">
        <v>37.020000000000003</v>
      </c>
      <c r="J1162" s="24">
        <v>45875</v>
      </c>
      <c r="K1162" s="13">
        <v>12</v>
      </c>
      <c r="L1162" s="44">
        <v>4.3</v>
      </c>
      <c r="M1162" s="13" t="b">
        <v>0</v>
      </c>
      <c r="O1162" s="25">
        <f t="shared" si="72"/>
        <v>27</v>
      </c>
      <c r="P1162" s="13">
        <f t="shared" si="73"/>
        <v>0</v>
      </c>
      <c r="Q1162" s="13" t="str">
        <f t="shared" si="74"/>
        <v/>
      </c>
      <c r="R1162" s="13" t="str">
        <f t="shared" si="75"/>
        <v>Non diskon</v>
      </c>
    </row>
    <row r="1163" spans="1:18" x14ac:dyDescent="0.25">
      <c r="A1163" s="13" t="s">
        <v>1175</v>
      </c>
      <c r="B1163" s="13" t="s">
        <v>2195</v>
      </c>
      <c r="C1163" s="13" t="s">
        <v>2196</v>
      </c>
      <c r="D1163" s="13" t="s">
        <v>2207</v>
      </c>
      <c r="E1163" s="13" t="s">
        <v>2208</v>
      </c>
      <c r="F1163" s="13" t="s">
        <v>2221</v>
      </c>
      <c r="G1163" s="13">
        <v>51.86</v>
      </c>
      <c r="H1163" s="13">
        <v>39</v>
      </c>
      <c r="I1163" s="13">
        <v>31.63</v>
      </c>
      <c r="J1163" s="24">
        <v>45875</v>
      </c>
      <c r="K1163" s="13">
        <v>40</v>
      </c>
      <c r="L1163" s="44">
        <v>2.4</v>
      </c>
      <c r="M1163" s="13" t="b">
        <v>0</v>
      </c>
      <c r="O1163" s="25">
        <f t="shared" si="72"/>
        <v>27</v>
      </c>
      <c r="P1163" s="13">
        <f t="shared" si="73"/>
        <v>1560</v>
      </c>
      <c r="Q1163" s="13" t="str">
        <f t="shared" si="74"/>
        <v/>
      </c>
      <c r="R1163" s="13" t="str">
        <f t="shared" si="75"/>
        <v>Diskon</v>
      </c>
    </row>
    <row r="1164" spans="1:18" x14ac:dyDescent="0.25">
      <c r="A1164" s="13" t="s">
        <v>1176</v>
      </c>
      <c r="B1164" s="13" t="s">
        <v>2195</v>
      </c>
      <c r="C1164" s="13" t="s">
        <v>2196</v>
      </c>
      <c r="D1164" s="13" t="s">
        <v>2204</v>
      </c>
      <c r="E1164" s="13" t="s">
        <v>2212</v>
      </c>
      <c r="F1164" s="13" t="s">
        <v>2223</v>
      </c>
      <c r="G1164" s="13">
        <v>76.239999999999995</v>
      </c>
      <c r="H1164" s="13">
        <v>0</v>
      </c>
      <c r="I1164" s="13">
        <v>76.239999999999995</v>
      </c>
      <c r="J1164" s="24">
        <v>45664</v>
      </c>
      <c r="K1164" s="13">
        <v>14</v>
      </c>
      <c r="L1164" s="44">
        <v>2.8</v>
      </c>
      <c r="M1164" s="13" t="b">
        <v>0</v>
      </c>
      <c r="O1164" s="25">
        <f t="shared" si="72"/>
        <v>238</v>
      </c>
      <c r="P1164" s="13">
        <f t="shared" si="73"/>
        <v>0</v>
      </c>
      <c r="Q1164" s="13" t="str">
        <f t="shared" si="74"/>
        <v/>
      </c>
      <c r="R1164" s="13" t="str">
        <f t="shared" si="75"/>
        <v>Non diskon</v>
      </c>
    </row>
    <row r="1165" spans="1:18" x14ac:dyDescent="0.25">
      <c r="A1165" s="13" t="s">
        <v>1177</v>
      </c>
      <c r="B1165" s="13" t="s">
        <v>2192</v>
      </c>
      <c r="C1165" s="13" t="s">
        <v>2196</v>
      </c>
      <c r="D1165" s="13" t="s">
        <v>2206</v>
      </c>
      <c r="F1165" s="13" t="s">
        <v>2218</v>
      </c>
      <c r="G1165" s="13">
        <v>74.17</v>
      </c>
      <c r="H1165" s="13">
        <v>0</v>
      </c>
      <c r="I1165" s="13">
        <v>74.17</v>
      </c>
      <c r="J1165" s="24">
        <v>45875</v>
      </c>
      <c r="K1165" s="13">
        <v>24</v>
      </c>
      <c r="L1165" s="44">
        <v>1.7</v>
      </c>
      <c r="M1165" s="13" t="b">
        <v>0</v>
      </c>
      <c r="O1165" s="25">
        <f t="shared" si="72"/>
        <v>27</v>
      </c>
      <c r="P1165" s="13">
        <f t="shared" si="73"/>
        <v>0</v>
      </c>
      <c r="Q1165" s="13" t="str">
        <f t="shared" si="74"/>
        <v/>
      </c>
      <c r="R1165" s="13" t="str">
        <f t="shared" si="75"/>
        <v>Non diskon</v>
      </c>
    </row>
    <row r="1166" spans="1:18" x14ac:dyDescent="0.25">
      <c r="A1166" s="13" t="s">
        <v>1178</v>
      </c>
      <c r="B1166" s="13" t="s">
        <v>2194</v>
      </c>
      <c r="C1166" s="13" t="s">
        <v>2203</v>
      </c>
      <c r="D1166" s="13" t="s">
        <v>2204</v>
      </c>
      <c r="E1166" s="13" t="s">
        <v>2209</v>
      </c>
      <c r="F1166" s="13" t="s">
        <v>2221</v>
      </c>
      <c r="G1166" s="13">
        <v>75.989999999999995</v>
      </c>
      <c r="H1166" s="13">
        <v>0</v>
      </c>
      <c r="I1166" s="13">
        <v>75.989999999999995</v>
      </c>
      <c r="J1166" s="24">
        <v>45706</v>
      </c>
      <c r="K1166" s="13">
        <v>19</v>
      </c>
      <c r="L1166" s="44">
        <v>1.7</v>
      </c>
      <c r="M1166" s="13" t="b">
        <v>1</v>
      </c>
      <c r="N1166" s="13" t="s">
        <v>2226</v>
      </c>
      <c r="O1166" s="25">
        <f t="shared" si="72"/>
        <v>196</v>
      </c>
      <c r="P1166" s="13">
        <f t="shared" si="73"/>
        <v>0</v>
      </c>
      <c r="Q1166" s="13">
        <f t="shared" si="74"/>
        <v>1</v>
      </c>
      <c r="R1166" s="13" t="str">
        <f t="shared" si="75"/>
        <v>Non diskon</v>
      </c>
    </row>
    <row r="1167" spans="1:18" x14ac:dyDescent="0.25">
      <c r="A1167" s="13" t="s">
        <v>1179</v>
      </c>
      <c r="B1167" s="13" t="s">
        <v>2194</v>
      </c>
      <c r="C1167" s="13" t="s">
        <v>2200</v>
      </c>
      <c r="D1167" s="13" t="s">
        <v>2205</v>
      </c>
      <c r="E1167" s="13" t="s">
        <v>2212</v>
      </c>
      <c r="F1167" s="13" t="s">
        <v>2222</v>
      </c>
      <c r="G1167" s="13">
        <v>62.33</v>
      </c>
      <c r="H1167" s="13">
        <v>49.4</v>
      </c>
      <c r="I1167" s="13">
        <v>31.54</v>
      </c>
      <c r="J1167" s="24">
        <v>45875</v>
      </c>
      <c r="K1167" s="13">
        <v>46</v>
      </c>
      <c r="L1167" s="44">
        <v>3.5</v>
      </c>
      <c r="M1167" s="13" t="b">
        <v>0</v>
      </c>
      <c r="O1167" s="25">
        <f t="shared" si="72"/>
        <v>27</v>
      </c>
      <c r="P1167" s="13">
        <f t="shared" si="73"/>
        <v>2272.4</v>
      </c>
      <c r="Q1167" s="13" t="str">
        <f t="shared" si="74"/>
        <v/>
      </c>
      <c r="R1167" s="13" t="str">
        <f t="shared" si="75"/>
        <v>Diskon</v>
      </c>
    </row>
    <row r="1168" spans="1:18" x14ac:dyDescent="0.25">
      <c r="A1168" s="13" t="s">
        <v>1180</v>
      </c>
      <c r="B1168" s="13" t="s">
        <v>2194</v>
      </c>
      <c r="C1168" s="13" t="s">
        <v>2199</v>
      </c>
      <c r="D1168" s="13" t="s">
        <v>2205</v>
      </c>
      <c r="E1168" s="13" t="s">
        <v>2211</v>
      </c>
      <c r="F1168" s="13" t="s">
        <v>2214</v>
      </c>
      <c r="G1168" s="13">
        <v>93.59</v>
      </c>
      <c r="H1168" s="13">
        <v>0</v>
      </c>
      <c r="I1168" s="13">
        <v>93.59</v>
      </c>
      <c r="J1168" s="24">
        <v>45875</v>
      </c>
      <c r="K1168" s="13">
        <v>38</v>
      </c>
      <c r="L1168" s="44">
        <v>1.9</v>
      </c>
      <c r="M1168" s="13" t="b">
        <v>0</v>
      </c>
      <c r="O1168" s="25">
        <f t="shared" si="72"/>
        <v>27</v>
      </c>
      <c r="P1168" s="13">
        <f t="shared" si="73"/>
        <v>0</v>
      </c>
      <c r="Q1168" s="13" t="str">
        <f t="shared" si="74"/>
        <v/>
      </c>
      <c r="R1168" s="13" t="str">
        <f t="shared" si="75"/>
        <v>Non diskon</v>
      </c>
    </row>
    <row r="1169" spans="1:18" x14ac:dyDescent="0.25">
      <c r="A1169" s="13" t="s">
        <v>1181</v>
      </c>
      <c r="B1169" s="13" t="s">
        <v>2191</v>
      </c>
      <c r="C1169" s="13" t="s">
        <v>2203</v>
      </c>
      <c r="D1169" s="13" t="s">
        <v>2206</v>
      </c>
      <c r="F1169" s="13" t="s">
        <v>2219</v>
      </c>
      <c r="G1169" s="13">
        <v>72.83</v>
      </c>
      <c r="H1169" s="13">
        <v>35.700000000000003</v>
      </c>
      <c r="I1169" s="13">
        <v>46.83</v>
      </c>
      <c r="J1169" s="24">
        <v>45875</v>
      </c>
      <c r="K1169" s="13">
        <v>11</v>
      </c>
      <c r="L1169" s="44">
        <v>3.1</v>
      </c>
      <c r="M1169" s="13" t="b">
        <v>0</v>
      </c>
      <c r="O1169" s="25">
        <f t="shared" si="72"/>
        <v>27</v>
      </c>
      <c r="P1169" s="13">
        <f t="shared" si="73"/>
        <v>392.70000000000005</v>
      </c>
      <c r="Q1169" s="13" t="str">
        <f t="shared" si="74"/>
        <v/>
      </c>
      <c r="R1169" s="13" t="str">
        <f t="shared" si="75"/>
        <v>Diskon</v>
      </c>
    </row>
    <row r="1170" spans="1:18" x14ac:dyDescent="0.25">
      <c r="A1170" s="13" t="s">
        <v>1182</v>
      </c>
      <c r="B1170" s="13" t="s">
        <v>2190</v>
      </c>
      <c r="C1170" s="13" t="s">
        <v>2197</v>
      </c>
      <c r="D1170" s="13" t="s">
        <v>2205</v>
      </c>
      <c r="E1170" s="13" t="s">
        <v>2211</v>
      </c>
      <c r="F1170" s="13" t="s">
        <v>2218</v>
      </c>
      <c r="G1170" s="13">
        <v>134.59</v>
      </c>
      <c r="H1170" s="13">
        <v>33.6</v>
      </c>
      <c r="I1170" s="13">
        <v>89.37</v>
      </c>
      <c r="J1170" s="24">
        <v>45875</v>
      </c>
      <c r="K1170" s="13">
        <v>42</v>
      </c>
      <c r="L1170" s="44">
        <v>2.9</v>
      </c>
      <c r="M1170" s="13" t="b">
        <v>0</v>
      </c>
      <c r="O1170" s="25">
        <f t="shared" si="72"/>
        <v>27</v>
      </c>
      <c r="P1170" s="13">
        <f t="shared" si="73"/>
        <v>1411.2</v>
      </c>
      <c r="Q1170" s="13" t="str">
        <f t="shared" si="74"/>
        <v/>
      </c>
      <c r="R1170" s="13" t="str">
        <f t="shared" si="75"/>
        <v>Diskon</v>
      </c>
    </row>
    <row r="1171" spans="1:18" x14ac:dyDescent="0.25">
      <c r="A1171" s="13" t="s">
        <v>1183</v>
      </c>
      <c r="B1171" s="13" t="s">
        <v>2194</v>
      </c>
      <c r="C1171" s="13" t="s">
        <v>2196</v>
      </c>
      <c r="D1171" s="13" t="s">
        <v>2204</v>
      </c>
      <c r="F1171" s="13" t="s">
        <v>2221</v>
      </c>
      <c r="G1171" s="13">
        <v>71.599999999999994</v>
      </c>
      <c r="H1171" s="13">
        <v>41.9</v>
      </c>
      <c r="I1171" s="13">
        <v>41.6</v>
      </c>
      <c r="J1171" s="24">
        <v>45759</v>
      </c>
      <c r="K1171" s="13">
        <v>16</v>
      </c>
      <c r="L1171" s="44">
        <v>2.8</v>
      </c>
      <c r="M1171" s="13" t="b">
        <v>0</v>
      </c>
      <c r="O1171" s="25">
        <f t="shared" si="72"/>
        <v>143</v>
      </c>
      <c r="P1171" s="13">
        <f t="shared" si="73"/>
        <v>670.4</v>
      </c>
      <c r="Q1171" s="13" t="str">
        <f t="shared" si="74"/>
        <v/>
      </c>
      <c r="R1171" s="13" t="str">
        <f t="shared" si="75"/>
        <v>Diskon</v>
      </c>
    </row>
    <row r="1172" spans="1:18" x14ac:dyDescent="0.25">
      <c r="A1172" s="13" t="s">
        <v>1184</v>
      </c>
      <c r="B1172" s="13" t="s">
        <v>2193</v>
      </c>
      <c r="C1172" s="13" t="s">
        <v>2201</v>
      </c>
      <c r="D1172" s="13" t="s">
        <v>2207</v>
      </c>
      <c r="E1172" s="13" t="s">
        <v>2208</v>
      </c>
      <c r="F1172" s="13" t="s">
        <v>2214</v>
      </c>
      <c r="G1172" s="13">
        <v>62.35</v>
      </c>
      <c r="H1172" s="13">
        <v>53.5</v>
      </c>
      <c r="I1172" s="13">
        <v>28.99</v>
      </c>
      <c r="J1172" s="24">
        <v>45875</v>
      </c>
      <c r="K1172" s="13">
        <v>1</v>
      </c>
      <c r="L1172" s="44">
        <v>4.0999999999999996</v>
      </c>
      <c r="M1172" s="13" t="b">
        <v>0</v>
      </c>
      <c r="O1172" s="25">
        <f t="shared" si="72"/>
        <v>27</v>
      </c>
      <c r="P1172" s="13">
        <f t="shared" si="73"/>
        <v>53.5</v>
      </c>
      <c r="Q1172" s="13" t="str">
        <f t="shared" si="74"/>
        <v/>
      </c>
      <c r="R1172" s="13" t="str">
        <f t="shared" si="75"/>
        <v>Diskon</v>
      </c>
    </row>
    <row r="1173" spans="1:18" x14ac:dyDescent="0.25">
      <c r="A1173" s="13" t="s">
        <v>1185</v>
      </c>
      <c r="B1173" s="13" t="s">
        <v>2190</v>
      </c>
      <c r="C1173" s="13" t="s">
        <v>2201</v>
      </c>
      <c r="D1173" s="13" t="s">
        <v>2204</v>
      </c>
      <c r="E1173" s="13" t="s">
        <v>2212</v>
      </c>
      <c r="F1173" s="13" t="s">
        <v>2222</v>
      </c>
      <c r="G1173" s="13">
        <v>80.55</v>
      </c>
      <c r="H1173" s="13">
        <v>43.7</v>
      </c>
      <c r="I1173" s="13">
        <v>45.35</v>
      </c>
      <c r="J1173" s="24">
        <v>45586</v>
      </c>
      <c r="K1173" s="13">
        <v>41</v>
      </c>
      <c r="L1173" s="44">
        <v>4.8</v>
      </c>
      <c r="M1173" s="13" t="b">
        <v>1</v>
      </c>
      <c r="N1173" s="13" t="s">
        <v>2229</v>
      </c>
      <c r="O1173" s="25">
        <f t="shared" si="72"/>
        <v>316</v>
      </c>
      <c r="P1173" s="13">
        <f t="shared" si="73"/>
        <v>1791.7</v>
      </c>
      <c r="Q1173" s="13">
        <f t="shared" si="74"/>
        <v>1</v>
      </c>
      <c r="R1173" s="13" t="str">
        <f t="shared" si="75"/>
        <v>Diskon</v>
      </c>
    </row>
    <row r="1174" spans="1:18" x14ac:dyDescent="0.25">
      <c r="A1174" s="13" t="s">
        <v>1186</v>
      </c>
      <c r="B1174" s="13" t="s">
        <v>2193</v>
      </c>
      <c r="C1174" s="13" t="s">
        <v>2198</v>
      </c>
      <c r="D1174" s="13" t="s">
        <v>2205</v>
      </c>
      <c r="E1174" s="13" t="s">
        <v>2213</v>
      </c>
      <c r="F1174" s="13" t="s">
        <v>2221</v>
      </c>
      <c r="G1174" s="13">
        <v>171.48</v>
      </c>
      <c r="H1174" s="13">
        <v>0</v>
      </c>
      <c r="I1174" s="13">
        <v>171.48</v>
      </c>
      <c r="J1174" s="24">
        <v>45875</v>
      </c>
      <c r="K1174" s="13">
        <v>15</v>
      </c>
      <c r="L1174" s="44">
        <v>2.4</v>
      </c>
      <c r="M1174" s="13" t="b">
        <v>0</v>
      </c>
      <c r="O1174" s="25">
        <f t="shared" si="72"/>
        <v>27</v>
      </c>
      <c r="P1174" s="13">
        <f t="shared" si="73"/>
        <v>0</v>
      </c>
      <c r="Q1174" s="13" t="str">
        <f t="shared" si="74"/>
        <v/>
      </c>
      <c r="R1174" s="13" t="str">
        <f t="shared" si="75"/>
        <v>Non diskon</v>
      </c>
    </row>
    <row r="1175" spans="1:18" x14ac:dyDescent="0.25">
      <c r="A1175" s="13" t="s">
        <v>1187</v>
      </c>
      <c r="B1175" s="13" t="s">
        <v>2191</v>
      </c>
      <c r="C1175" s="13" t="s">
        <v>2201</v>
      </c>
      <c r="D1175" s="13" t="s">
        <v>2204</v>
      </c>
      <c r="E1175" s="13" t="s">
        <v>2208</v>
      </c>
      <c r="F1175" s="13" t="s">
        <v>2222</v>
      </c>
      <c r="G1175" s="13">
        <v>30.81</v>
      </c>
      <c r="H1175" s="13">
        <v>15.7</v>
      </c>
      <c r="I1175" s="13">
        <v>25.97</v>
      </c>
      <c r="J1175" s="24">
        <v>45554</v>
      </c>
      <c r="K1175" s="13">
        <v>4</v>
      </c>
      <c r="L1175" s="44">
        <v>2.9846153846153847</v>
      </c>
      <c r="M1175" s="13" t="b">
        <v>0</v>
      </c>
      <c r="O1175" s="25">
        <f t="shared" si="72"/>
        <v>348</v>
      </c>
      <c r="P1175" s="13">
        <f t="shared" si="73"/>
        <v>62.8</v>
      </c>
      <c r="Q1175" s="13" t="str">
        <f t="shared" si="74"/>
        <v/>
      </c>
      <c r="R1175" s="13" t="str">
        <f t="shared" si="75"/>
        <v>Diskon</v>
      </c>
    </row>
    <row r="1176" spans="1:18" x14ac:dyDescent="0.25">
      <c r="A1176" s="13" t="s">
        <v>1188</v>
      </c>
      <c r="B1176" s="13" t="s">
        <v>2195</v>
      </c>
      <c r="C1176" s="13" t="s">
        <v>2200</v>
      </c>
      <c r="D1176" s="13" t="s">
        <v>2207</v>
      </c>
      <c r="E1176" s="13" t="s">
        <v>2209</v>
      </c>
      <c r="F1176" s="13" t="s">
        <v>2219</v>
      </c>
      <c r="G1176" s="13">
        <v>97.14</v>
      </c>
      <c r="H1176" s="13">
        <v>0</v>
      </c>
      <c r="I1176" s="13">
        <v>97.14</v>
      </c>
      <c r="J1176" s="24">
        <v>45875</v>
      </c>
      <c r="K1176" s="13">
        <v>20</v>
      </c>
      <c r="L1176" s="44">
        <v>4.0999999999999996</v>
      </c>
      <c r="M1176" s="13" t="b">
        <v>0</v>
      </c>
      <c r="O1176" s="25">
        <f t="shared" si="72"/>
        <v>27</v>
      </c>
      <c r="P1176" s="13">
        <f t="shared" si="73"/>
        <v>0</v>
      </c>
      <c r="Q1176" s="13" t="str">
        <f t="shared" si="74"/>
        <v/>
      </c>
      <c r="R1176" s="13" t="str">
        <f t="shared" si="75"/>
        <v>Non diskon</v>
      </c>
    </row>
    <row r="1177" spans="1:18" x14ac:dyDescent="0.25">
      <c r="A1177" s="13" t="s">
        <v>1189</v>
      </c>
      <c r="B1177" s="13" t="s">
        <v>2193</v>
      </c>
      <c r="C1177" s="13" t="s">
        <v>2203</v>
      </c>
      <c r="D1177" s="13" t="s">
        <v>2206</v>
      </c>
      <c r="E1177" s="13" t="s">
        <v>2210</v>
      </c>
      <c r="F1177" s="13" t="s">
        <v>2217</v>
      </c>
      <c r="G1177" s="13">
        <v>128.27000000000001</v>
      </c>
      <c r="H1177" s="13">
        <v>0</v>
      </c>
      <c r="I1177" s="13">
        <v>128.27000000000001</v>
      </c>
      <c r="J1177" s="24">
        <v>45875</v>
      </c>
      <c r="K1177" s="13">
        <v>28</v>
      </c>
      <c r="L1177" s="44">
        <v>3.2576923076923077</v>
      </c>
      <c r="M1177" s="13" t="b">
        <v>0</v>
      </c>
      <c r="O1177" s="25">
        <f t="shared" si="72"/>
        <v>27</v>
      </c>
      <c r="P1177" s="13">
        <f t="shared" si="73"/>
        <v>0</v>
      </c>
      <c r="Q1177" s="13" t="str">
        <f t="shared" si="74"/>
        <v/>
      </c>
      <c r="R1177" s="13" t="str">
        <f t="shared" si="75"/>
        <v>Non diskon</v>
      </c>
    </row>
    <row r="1178" spans="1:18" x14ac:dyDescent="0.25">
      <c r="A1178" s="13" t="s">
        <v>1190</v>
      </c>
      <c r="B1178" s="13" t="s">
        <v>2195</v>
      </c>
      <c r="C1178" s="13" t="s">
        <v>2196</v>
      </c>
      <c r="D1178" s="13" t="s">
        <v>2205</v>
      </c>
      <c r="E1178" s="13" t="s">
        <v>2208</v>
      </c>
      <c r="F1178" s="13" t="s">
        <v>2220</v>
      </c>
      <c r="G1178" s="13">
        <v>174.86</v>
      </c>
      <c r="H1178" s="13">
        <v>0</v>
      </c>
      <c r="I1178" s="13">
        <v>174.86</v>
      </c>
      <c r="J1178" s="24">
        <v>45875</v>
      </c>
      <c r="K1178" s="13">
        <v>43</v>
      </c>
      <c r="L1178" s="44">
        <v>4.5999999999999996</v>
      </c>
      <c r="M1178" s="13" t="b">
        <v>0</v>
      </c>
      <c r="O1178" s="25">
        <f t="shared" si="72"/>
        <v>27</v>
      </c>
      <c r="P1178" s="13">
        <f t="shared" si="73"/>
        <v>0</v>
      </c>
      <c r="Q1178" s="13" t="str">
        <f t="shared" si="74"/>
        <v/>
      </c>
      <c r="R1178" s="13" t="str">
        <f t="shared" si="75"/>
        <v>Non diskon</v>
      </c>
    </row>
    <row r="1179" spans="1:18" x14ac:dyDescent="0.25">
      <c r="A1179" s="13" t="s">
        <v>1191</v>
      </c>
      <c r="B1179" s="13" t="s">
        <v>2195</v>
      </c>
      <c r="C1179" s="13" t="s">
        <v>2198</v>
      </c>
      <c r="D1179" s="13" t="s">
        <v>2205</v>
      </c>
      <c r="E1179" s="13" t="s">
        <v>2208</v>
      </c>
      <c r="F1179" s="13" t="s">
        <v>2217</v>
      </c>
      <c r="G1179" s="13">
        <v>100.03</v>
      </c>
      <c r="H1179" s="13">
        <v>0</v>
      </c>
      <c r="I1179" s="13">
        <v>100.03</v>
      </c>
      <c r="J1179" s="24">
        <v>45875</v>
      </c>
      <c r="K1179" s="13">
        <v>36</v>
      </c>
      <c r="L1179" s="44">
        <v>1.9</v>
      </c>
      <c r="M1179" s="13" t="b">
        <v>1</v>
      </c>
      <c r="N1179" s="13" t="s">
        <v>2228</v>
      </c>
      <c r="O1179" s="25">
        <f t="shared" si="72"/>
        <v>27</v>
      </c>
      <c r="P1179" s="13">
        <f t="shared" si="73"/>
        <v>0</v>
      </c>
      <c r="Q1179" s="13">
        <f t="shared" si="74"/>
        <v>1</v>
      </c>
      <c r="R1179" s="13" t="str">
        <f t="shared" si="75"/>
        <v>Non diskon</v>
      </c>
    </row>
    <row r="1180" spans="1:18" x14ac:dyDescent="0.25">
      <c r="A1180" s="13" t="s">
        <v>1192</v>
      </c>
      <c r="B1180" s="13" t="s">
        <v>2195</v>
      </c>
      <c r="C1180" s="13" t="s">
        <v>2196</v>
      </c>
      <c r="D1180" s="13" t="s">
        <v>2205</v>
      </c>
      <c r="E1180" s="13" t="s">
        <v>2210</v>
      </c>
      <c r="F1180" s="13" t="s">
        <v>2223</v>
      </c>
      <c r="G1180" s="13">
        <v>49.89</v>
      </c>
      <c r="H1180" s="13">
        <v>0</v>
      </c>
      <c r="I1180" s="13">
        <v>49.89</v>
      </c>
      <c r="J1180" s="24">
        <v>45875</v>
      </c>
      <c r="K1180" s="13">
        <v>0</v>
      </c>
      <c r="L1180" s="44">
        <v>3.5</v>
      </c>
      <c r="M1180" s="13" t="b">
        <v>1</v>
      </c>
      <c r="N1180" s="13" t="s">
        <v>2230</v>
      </c>
      <c r="O1180" s="25">
        <f t="shared" si="72"/>
        <v>27</v>
      </c>
      <c r="P1180" s="13">
        <f t="shared" si="73"/>
        <v>0</v>
      </c>
      <c r="Q1180" s="13">
        <f t="shared" si="74"/>
        <v>1</v>
      </c>
      <c r="R1180" s="13" t="str">
        <f t="shared" si="75"/>
        <v>Non diskon</v>
      </c>
    </row>
    <row r="1181" spans="1:18" x14ac:dyDescent="0.25">
      <c r="A1181" s="13" t="s">
        <v>1193</v>
      </c>
      <c r="B1181" s="13" t="s">
        <v>2193</v>
      </c>
      <c r="C1181" s="13" t="s">
        <v>2200</v>
      </c>
      <c r="D1181" s="13" t="s">
        <v>2206</v>
      </c>
      <c r="E1181" s="13" t="s">
        <v>2208</v>
      </c>
      <c r="F1181" s="13" t="s">
        <v>2224</v>
      </c>
      <c r="G1181" s="13">
        <v>170.43</v>
      </c>
      <c r="H1181" s="13">
        <v>0</v>
      </c>
      <c r="I1181" s="13">
        <v>170.43</v>
      </c>
      <c r="J1181" s="24">
        <v>45875</v>
      </c>
      <c r="K1181" s="13">
        <v>22</v>
      </c>
      <c r="L1181" s="44">
        <v>3.3021276595744684</v>
      </c>
      <c r="M1181" s="13" t="b">
        <v>0</v>
      </c>
      <c r="O1181" s="25">
        <f t="shared" si="72"/>
        <v>27</v>
      </c>
      <c r="P1181" s="13">
        <f t="shared" si="73"/>
        <v>0</v>
      </c>
      <c r="Q1181" s="13" t="str">
        <f t="shared" si="74"/>
        <v/>
      </c>
      <c r="R1181" s="13" t="str">
        <f t="shared" si="75"/>
        <v>Non diskon</v>
      </c>
    </row>
    <row r="1182" spans="1:18" x14ac:dyDescent="0.25">
      <c r="A1182" s="13" t="s">
        <v>1194</v>
      </c>
      <c r="B1182" s="13" t="s">
        <v>2190</v>
      </c>
      <c r="C1182" s="13" t="s">
        <v>2202</v>
      </c>
      <c r="D1182" s="13" t="s">
        <v>2207</v>
      </c>
      <c r="E1182" s="13" t="s">
        <v>2212</v>
      </c>
      <c r="F1182" s="13" t="s">
        <v>2222</v>
      </c>
      <c r="G1182" s="13">
        <v>186.78</v>
      </c>
      <c r="H1182" s="13">
        <v>0</v>
      </c>
      <c r="I1182" s="13">
        <v>186.78</v>
      </c>
      <c r="J1182" s="24">
        <v>45875</v>
      </c>
      <c r="K1182" s="13">
        <v>22</v>
      </c>
      <c r="L1182" s="44">
        <v>2.9</v>
      </c>
      <c r="M1182" s="13" t="b">
        <v>0</v>
      </c>
      <c r="O1182" s="25">
        <f t="shared" si="72"/>
        <v>27</v>
      </c>
      <c r="P1182" s="13">
        <f t="shared" si="73"/>
        <v>0</v>
      </c>
      <c r="Q1182" s="13" t="str">
        <f t="shared" si="74"/>
        <v/>
      </c>
      <c r="R1182" s="13" t="str">
        <f t="shared" si="75"/>
        <v>Non diskon</v>
      </c>
    </row>
    <row r="1183" spans="1:18" x14ac:dyDescent="0.25">
      <c r="A1183" s="13" t="s">
        <v>1195</v>
      </c>
      <c r="B1183" s="13" t="s">
        <v>2192</v>
      </c>
      <c r="C1183" s="13" t="s">
        <v>2203</v>
      </c>
      <c r="D1183" s="13" t="s">
        <v>2206</v>
      </c>
      <c r="F1183" s="13" t="s">
        <v>2222</v>
      </c>
      <c r="G1183" s="13">
        <v>63.98</v>
      </c>
      <c r="H1183" s="13">
        <v>0</v>
      </c>
      <c r="I1183" s="13">
        <v>63.98</v>
      </c>
      <c r="J1183" s="24">
        <v>45875</v>
      </c>
      <c r="K1183" s="13">
        <v>36</v>
      </c>
      <c r="L1183" s="44">
        <v>1.7</v>
      </c>
      <c r="M1183" s="13" t="b">
        <v>0</v>
      </c>
      <c r="O1183" s="25">
        <f t="shared" si="72"/>
        <v>27</v>
      </c>
      <c r="P1183" s="13">
        <f t="shared" si="73"/>
        <v>0</v>
      </c>
      <c r="Q1183" s="13" t="str">
        <f t="shared" si="74"/>
        <v/>
      </c>
      <c r="R1183" s="13" t="str">
        <f t="shared" si="75"/>
        <v>Non diskon</v>
      </c>
    </row>
    <row r="1184" spans="1:18" x14ac:dyDescent="0.25">
      <c r="A1184" s="13" t="s">
        <v>1196</v>
      </c>
      <c r="B1184" s="13" t="s">
        <v>2190</v>
      </c>
      <c r="C1184" s="13" t="s">
        <v>2203</v>
      </c>
      <c r="D1184" s="13" t="s">
        <v>2206</v>
      </c>
      <c r="E1184" s="13" t="s">
        <v>2212</v>
      </c>
      <c r="F1184" s="13" t="s">
        <v>2222</v>
      </c>
      <c r="G1184" s="13">
        <v>225.64</v>
      </c>
      <c r="H1184" s="13">
        <v>0</v>
      </c>
      <c r="I1184" s="13">
        <v>225.64</v>
      </c>
      <c r="J1184" s="24">
        <v>45875</v>
      </c>
      <c r="K1184" s="13">
        <v>31</v>
      </c>
      <c r="L1184" s="44">
        <v>1.3</v>
      </c>
      <c r="M1184" s="13" t="b">
        <v>0</v>
      </c>
      <c r="O1184" s="25">
        <f t="shared" si="72"/>
        <v>27</v>
      </c>
      <c r="P1184" s="13">
        <f t="shared" si="73"/>
        <v>0</v>
      </c>
      <c r="Q1184" s="13" t="str">
        <f t="shared" si="74"/>
        <v/>
      </c>
      <c r="R1184" s="13" t="str">
        <f t="shared" si="75"/>
        <v>Non diskon</v>
      </c>
    </row>
    <row r="1185" spans="1:18" x14ac:dyDescent="0.25">
      <c r="A1185" s="13" t="s">
        <v>1197</v>
      </c>
      <c r="B1185" s="13" t="s">
        <v>2191</v>
      </c>
      <c r="C1185" s="13" t="s">
        <v>2199</v>
      </c>
      <c r="D1185" s="13" t="s">
        <v>2206</v>
      </c>
      <c r="E1185" s="13" t="s">
        <v>2212</v>
      </c>
      <c r="F1185" s="13" t="s">
        <v>2217</v>
      </c>
      <c r="G1185" s="13">
        <v>115.29</v>
      </c>
      <c r="H1185" s="13">
        <v>13.9</v>
      </c>
      <c r="I1185" s="13">
        <v>99.26</v>
      </c>
      <c r="J1185" s="24">
        <v>45875</v>
      </c>
      <c r="K1185" s="13">
        <v>37</v>
      </c>
      <c r="L1185" s="44">
        <v>2.9742857142857138</v>
      </c>
      <c r="M1185" s="13" t="b">
        <v>0</v>
      </c>
      <c r="O1185" s="25">
        <f t="shared" si="72"/>
        <v>27</v>
      </c>
      <c r="P1185" s="13">
        <f t="shared" si="73"/>
        <v>514.30000000000007</v>
      </c>
      <c r="Q1185" s="13" t="str">
        <f t="shared" si="74"/>
        <v/>
      </c>
      <c r="R1185" s="13" t="str">
        <f t="shared" si="75"/>
        <v>Diskon</v>
      </c>
    </row>
    <row r="1186" spans="1:18" x14ac:dyDescent="0.25">
      <c r="A1186" s="13" t="s">
        <v>1198</v>
      </c>
      <c r="B1186" s="13" t="s">
        <v>2194</v>
      </c>
      <c r="C1186" s="13" t="s">
        <v>2199</v>
      </c>
      <c r="D1186" s="13" t="s">
        <v>2206</v>
      </c>
      <c r="E1186" s="13" t="s">
        <v>2212</v>
      </c>
      <c r="F1186" s="13" t="s">
        <v>2217</v>
      </c>
      <c r="G1186" s="13">
        <v>92.59</v>
      </c>
      <c r="H1186" s="13">
        <v>0</v>
      </c>
      <c r="I1186" s="13">
        <v>92.59</v>
      </c>
      <c r="J1186" s="24">
        <v>45875</v>
      </c>
      <c r="K1186" s="13">
        <v>39</v>
      </c>
      <c r="L1186" s="44">
        <v>2.2999999999999998</v>
      </c>
      <c r="M1186" s="13" t="b">
        <v>0</v>
      </c>
      <c r="O1186" s="25">
        <f t="shared" si="72"/>
        <v>27</v>
      </c>
      <c r="P1186" s="13">
        <f t="shared" si="73"/>
        <v>0</v>
      </c>
      <c r="Q1186" s="13" t="str">
        <f t="shared" si="74"/>
        <v/>
      </c>
      <c r="R1186" s="13" t="str">
        <f t="shared" si="75"/>
        <v>Non diskon</v>
      </c>
    </row>
    <row r="1187" spans="1:18" x14ac:dyDescent="0.25">
      <c r="A1187" s="13" t="s">
        <v>1199</v>
      </c>
      <c r="B1187" s="13" t="s">
        <v>2192</v>
      </c>
      <c r="C1187" s="13" t="s">
        <v>2197</v>
      </c>
      <c r="D1187" s="13" t="s">
        <v>2204</v>
      </c>
      <c r="F1187" s="13" t="s">
        <v>2221</v>
      </c>
      <c r="G1187" s="13">
        <v>67.650000000000006</v>
      </c>
      <c r="H1187" s="13">
        <v>26.2</v>
      </c>
      <c r="I1187" s="13">
        <v>49.93</v>
      </c>
      <c r="J1187" s="24">
        <v>45805</v>
      </c>
      <c r="K1187" s="13">
        <v>23</v>
      </c>
      <c r="L1187" s="44">
        <v>1.7</v>
      </c>
      <c r="M1187" s="13" t="b">
        <v>0</v>
      </c>
      <c r="O1187" s="25">
        <f t="shared" si="72"/>
        <v>97</v>
      </c>
      <c r="P1187" s="13">
        <f t="shared" si="73"/>
        <v>602.6</v>
      </c>
      <c r="Q1187" s="13" t="str">
        <f t="shared" si="74"/>
        <v/>
      </c>
      <c r="R1187" s="13" t="str">
        <f t="shared" si="75"/>
        <v>Diskon</v>
      </c>
    </row>
    <row r="1188" spans="1:18" x14ac:dyDescent="0.25">
      <c r="A1188" s="13" t="s">
        <v>1200</v>
      </c>
      <c r="B1188" s="13" t="s">
        <v>2190</v>
      </c>
      <c r="C1188" s="13" t="s">
        <v>2201</v>
      </c>
      <c r="D1188" s="13" t="s">
        <v>2204</v>
      </c>
      <c r="E1188" s="13" t="s">
        <v>2209</v>
      </c>
      <c r="F1188" s="13" t="s">
        <v>2217</v>
      </c>
      <c r="G1188" s="13">
        <v>128.91999999999999</v>
      </c>
      <c r="H1188" s="13">
        <v>0</v>
      </c>
      <c r="I1188" s="13">
        <v>128.91999999999999</v>
      </c>
      <c r="J1188" s="24">
        <v>45848</v>
      </c>
      <c r="K1188" s="13">
        <v>40</v>
      </c>
      <c r="L1188" s="44">
        <v>1.5</v>
      </c>
      <c r="M1188" s="13" t="b">
        <v>0</v>
      </c>
      <c r="O1188" s="25">
        <f t="shared" si="72"/>
        <v>54</v>
      </c>
      <c r="P1188" s="13">
        <f t="shared" si="73"/>
        <v>0</v>
      </c>
      <c r="Q1188" s="13" t="str">
        <f t="shared" si="74"/>
        <v/>
      </c>
      <c r="R1188" s="13" t="str">
        <f t="shared" si="75"/>
        <v>Non diskon</v>
      </c>
    </row>
    <row r="1189" spans="1:18" x14ac:dyDescent="0.25">
      <c r="A1189" s="13" t="s">
        <v>1201</v>
      </c>
      <c r="B1189" s="13" t="s">
        <v>2192</v>
      </c>
      <c r="C1189" s="13" t="s">
        <v>2198</v>
      </c>
      <c r="D1189" s="13" t="s">
        <v>2206</v>
      </c>
      <c r="F1189" s="13" t="s">
        <v>2214</v>
      </c>
      <c r="G1189" s="13">
        <v>16.510000000000002</v>
      </c>
      <c r="H1189" s="13">
        <v>16.8</v>
      </c>
      <c r="I1189" s="13">
        <v>13.74</v>
      </c>
      <c r="J1189" s="24">
        <v>45875</v>
      </c>
      <c r="K1189" s="13">
        <v>47</v>
      </c>
      <c r="L1189" s="44">
        <v>1.2</v>
      </c>
      <c r="M1189" s="13" t="b">
        <v>0</v>
      </c>
      <c r="O1189" s="25">
        <f t="shared" si="72"/>
        <v>27</v>
      </c>
      <c r="P1189" s="13">
        <f t="shared" si="73"/>
        <v>789.6</v>
      </c>
      <c r="Q1189" s="13" t="str">
        <f t="shared" si="74"/>
        <v/>
      </c>
      <c r="R1189" s="13" t="str">
        <f t="shared" si="75"/>
        <v>Diskon</v>
      </c>
    </row>
    <row r="1190" spans="1:18" x14ac:dyDescent="0.25">
      <c r="A1190" s="13" t="s">
        <v>1202</v>
      </c>
      <c r="B1190" s="13" t="s">
        <v>2193</v>
      </c>
      <c r="C1190" s="13" t="s">
        <v>2198</v>
      </c>
      <c r="D1190" s="13" t="s">
        <v>2205</v>
      </c>
      <c r="F1190" s="13" t="s">
        <v>2218</v>
      </c>
      <c r="G1190" s="13">
        <v>173.66</v>
      </c>
      <c r="H1190" s="13">
        <v>42.7</v>
      </c>
      <c r="I1190" s="13">
        <v>99.51</v>
      </c>
      <c r="J1190" s="24">
        <v>45875</v>
      </c>
      <c r="K1190" s="13">
        <v>1</v>
      </c>
      <c r="L1190" s="44">
        <v>3.1</v>
      </c>
      <c r="M1190" s="13" t="b">
        <v>0</v>
      </c>
      <c r="O1190" s="25">
        <f t="shared" si="72"/>
        <v>27</v>
      </c>
      <c r="P1190" s="13">
        <f t="shared" si="73"/>
        <v>42.7</v>
      </c>
      <c r="Q1190" s="13" t="str">
        <f t="shared" si="74"/>
        <v/>
      </c>
      <c r="R1190" s="13" t="str">
        <f t="shared" si="75"/>
        <v>Diskon</v>
      </c>
    </row>
    <row r="1191" spans="1:18" x14ac:dyDescent="0.25">
      <c r="A1191" s="13" t="s">
        <v>1203</v>
      </c>
      <c r="B1191" s="13" t="s">
        <v>2191</v>
      </c>
      <c r="C1191" s="13" t="s">
        <v>2200</v>
      </c>
      <c r="D1191" s="13" t="s">
        <v>2204</v>
      </c>
      <c r="E1191" s="13" t="s">
        <v>2210</v>
      </c>
      <c r="F1191" s="13" t="s">
        <v>2216</v>
      </c>
      <c r="G1191" s="13">
        <v>71.489999999999995</v>
      </c>
      <c r="H1191" s="13">
        <v>20.9</v>
      </c>
      <c r="I1191" s="13">
        <v>56.55</v>
      </c>
      <c r="J1191" s="24">
        <v>45669</v>
      </c>
      <c r="K1191" s="13">
        <v>33</v>
      </c>
      <c r="L1191" s="44">
        <v>1.3</v>
      </c>
      <c r="M1191" s="13" t="b">
        <v>0</v>
      </c>
      <c r="O1191" s="25">
        <f t="shared" si="72"/>
        <v>233</v>
      </c>
      <c r="P1191" s="13">
        <f t="shared" si="73"/>
        <v>689.69999999999993</v>
      </c>
      <c r="Q1191" s="13" t="str">
        <f t="shared" si="74"/>
        <v/>
      </c>
      <c r="R1191" s="13" t="str">
        <f t="shared" si="75"/>
        <v>Diskon</v>
      </c>
    </row>
    <row r="1192" spans="1:18" x14ac:dyDescent="0.25">
      <c r="A1192" s="13" t="s">
        <v>1204</v>
      </c>
      <c r="B1192" s="13" t="s">
        <v>2190</v>
      </c>
      <c r="C1192" s="13" t="s">
        <v>2197</v>
      </c>
      <c r="D1192" s="13" t="s">
        <v>2206</v>
      </c>
      <c r="E1192" s="13" t="s">
        <v>2211</v>
      </c>
      <c r="F1192" s="13" t="s">
        <v>2218</v>
      </c>
      <c r="G1192" s="13">
        <v>230.81</v>
      </c>
      <c r="H1192" s="13">
        <v>24.3</v>
      </c>
      <c r="I1192" s="13">
        <v>174.72</v>
      </c>
      <c r="J1192" s="24">
        <v>45875</v>
      </c>
      <c r="K1192" s="13">
        <v>26</v>
      </c>
      <c r="L1192" s="44">
        <v>3.15</v>
      </c>
      <c r="M1192" s="13" t="b">
        <v>1</v>
      </c>
      <c r="N1192" s="13" t="s">
        <v>2226</v>
      </c>
      <c r="O1192" s="25">
        <f t="shared" si="72"/>
        <v>27</v>
      </c>
      <c r="P1192" s="13">
        <f t="shared" si="73"/>
        <v>631.80000000000007</v>
      </c>
      <c r="Q1192" s="13">
        <f t="shared" si="74"/>
        <v>1</v>
      </c>
      <c r="R1192" s="13" t="str">
        <f t="shared" si="75"/>
        <v>Diskon</v>
      </c>
    </row>
    <row r="1193" spans="1:18" x14ac:dyDescent="0.25">
      <c r="A1193" s="13" t="s">
        <v>1205</v>
      </c>
      <c r="B1193" s="13" t="s">
        <v>2193</v>
      </c>
      <c r="C1193" s="13" t="s">
        <v>2200</v>
      </c>
      <c r="D1193" s="13" t="s">
        <v>2204</v>
      </c>
      <c r="E1193" s="13" t="s">
        <v>2212</v>
      </c>
      <c r="F1193" s="13" t="s">
        <v>2220</v>
      </c>
      <c r="G1193" s="13">
        <v>101</v>
      </c>
      <c r="H1193" s="13">
        <v>58.6</v>
      </c>
      <c r="I1193" s="13">
        <v>41.81</v>
      </c>
      <c r="J1193" s="24">
        <v>45842</v>
      </c>
      <c r="K1193" s="13">
        <v>44</v>
      </c>
      <c r="L1193" s="44">
        <v>1.2</v>
      </c>
      <c r="M1193" s="13" t="b">
        <v>0</v>
      </c>
      <c r="O1193" s="25">
        <f t="shared" si="72"/>
        <v>60</v>
      </c>
      <c r="P1193" s="13">
        <f t="shared" si="73"/>
        <v>2578.4</v>
      </c>
      <c r="Q1193" s="13" t="str">
        <f t="shared" si="74"/>
        <v/>
      </c>
      <c r="R1193" s="13" t="str">
        <f t="shared" si="75"/>
        <v>Diskon</v>
      </c>
    </row>
    <row r="1194" spans="1:18" x14ac:dyDescent="0.25">
      <c r="A1194" s="13" t="s">
        <v>1206</v>
      </c>
      <c r="B1194" s="13" t="s">
        <v>2190</v>
      </c>
      <c r="C1194" s="13" t="s">
        <v>2199</v>
      </c>
      <c r="D1194" s="13" t="s">
        <v>2205</v>
      </c>
      <c r="E1194" s="13" t="s">
        <v>2211</v>
      </c>
      <c r="F1194" s="13" t="s">
        <v>2224</v>
      </c>
      <c r="G1194" s="13">
        <v>116.37</v>
      </c>
      <c r="H1194" s="13">
        <v>52.6</v>
      </c>
      <c r="I1194" s="13">
        <v>55.16</v>
      </c>
      <c r="J1194" s="24">
        <v>45875</v>
      </c>
      <c r="K1194" s="13">
        <v>43</v>
      </c>
      <c r="L1194" s="44">
        <v>2.4</v>
      </c>
      <c r="M1194" s="13" t="b">
        <v>0</v>
      </c>
      <c r="O1194" s="25">
        <f t="shared" si="72"/>
        <v>27</v>
      </c>
      <c r="P1194" s="13">
        <f t="shared" si="73"/>
        <v>2261.8000000000002</v>
      </c>
      <c r="Q1194" s="13" t="str">
        <f t="shared" si="74"/>
        <v/>
      </c>
      <c r="R1194" s="13" t="str">
        <f t="shared" si="75"/>
        <v>Diskon</v>
      </c>
    </row>
    <row r="1195" spans="1:18" x14ac:dyDescent="0.25">
      <c r="A1195" s="13" t="s">
        <v>1207</v>
      </c>
      <c r="B1195" s="13" t="s">
        <v>2193</v>
      </c>
      <c r="C1195" s="13" t="s">
        <v>2200</v>
      </c>
      <c r="D1195" s="13" t="s">
        <v>2204</v>
      </c>
      <c r="E1195" s="13" t="s">
        <v>2209</v>
      </c>
      <c r="F1195" s="13" t="s">
        <v>2221</v>
      </c>
      <c r="G1195" s="13">
        <v>150.28</v>
      </c>
      <c r="H1195" s="13">
        <v>8.3000000000000007</v>
      </c>
      <c r="I1195" s="13">
        <v>137.81</v>
      </c>
      <c r="J1195" s="24">
        <v>45679</v>
      </c>
      <c r="K1195" s="13">
        <v>48</v>
      </c>
      <c r="L1195" s="44">
        <v>2.9</v>
      </c>
      <c r="M1195" s="13" t="b">
        <v>0</v>
      </c>
      <c r="O1195" s="25">
        <f t="shared" si="72"/>
        <v>223</v>
      </c>
      <c r="P1195" s="13">
        <f t="shared" si="73"/>
        <v>398.40000000000003</v>
      </c>
      <c r="Q1195" s="13" t="str">
        <f t="shared" si="74"/>
        <v/>
      </c>
      <c r="R1195" s="13" t="str">
        <f t="shared" si="75"/>
        <v>Diskon</v>
      </c>
    </row>
    <row r="1196" spans="1:18" x14ac:dyDescent="0.25">
      <c r="A1196" s="13" t="s">
        <v>1208</v>
      </c>
      <c r="B1196" s="13" t="s">
        <v>2190</v>
      </c>
      <c r="C1196" s="13" t="s">
        <v>2196</v>
      </c>
      <c r="D1196" s="13" t="s">
        <v>2205</v>
      </c>
      <c r="E1196" s="13" t="s">
        <v>2208</v>
      </c>
      <c r="F1196" s="13" t="s">
        <v>2218</v>
      </c>
      <c r="G1196" s="13">
        <v>107.81</v>
      </c>
      <c r="H1196" s="13">
        <v>0</v>
      </c>
      <c r="I1196" s="13">
        <v>107.81</v>
      </c>
      <c r="J1196" s="24">
        <v>45875</v>
      </c>
      <c r="K1196" s="13">
        <v>15</v>
      </c>
      <c r="L1196" s="44">
        <v>2.7</v>
      </c>
      <c r="M1196" s="13" t="b">
        <v>0</v>
      </c>
      <c r="O1196" s="25">
        <f t="shared" si="72"/>
        <v>27</v>
      </c>
      <c r="P1196" s="13">
        <f t="shared" si="73"/>
        <v>0</v>
      </c>
      <c r="Q1196" s="13" t="str">
        <f t="shared" si="74"/>
        <v/>
      </c>
      <c r="R1196" s="13" t="str">
        <f t="shared" si="75"/>
        <v>Non diskon</v>
      </c>
    </row>
    <row r="1197" spans="1:18" x14ac:dyDescent="0.25">
      <c r="A1197" s="13" t="s">
        <v>1209</v>
      </c>
      <c r="B1197" s="13" t="s">
        <v>2195</v>
      </c>
      <c r="C1197" s="13" t="s">
        <v>2196</v>
      </c>
      <c r="D1197" s="13" t="s">
        <v>2204</v>
      </c>
      <c r="E1197" s="13" t="s">
        <v>2209</v>
      </c>
      <c r="F1197" s="13" t="s">
        <v>2222</v>
      </c>
      <c r="G1197" s="13">
        <v>61.24</v>
      </c>
      <c r="H1197" s="13">
        <v>0</v>
      </c>
      <c r="I1197" s="13">
        <v>61.24</v>
      </c>
      <c r="J1197" s="24">
        <v>45752</v>
      </c>
      <c r="K1197" s="13">
        <v>3</v>
      </c>
      <c r="L1197" s="44">
        <v>3.0424242424242425</v>
      </c>
      <c r="M1197" s="13" t="b">
        <v>0</v>
      </c>
      <c r="O1197" s="25">
        <f t="shared" si="72"/>
        <v>150</v>
      </c>
      <c r="P1197" s="13">
        <f t="shared" si="73"/>
        <v>0</v>
      </c>
      <c r="Q1197" s="13" t="str">
        <f t="shared" si="74"/>
        <v/>
      </c>
      <c r="R1197" s="13" t="str">
        <f t="shared" si="75"/>
        <v>Non diskon</v>
      </c>
    </row>
    <row r="1198" spans="1:18" x14ac:dyDescent="0.25">
      <c r="A1198" s="13" t="s">
        <v>1210</v>
      </c>
      <c r="B1198" s="13" t="s">
        <v>2192</v>
      </c>
      <c r="C1198" s="13" t="s">
        <v>2196</v>
      </c>
      <c r="D1198" s="13" t="s">
        <v>2205</v>
      </c>
      <c r="F1198" s="13" t="s">
        <v>2220</v>
      </c>
      <c r="G1198" s="13">
        <v>34.04</v>
      </c>
      <c r="H1198" s="13">
        <v>0</v>
      </c>
      <c r="I1198" s="13">
        <v>34.04</v>
      </c>
      <c r="J1198" s="24">
        <v>45875</v>
      </c>
      <c r="K1198" s="13">
        <v>3</v>
      </c>
      <c r="L1198" s="44">
        <v>1.9</v>
      </c>
      <c r="M1198" s="13" t="b">
        <v>0</v>
      </c>
      <c r="O1198" s="25">
        <f t="shared" si="72"/>
        <v>27</v>
      </c>
      <c r="P1198" s="13">
        <f t="shared" si="73"/>
        <v>0</v>
      </c>
      <c r="Q1198" s="13" t="str">
        <f t="shared" si="74"/>
        <v/>
      </c>
      <c r="R1198" s="13" t="str">
        <f t="shared" si="75"/>
        <v>Non diskon</v>
      </c>
    </row>
    <row r="1199" spans="1:18" x14ac:dyDescent="0.25">
      <c r="A1199" s="13" t="s">
        <v>1211</v>
      </c>
      <c r="B1199" s="13" t="s">
        <v>2195</v>
      </c>
      <c r="C1199" s="13" t="s">
        <v>2202</v>
      </c>
      <c r="D1199" s="13" t="s">
        <v>2207</v>
      </c>
      <c r="E1199" s="13" t="s">
        <v>2210</v>
      </c>
      <c r="F1199" s="13" t="s">
        <v>2224</v>
      </c>
      <c r="G1199" s="13">
        <v>168.16</v>
      </c>
      <c r="H1199" s="13">
        <v>45.9</v>
      </c>
      <c r="I1199" s="13">
        <v>90.97</v>
      </c>
      <c r="J1199" s="24">
        <v>45875</v>
      </c>
      <c r="K1199" s="13">
        <v>44</v>
      </c>
      <c r="L1199" s="44">
        <v>1.5</v>
      </c>
      <c r="M1199" s="13" t="b">
        <v>0</v>
      </c>
      <c r="O1199" s="25">
        <f t="shared" si="72"/>
        <v>27</v>
      </c>
      <c r="P1199" s="13">
        <f t="shared" si="73"/>
        <v>2019.6</v>
      </c>
      <c r="Q1199" s="13" t="str">
        <f t="shared" si="74"/>
        <v/>
      </c>
      <c r="R1199" s="13" t="str">
        <f t="shared" si="75"/>
        <v>Diskon</v>
      </c>
    </row>
    <row r="1200" spans="1:18" x14ac:dyDescent="0.25">
      <c r="A1200" s="13" t="s">
        <v>1212</v>
      </c>
      <c r="B1200" s="13" t="s">
        <v>2191</v>
      </c>
      <c r="C1200" s="13" t="s">
        <v>2201</v>
      </c>
      <c r="D1200" s="13" t="s">
        <v>2206</v>
      </c>
      <c r="E1200" s="13" t="s">
        <v>2213</v>
      </c>
      <c r="F1200" s="13" t="s">
        <v>2214</v>
      </c>
      <c r="G1200" s="13">
        <v>74.069999999999993</v>
      </c>
      <c r="H1200" s="13">
        <v>0</v>
      </c>
      <c r="I1200" s="13">
        <v>74.069999999999993</v>
      </c>
      <c r="J1200" s="24">
        <v>45875</v>
      </c>
      <c r="K1200" s="13">
        <v>47</v>
      </c>
      <c r="L1200" s="44">
        <v>1.4</v>
      </c>
      <c r="M1200" s="13" t="b">
        <v>0</v>
      </c>
      <c r="O1200" s="25">
        <f t="shared" si="72"/>
        <v>27</v>
      </c>
      <c r="P1200" s="13">
        <f t="shared" si="73"/>
        <v>0</v>
      </c>
      <c r="Q1200" s="13" t="str">
        <f t="shared" si="74"/>
        <v/>
      </c>
      <c r="R1200" s="13" t="str">
        <f t="shared" si="75"/>
        <v>Non diskon</v>
      </c>
    </row>
    <row r="1201" spans="1:18" x14ac:dyDescent="0.25">
      <c r="A1201" s="13" t="s">
        <v>1213</v>
      </c>
      <c r="B1201" s="13" t="s">
        <v>2191</v>
      </c>
      <c r="C1201" s="13" t="s">
        <v>2203</v>
      </c>
      <c r="D1201" s="13" t="s">
        <v>2205</v>
      </c>
      <c r="E1201" s="13" t="s">
        <v>2211</v>
      </c>
      <c r="F1201" s="13" t="s">
        <v>2224</v>
      </c>
      <c r="G1201" s="13">
        <v>84.75</v>
      </c>
      <c r="H1201" s="13">
        <v>0</v>
      </c>
      <c r="I1201" s="13">
        <v>84.75</v>
      </c>
      <c r="J1201" s="24">
        <v>45875</v>
      </c>
      <c r="K1201" s="13">
        <v>7</v>
      </c>
      <c r="L1201" s="44">
        <v>2.5</v>
      </c>
      <c r="M1201" s="13" t="b">
        <v>0</v>
      </c>
      <c r="O1201" s="25">
        <f t="shared" si="72"/>
        <v>27</v>
      </c>
      <c r="P1201" s="13">
        <f t="shared" si="73"/>
        <v>0</v>
      </c>
      <c r="Q1201" s="13" t="str">
        <f t="shared" si="74"/>
        <v/>
      </c>
      <c r="R1201" s="13" t="str">
        <f t="shared" si="75"/>
        <v>Non diskon</v>
      </c>
    </row>
    <row r="1202" spans="1:18" x14ac:dyDescent="0.25">
      <c r="A1202" s="13" t="s">
        <v>1214</v>
      </c>
      <c r="B1202" s="13" t="s">
        <v>2193</v>
      </c>
      <c r="C1202" s="13" t="s">
        <v>2199</v>
      </c>
      <c r="D1202" s="13" t="s">
        <v>2207</v>
      </c>
      <c r="E1202" s="13" t="s">
        <v>2213</v>
      </c>
      <c r="F1202" s="13" t="s">
        <v>2214</v>
      </c>
      <c r="G1202" s="13">
        <v>187.47</v>
      </c>
      <c r="H1202" s="13">
        <v>9.6</v>
      </c>
      <c r="I1202" s="13">
        <v>169.47</v>
      </c>
      <c r="J1202" s="24">
        <v>45875</v>
      </c>
      <c r="K1202" s="13">
        <v>28</v>
      </c>
      <c r="L1202" s="44">
        <v>4</v>
      </c>
      <c r="M1202" s="13" t="b">
        <v>0</v>
      </c>
      <c r="O1202" s="25">
        <f t="shared" si="72"/>
        <v>27</v>
      </c>
      <c r="P1202" s="13">
        <f t="shared" si="73"/>
        <v>268.8</v>
      </c>
      <c r="Q1202" s="13" t="str">
        <f t="shared" si="74"/>
        <v/>
      </c>
      <c r="R1202" s="13" t="str">
        <f t="shared" si="75"/>
        <v>Diskon</v>
      </c>
    </row>
    <row r="1203" spans="1:18" x14ac:dyDescent="0.25">
      <c r="A1203" s="13" t="s">
        <v>1215</v>
      </c>
      <c r="B1203" s="13" t="s">
        <v>2192</v>
      </c>
      <c r="C1203" s="13" t="s">
        <v>2197</v>
      </c>
      <c r="D1203" s="13" t="s">
        <v>2204</v>
      </c>
      <c r="F1203" s="13" t="s">
        <v>2220</v>
      </c>
      <c r="G1203" s="13">
        <v>45.81</v>
      </c>
      <c r="H1203" s="13">
        <v>14.1</v>
      </c>
      <c r="I1203" s="13">
        <v>39.35</v>
      </c>
      <c r="J1203" s="24">
        <v>45761</v>
      </c>
      <c r="K1203" s="13">
        <v>29</v>
      </c>
      <c r="L1203" s="44">
        <v>3.1288461538461547</v>
      </c>
      <c r="M1203" s="13" t="b">
        <v>0</v>
      </c>
      <c r="O1203" s="25">
        <f t="shared" si="72"/>
        <v>141</v>
      </c>
      <c r="P1203" s="13">
        <f t="shared" si="73"/>
        <v>408.9</v>
      </c>
      <c r="Q1203" s="13" t="str">
        <f t="shared" si="74"/>
        <v/>
      </c>
      <c r="R1203" s="13" t="str">
        <f t="shared" si="75"/>
        <v>Diskon</v>
      </c>
    </row>
    <row r="1204" spans="1:18" x14ac:dyDescent="0.25">
      <c r="A1204" s="13" t="s">
        <v>1216</v>
      </c>
      <c r="B1204" s="13" t="s">
        <v>2190</v>
      </c>
      <c r="C1204" s="13" t="s">
        <v>2198</v>
      </c>
      <c r="D1204" s="13" t="s">
        <v>2206</v>
      </c>
      <c r="E1204" s="13" t="s">
        <v>2208</v>
      </c>
      <c r="F1204" s="13" t="s">
        <v>2224</v>
      </c>
      <c r="G1204" s="13">
        <v>87.09</v>
      </c>
      <c r="H1204" s="13">
        <v>0</v>
      </c>
      <c r="I1204" s="13">
        <v>87.09</v>
      </c>
      <c r="J1204" s="24">
        <v>45875</v>
      </c>
      <c r="K1204" s="13">
        <v>8</v>
      </c>
      <c r="L1204" s="44">
        <v>2.8</v>
      </c>
      <c r="M1204" s="13" t="b">
        <v>0</v>
      </c>
      <c r="O1204" s="25">
        <f t="shared" si="72"/>
        <v>27</v>
      </c>
      <c r="P1204" s="13">
        <f t="shared" si="73"/>
        <v>0</v>
      </c>
      <c r="Q1204" s="13" t="str">
        <f t="shared" si="74"/>
        <v/>
      </c>
      <c r="R1204" s="13" t="str">
        <f t="shared" si="75"/>
        <v>Non diskon</v>
      </c>
    </row>
    <row r="1205" spans="1:18" x14ac:dyDescent="0.25">
      <c r="A1205" s="13" t="s">
        <v>1217</v>
      </c>
      <c r="B1205" s="13" t="s">
        <v>2190</v>
      </c>
      <c r="C1205" s="13" t="s">
        <v>2200</v>
      </c>
      <c r="D1205" s="13" t="s">
        <v>2207</v>
      </c>
      <c r="E1205" s="13" t="s">
        <v>2212</v>
      </c>
      <c r="F1205" s="13" t="s">
        <v>2224</v>
      </c>
      <c r="G1205" s="13">
        <v>232.5</v>
      </c>
      <c r="H1205" s="13">
        <v>56.8</v>
      </c>
      <c r="I1205" s="13">
        <v>100.44</v>
      </c>
      <c r="J1205" s="24">
        <v>45875</v>
      </c>
      <c r="K1205" s="13">
        <v>23</v>
      </c>
      <c r="L1205" s="44">
        <v>2.9</v>
      </c>
      <c r="M1205" s="13" t="b">
        <v>1</v>
      </c>
      <c r="N1205" s="13" t="s">
        <v>2226</v>
      </c>
      <c r="O1205" s="25">
        <f t="shared" si="72"/>
        <v>27</v>
      </c>
      <c r="P1205" s="13">
        <f t="shared" si="73"/>
        <v>1306.3999999999999</v>
      </c>
      <c r="Q1205" s="13">
        <f t="shared" si="74"/>
        <v>1</v>
      </c>
      <c r="R1205" s="13" t="str">
        <f t="shared" si="75"/>
        <v>Diskon</v>
      </c>
    </row>
    <row r="1206" spans="1:18" x14ac:dyDescent="0.25">
      <c r="A1206" s="13" t="s">
        <v>1218</v>
      </c>
      <c r="B1206" s="13" t="s">
        <v>2193</v>
      </c>
      <c r="C1206" s="13" t="s">
        <v>2201</v>
      </c>
      <c r="D1206" s="13" t="s">
        <v>2204</v>
      </c>
      <c r="E1206" s="13" t="s">
        <v>2212</v>
      </c>
      <c r="F1206" s="13" t="s">
        <v>2223</v>
      </c>
      <c r="G1206" s="13">
        <v>184.87</v>
      </c>
      <c r="H1206" s="13">
        <v>0</v>
      </c>
      <c r="I1206" s="13">
        <v>184.87</v>
      </c>
      <c r="J1206" s="24">
        <v>45563</v>
      </c>
      <c r="K1206" s="13">
        <v>32</v>
      </c>
      <c r="L1206" s="44">
        <v>1.8</v>
      </c>
      <c r="M1206" s="13" t="b">
        <v>0</v>
      </c>
      <c r="O1206" s="25">
        <f t="shared" si="72"/>
        <v>339</v>
      </c>
      <c r="P1206" s="13">
        <f t="shared" si="73"/>
        <v>0</v>
      </c>
      <c r="Q1206" s="13" t="str">
        <f t="shared" si="74"/>
        <v/>
      </c>
      <c r="R1206" s="13" t="str">
        <f t="shared" si="75"/>
        <v>Non diskon</v>
      </c>
    </row>
    <row r="1207" spans="1:18" x14ac:dyDescent="0.25">
      <c r="A1207" s="13" t="s">
        <v>1219</v>
      </c>
      <c r="B1207" s="13" t="s">
        <v>2191</v>
      </c>
      <c r="C1207" s="13" t="s">
        <v>2202</v>
      </c>
      <c r="D1207" s="13" t="s">
        <v>2206</v>
      </c>
      <c r="E1207" s="13" t="s">
        <v>2212</v>
      </c>
      <c r="F1207" s="13" t="s">
        <v>2218</v>
      </c>
      <c r="G1207" s="13">
        <v>31.36</v>
      </c>
      <c r="H1207" s="13">
        <v>0</v>
      </c>
      <c r="I1207" s="13">
        <v>31.36</v>
      </c>
      <c r="J1207" s="24">
        <v>45875</v>
      </c>
      <c r="K1207" s="13">
        <v>50</v>
      </c>
      <c r="L1207" s="44">
        <v>3.4</v>
      </c>
      <c r="M1207" s="13" t="b">
        <v>0</v>
      </c>
      <c r="O1207" s="25">
        <f t="shared" si="72"/>
        <v>27</v>
      </c>
      <c r="P1207" s="13">
        <f t="shared" si="73"/>
        <v>0</v>
      </c>
      <c r="Q1207" s="13" t="str">
        <f t="shared" si="74"/>
        <v/>
      </c>
      <c r="R1207" s="13" t="str">
        <f t="shared" si="75"/>
        <v>Non diskon</v>
      </c>
    </row>
    <row r="1208" spans="1:18" x14ac:dyDescent="0.25">
      <c r="A1208" s="13" t="s">
        <v>1220</v>
      </c>
      <c r="B1208" s="13" t="s">
        <v>2192</v>
      </c>
      <c r="C1208" s="13" t="s">
        <v>2200</v>
      </c>
      <c r="D1208" s="13" t="s">
        <v>2205</v>
      </c>
      <c r="F1208" s="13" t="s">
        <v>2222</v>
      </c>
      <c r="G1208" s="13">
        <v>62.26</v>
      </c>
      <c r="H1208" s="13">
        <v>24.6</v>
      </c>
      <c r="I1208" s="13">
        <v>46.94</v>
      </c>
      <c r="J1208" s="24">
        <v>45875</v>
      </c>
      <c r="K1208" s="13">
        <v>33</v>
      </c>
      <c r="L1208" s="44">
        <v>3.5</v>
      </c>
      <c r="M1208" s="13" t="b">
        <v>0</v>
      </c>
      <c r="O1208" s="25">
        <f t="shared" si="72"/>
        <v>27</v>
      </c>
      <c r="P1208" s="13">
        <f t="shared" si="73"/>
        <v>811.80000000000007</v>
      </c>
      <c r="Q1208" s="13" t="str">
        <f t="shared" si="74"/>
        <v/>
      </c>
      <c r="R1208" s="13" t="str">
        <f t="shared" si="75"/>
        <v>Diskon</v>
      </c>
    </row>
    <row r="1209" spans="1:18" x14ac:dyDescent="0.25">
      <c r="A1209" s="13" t="s">
        <v>1221</v>
      </c>
      <c r="B1209" s="13" t="s">
        <v>2192</v>
      </c>
      <c r="C1209" s="13" t="s">
        <v>2199</v>
      </c>
      <c r="D1209" s="13" t="s">
        <v>2207</v>
      </c>
      <c r="F1209" s="13" t="s">
        <v>2222</v>
      </c>
      <c r="G1209" s="13">
        <v>64.819999999999993</v>
      </c>
      <c r="H1209" s="13">
        <v>42.2</v>
      </c>
      <c r="I1209" s="13">
        <v>37.47</v>
      </c>
      <c r="J1209" s="24">
        <v>45875</v>
      </c>
      <c r="K1209" s="13">
        <v>26</v>
      </c>
      <c r="L1209" s="44">
        <v>1.3</v>
      </c>
      <c r="M1209" s="13" t="b">
        <v>0</v>
      </c>
      <c r="O1209" s="25">
        <f t="shared" si="72"/>
        <v>27</v>
      </c>
      <c r="P1209" s="13">
        <f t="shared" si="73"/>
        <v>1097.2</v>
      </c>
      <c r="Q1209" s="13" t="str">
        <f t="shared" si="74"/>
        <v/>
      </c>
      <c r="R1209" s="13" t="str">
        <f t="shared" si="75"/>
        <v>Diskon</v>
      </c>
    </row>
    <row r="1210" spans="1:18" x14ac:dyDescent="0.25">
      <c r="A1210" s="13" t="s">
        <v>1222</v>
      </c>
      <c r="B1210" s="13" t="s">
        <v>2192</v>
      </c>
      <c r="C1210" s="13" t="s">
        <v>2196</v>
      </c>
      <c r="D1210" s="13" t="s">
        <v>2204</v>
      </c>
      <c r="F1210" s="13" t="s">
        <v>2219</v>
      </c>
      <c r="G1210" s="13">
        <v>15.92</v>
      </c>
      <c r="H1210" s="13">
        <v>0</v>
      </c>
      <c r="I1210" s="13">
        <v>15.92</v>
      </c>
      <c r="J1210" s="24">
        <v>45541</v>
      </c>
      <c r="K1210" s="13">
        <v>7</v>
      </c>
      <c r="L1210" s="44">
        <v>4.0999999999999996</v>
      </c>
      <c r="M1210" s="13" t="b">
        <v>0</v>
      </c>
      <c r="O1210" s="25">
        <f t="shared" si="72"/>
        <v>361</v>
      </c>
      <c r="P1210" s="13">
        <f t="shared" si="73"/>
        <v>0</v>
      </c>
      <c r="Q1210" s="13" t="str">
        <f t="shared" si="74"/>
        <v/>
      </c>
      <c r="R1210" s="13" t="str">
        <f t="shared" si="75"/>
        <v>Non diskon</v>
      </c>
    </row>
    <row r="1211" spans="1:18" x14ac:dyDescent="0.25">
      <c r="A1211" s="13" t="s">
        <v>1223</v>
      </c>
      <c r="B1211" s="13" t="s">
        <v>2190</v>
      </c>
      <c r="C1211" s="13" t="s">
        <v>2200</v>
      </c>
      <c r="D1211" s="13" t="s">
        <v>2204</v>
      </c>
      <c r="E1211" s="13" t="s">
        <v>2213</v>
      </c>
      <c r="F1211" s="13" t="s">
        <v>2223</v>
      </c>
      <c r="G1211" s="13">
        <v>180.83</v>
      </c>
      <c r="H1211" s="13">
        <v>0</v>
      </c>
      <c r="I1211" s="13">
        <v>180.83</v>
      </c>
      <c r="J1211" s="24">
        <v>45537</v>
      </c>
      <c r="K1211" s="13">
        <v>20</v>
      </c>
      <c r="L1211" s="44">
        <v>2</v>
      </c>
      <c r="M1211" s="13" t="b">
        <v>0</v>
      </c>
      <c r="O1211" s="25">
        <f t="shared" si="72"/>
        <v>365</v>
      </c>
      <c r="P1211" s="13">
        <f t="shared" si="73"/>
        <v>0</v>
      </c>
      <c r="Q1211" s="13" t="str">
        <f t="shared" si="74"/>
        <v/>
      </c>
      <c r="R1211" s="13" t="str">
        <f t="shared" si="75"/>
        <v>Non diskon</v>
      </c>
    </row>
    <row r="1212" spans="1:18" x14ac:dyDescent="0.25">
      <c r="A1212" s="13" t="s">
        <v>1224</v>
      </c>
      <c r="B1212" s="13" t="s">
        <v>2193</v>
      </c>
      <c r="C1212" s="13" t="s">
        <v>2203</v>
      </c>
      <c r="D1212" s="13" t="s">
        <v>2207</v>
      </c>
      <c r="E1212" s="13" t="s">
        <v>2209</v>
      </c>
      <c r="F1212" s="13" t="s">
        <v>2224</v>
      </c>
      <c r="G1212" s="13">
        <v>73.81</v>
      </c>
      <c r="H1212" s="13">
        <v>0</v>
      </c>
      <c r="I1212" s="13">
        <v>73.81</v>
      </c>
      <c r="J1212" s="24">
        <v>45875</v>
      </c>
      <c r="K1212" s="13">
        <v>44</v>
      </c>
      <c r="L1212" s="44">
        <v>1.3</v>
      </c>
      <c r="M1212" s="13" t="b">
        <v>0</v>
      </c>
      <c r="O1212" s="25">
        <f t="shared" si="72"/>
        <v>27</v>
      </c>
      <c r="P1212" s="13">
        <f t="shared" si="73"/>
        <v>0</v>
      </c>
      <c r="Q1212" s="13" t="str">
        <f t="shared" si="74"/>
        <v/>
      </c>
      <c r="R1212" s="13" t="str">
        <f t="shared" si="75"/>
        <v>Non diskon</v>
      </c>
    </row>
    <row r="1213" spans="1:18" x14ac:dyDescent="0.25">
      <c r="A1213" s="13" t="s">
        <v>1225</v>
      </c>
      <c r="B1213" s="13" t="s">
        <v>2193</v>
      </c>
      <c r="C1213" s="13" t="s">
        <v>2201</v>
      </c>
      <c r="D1213" s="13" t="s">
        <v>2207</v>
      </c>
      <c r="E1213" s="13" t="s">
        <v>2211</v>
      </c>
      <c r="F1213" s="13" t="s">
        <v>2221</v>
      </c>
      <c r="G1213" s="13">
        <v>127.52</v>
      </c>
      <c r="H1213" s="13">
        <v>0</v>
      </c>
      <c r="I1213" s="13">
        <v>127.52</v>
      </c>
      <c r="J1213" s="24">
        <v>45875</v>
      </c>
      <c r="K1213" s="13">
        <v>0</v>
      </c>
      <c r="L1213" s="44">
        <v>3.4</v>
      </c>
      <c r="M1213" s="13" t="b">
        <v>0</v>
      </c>
      <c r="O1213" s="25">
        <f t="shared" si="72"/>
        <v>27</v>
      </c>
      <c r="P1213" s="13">
        <f t="shared" si="73"/>
        <v>0</v>
      </c>
      <c r="Q1213" s="13" t="str">
        <f t="shared" si="74"/>
        <v/>
      </c>
      <c r="R1213" s="13" t="str">
        <f t="shared" si="75"/>
        <v>Non diskon</v>
      </c>
    </row>
    <row r="1214" spans="1:18" x14ac:dyDescent="0.25">
      <c r="A1214" s="13" t="s">
        <v>1226</v>
      </c>
      <c r="B1214" s="13" t="s">
        <v>2194</v>
      </c>
      <c r="C1214" s="13" t="s">
        <v>2200</v>
      </c>
      <c r="D1214" s="13" t="s">
        <v>2206</v>
      </c>
      <c r="F1214" s="13" t="s">
        <v>2224</v>
      </c>
      <c r="G1214" s="13">
        <v>52.08</v>
      </c>
      <c r="H1214" s="13">
        <v>0</v>
      </c>
      <c r="I1214" s="13">
        <v>52.08</v>
      </c>
      <c r="J1214" s="24">
        <v>45875</v>
      </c>
      <c r="K1214" s="13">
        <v>12</v>
      </c>
      <c r="L1214" s="44">
        <v>3.0659090909090896</v>
      </c>
      <c r="M1214" s="13" t="b">
        <v>0</v>
      </c>
      <c r="O1214" s="25">
        <f t="shared" si="72"/>
        <v>27</v>
      </c>
      <c r="P1214" s="13">
        <f t="shared" si="73"/>
        <v>0</v>
      </c>
      <c r="Q1214" s="13" t="str">
        <f t="shared" si="74"/>
        <v/>
      </c>
      <c r="R1214" s="13" t="str">
        <f t="shared" si="75"/>
        <v>Non diskon</v>
      </c>
    </row>
    <row r="1215" spans="1:18" x14ac:dyDescent="0.25">
      <c r="A1215" s="13" t="s">
        <v>1227</v>
      </c>
      <c r="B1215" s="13" t="s">
        <v>2194</v>
      </c>
      <c r="C1215" s="13" t="s">
        <v>2203</v>
      </c>
      <c r="D1215" s="13" t="s">
        <v>2205</v>
      </c>
      <c r="E1215" s="13" t="s">
        <v>2212</v>
      </c>
      <c r="F1215" s="13" t="s">
        <v>2214</v>
      </c>
      <c r="G1215" s="13">
        <v>32.83</v>
      </c>
      <c r="H1215" s="13">
        <v>23</v>
      </c>
      <c r="I1215" s="13">
        <v>25.28</v>
      </c>
      <c r="J1215" s="24">
        <v>45875</v>
      </c>
      <c r="K1215" s="13">
        <v>24</v>
      </c>
      <c r="L1215" s="44">
        <v>1.1000000000000001</v>
      </c>
      <c r="M1215" s="13" t="b">
        <v>0</v>
      </c>
      <c r="O1215" s="25">
        <f t="shared" si="72"/>
        <v>27</v>
      </c>
      <c r="P1215" s="13">
        <f t="shared" si="73"/>
        <v>552</v>
      </c>
      <c r="Q1215" s="13" t="str">
        <f t="shared" si="74"/>
        <v/>
      </c>
      <c r="R1215" s="13" t="str">
        <f t="shared" si="75"/>
        <v>Diskon</v>
      </c>
    </row>
    <row r="1216" spans="1:18" x14ac:dyDescent="0.25">
      <c r="A1216" s="13" t="s">
        <v>1228</v>
      </c>
      <c r="B1216" s="13" t="s">
        <v>2191</v>
      </c>
      <c r="C1216" s="13" t="s">
        <v>2198</v>
      </c>
      <c r="D1216" s="13" t="s">
        <v>2205</v>
      </c>
      <c r="E1216" s="13" t="s">
        <v>2210</v>
      </c>
      <c r="F1216" s="13" t="s">
        <v>2223</v>
      </c>
      <c r="G1216" s="13">
        <v>108.92</v>
      </c>
      <c r="H1216" s="13">
        <v>0</v>
      </c>
      <c r="I1216" s="13">
        <v>108.92</v>
      </c>
      <c r="J1216" s="24">
        <v>45875</v>
      </c>
      <c r="K1216" s="13">
        <v>6</v>
      </c>
      <c r="L1216" s="44">
        <v>1.8</v>
      </c>
      <c r="M1216" s="13" t="b">
        <v>0</v>
      </c>
      <c r="O1216" s="25">
        <f t="shared" si="72"/>
        <v>27</v>
      </c>
      <c r="P1216" s="13">
        <f t="shared" si="73"/>
        <v>0</v>
      </c>
      <c r="Q1216" s="13" t="str">
        <f t="shared" si="74"/>
        <v/>
      </c>
      <c r="R1216" s="13" t="str">
        <f t="shared" si="75"/>
        <v>Non diskon</v>
      </c>
    </row>
    <row r="1217" spans="1:18" x14ac:dyDescent="0.25">
      <c r="A1217" s="13" t="s">
        <v>1229</v>
      </c>
      <c r="B1217" s="13" t="s">
        <v>2193</v>
      </c>
      <c r="C1217" s="13" t="s">
        <v>2203</v>
      </c>
      <c r="D1217" s="13" t="s">
        <v>2205</v>
      </c>
      <c r="F1217" s="13" t="s">
        <v>2222</v>
      </c>
      <c r="G1217" s="13">
        <v>85.83</v>
      </c>
      <c r="H1217" s="13">
        <v>47.5</v>
      </c>
      <c r="I1217" s="13">
        <v>45.06</v>
      </c>
      <c r="J1217" s="24">
        <v>45875</v>
      </c>
      <c r="K1217" s="13">
        <v>8</v>
      </c>
      <c r="L1217" s="44">
        <v>1.1000000000000001</v>
      </c>
      <c r="M1217" s="13" t="b">
        <v>0</v>
      </c>
      <c r="O1217" s="25">
        <f t="shared" si="72"/>
        <v>27</v>
      </c>
      <c r="P1217" s="13">
        <f t="shared" si="73"/>
        <v>380</v>
      </c>
      <c r="Q1217" s="13" t="str">
        <f t="shared" si="74"/>
        <v/>
      </c>
      <c r="R1217" s="13" t="str">
        <f t="shared" si="75"/>
        <v>Diskon</v>
      </c>
    </row>
    <row r="1218" spans="1:18" x14ac:dyDescent="0.25">
      <c r="A1218" s="13" t="s">
        <v>1230</v>
      </c>
      <c r="B1218" s="13" t="s">
        <v>2192</v>
      </c>
      <c r="C1218" s="13" t="s">
        <v>2196</v>
      </c>
      <c r="D1218" s="13" t="s">
        <v>2204</v>
      </c>
      <c r="F1218" s="13" t="s">
        <v>2219</v>
      </c>
      <c r="G1218" s="13">
        <v>62.02</v>
      </c>
      <c r="H1218" s="13">
        <v>0</v>
      </c>
      <c r="I1218" s="13">
        <v>62.02</v>
      </c>
      <c r="J1218" s="24">
        <v>45772</v>
      </c>
      <c r="K1218" s="13">
        <v>3</v>
      </c>
      <c r="L1218" s="44">
        <v>3.7</v>
      </c>
      <c r="M1218" s="13" t="b">
        <v>0</v>
      </c>
      <c r="O1218" s="25">
        <f t="shared" si="72"/>
        <v>130</v>
      </c>
      <c r="P1218" s="13">
        <f t="shared" si="73"/>
        <v>0</v>
      </c>
      <c r="Q1218" s="13" t="str">
        <f t="shared" si="74"/>
        <v/>
      </c>
      <c r="R1218" s="13" t="str">
        <f t="shared" si="75"/>
        <v>Non diskon</v>
      </c>
    </row>
    <row r="1219" spans="1:18" x14ac:dyDescent="0.25">
      <c r="A1219" s="13" t="s">
        <v>1231</v>
      </c>
      <c r="B1219" s="13" t="s">
        <v>2193</v>
      </c>
      <c r="C1219" s="13" t="s">
        <v>2200</v>
      </c>
      <c r="D1219" s="13" t="s">
        <v>2207</v>
      </c>
      <c r="E1219" s="13" t="s">
        <v>2208</v>
      </c>
      <c r="F1219" s="13" t="s">
        <v>2216</v>
      </c>
      <c r="G1219" s="13">
        <v>127.31</v>
      </c>
      <c r="H1219" s="13">
        <v>5.4</v>
      </c>
      <c r="I1219" s="13">
        <v>120.44</v>
      </c>
      <c r="J1219" s="24">
        <v>45875</v>
      </c>
      <c r="K1219" s="13">
        <v>34</v>
      </c>
      <c r="L1219" s="44">
        <v>2.5</v>
      </c>
      <c r="M1219" s="13" t="b">
        <v>0</v>
      </c>
      <c r="O1219" s="25">
        <f t="shared" ref="O1219:O1282" si="76">DATE(2025,9,2)-J1219</f>
        <v>27</v>
      </c>
      <c r="P1219" s="13">
        <f t="shared" ref="P1219:P1282" si="77">H1219*K1219</f>
        <v>183.60000000000002</v>
      </c>
      <c r="Q1219" s="13" t="str">
        <f t="shared" ref="Q1219:Q1282" si="78">IF(M1219=FALSE,"",1)</f>
        <v/>
      </c>
      <c r="R1219" s="13" t="str">
        <f t="shared" ref="R1219:R1282" si="79">IF(H1219=0,"Non diskon","Diskon")</f>
        <v>Diskon</v>
      </c>
    </row>
    <row r="1220" spans="1:18" x14ac:dyDescent="0.25">
      <c r="A1220" s="13" t="s">
        <v>1232</v>
      </c>
      <c r="B1220" s="13" t="s">
        <v>2191</v>
      </c>
      <c r="C1220" s="13" t="s">
        <v>2201</v>
      </c>
      <c r="D1220" s="13" t="s">
        <v>2206</v>
      </c>
      <c r="F1220" s="13" t="s">
        <v>2214</v>
      </c>
      <c r="G1220" s="13">
        <v>35.74</v>
      </c>
      <c r="H1220" s="13">
        <v>0</v>
      </c>
      <c r="I1220" s="13">
        <v>35.74</v>
      </c>
      <c r="J1220" s="24">
        <v>45875</v>
      </c>
      <c r="K1220" s="13">
        <v>33</v>
      </c>
      <c r="L1220" s="44">
        <v>2.9846153846153847</v>
      </c>
      <c r="M1220" s="13" t="b">
        <v>1</v>
      </c>
      <c r="N1220" s="13" t="s">
        <v>2225</v>
      </c>
      <c r="O1220" s="25">
        <f t="shared" si="76"/>
        <v>27</v>
      </c>
      <c r="P1220" s="13">
        <f t="shared" si="77"/>
        <v>0</v>
      </c>
      <c r="Q1220" s="13">
        <f t="shared" si="78"/>
        <v>1</v>
      </c>
      <c r="R1220" s="13" t="str">
        <f t="shared" si="79"/>
        <v>Non diskon</v>
      </c>
    </row>
    <row r="1221" spans="1:18" x14ac:dyDescent="0.25">
      <c r="A1221" s="13" t="s">
        <v>1233</v>
      </c>
      <c r="B1221" s="13" t="s">
        <v>2192</v>
      </c>
      <c r="C1221" s="13" t="s">
        <v>2200</v>
      </c>
      <c r="D1221" s="13" t="s">
        <v>2207</v>
      </c>
      <c r="F1221" s="13" t="s">
        <v>2218</v>
      </c>
      <c r="G1221" s="13">
        <v>69.62</v>
      </c>
      <c r="H1221" s="13">
        <v>27.9</v>
      </c>
      <c r="I1221" s="13">
        <v>50.2</v>
      </c>
      <c r="J1221" s="24">
        <v>45875</v>
      </c>
      <c r="K1221" s="13">
        <v>5</v>
      </c>
      <c r="L1221" s="44">
        <v>1.1000000000000001</v>
      </c>
      <c r="M1221" s="13" t="b">
        <v>0</v>
      </c>
      <c r="O1221" s="25">
        <f t="shared" si="76"/>
        <v>27</v>
      </c>
      <c r="P1221" s="13">
        <f t="shared" si="77"/>
        <v>139.5</v>
      </c>
      <c r="Q1221" s="13" t="str">
        <f t="shared" si="78"/>
        <v/>
      </c>
      <c r="R1221" s="13" t="str">
        <f t="shared" si="79"/>
        <v>Diskon</v>
      </c>
    </row>
    <row r="1222" spans="1:18" x14ac:dyDescent="0.25">
      <c r="A1222" s="13" t="s">
        <v>1234</v>
      </c>
      <c r="B1222" s="13" t="s">
        <v>2191</v>
      </c>
      <c r="C1222" s="13" t="s">
        <v>2196</v>
      </c>
      <c r="D1222" s="13" t="s">
        <v>2205</v>
      </c>
      <c r="E1222" s="13" t="s">
        <v>2211</v>
      </c>
      <c r="F1222" s="13" t="s">
        <v>2216</v>
      </c>
      <c r="G1222" s="13">
        <v>92.01</v>
      </c>
      <c r="H1222" s="13">
        <v>28.8</v>
      </c>
      <c r="I1222" s="13">
        <v>65.510000000000005</v>
      </c>
      <c r="J1222" s="24">
        <v>45875</v>
      </c>
      <c r="K1222" s="13">
        <v>37</v>
      </c>
      <c r="L1222" s="44">
        <v>1.9</v>
      </c>
      <c r="M1222" s="13" t="b">
        <v>0</v>
      </c>
      <c r="O1222" s="25">
        <f t="shared" si="76"/>
        <v>27</v>
      </c>
      <c r="P1222" s="13">
        <f t="shared" si="77"/>
        <v>1065.6000000000001</v>
      </c>
      <c r="Q1222" s="13" t="str">
        <f t="shared" si="78"/>
        <v/>
      </c>
      <c r="R1222" s="13" t="str">
        <f t="shared" si="79"/>
        <v>Diskon</v>
      </c>
    </row>
    <row r="1223" spans="1:18" x14ac:dyDescent="0.25">
      <c r="A1223" s="13" t="s">
        <v>1235</v>
      </c>
      <c r="B1223" s="13" t="s">
        <v>2193</v>
      </c>
      <c r="C1223" s="13" t="s">
        <v>2199</v>
      </c>
      <c r="D1223" s="13" t="s">
        <v>2206</v>
      </c>
      <c r="E1223" s="13" t="s">
        <v>2213</v>
      </c>
      <c r="F1223" s="13" t="s">
        <v>2216</v>
      </c>
      <c r="G1223" s="13">
        <v>110.1</v>
      </c>
      <c r="H1223" s="13">
        <v>0</v>
      </c>
      <c r="I1223" s="13">
        <v>110.1</v>
      </c>
      <c r="J1223" s="24">
        <v>45875</v>
      </c>
      <c r="K1223" s="13">
        <v>13</v>
      </c>
      <c r="L1223" s="44">
        <v>3.6</v>
      </c>
      <c r="M1223" s="13" t="b">
        <v>1</v>
      </c>
      <c r="N1223" s="13" t="s">
        <v>2229</v>
      </c>
      <c r="O1223" s="25">
        <f t="shared" si="76"/>
        <v>27</v>
      </c>
      <c r="P1223" s="13">
        <f t="shared" si="77"/>
        <v>0</v>
      </c>
      <c r="Q1223" s="13">
        <f t="shared" si="78"/>
        <v>1</v>
      </c>
      <c r="R1223" s="13" t="str">
        <f t="shared" si="79"/>
        <v>Non diskon</v>
      </c>
    </row>
    <row r="1224" spans="1:18" x14ac:dyDescent="0.25">
      <c r="A1224" s="13" t="s">
        <v>1236</v>
      </c>
      <c r="B1224" s="13" t="s">
        <v>2194</v>
      </c>
      <c r="C1224" s="13" t="s">
        <v>2196</v>
      </c>
      <c r="D1224" s="13" t="s">
        <v>2206</v>
      </c>
      <c r="E1224" s="13" t="s">
        <v>2211</v>
      </c>
      <c r="F1224" s="13" t="s">
        <v>2214</v>
      </c>
      <c r="G1224" s="13">
        <v>109.05</v>
      </c>
      <c r="H1224" s="13">
        <v>0</v>
      </c>
      <c r="I1224" s="13">
        <v>109.05</v>
      </c>
      <c r="J1224" s="24">
        <v>45875</v>
      </c>
      <c r="K1224" s="13">
        <v>13</v>
      </c>
      <c r="L1224" s="44">
        <v>3.7</v>
      </c>
      <c r="M1224" s="13" t="b">
        <v>0</v>
      </c>
      <c r="O1224" s="25">
        <f t="shared" si="76"/>
        <v>27</v>
      </c>
      <c r="P1224" s="13">
        <f t="shared" si="77"/>
        <v>0</v>
      </c>
      <c r="Q1224" s="13" t="str">
        <f t="shared" si="78"/>
        <v/>
      </c>
      <c r="R1224" s="13" t="str">
        <f t="shared" si="79"/>
        <v>Non diskon</v>
      </c>
    </row>
    <row r="1225" spans="1:18" x14ac:dyDescent="0.25">
      <c r="A1225" s="13" t="s">
        <v>1237</v>
      </c>
      <c r="B1225" s="13" t="s">
        <v>2192</v>
      </c>
      <c r="C1225" s="13" t="s">
        <v>2203</v>
      </c>
      <c r="D1225" s="13" t="s">
        <v>2205</v>
      </c>
      <c r="F1225" s="13" t="s">
        <v>2221</v>
      </c>
      <c r="G1225" s="13">
        <v>67.459999999999994</v>
      </c>
      <c r="H1225" s="13">
        <v>0</v>
      </c>
      <c r="I1225" s="13">
        <v>67.459999999999994</v>
      </c>
      <c r="J1225" s="24">
        <v>45875</v>
      </c>
      <c r="K1225" s="13">
        <v>28</v>
      </c>
      <c r="L1225" s="44">
        <v>1.4</v>
      </c>
      <c r="M1225" s="13" t="b">
        <v>0</v>
      </c>
      <c r="O1225" s="25">
        <f t="shared" si="76"/>
        <v>27</v>
      </c>
      <c r="P1225" s="13">
        <f t="shared" si="77"/>
        <v>0</v>
      </c>
      <c r="Q1225" s="13" t="str">
        <f t="shared" si="78"/>
        <v/>
      </c>
      <c r="R1225" s="13" t="str">
        <f t="shared" si="79"/>
        <v>Non diskon</v>
      </c>
    </row>
    <row r="1226" spans="1:18" x14ac:dyDescent="0.25">
      <c r="A1226" s="13" t="s">
        <v>1238</v>
      </c>
      <c r="B1226" s="13" t="s">
        <v>2193</v>
      </c>
      <c r="C1226" s="13" t="s">
        <v>2201</v>
      </c>
      <c r="D1226" s="13" t="s">
        <v>2205</v>
      </c>
      <c r="E1226" s="13" t="s">
        <v>2213</v>
      </c>
      <c r="F1226" s="13" t="s">
        <v>2217</v>
      </c>
      <c r="G1226" s="13">
        <v>110.11</v>
      </c>
      <c r="H1226" s="13">
        <v>10.199999999999999</v>
      </c>
      <c r="I1226" s="13">
        <v>98.88</v>
      </c>
      <c r="J1226" s="24">
        <v>45875</v>
      </c>
      <c r="K1226" s="13">
        <v>47</v>
      </c>
      <c r="L1226" s="44">
        <v>3.0068965517241386</v>
      </c>
      <c r="M1226" s="13" t="b">
        <v>0</v>
      </c>
      <c r="O1226" s="25">
        <f t="shared" si="76"/>
        <v>27</v>
      </c>
      <c r="P1226" s="13">
        <f t="shared" si="77"/>
        <v>479.4</v>
      </c>
      <c r="Q1226" s="13" t="str">
        <f t="shared" si="78"/>
        <v/>
      </c>
      <c r="R1226" s="13" t="str">
        <f t="shared" si="79"/>
        <v>Diskon</v>
      </c>
    </row>
    <row r="1227" spans="1:18" x14ac:dyDescent="0.25">
      <c r="A1227" s="13" t="s">
        <v>1239</v>
      </c>
      <c r="B1227" s="13" t="s">
        <v>2193</v>
      </c>
      <c r="C1227" s="13" t="s">
        <v>2198</v>
      </c>
      <c r="D1227" s="13" t="s">
        <v>2207</v>
      </c>
      <c r="E1227" s="13" t="s">
        <v>2208</v>
      </c>
      <c r="F1227" s="13" t="s">
        <v>2217</v>
      </c>
      <c r="G1227" s="13">
        <v>162.5</v>
      </c>
      <c r="H1227" s="13">
        <v>0</v>
      </c>
      <c r="I1227" s="13">
        <v>162.5</v>
      </c>
      <c r="J1227" s="24">
        <v>45875</v>
      </c>
      <c r="K1227" s="13">
        <v>45</v>
      </c>
      <c r="L1227" s="44">
        <v>3.1936170212765949</v>
      </c>
      <c r="M1227" s="13" t="b">
        <v>0</v>
      </c>
      <c r="O1227" s="25">
        <f t="shared" si="76"/>
        <v>27</v>
      </c>
      <c r="P1227" s="13">
        <f t="shared" si="77"/>
        <v>0</v>
      </c>
      <c r="Q1227" s="13" t="str">
        <f t="shared" si="78"/>
        <v/>
      </c>
      <c r="R1227" s="13" t="str">
        <f t="shared" si="79"/>
        <v>Non diskon</v>
      </c>
    </row>
    <row r="1228" spans="1:18" x14ac:dyDescent="0.25">
      <c r="A1228" s="13" t="s">
        <v>1240</v>
      </c>
      <c r="B1228" s="13" t="s">
        <v>2192</v>
      </c>
      <c r="C1228" s="13" t="s">
        <v>2197</v>
      </c>
      <c r="D1228" s="13" t="s">
        <v>2207</v>
      </c>
      <c r="F1228" s="13" t="s">
        <v>2216</v>
      </c>
      <c r="G1228" s="13">
        <v>23.8</v>
      </c>
      <c r="H1228" s="13">
        <v>8.3000000000000007</v>
      </c>
      <c r="I1228" s="13">
        <v>21.82</v>
      </c>
      <c r="J1228" s="24">
        <v>45875</v>
      </c>
      <c r="K1228" s="13">
        <v>0</v>
      </c>
      <c r="L1228" s="44">
        <v>3.5</v>
      </c>
      <c r="M1228" s="13" t="b">
        <v>0</v>
      </c>
      <c r="O1228" s="25">
        <f t="shared" si="76"/>
        <v>27</v>
      </c>
      <c r="P1228" s="13">
        <f t="shared" si="77"/>
        <v>0</v>
      </c>
      <c r="Q1228" s="13" t="str">
        <f t="shared" si="78"/>
        <v/>
      </c>
      <c r="R1228" s="13" t="str">
        <f t="shared" si="79"/>
        <v>Diskon</v>
      </c>
    </row>
    <row r="1229" spans="1:18" x14ac:dyDescent="0.25">
      <c r="A1229" s="13" t="s">
        <v>1241</v>
      </c>
      <c r="B1229" s="13" t="s">
        <v>2194</v>
      </c>
      <c r="C1229" s="13" t="s">
        <v>2198</v>
      </c>
      <c r="D1229" s="13" t="s">
        <v>2206</v>
      </c>
      <c r="E1229" s="13" t="s">
        <v>2212</v>
      </c>
      <c r="F1229" s="13" t="s">
        <v>2224</v>
      </c>
      <c r="G1229" s="13">
        <v>115.89</v>
      </c>
      <c r="H1229" s="13">
        <v>0</v>
      </c>
      <c r="I1229" s="13">
        <v>115.89</v>
      </c>
      <c r="J1229" s="24">
        <v>45875</v>
      </c>
      <c r="K1229" s="13">
        <v>34</v>
      </c>
      <c r="L1229" s="44">
        <v>2.9</v>
      </c>
      <c r="M1229" s="13" t="b">
        <v>0</v>
      </c>
      <c r="O1229" s="25">
        <f t="shared" si="76"/>
        <v>27</v>
      </c>
      <c r="P1229" s="13">
        <f t="shared" si="77"/>
        <v>0</v>
      </c>
      <c r="Q1229" s="13" t="str">
        <f t="shared" si="78"/>
        <v/>
      </c>
      <c r="R1229" s="13" t="str">
        <f t="shared" si="79"/>
        <v>Non diskon</v>
      </c>
    </row>
    <row r="1230" spans="1:18" x14ac:dyDescent="0.25">
      <c r="A1230" s="13" t="s">
        <v>1242</v>
      </c>
      <c r="B1230" s="13" t="s">
        <v>2190</v>
      </c>
      <c r="C1230" s="13" t="s">
        <v>2200</v>
      </c>
      <c r="D1230" s="13" t="s">
        <v>2204</v>
      </c>
      <c r="E1230" s="13" t="s">
        <v>2213</v>
      </c>
      <c r="F1230" s="13" t="s">
        <v>2214</v>
      </c>
      <c r="G1230" s="13">
        <v>139.19999999999999</v>
      </c>
      <c r="H1230" s="13">
        <v>42.5</v>
      </c>
      <c r="I1230" s="13">
        <v>80.040000000000006</v>
      </c>
      <c r="J1230" s="24">
        <v>45567</v>
      </c>
      <c r="K1230" s="13">
        <v>27</v>
      </c>
      <c r="L1230" s="44">
        <v>2.9</v>
      </c>
      <c r="M1230" s="13" t="b">
        <v>0</v>
      </c>
      <c r="O1230" s="25">
        <f t="shared" si="76"/>
        <v>335</v>
      </c>
      <c r="P1230" s="13">
        <f t="shared" si="77"/>
        <v>1147.5</v>
      </c>
      <c r="Q1230" s="13" t="str">
        <f t="shared" si="78"/>
        <v/>
      </c>
      <c r="R1230" s="13" t="str">
        <f t="shared" si="79"/>
        <v>Diskon</v>
      </c>
    </row>
    <row r="1231" spans="1:18" x14ac:dyDescent="0.25">
      <c r="A1231" s="13" t="s">
        <v>1243</v>
      </c>
      <c r="B1231" s="13" t="s">
        <v>2195</v>
      </c>
      <c r="C1231" s="13" t="s">
        <v>2203</v>
      </c>
      <c r="D1231" s="13" t="s">
        <v>2206</v>
      </c>
      <c r="E1231" s="13" t="s">
        <v>2210</v>
      </c>
      <c r="F1231" s="13" t="s">
        <v>2222</v>
      </c>
      <c r="G1231" s="13">
        <v>120.42</v>
      </c>
      <c r="H1231" s="13">
        <v>36.700000000000003</v>
      </c>
      <c r="I1231" s="13">
        <v>76.23</v>
      </c>
      <c r="J1231" s="24">
        <v>45875</v>
      </c>
      <c r="K1231" s="13">
        <v>46</v>
      </c>
      <c r="L1231" s="44">
        <v>2.4</v>
      </c>
      <c r="M1231" s="13" t="b">
        <v>0</v>
      </c>
      <c r="O1231" s="25">
        <f t="shared" si="76"/>
        <v>27</v>
      </c>
      <c r="P1231" s="13">
        <f t="shared" si="77"/>
        <v>1688.2</v>
      </c>
      <c r="Q1231" s="13" t="str">
        <f t="shared" si="78"/>
        <v/>
      </c>
      <c r="R1231" s="13" t="str">
        <f t="shared" si="79"/>
        <v>Diskon</v>
      </c>
    </row>
    <row r="1232" spans="1:18" x14ac:dyDescent="0.25">
      <c r="A1232" s="13" t="s">
        <v>1244</v>
      </c>
      <c r="B1232" s="13" t="s">
        <v>2192</v>
      </c>
      <c r="C1232" s="13" t="s">
        <v>2198</v>
      </c>
      <c r="D1232" s="13" t="s">
        <v>2206</v>
      </c>
      <c r="F1232" s="13" t="s">
        <v>2221</v>
      </c>
      <c r="G1232" s="13">
        <v>72.81</v>
      </c>
      <c r="H1232" s="13">
        <v>0</v>
      </c>
      <c r="I1232" s="13">
        <v>72.81</v>
      </c>
      <c r="J1232" s="24">
        <v>45875</v>
      </c>
      <c r="K1232" s="13">
        <v>4</v>
      </c>
      <c r="L1232" s="44">
        <v>4.3</v>
      </c>
      <c r="M1232" s="13" t="b">
        <v>0</v>
      </c>
      <c r="O1232" s="25">
        <f t="shared" si="76"/>
        <v>27</v>
      </c>
      <c r="P1232" s="13">
        <f t="shared" si="77"/>
        <v>0</v>
      </c>
      <c r="Q1232" s="13" t="str">
        <f t="shared" si="78"/>
        <v/>
      </c>
      <c r="R1232" s="13" t="str">
        <f t="shared" si="79"/>
        <v>Non diskon</v>
      </c>
    </row>
    <row r="1233" spans="1:18" x14ac:dyDescent="0.25">
      <c r="A1233" s="13" t="s">
        <v>1245</v>
      </c>
      <c r="B1233" s="13" t="s">
        <v>2192</v>
      </c>
      <c r="C1233" s="13" t="s">
        <v>2196</v>
      </c>
      <c r="D1233" s="13" t="s">
        <v>2204</v>
      </c>
      <c r="F1233" s="13" t="s">
        <v>2224</v>
      </c>
      <c r="G1233" s="13">
        <v>29.75</v>
      </c>
      <c r="H1233" s="13">
        <v>0</v>
      </c>
      <c r="I1233" s="13">
        <v>29.75</v>
      </c>
      <c r="J1233" s="24">
        <v>45695</v>
      </c>
      <c r="K1233" s="13">
        <v>37</v>
      </c>
      <c r="L1233" s="44">
        <v>3.9</v>
      </c>
      <c r="M1233" s="13" t="b">
        <v>0</v>
      </c>
      <c r="O1233" s="25">
        <f t="shared" si="76"/>
        <v>207</v>
      </c>
      <c r="P1233" s="13">
        <f t="shared" si="77"/>
        <v>0</v>
      </c>
      <c r="Q1233" s="13" t="str">
        <f t="shared" si="78"/>
        <v/>
      </c>
      <c r="R1233" s="13" t="str">
        <f t="shared" si="79"/>
        <v>Non diskon</v>
      </c>
    </row>
    <row r="1234" spans="1:18" x14ac:dyDescent="0.25">
      <c r="A1234" s="13" t="s">
        <v>1246</v>
      </c>
      <c r="B1234" s="13" t="s">
        <v>2191</v>
      </c>
      <c r="C1234" s="13" t="s">
        <v>2202</v>
      </c>
      <c r="D1234" s="13" t="s">
        <v>2207</v>
      </c>
      <c r="E1234" s="13" t="s">
        <v>2208</v>
      </c>
      <c r="F1234" s="13" t="s">
        <v>2216</v>
      </c>
      <c r="G1234" s="13">
        <v>33.630000000000003</v>
      </c>
      <c r="H1234" s="13">
        <v>0</v>
      </c>
      <c r="I1234" s="13">
        <v>33.630000000000003</v>
      </c>
      <c r="J1234" s="24">
        <v>45875</v>
      </c>
      <c r="K1234" s="13">
        <v>13</v>
      </c>
      <c r="L1234" s="44">
        <v>4.7</v>
      </c>
      <c r="M1234" s="13" t="b">
        <v>0</v>
      </c>
      <c r="O1234" s="25">
        <f t="shared" si="76"/>
        <v>27</v>
      </c>
      <c r="P1234" s="13">
        <f t="shared" si="77"/>
        <v>0</v>
      </c>
      <c r="Q1234" s="13" t="str">
        <f t="shared" si="78"/>
        <v/>
      </c>
      <c r="R1234" s="13" t="str">
        <f t="shared" si="79"/>
        <v>Non diskon</v>
      </c>
    </row>
    <row r="1235" spans="1:18" x14ac:dyDescent="0.25">
      <c r="A1235" s="13" t="s">
        <v>1247</v>
      </c>
      <c r="B1235" s="13" t="s">
        <v>2190</v>
      </c>
      <c r="C1235" s="13" t="s">
        <v>2198</v>
      </c>
      <c r="D1235" s="13" t="s">
        <v>2206</v>
      </c>
      <c r="E1235" s="13" t="s">
        <v>2210</v>
      </c>
      <c r="F1235" s="13" t="s">
        <v>2224</v>
      </c>
      <c r="G1235" s="13">
        <v>101.93</v>
      </c>
      <c r="H1235" s="13">
        <v>0</v>
      </c>
      <c r="I1235" s="13">
        <v>101.93</v>
      </c>
      <c r="J1235" s="24">
        <v>45875</v>
      </c>
      <c r="K1235" s="13">
        <v>31</v>
      </c>
      <c r="L1235" s="44">
        <v>3.0177777777777774</v>
      </c>
      <c r="M1235" s="13" t="b">
        <v>0</v>
      </c>
      <c r="O1235" s="25">
        <f t="shared" si="76"/>
        <v>27</v>
      </c>
      <c r="P1235" s="13">
        <f t="shared" si="77"/>
        <v>0</v>
      </c>
      <c r="Q1235" s="13" t="str">
        <f t="shared" si="78"/>
        <v/>
      </c>
      <c r="R1235" s="13" t="str">
        <f t="shared" si="79"/>
        <v>Non diskon</v>
      </c>
    </row>
    <row r="1236" spans="1:18" x14ac:dyDescent="0.25">
      <c r="A1236" s="13" t="s">
        <v>1248</v>
      </c>
      <c r="B1236" s="13" t="s">
        <v>2192</v>
      </c>
      <c r="C1236" s="13" t="s">
        <v>2199</v>
      </c>
      <c r="D1236" s="13" t="s">
        <v>2205</v>
      </c>
      <c r="F1236" s="13" t="s">
        <v>2217</v>
      </c>
      <c r="G1236" s="13">
        <v>41.43</v>
      </c>
      <c r="H1236" s="13">
        <v>0</v>
      </c>
      <c r="I1236" s="13">
        <v>41.43</v>
      </c>
      <c r="J1236" s="24">
        <v>45875</v>
      </c>
      <c r="K1236" s="13">
        <v>10</v>
      </c>
      <c r="L1236" s="44">
        <v>2.5131578947368416</v>
      </c>
      <c r="M1236" s="13" t="b">
        <v>0</v>
      </c>
      <c r="O1236" s="25">
        <f t="shared" si="76"/>
        <v>27</v>
      </c>
      <c r="P1236" s="13">
        <f t="shared" si="77"/>
        <v>0</v>
      </c>
      <c r="Q1236" s="13" t="str">
        <f t="shared" si="78"/>
        <v/>
      </c>
      <c r="R1236" s="13" t="str">
        <f t="shared" si="79"/>
        <v>Non diskon</v>
      </c>
    </row>
    <row r="1237" spans="1:18" x14ac:dyDescent="0.25">
      <c r="A1237" s="13" t="s">
        <v>1249</v>
      </c>
      <c r="B1237" s="13" t="s">
        <v>2190</v>
      </c>
      <c r="C1237" s="13" t="s">
        <v>2201</v>
      </c>
      <c r="D1237" s="13" t="s">
        <v>2204</v>
      </c>
      <c r="E1237" s="13" t="s">
        <v>2209</v>
      </c>
      <c r="F1237" s="13" t="s">
        <v>2220</v>
      </c>
      <c r="G1237" s="13">
        <v>126.14</v>
      </c>
      <c r="H1237" s="13">
        <v>0</v>
      </c>
      <c r="I1237" s="13">
        <v>126.14</v>
      </c>
      <c r="J1237" s="24">
        <v>45795</v>
      </c>
      <c r="K1237" s="13">
        <v>24</v>
      </c>
      <c r="L1237" s="44">
        <v>3.6</v>
      </c>
      <c r="M1237" s="13" t="b">
        <v>0</v>
      </c>
      <c r="O1237" s="25">
        <f t="shared" si="76"/>
        <v>107</v>
      </c>
      <c r="P1237" s="13">
        <f t="shared" si="77"/>
        <v>0</v>
      </c>
      <c r="Q1237" s="13" t="str">
        <f t="shared" si="78"/>
        <v/>
      </c>
      <c r="R1237" s="13" t="str">
        <f t="shared" si="79"/>
        <v>Non diskon</v>
      </c>
    </row>
    <row r="1238" spans="1:18" x14ac:dyDescent="0.25">
      <c r="A1238" s="13" t="s">
        <v>1250</v>
      </c>
      <c r="B1238" s="13" t="s">
        <v>2194</v>
      </c>
      <c r="C1238" s="13" t="s">
        <v>2196</v>
      </c>
      <c r="D1238" s="13" t="s">
        <v>2204</v>
      </c>
      <c r="E1238" s="13" t="s">
        <v>2213</v>
      </c>
      <c r="F1238" s="13" t="s">
        <v>2223</v>
      </c>
      <c r="G1238" s="13">
        <v>96.76</v>
      </c>
      <c r="H1238" s="13">
        <v>0</v>
      </c>
      <c r="I1238" s="13">
        <v>96.76</v>
      </c>
      <c r="J1238" s="24">
        <v>45714</v>
      </c>
      <c r="K1238" s="13">
        <v>6</v>
      </c>
      <c r="L1238" s="44">
        <v>2.9210526315789478</v>
      </c>
      <c r="M1238" s="13" t="b">
        <v>0</v>
      </c>
      <c r="O1238" s="25">
        <f t="shared" si="76"/>
        <v>188</v>
      </c>
      <c r="P1238" s="13">
        <f t="shared" si="77"/>
        <v>0</v>
      </c>
      <c r="Q1238" s="13" t="str">
        <f t="shared" si="78"/>
        <v/>
      </c>
      <c r="R1238" s="13" t="str">
        <f t="shared" si="79"/>
        <v>Non diskon</v>
      </c>
    </row>
    <row r="1239" spans="1:18" x14ac:dyDescent="0.25">
      <c r="A1239" s="13" t="s">
        <v>1251</v>
      </c>
      <c r="B1239" s="13" t="s">
        <v>2191</v>
      </c>
      <c r="C1239" s="13" t="s">
        <v>2199</v>
      </c>
      <c r="D1239" s="13" t="s">
        <v>2205</v>
      </c>
      <c r="E1239" s="13" t="s">
        <v>2212</v>
      </c>
      <c r="F1239" s="13" t="s">
        <v>2222</v>
      </c>
      <c r="G1239" s="13">
        <v>114.32</v>
      </c>
      <c r="H1239" s="13">
        <v>0</v>
      </c>
      <c r="I1239" s="13">
        <v>114.32</v>
      </c>
      <c r="J1239" s="24">
        <v>45875</v>
      </c>
      <c r="K1239" s="13">
        <v>27</v>
      </c>
      <c r="L1239" s="44">
        <v>5</v>
      </c>
      <c r="M1239" s="13" t="b">
        <v>0</v>
      </c>
      <c r="O1239" s="25">
        <f t="shared" si="76"/>
        <v>27</v>
      </c>
      <c r="P1239" s="13">
        <f t="shared" si="77"/>
        <v>0</v>
      </c>
      <c r="Q1239" s="13" t="str">
        <f t="shared" si="78"/>
        <v/>
      </c>
      <c r="R1239" s="13" t="str">
        <f t="shared" si="79"/>
        <v>Non diskon</v>
      </c>
    </row>
    <row r="1240" spans="1:18" x14ac:dyDescent="0.25">
      <c r="A1240" s="13" t="s">
        <v>1252</v>
      </c>
      <c r="B1240" s="13" t="s">
        <v>2193</v>
      </c>
      <c r="C1240" s="13" t="s">
        <v>2200</v>
      </c>
      <c r="D1240" s="13" t="s">
        <v>2204</v>
      </c>
      <c r="E1240" s="13" t="s">
        <v>2210</v>
      </c>
      <c r="F1240" s="13" t="s">
        <v>2223</v>
      </c>
      <c r="G1240" s="13">
        <v>102.46</v>
      </c>
      <c r="H1240" s="13">
        <v>0</v>
      </c>
      <c r="I1240" s="13">
        <v>102.46</v>
      </c>
      <c r="J1240" s="24">
        <v>45643</v>
      </c>
      <c r="K1240" s="13">
        <v>20</v>
      </c>
      <c r="L1240" s="44">
        <v>3.7</v>
      </c>
      <c r="M1240" s="13" t="b">
        <v>1</v>
      </c>
      <c r="N1240" s="13" t="s">
        <v>2228</v>
      </c>
      <c r="O1240" s="25">
        <f t="shared" si="76"/>
        <v>259</v>
      </c>
      <c r="P1240" s="13">
        <f t="shared" si="77"/>
        <v>0</v>
      </c>
      <c r="Q1240" s="13">
        <f t="shared" si="78"/>
        <v>1</v>
      </c>
      <c r="R1240" s="13" t="str">
        <f t="shared" si="79"/>
        <v>Non diskon</v>
      </c>
    </row>
    <row r="1241" spans="1:18" x14ac:dyDescent="0.25">
      <c r="A1241" s="13" t="s">
        <v>1253</v>
      </c>
      <c r="B1241" s="13" t="s">
        <v>2194</v>
      </c>
      <c r="C1241" s="13" t="s">
        <v>2197</v>
      </c>
      <c r="D1241" s="13" t="s">
        <v>2207</v>
      </c>
      <c r="E1241" s="13" t="s">
        <v>2209</v>
      </c>
      <c r="F1241" s="13" t="s">
        <v>2215</v>
      </c>
      <c r="G1241" s="13">
        <v>95.7</v>
      </c>
      <c r="H1241" s="13">
        <v>15</v>
      </c>
      <c r="I1241" s="13">
        <v>81.34</v>
      </c>
      <c r="J1241" s="24">
        <v>45875</v>
      </c>
      <c r="K1241" s="13">
        <v>9</v>
      </c>
      <c r="L1241" s="44">
        <v>4.9000000000000004</v>
      </c>
      <c r="M1241" s="13" t="b">
        <v>0</v>
      </c>
      <c r="O1241" s="25">
        <f t="shared" si="76"/>
        <v>27</v>
      </c>
      <c r="P1241" s="13">
        <f t="shared" si="77"/>
        <v>135</v>
      </c>
      <c r="Q1241" s="13" t="str">
        <f t="shared" si="78"/>
        <v/>
      </c>
      <c r="R1241" s="13" t="str">
        <f t="shared" si="79"/>
        <v>Diskon</v>
      </c>
    </row>
    <row r="1242" spans="1:18" x14ac:dyDescent="0.25">
      <c r="A1242" s="13" t="s">
        <v>1254</v>
      </c>
      <c r="B1242" s="13" t="s">
        <v>2194</v>
      </c>
      <c r="C1242" s="13" t="s">
        <v>2200</v>
      </c>
      <c r="D1242" s="13" t="s">
        <v>2205</v>
      </c>
      <c r="E1242" s="13" t="s">
        <v>2213</v>
      </c>
      <c r="F1242" s="13" t="s">
        <v>2219</v>
      </c>
      <c r="G1242" s="13">
        <v>55.49</v>
      </c>
      <c r="H1242" s="13">
        <v>0</v>
      </c>
      <c r="I1242" s="13">
        <v>55.49</v>
      </c>
      <c r="J1242" s="24">
        <v>45875</v>
      </c>
      <c r="K1242" s="13">
        <v>25</v>
      </c>
      <c r="L1242" s="44">
        <v>4.5999999999999996</v>
      </c>
      <c r="M1242" s="13" t="b">
        <v>0</v>
      </c>
      <c r="O1242" s="25">
        <f t="shared" si="76"/>
        <v>27</v>
      </c>
      <c r="P1242" s="13">
        <f t="shared" si="77"/>
        <v>0</v>
      </c>
      <c r="Q1242" s="13" t="str">
        <f t="shared" si="78"/>
        <v/>
      </c>
      <c r="R1242" s="13" t="str">
        <f t="shared" si="79"/>
        <v>Non diskon</v>
      </c>
    </row>
    <row r="1243" spans="1:18" x14ac:dyDescent="0.25">
      <c r="A1243" s="13" t="s">
        <v>1255</v>
      </c>
      <c r="B1243" s="13" t="s">
        <v>2192</v>
      </c>
      <c r="C1243" s="13" t="s">
        <v>2201</v>
      </c>
      <c r="D1243" s="13" t="s">
        <v>2205</v>
      </c>
      <c r="F1243" s="13" t="s">
        <v>2217</v>
      </c>
      <c r="G1243" s="13">
        <v>30.58</v>
      </c>
      <c r="H1243" s="13">
        <v>9.8000000000000007</v>
      </c>
      <c r="I1243" s="13">
        <v>27.58</v>
      </c>
      <c r="J1243" s="24">
        <v>45875</v>
      </c>
      <c r="K1243" s="13">
        <v>34</v>
      </c>
      <c r="L1243" s="44">
        <v>3.4</v>
      </c>
      <c r="M1243" s="13" t="b">
        <v>0</v>
      </c>
      <c r="O1243" s="25">
        <f t="shared" si="76"/>
        <v>27</v>
      </c>
      <c r="P1243" s="13">
        <f t="shared" si="77"/>
        <v>333.20000000000005</v>
      </c>
      <c r="Q1243" s="13" t="str">
        <f t="shared" si="78"/>
        <v/>
      </c>
      <c r="R1243" s="13" t="str">
        <f t="shared" si="79"/>
        <v>Diskon</v>
      </c>
    </row>
    <row r="1244" spans="1:18" x14ac:dyDescent="0.25">
      <c r="A1244" s="13" t="s">
        <v>1256</v>
      </c>
      <c r="B1244" s="13" t="s">
        <v>2194</v>
      </c>
      <c r="C1244" s="13" t="s">
        <v>2199</v>
      </c>
      <c r="D1244" s="13" t="s">
        <v>2206</v>
      </c>
      <c r="E1244" s="13" t="s">
        <v>2210</v>
      </c>
      <c r="F1244" s="13" t="s">
        <v>2214</v>
      </c>
      <c r="G1244" s="13">
        <v>116.58</v>
      </c>
      <c r="H1244" s="13">
        <v>0</v>
      </c>
      <c r="I1244" s="13">
        <v>116.58</v>
      </c>
      <c r="J1244" s="24">
        <v>45875</v>
      </c>
      <c r="K1244" s="13">
        <v>47</v>
      </c>
      <c r="L1244" s="44">
        <v>1.2</v>
      </c>
      <c r="M1244" s="13" t="b">
        <v>0</v>
      </c>
      <c r="O1244" s="25">
        <f t="shared" si="76"/>
        <v>27</v>
      </c>
      <c r="P1244" s="13">
        <f t="shared" si="77"/>
        <v>0</v>
      </c>
      <c r="Q1244" s="13" t="str">
        <f t="shared" si="78"/>
        <v/>
      </c>
      <c r="R1244" s="13" t="str">
        <f t="shared" si="79"/>
        <v>Non diskon</v>
      </c>
    </row>
    <row r="1245" spans="1:18" x14ac:dyDescent="0.25">
      <c r="A1245" s="13" t="s">
        <v>1257</v>
      </c>
      <c r="B1245" s="13" t="s">
        <v>2195</v>
      </c>
      <c r="C1245" s="13" t="s">
        <v>2196</v>
      </c>
      <c r="D1245" s="13" t="s">
        <v>2205</v>
      </c>
      <c r="E1245" s="13" t="s">
        <v>2208</v>
      </c>
      <c r="F1245" s="13" t="s">
        <v>2222</v>
      </c>
      <c r="G1245" s="13">
        <v>79.180000000000007</v>
      </c>
      <c r="H1245" s="13">
        <v>21.1</v>
      </c>
      <c r="I1245" s="13">
        <v>62.47</v>
      </c>
      <c r="J1245" s="24">
        <v>45875</v>
      </c>
      <c r="K1245" s="13">
        <v>36</v>
      </c>
      <c r="L1245" s="44">
        <v>1.5</v>
      </c>
      <c r="M1245" s="13" t="b">
        <v>1</v>
      </c>
      <c r="N1245" s="13" t="s">
        <v>2229</v>
      </c>
      <c r="O1245" s="25">
        <f t="shared" si="76"/>
        <v>27</v>
      </c>
      <c r="P1245" s="13">
        <f t="shared" si="77"/>
        <v>759.6</v>
      </c>
      <c r="Q1245" s="13">
        <f t="shared" si="78"/>
        <v>1</v>
      </c>
      <c r="R1245" s="13" t="str">
        <f t="shared" si="79"/>
        <v>Diskon</v>
      </c>
    </row>
    <row r="1246" spans="1:18" x14ac:dyDescent="0.25">
      <c r="A1246" s="13" t="s">
        <v>1258</v>
      </c>
      <c r="B1246" s="13" t="s">
        <v>2195</v>
      </c>
      <c r="C1246" s="13" t="s">
        <v>2203</v>
      </c>
      <c r="D1246" s="13" t="s">
        <v>2207</v>
      </c>
      <c r="F1246" s="13" t="s">
        <v>2222</v>
      </c>
      <c r="G1246" s="13">
        <v>88.71</v>
      </c>
      <c r="H1246" s="13">
        <v>0</v>
      </c>
      <c r="I1246" s="13">
        <v>88.71</v>
      </c>
      <c r="J1246" s="24">
        <v>45875</v>
      </c>
      <c r="K1246" s="13">
        <v>3</v>
      </c>
      <c r="L1246" s="44">
        <v>3.5</v>
      </c>
      <c r="M1246" s="13" t="b">
        <v>0</v>
      </c>
      <c r="O1246" s="25">
        <f t="shared" si="76"/>
        <v>27</v>
      </c>
      <c r="P1246" s="13">
        <f t="shared" si="77"/>
        <v>0</v>
      </c>
      <c r="Q1246" s="13" t="str">
        <f t="shared" si="78"/>
        <v/>
      </c>
      <c r="R1246" s="13" t="str">
        <f t="shared" si="79"/>
        <v>Non diskon</v>
      </c>
    </row>
    <row r="1247" spans="1:18" x14ac:dyDescent="0.25">
      <c r="A1247" s="13" t="s">
        <v>1259</v>
      </c>
      <c r="B1247" s="13" t="s">
        <v>2195</v>
      </c>
      <c r="C1247" s="13" t="s">
        <v>2198</v>
      </c>
      <c r="D1247" s="13" t="s">
        <v>2204</v>
      </c>
      <c r="E1247" s="13" t="s">
        <v>2211</v>
      </c>
      <c r="F1247" s="13" t="s">
        <v>2223</v>
      </c>
      <c r="G1247" s="13">
        <v>150.58000000000001</v>
      </c>
      <c r="H1247" s="13">
        <v>0</v>
      </c>
      <c r="I1247" s="13">
        <v>150.58000000000001</v>
      </c>
      <c r="J1247" s="24">
        <v>45645</v>
      </c>
      <c r="K1247" s="13">
        <v>38</v>
      </c>
      <c r="L1247" s="44">
        <v>2.1</v>
      </c>
      <c r="M1247" s="13" t="b">
        <v>0</v>
      </c>
      <c r="O1247" s="25">
        <f t="shared" si="76"/>
        <v>257</v>
      </c>
      <c r="P1247" s="13">
        <f t="shared" si="77"/>
        <v>0</v>
      </c>
      <c r="Q1247" s="13" t="str">
        <f t="shared" si="78"/>
        <v/>
      </c>
      <c r="R1247" s="13" t="str">
        <f t="shared" si="79"/>
        <v>Non diskon</v>
      </c>
    </row>
    <row r="1248" spans="1:18" x14ac:dyDescent="0.25">
      <c r="A1248" s="13" t="s">
        <v>1260</v>
      </c>
      <c r="B1248" s="13" t="s">
        <v>2195</v>
      </c>
      <c r="C1248" s="13" t="s">
        <v>2197</v>
      </c>
      <c r="D1248" s="13" t="s">
        <v>2207</v>
      </c>
      <c r="E1248" s="13" t="s">
        <v>2211</v>
      </c>
      <c r="F1248" s="13" t="s">
        <v>2217</v>
      </c>
      <c r="G1248" s="13">
        <v>179.9</v>
      </c>
      <c r="H1248" s="13">
        <v>9.3000000000000007</v>
      </c>
      <c r="I1248" s="13">
        <v>163.16999999999999</v>
      </c>
      <c r="J1248" s="24">
        <v>45875</v>
      </c>
      <c r="K1248" s="13">
        <v>34</v>
      </c>
      <c r="L1248" s="44">
        <v>2.1</v>
      </c>
      <c r="M1248" s="13" t="b">
        <v>0</v>
      </c>
      <c r="O1248" s="25">
        <f t="shared" si="76"/>
        <v>27</v>
      </c>
      <c r="P1248" s="13">
        <f t="shared" si="77"/>
        <v>316.20000000000005</v>
      </c>
      <c r="Q1248" s="13" t="str">
        <f t="shared" si="78"/>
        <v/>
      </c>
      <c r="R1248" s="13" t="str">
        <f t="shared" si="79"/>
        <v>Diskon</v>
      </c>
    </row>
    <row r="1249" spans="1:18" x14ac:dyDescent="0.25">
      <c r="A1249" s="13" t="s">
        <v>1261</v>
      </c>
      <c r="B1249" s="13" t="s">
        <v>2190</v>
      </c>
      <c r="C1249" s="13" t="s">
        <v>2203</v>
      </c>
      <c r="D1249" s="13" t="s">
        <v>2204</v>
      </c>
      <c r="E1249" s="13" t="s">
        <v>2208</v>
      </c>
      <c r="F1249" s="13" t="s">
        <v>2214</v>
      </c>
      <c r="G1249" s="13">
        <v>135.30000000000001</v>
      </c>
      <c r="H1249" s="13">
        <v>0</v>
      </c>
      <c r="I1249" s="13">
        <v>135.30000000000001</v>
      </c>
      <c r="J1249" s="24">
        <v>45704</v>
      </c>
      <c r="K1249" s="13">
        <v>19</v>
      </c>
      <c r="L1249" s="44">
        <v>4.5999999999999996</v>
      </c>
      <c r="M1249" s="13" t="b">
        <v>0</v>
      </c>
      <c r="O1249" s="25">
        <f t="shared" si="76"/>
        <v>198</v>
      </c>
      <c r="P1249" s="13">
        <f t="shared" si="77"/>
        <v>0</v>
      </c>
      <c r="Q1249" s="13" t="str">
        <f t="shared" si="78"/>
        <v/>
      </c>
      <c r="R1249" s="13" t="str">
        <f t="shared" si="79"/>
        <v>Non diskon</v>
      </c>
    </row>
    <row r="1250" spans="1:18" x14ac:dyDescent="0.25">
      <c r="A1250" s="13" t="s">
        <v>1262</v>
      </c>
      <c r="B1250" s="13" t="s">
        <v>2193</v>
      </c>
      <c r="C1250" s="13" t="s">
        <v>2197</v>
      </c>
      <c r="D1250" s="13" t="s">
        <v>2206</v>
      </c>
      <c r="E1250" s="13" t="s">
        <v>2211</v>
      </c>
      <c r="F1250" s="13" t="s">
        <v>2216</v>
      </c>
      <c r="G1250" s="13">
        <v>146.43</v>
      </c>
      <c r="H1250" s="13">
        <v>0</v>
      </c>
      <c r="I1250" s="13">
        <v>146.43</v>
      </c>
      <c r="J1250" s="24">
        <v>45875</v>
      </c>
      <c r="K1250" s="13">
        <v>7</v>
      </c>
      <c r="L1250" s="44">
        <v>2.5</v>
      </c>
      <c r="M1250" s="13" t="b">
        <v>0</v>
      </c>
      <c r="O1250" s="25">
        <f t="shared" si="76"/>
        <v>27</v>
      </c>
      <c r="P1250" s="13">
        <f t="shared" si="77"/>
        <v>0</v>
      </c>
      <c r="Q1250" s="13" t="str">
        <f t="shared" si="78"/>
        <v/>
      </c>
      <c r="R1250" s="13" t="str">
        <f t="shared" si="79"/>
        <v>Non diskon</v>
      </c>
    </row>
    <row r="1251" spans="1:18" x14ac:dyDescent="0.25">
      <c r="A1251" s="13" t="s">
        <v>1263</v>
      </c>
      <c r="B1251" s="13" t="s">
        <v>2190</v>
      </c>
      <c r="C1251" s="13" t="s">
        <v>2203</v>
      </c>
      <c r="D1251" s="13" t="s">
        <v>2205</v>
      </c>
      <c r="E1251" s="13" t="s">
        <v>2213</v>
      </c>
      <c r="F1251" s="13" t="s">
        <v>2220</v>
      </c>
      <c r="G1251" s="13">
        <v>160.27000000000001</v>
      </c>
      <c r="H1251" s="13">
        <v>0</v>
      </c>
      <c r="I1251" s="13">
        <v>160.27000000000001</v>
      </c>
      <c r="J1251" s="24">
        <v>45875</v>
      </c>
      <c r="K1251" s="13">
        <v>11</v>
      </c>
      <c r="L1251" s="44">
        <v>2</v>
      </c>
      <c r="M1251" s="13" t="b">
        <v>0</v>
      </c>
      <c r="O1251" s="25">
        <f t="shared" si="76"/>
        <v>27</v>
      </c>
      <c r="P1251" s="13">
        <f t="shared" si="77"/>
        <v>0</v>
      </c>
      <c r="Q1251" s="13" t="str">
        <f t="shared" si="78"/>
        <v/>
      </c>
      <c r="R1251" s="13" t="str">
        <f t="shared" si="79"/>
        <v>Non diskon</v>
      </c>
    </row>
    <row r="1252" spans="1:18" x14ac:dyDescent="0.25">
      <c r="A1252" s="13" t="s">
        <v>1264</v>
      </c>
      <c r="B1252" s="13" t="s">
        <v>2193</v>
      </c>
      <c r="C1252" s="13" t="s">
        <v>2199</v>
      </c>
      <c r="D1252" s="13" t="s">
        <v>2205</v>
      </c>
      <c r="E1252" s="13" t="s">
        <v>2213</v>
      </c>
      <c r="F1252" s="13" t="s">
        <v>2218</v>
      </c>
      <c r="G1252" s="13">
        <v>169.87</v>
      </c>
      <c r="H1252" s="13">
        <v>8.8000000000000007</v>
      </c>
      <c r="I1252" s="13">
        <v>154.91999999999999</v>
      </c>
      <c r="J1252" s="24">
        <v>45875</v>
      </c>
      <c r="K1252" s="13">
        <v>36</v>
      </c>
      <c r="L1252" s="44">
        <v>2.1</v>
      </c>
      <c r="M1252" s="13" t="b">
        <v>0</v>
      </c>
      <c r="O1252" s="25">
        <f t="shared" si="76"/>
        <v>27</v>
      </c>
      <c r="P1252" s="13">
        <f t="shared" si="77"/>
        <v>316.8</v>
      </c>
      <c r="Q1252" s="13" t="str">
        <f t="shared" si="78"/>
        <v/>
      </c>
      <c r="R1252" s="13" t="str">
        <f t="shared" si="79"/>
        <v>Diskon</v>
      </c>
    </row>
    <row r="1253" spans="1:18" x14ac:dyDescent="0.25">
      <c r="A1253" s="13" t="s">
        <v>1265</v>
      </c>
      <c r="B1253" s="13" t="s">
        <v>2193</v>
      </c>
      <c r="C1253" s="13" t="s">
        <v>2201</v>
      </c>
      <c r="D1253" s="13" t="s">
        <v>2207</v>
      </c>
      <c r="F1253" s="13" t="s">
        <v>2218</v>
      </c>
      <c r="G1253" s="13">
        <v>137.33000000000001</v>
      </c>
      <c r="H1253" s="13">
        <v>0</v>
      </c>
      <c r="I1253" s="13">
        <v>137.33000000000001</v>
      </c>
      <c r="J1253" s="24">
        <v>45875</v>
      </c>
      <c r="K1253" s="13">
        <v>35</v>
      </c>
      <c r="L1253" s="44">
        <v>4.5999999999999996</v>
      </c>
      <c r="M1253" s="13" t="b">
        <v>0</v>
      </c>
      <c r="O1253" s="25">
        <f t="shared" si="76"/>
        <v>27</v>
      </c>
      <c r="P1253" s="13">
        <f t="shared" si="77"/>
        <v>0</v>
      </c>
      <c r="Q1253" s="13" t="str">
        <f t="shared" si="78"/>
        <v/>
      </c>
      <c r="R1253" s="13" t="str">
        <f t="shared" si="79"/>
        <v>Non diskon</v>
      </c>
    </row>
    <row r="1254" spans="1:18" x14ac:dyDescent="0.25">
      <c r="A1254" s="13" t="s">
        <v>1266</v>
      </c>
      <c r="B1254" s="13" t="s">
        <v>2194</v>
      </c>
      <c r="C1254" s="13" t="s">
        <v>2203</v>
      </c>
      <c r="D1254" s="13" t="s">
        <v>2207</v>
      </c>
      <c r="E1254" s="13" t="s">
        <v>2211</v>
      </c>
      <c r="F1254" s="13" t="s">
        <v>2214</v>
      </c>
      <c r="G1254" s="13">
        <v>38.18</v>
      </c>
      <c r="H1254" s="13">
        <v>0</v>
      </c>
      <c r="I1254" s="13">
        <v>38.18</v>
      </c>
      <c r="J1254" s="24">
        <v>45875</v>
      </c>
      <c r="K1254" s="13">
        <v>38</v>
      </c>
      <c r="L1254" s="44">
        <v>3.1021739130434773</v>
      </c>
      <c r="M1254" s="13" t="b">
        <v>0</v>
      </c>
      <c r="O1254" s="25">
        <f t="shared" si="76"/>
        <v>27</v>
      </c>
      <c r="P1254" s="13">
        <f t="shared" si="77"/>
        <v>0</v>
      </c>
      <c r="Q1254" s="13" t="str">
        <f t="shared" si="78"/>
        <v/>
      </c>
      <c r="R1254" s="13" t="str">
        <f t="shared" si="79"/>
        <v>Non diskon</v>
      </c>
    </row>
    <row r="1255" spans="1:18" x14ac:dyDescent="0.25">
      <c r="A1255" s="13" t="s">
        <v>1267</v>
      </c>
      <c r="B1255" s="13" t="s">
        <v>2191</v>
      </c>
      <c r="C1255" s="13" t="s">
        <v>2196</v>
      </c>
      <c r="D1255" s="13" t="s">
        <v>2207</v>
      </c>
      <c r="E1255" s="13" t="s">
        <v>2211</v>
      </c>
      <c r="F1255" s="13" t="s">
        <v>2219</v>
      </c>
      <c r="G1255" s="13">
        <v>40.619999999999997</v>
      </c>
      <c r="H1255" s="13">
        <v>20.100000000000001</v>
      </c>
      <c r="I1255" s="13">
        <v>32.46</v>
      </c>
      <c r="J1255" s="24">
        <v>45875</v>
      </c>
      <c r="K1255" s="13">
        <v>7</v>
      </c>
      <c r="L1255" s="44">
        <v>2.9181818181818175</v>
      </c>
      <c r="M1255" s="13" t="b">
        <v>0</v>
      </c>
      <c r="O1255" s="25">
        <f t="shared" si="76"/>
        <v>27</v>
      </c>
      <c r="P1255" s="13">
        <f t="shared" si="77"/>
        <v>140.70000000000002</v>
      </c>
      <c r="Q1255" s="13" t="str">
        <f t="shared" si="78"/>
        <v/>
      </c>
      <c r="R1255" s="13" t="str">
        <f t="shared" si="79"/>
        <v>Diskon</v>
      </c>
    </row>
    <row r="1256" spans="1:18" x14ac:dyDescent="0.25">
      <c r="A1256" s="13" t="s">
        <v>1268</v>
      </c>
      <c r="B1256" s="13" t="s">
        <v>2194</v>
      </c>
      <c r="C1256" s="13" t="s">
        <v>2200</v>
      </c>
      <c r="D1256" s="13" t="s">
        <v>2205</v>
      </c>
      <c r="E1256" s="13" t="s">
        <v>2212</v>
      </c>
      <c r="F1256" s="13" t="s">
        <v>2216</v>
      </c>
      <c r="G1256" s="13">
        <v>56.4</v>
      </c>
      <c r="H1256" s="13">
        <v>23.3</v>
      </c>
      <c r="I1256" s="13">
        <v>43.26</v>
      </c>
      <c r="J1256" s="24">
        <v>45875</v>
      </c>
      <c r="K1256" s="13">
        <v>35</v>
      </c>
      <c r="L1256" s="44">
        <v>3.0659090909090896</v>
      </c>
      <c r="M1256" s="13" t="b">
        <v>0</v>
      </c>
      <c r="O1256" s="25">
        <f t="shared" si="76"/>
        <v>27</v>
      </c>
      <c r="P1256" s="13">
        <f t="shared" si="77"/>
        <v>815.5</v>
      </c>
      <c r="Q1256" s="13" t="str">
        <f t="shared" si="78"/>
        <v/>
      </c>
      <c r="R1256" s="13" t="str">
        <f t="shared" si="79"/>
        <v>Diskon</v>
      </c>
    </row>
    <row r="1257" spans="1:18" x14ac:dyDescent="0.25">
      <c r="A1257" s="13" t="s">
        <v>1269</v>
      </c>
      <c r="B1257" s="13" t="s">
        <v>2192</v>
      </c>
      <c r="C1257" s="13" t="s">
        <v>2203</v>
      </c>
      <c r="D1257" s="13" t="s">
        <v>2207</v>
      </c>
      <c r="F1257" s="13" t="s">
        <v>2220</v>
      </c>
      <c r="G1257" s="13">
        <v>19.559999999999999</v>
      </c>
      <c r="H1257" s="13">
        <v>0</v>
      </c>
      <c r="I1257" s="13">
        <v>19.559999999999999</v>
      </c>
      <c r="J1257" s="24">
        <v>45875</v>
      </c>
      <c r="K1257" s="13">
        <v>13</v>
      </c>
      <c r="L1257" s="44">
        <v>3.1</v>
      </c>
      <c r="M1257" s="13" t="b">
        <v>0</v>
      </c>
      <c r="O1257" s="25">
        <f t="shared" si="76"/>
        <v>27</v>
      </c>
      <c r="P1257" s="13">
        <f t="shared" si="77"/>
        <v>0</v>
      </c>
      <c r="Q1257" s="13" t="str">
        <f t="shared" si="78"/>
        <v/>
      </c>
      <c r="R1257" s="13" t="str">
        <f t="shared" si="79"/>
        <v>Non diskon</v>
      </c>
    </row>
    <row r="1258" spans="1:18" x14ac:dyDescent="0.25">
      <c r="A1258" s="13" t="s">
        <v>1270</v>
      </c>
      <c r="B1258" s="13" t="s">
        <v>2193</v>
      </c>
      <c r="C1258" s="13" t="s">
        <v>2200</v>
      </c>
      <c r="D1258" s="13" t="s">
        <v>2205</v>
      </c>
      <c r="E1258" s="13" t="s">
        <v>2209</v>
      </c>
      <c r="F1258" s="13" t="s">
        <v>2217</v>
      </c>
      <c r="G1258" s="13">
        <v>155.66</v>
      </c>
      <c r="H1258" s="13">
        <v>0</v>
      </c>
      <c r="I1258" s="13">
        <v>155.66</v>
      </c>
      <c r="J1258" s="24">
        <v>45875</v>
      </c>
      <c r="K1258" s="13">
        <v>3</v>
      </c>
      <c r="L1258" s="44">
        <v>4</v>
      </c>
      <c r="M1258" s="13" t="b">
        <v>0</v>
      </c>
      <c r="O1258" s="25">
        <f t="shared" si="76"/>
        <v>27</v>
      </c>
      <c r="P1258" s="13">
        <f t="shared" si="77"/>
        <v>0</v>
      </c>
      <c r="Q1258" s="13" t="str">
        <f t="shared" si="78"/>
        <v/>
      </c>
      <c r="R1258" s="13" t="str">
        <f t="shared" si="79"/>
        <v>Non diskon</v>
      </c>
    </row>
    <row r="1259" spans="1:18" x14ac:dyDescent="0.25">
      <c r="A1259" s="13" t="s">
        <v>1271</v>
      </c>
      <c r="B1259" s="13" t="s">
        <v>2191</v>
      </c>
      <c r="C1259" s="13" t="s">
        <v>2196</v>
      </c>
      <c r="D1259" s="13" t="s">
        <v>2207</v>
      </c>
      <c r="E1259" s="13" t="s">
        <v>2210</v>
      </c>
      <c r="F1259" s="13" t="s">
        <v>2223</v>
      </c>
      <c r="G1259" s="13">
        <v>106.2</v>
      </c>
      <c r="H1259" s="13">
        <v>0</v>
      </c>
      <c r="I1259" s="13">
        <v>106.2</v>
      </c>
      <c r="J1259" s="24">
        <v>45875</v>
      </c>
      <c r="K1259" s="13">
        <v>10</v>
      </c>
      <c r="L1259" s="44">
        <v>1.1000000000000001</v>
      </c>
      <c r="M1259" s="13" t="b">
        <v>0</v>
      </c>
      <c r="O1259" s="25">
        <f t="shared" si="76"/>
        <v>27</v>
      </c>
      <c r="P1259" s="13">
        <f t="shared" si="77"/>
        <v>0</v>
      </c>
      <c r="Q1259" s="13" t="str">
        <f t="shared" si="78"/>
        <v/>
      </c>
      <c r="R1259" s="13" t="str">
        <f t="shared" si="79"/>
        <v>Non diskon</v>
      </c>
    </row>
    <row r="1260" spans="1:18" x14ac:dyDescent="0.25">
      <c r="A1260" s="13" t="s">
        <v>1272</v>
      </c>
      <c r="B1260" s="13" t="s">
        <v>2190</v>
      </c>
      <c r="C1260" s="13" t="s">
        <v>2201</v>
      </c>
      <c r="D1260" s="13" t="s">
        <v>2206</v>
      </c>
      <c r="E1260" s="13" t="s">
        <v>2211</v>
      </c>
      <c r="F1260" s="13" t="s">
        <v>2222</v>
      </c>
      <c r="G1260" s="13">
        <v>158.31</v>
      </c>
      <c r="H1260" s="13">
        <v>0</v>
      </c>
      <c r="I1260" s="13">
        <v>158.31</v>
      </c>
      <c r="J1260" s="24">
        <v>45875</v>
      </c>
      <c r="K1260" s="13">
        <v>7</v>
      </c>
      <c r="L1260" s="44">
        <v>5</v>
      </c>
      <c r="M1260" s="13" t="b">
        <v>0</v>
      </c>
      <c r="O1260" s="25">
        <f t="shared" si="76"/>
        <v>27</v>
      </c>
      <c r="P1260" s="13">
        <f t="shared" si="77"/>
        <v>0</v>
      </c>
      <c r="Q1260" s="13" t="str">
        <f t="shared" si="78"/>
        <v/>
      </c>
      <c r="R1260" s="13" t="str">
        <f t="shared" si="79"/>
        <v>Non diskon</v>
      </c>
    </row>
    <row r="1261" spans="1:18" x14ac:dyDescent="0.25">
      <c r="A1261" s="13" t="s">
        <v>1273</v>
      </c>
      <c r="B1261" s="13" t="s">
        <v>2195</v>
      </c>
      <c r="C1261" s="13" t="s">
        <v>2199</v>
      </c>
      <c r="D1261" s="13" t="s">
        <v>2204</v>
      </c>
      <c r="E1261" s="13" t="s">
        <v>2208</v>
      </c>
      <c r="F1261" s="13" t="s">
        <v>2215</v>
      </c>
      <c r="G1261" s="13">
        <v>102.3</v>
      </c>
      <c r="H1261" s="13">
        <v>42.2</v>
      </c>
      <c r="I1261" s="13">
        <v>59.13</v>
      </c>
      <c r="J1261" s="24">
        <v>45807</v>
      </c>
      <c r="K1261" s="13">
        <v>43</v>
      </c>
      <c r="L1261" s="44">
        <v>1.3</v>
      </c>
      <c r="M1261" s="13" t="b">
        <v>0</v>
      </c>
      <c r="O1261" s="25">
        <f t="shared" si="76"/>
        <v>95</v>
      </c>
      <c r="P1261" s="13">
        <f t="shared" si="77"/>
        <v>1814.6000000000001</v>
      </c>
      <c r="Q1261" s="13" t="str">
        <f t="shared" si="78"/>
        <v/>
      </c>
      <c r="R1261" s="13" t="str">
        <f t="shared" si="79"/>
        <v>Diskon</v>
      </c>
    </row>
    <row r="1262" spans="1:18" x14ac:dyDescent="0.25">
      <c r="A1262" s="13" t="s">
        <v>1274</v>
      </c>
      <c r="B1262" s="13" t="s">
        <v>2192</v>
      </c>
      <c r="C1262" s="13" t="s">
        <v>2202</v>
      </c>
      <c r="D1262" s="13" t="s">
        <v>2206</v>
      </c>
      <c r="F1262" s="13" t="s">
        <v>2222</v>
      </c>
      <c r="G1262" s="13">
        <v>53.46</v>
      </c>
      <c r="H1262" s="13">
        <v>58</v>
      </c>
      <c r="I1262" s="13">
        <v>22.45</v>
      </c>
      <c r="J1262" s="24">
        <v>45875</v>
      </c>
      <c r="K1262" s="13">
        <v>6</v>
      </c>
      <c r="L1262" s="44">
        <v>4.2</v>
      </c>
      <c r="M1262" s="13" t="b">
        <v>0</v>
      </c>
      <c r="O1262" s="25">
        <f t="shared" si="76"/>
        <v>27</v>
      </c>
      <c r="P1262" s="13">
        <f t="shared" si="77"/>
        <v>348</v>
      </c>
      <c r="Q1262" s="13" t="str">
        <f t="shared" si="78"/>
        <v/>
      </c>
      <c r="R1262" s="13" t="str">
        <f t="shared" si="79"/>
        <v>Diskon</v>
      </c>
    </row>
    <row r="1263" spans="1:18" x14ac:dyDescent="0.25">
      <c r="A1263" s="13" t="s">
        <v>1275</v>
      </c>
      <c r="B1263" s="13" t="s">
        <v>2195</v>
      </c>
      <c r="C1263" s="13" t="s">
        <v>2197</v>
      </c>
      <c r="D1263" s="13" t="s">
        <v>2207</v>
      </c>
      <c r="E1263" s="13" t="s">
        <v>2212</v>
      </c>
      <c r="F1263" s="13" t="s">
        <v>2219</v>
      </c>
      <c r="G1263" s="13">
        <v>101.78</v>
      </c>
      <c r="H1263" s="13">
        <v>22.9</v>
      </c>
      <c r="I1263" s="13">
        <v>78.47</v>
      </c>
      <c r="J1263" s="24">
        <v>45875</v>
      </c>
      <c r="K1263" s="13">
        <v>5</v>
      </c>
      <c r="L1263" s="44">
        <v>1.2</v>
      </c>
      <c r="M1263" s="13" t="b">
        <v>1</v>
      </c>
      <c r="N1263" s="13" t="s">
        <v>2227</v>
      </c>
      <c r="O1263" s="25">
        <f t="shared" si="76"/>
        <v>27</v>
      </c>
      <c r="P1263" s="13">
        <f t="shared" si="77"/>
        <v>114.5</v>
      </c>
      <c r="Q1263" s="13">
        <f t="shared" si="78"/>
        <v>1</v>
      </c>
      <c r="R1263" s="13" t="str">
        <f t="shared" si="79"/>
        <v>Diskon</v>
      </c>
    </row>
    <row r="1264" spans="1:18" x14ac:dyDescent="0.25">
      <c r="A1264" s="13" t="s">
        <v>1276</v>
      </c>
      <c r="B1264" s="13" t="s">
        <v>2190</v>
      </c>
      <c r="C1264" s="13" t="s">
        <v>2198</v>
      </c>
      <c r="D1264" s="13" t="s">
        <v>2207</v>
      </c>
      <c r="E1264" s="13" t="s">
        <v>2213</v>
      </c>
      <c r="F1264" s="13" t="s">
        <v>2218</v>
      </c>
      <c r="G1264" s="13">
        <v>112.28</v>
      </c>
      <c r="H1264" s="13">
        <v>0</v>
      </c>
      <c r="I1264" s="13">
        <v>112.28</v>
      </c>
      <c r="J1264" s="24">
        <v>45875</v>
      </c>
      <c r="K1264" s="13">
        <v>41</v>
      </c>
      <c r="L1264" s="44">
        <v>4.0999999999999996</v>
      </c>
      <c r="M1264" s="13" t="b">
        <v>0</v>
      </c>
      <c r="O1264" s="25">
        <f t="shared" si="76"/>
        <v>27</v>
      </c>
      <c r="P1264" s="13">
        <f t="shared" si="77"/>
        <v>0</v>
      </c>
      <c r="Q1264" s="13" t="str">
        <f t="shared" si="78"/>
        <v/>
      </c>
      <c r="R1264" s="13" t="str">
        <f t="shared" si="79"/>
        <v>Non diskon</v>
      </c>
    </row>
    <row r="1265" spans="1:18" x14ac:dyDescent="0.25">
      <c r="A1265" s="13" t="s">
        <v>1277</v>
      </c>
      <c r="B1265" s="13" t="s">
        <v>2192</v>
      </c>
      <c r="C1265" s="13" t="s">
        <v>2198</v>
      </c>
      <c r="D1265" s="13" t="s">
        <v>2205</v>
      </c>
      <c r="F1265" s="13" t="s">
        <v>2215</v>
      </c>
      <c r="G1265" s="13">
        <v>47.51</v>
      </c>
      <c r="H1265" s="13">
        <v>0</v>
      </c>
      <c r="I1265" s="13">
        <v>47.51</v>
      </c>
      <c r="J1265" s="24">
        <v>45875</v>
      </c>
      <c r="K1265" s="13">
        <v>39</v>
      </c>
      <c r="L1265" s="44">
        <v>4.4000000000000004</v>
      </c>
      <c r="M1265" s="13" t="b">
        <v>0</v>
      </c>
      <c r="O1265" s="25">
        <f t="shared" si="76"/>
        <v>27</v>
      </c>
      <c r="P1265" s="13">
        <f t="shared" si="77"/>
        <v>0</v>
      </c>
      <c r="Q1265" s="13" t="str">
        <f t="shared" si="78"/>
        <v/>
      </c>
      <c r="R1265" s="13" t="str">
        <f t="shared" si="79"/>
        <v>Non diskon</v>
      </c>
    </row>
    <row r="1266" spans="1:18" x14ac:dyDescent="0.25">
      <c r="A1266" s="13" t="s">
        <v>1278</v>
      </c>
      <c r="B1266" s="13" t="s">
        <v>2191</v>
      </c>
      <c r="C1266" s="13" t="s">
        <v>2197</v>
      </c>
      <c r="D1266" s="13" t="s">
        <v>2205</v>
      </c>
      <c r="E1266" s="13" t="s">
        <v>2211</v>
      </c>
      <c r="F1266" s="13" t="s">
        <v>2221</v>
      </c>
      <c r="G1266" s="13">
        <v>80.39</v>
      </c>
      <c r="H1266" s="13">
        <v>0</v>
      </c>
      <c r="I1266" s="13">
        <v>80.39</v>
      </c>
      <c r="J1266" s="24">
        <v>45875</v>
      </c>
      <c r="K1266" s="13">
        <v>24</v>
      </c>
      <c r="L1266" s="44">
        <v>3.34</v>
      </c>
      <c r="M1266" s="13" t="b">
        <v>0</v>
      </c>
      <c r="O1266" s="25">
        <f t="shared" si="76"/>
        <v>27</v>
      </c>
      <c r="P1266" s="13">
        <f t="shared" si="77"/>
        <v>0</v>
      </c>
      <c r="Q1266" s="13" t="str">
        <f t="shared" si="78"/>
        <v/>
      </c>
      <c r="R1266" s="13" t="str">
        <f t="shared" si="79"/>
        <v>Non diskon</v>
      </c>
    </row>
    <row r="1267" spans="1:18" x14ac:dyDescent="0.25">
      <c r="A1267" s="13" t="s">
        <v>1279</v>
      </c>
      <c r="B1267" s="13" t="s">
        <v>2194</v>
      </c>
      <c r="C1267" s="13" t="s">
        <v>2199</v>
      </c>
      <c r="D1267" s="13" t="s">
        <v>2205</v>
      </c>
      <c r="E1267" s="13" t="s">
        <v>2209</v>
      </c>
      <c r="F1267" s="13" t="s">
        <v>2214</v>
      </c>
      <c r="G1267" s="13">
        <v>64.75</v>
      </c>
      <c r="H1267" s="13">
        <v>26.4</v>
      </c>
      <c r="I1267" s="13">
        <v>47.66</v>
      </c>
      <c r="J1267" s="24">
        <v>45875</v>
      </c>
      <c r="K1267" s="13">
        <v>7</v>
      </c>
      <c r="L1267" s="44">
        <v>2.9</v>
      </c>
      <c r="M1267" s="13" t="b">
        <v>1</v>
      </c>
      <c r="N1267" s="13" t="s">
        <v>2230</v>
      </c>
      <c r="O1267" s="25">
        <f t="shared" si="76"/>
        <v>27</v>
      </c>
      <c r="P1267" s="13">
        <f t="shared" si="77"/>
        <v>184.79999999999998</v>
      </c>
      <c r="Q1267" s="13">
        <f t="shared" si="78"/>
        <v>1</v>
      </c>
      <c r="R1267" s="13" t="str">
        <f t="shared" si="79"/>
        <v>Diskon</v>
      </c>
    </row>
    <row r="1268" spans="1:18" x14ac:dyDescent="0.25">
      <c r="A1268" s="13" t="s">
        <v>1280</v>
      </c>
      <c r="B1268" s="13" t="s">
        <v>2190</v>
      </c>
      <c r="C1268" s="13" t="s">
        <v>2196</v>
      </c>
      <c r="D1268" s="13" t="s">
        <v>2205</v>
      </c>
      <c r="E1268" s="13" t="s">
        <v>2209</v>
      </c>
      <c r="F1268" s="13" t="s">
        <v>2214</v>
      </c>
      <c r="G1268" s="13">
        <v>129.86000000000001</v>
      </c>
      <c r="H1268" s="13">
        <v>0</v>
      </c>
      <c r="I1268" s="13">
        <v>129.86000000000001</v>
      </c>
      <c r="J1268" s="24">
        <v>45875</v>
      </c>
      <c r="K1268" s="13">
        <v>41</v>
      </c>
      <c r="L1268" s="44">
        <v>1.7</v>
      </c>
      <c r="M1268" s="13" t="b">
        <v>0</v>
      </c>
      <c r="O1268" s="25">
        <f t="shared" si="76"/>
        <v>27</v>
      </c>
      <c r="P1268" s="13">
        <f t="shared" si="77"/>
        <v>0</v>
      </c>
      <c r="Q1268" s="13" t="str">
        <f t="shared" si="78"/>
        <v/>
      </c>
      <c r="R1268" s="13" t="str">
        <f t="shared" si="79"/>
        <v>Non diskon</v>
      </c>
    </row>
    <row r="1269" spans="1:18" x14ac:dyDescent="0.25">
      <c r="A1269" s="13" t="s">
        <v>1281</v>
      </c>
      <c r="B1269" s="13" t="s">
        <v>2194</v>
      </c>
      <c r="C1269" s="13" t="s">
        <v>2198</v>
      </c>
      <c r="D1269" s="13" t="s">
        <v>2204</v>
      </c>
      <c r="E1269" s="13" t="s">
        <v>2209</v>
      </c>
      <c r="F1269" s="13" t="s">
        <v>2220</v>
      </c>
      <c r="G1269" s="13">
        <v>32.74</v>
      </c>
      <c r="H1269" s="13">
        <v>0</v>
      </c>
      <c r="I1269" s="13">
        <v>32.74</v>
      </c>
      <c r="J1269" s="24">
        <v>45516</v>
      </c>
      <c r="K1269" s="13">
        <v>23</v>
      </c>
      <c r="L1269" s="44">
        <v>4</v>
      </c>
      <c r="M1269" s="13" t="b">
        <v>1</v>
      </c>
      <c r="N1269" s="13" t="s">
        <v>2227</v>
      </c>
      <c r="O1269" s="25">
        <f t="shared" si="76"/>
        <v>386</v>
      </c>
      <c r="P1269" s="13">
        <f t="shared" si="77"/>
        <v>0</v>
      </c>
      <c r="Q1269" s="13">
        <f t="shared" si="78"/>
        <v>1</v>
      </c>
      <c r="R1269" s="13" t="str">
        <f t="shared" si="79"/>
        <v>Non diskon</v>
      </c>
    </row>
    <row r="1270" spans="1:18" x14ac:dyDescent="0.25">
      <c r="A1270" s="13" t="s">
        <v>1282</v>
      </c>
      <c r="B1270" s="13" t="s">
        <v>2194</v>
      </c>
      <c r="C1270" s="13" t="s">
        <v>2197</v>
      </c>
      <c r="D1270" s="13" t="s">
        <v>2204</v>
      </c>
      <c r="E1270" s="13" t="s">
        <v>2209</v>
      </c>
      <c r="F1270" s="13" t="s">
        <v>2219</v>
      </c>
      <c r="G1270" s="13">
        <v>79.27</v>
      </c>
      <c r="H1270" s="13">
        <v>0</v>
      </c>
      <c r="I1270" s="13">
        <v>79.27</v>
      </c>
      <c r="J1270" s="24">
        <v>45788</v>
      </c>
      <c r="K1270" s="13">
        <v>13</v>
      </c>
      <c r="L1270" s="44">
        <v>3.5</v>
      </c>
      <c r="M1270" s="13" t="b">
        <v>0</v>
      </c>
      <c r="O1270" s="25">
        <f t="shared" si="76"/>
        <v>114</v>
      </c>
      <c r="P1270" s="13">
        <f t="shared" si="77"/>
        <v>0</v>
      </c>
      <c r="Q1270" s="13" t="str">
        <f t="shared" si="78"/>
        <v/>
      </c>
      <c r="R1270" s="13" t="str">
        <f t="shared" si="79"/>
        <v>Non diskon</v>
      </c>
    </row>
    <row r="1271" spans="1:18" x14ac:dyDescent="0.25">
      <c r="A1271" s="13" t="s">
        <v>1283</v>
      </c>
      <c r="B1271" s="13" t="s">
        <v>2191</v>
      </c>
      <c r="C1271" s="13" t="s">
        <v>2203</v>
      </c>
      <c r="D1271" s="13" t="s">
        <v>2204</v>
      </c>
      <c r="E1271" s="13" t="s">
        <v>2210</v>
      </c>
      <c r="F1271" s="13" t="s">
        <v>2221</v>
      </c>
      <c r="G1271" s="13">
        <v>119.38</v>
      </c>
      <c r="H1271" s="13">
        <v>0</v>
      </c>
      <c r="I1271" s="13">
        <v>119.38</v>
      </c>
      <c r="J1271" s="24">
        <v>45708</v>
      </c>
      <c r="K1271" s="13">
        <v>18</v>
      </c>
      <c r="L1271" s="44">
        <v>4.4000000000000004</v>
      </c>
      <c r="M1271" s="13" t="b">
        <v>0</v>
      </c>
      <c r="O1271" s="25">
        <f t="shared" si="76"/>
        <v>194</v>
      </c>
      <c r="P1271" s="13">
        <f t="shared" si="77"/>
        <v>0</v>
      </c>
      <c r="Q1271" s="13" t="str">
        <f t="shared" si="78"/>
        <v/>
      </c>
      <c r="R1271" s="13" t="str">
        <f t="shared" si="79"/>
        <v>Non diskon</v>
      </c>
    </row>
    <row r="1272" spans="1:18" x14ac:dyDescent="0.25">
      <c r="A1272" s="13" t="s">
        <v>1284</v>
      </c>
      <c r="B1272" s="13" t="s">
        <v>2195</v>
      </c>
      <c r="C1272" s="13" t="s">
        <v>2200</v>
      </c>
      <c r="D1272" s="13" t="s">
        <v>2205</v>
      </c>
      <c r="E1272" s="13" t="s">
        <v>2210</v>
      </c>
      <c r="F1272" s="13" t="s">
        <v>2217</v>
      </c>
      <c r="G1272" s="13">
        <v>66.17</v>
      </c>
      <c r="H1272" s="13">
        <v>0</v>
      </c>
      <c r="I1272" s="13">
        <v>66.17</v>
      </c>
      <c r="J1272" s="24">
        <v>45875</v>
      </c>
      <c r="K1272" s="13">
        <v>1</v>
      </c>
      <c r="L1272" s="44">
        <v>3.1051282051282048</v>
      </c>
      <c r="M1272" s="13" t="b">
        <v>0</v>
      </c>
      <c r="O1272" s="25">
        <f t="shared" si="76"/>
        <v>27</v>
      </c>
      <c r="P1272" s="13">
        <f t="shared" si="77"/>
        <v>0</v>
      </c>
      <c r="Q1272" s="13" t="str">
        <f t="shared" si="78"/>
        <v/>
      </c>
      <c r="R1272" s="13" t="str">
        <f t="shared" si="79"/>
        <v>Non diskon</v>
      </c>
    </row>
    <row r="1273" spans="1:18" x14ac:dyDescent="0.25">
      <c r="A1273" s="13" t="s">
        <v>1285</v>
      </c>
      <c r="B1273" s="13" t="s">
        <v>2192</v>
      </c>
      <c r="C1273" s="13" t="s">
        <v>2200</v>
      </c>
      <c r="D1273" s="13" t="s">
        <v>2206</v>
      </c>
      <c r="F1273" s="13" t="s">
        <v>2223</v>
      </c>
      <c r="G1273" s="13">
        <v>68.3</v>
      </c>
      <c r="H1273" s="13">
        <v>8</v>
      </c>
      <c r="I1273" s="13">
        <v>62.84</v>
      </c>
      <c r="J1273" s="24">
        <v>45875</v>
      </c>
      <c r="K1273" s="13">
        <v>18</v>
      </c>
      <c r="L1273" s="44">
        <v>3.1</v>
      </c>
      <c r="M1273" s="13" t="b">
        <v>0</v>
      </c>
      <c r="O1273" s="25">
        <f t="shared" si="76"/>
        <v>27</v>
      </c>
      <c r="P1273" s="13">
        <f t="shared" si="77"/>
        <v>144</v>
      </c>
      <c r="Q1273" s="13" t="str">
        <f t="shared" si="78"/>
        <v/>
      </c>
      <c r="R1273" s="13" t="str">
        <f t="shared" si="79"/>
        <v>Diskon</v>
      </c>
    </row>
    <row r="1274" spans="1:18" x14ac:dyDescent="0.25">
      <c r="A1274" s="13" t="s">
        <v>1286</v>
      </c>
      <c r="B1274" s="13" t="s">
        <v>2190</v>
      </c>
      <c r="C1274" s="13" t="s">
        <v>2199</v>
      </c>
      <c r="D1274" s="13" t="s">
        <v>2206</v>
      </c>
      <c r="E1274" s="13" t="s">
        <v>2209</v>
      </c>
      <c r="F1274" s="13" t="s">
        <v>2223</v>
      </c>
      <c r="G1274" s="13">
        <v>209.66</v>
      </c>
      <c r="H1274" s="13">
        <v>0</v>
      </c>
      <c r="I1274" s="13">
        <v>209.66</v>
      </c>
      <c r="J1274" s="24">
        <v>45875</v>
      </c>
      <c r="K1274" s="13">
        <v>30</v>
      </c>
      <c r="L1274" s="44">
        <v>2.1</v>
      </c>
      <c r="M1274" s="13" t="b">
        <v>0</v>
      </c>
      <c r="O1274" s="25">
        <f t="shared" si="76"/>
        <v>27</v>
      </c>
      <c r="P1274" s="13">
        <f t="shared" si="77"/>
        <v>0</v>
      </c>
      <c r="Q1274" s="13" t="str">
        <f t="shared" si="78"/>
        <v/>
      </c>
      <c r="R1274" s="13" t="str">
        <f t="shared" si="79"/>
        <v>Non diskon</v>
      </c>
    </row>
    <row r="1275" spans="1:18" x14ac:dyDescent="0.25">
      <c r="A1275" s="13" t="s">
        <v>1287</v>
      </c>
      <c r="B1275" s="13" t="s">
        <v>2193</v>
      </c>
      <c r="C1275" s="13" t="s">
        <v>2197</v>
      </c>
      <c r="D1275" s="13" t="s">
        <v>2207</v>
      </c>
      <c r="E1275" s="13" t="s">
        <v>2212</v>
      </c>
      <c r="F1275" s="13" t="s">
        <v>2219</v>
      </c>
      <c r="G1275" s="13">
        <v>154.82</v>
      </c>
      <c r="H1275" s="13">
        <v>0</v>
      </c>
      <c r="I1275" s="13">
        <v>154.82</v>
      </c>
      <c r="J1275" s="24">
        <v>45875</v>
      </c>
      <c r="K1275" s="13">
        <v>31</v>
      </c>
      <c r="L1275" s="44">
        <v>2.8205128205128198</v>
      </c>
      <c r="M1275" s="13" t="b">
        <v>0</v>
      </c>
      <c r="O1275" s="25">
        <f t="shared" si="76"/>
        <v>27</v>
      </c>
      <c r="P1275" s="13">
        <f t="shared" si="77"/>
        <v>0</v>
      </c>
      <c r="Q1275" s="13" t="str">
        <f t="shared" si="78"/>
        <v/>
      </c>
      <c r="R1275" s="13" t="str">
        <f t="shared" si="79"/>
        <v>Non diskon</v>
      </c>
    </row>
    <row r="1276" spans="1:18" x14ac:dyDescent="0.25">
      <c r="A1276" s="13" t="s">
        <v>1288</v>
      </c>
      <c r="B1276" s="13" t="s">
        <v>2194</v>
      </c>
      <c r="C1276" s="13" t="s">
        <v>2200</v>
      </c>
      <c r="D1276" s="13" t="s">
        <v>2205</v>
      </c>
      <c r="E1276" s="13" t="s">
        <v>2210</v>
      </c>
      <c r="F1276" s="13" t="s">
        <v>2218</v>
      </c>
      <c r="G1276" s="13">
        <v>37.53</v>
      </c>
      <c r="H1276" s="13">
        <v>0</v>
      </c>
      <c r="I1276" s="13">
        <v>37.53</v>
      </c>
      <c r="J1276" s="24">
        <v>45875</v>
      </c>
      <c r="K1276" s="13">
        <v>8</v>
      </c>
      <c r="L1276" s="44">
        <v>3</v>
      </c>
      <c r="M1276" s="13" t="b">
        <v>1</v>
      </c>
      <c r="N1276" s="13" t="s">
        <v>2229</v>
      </c>
      <c r="O1276" s="25">
        <f t="shared" si="76"/>
        <v>27</v>
      </c>
      <c r="P1276" s="13">
        <f t="shared" si="77"/>
        <v>0</v>
      </c>
      <c r="Q1276" s="13">
        <f t="shared" si="78"/>
        <v>1</v>
      </c>
      <c r="R1276" s="13" t="str">
        <f t="shared" si="79"/>
        <v>Non diskon</v>
      </c>
    </row>
    <row r="1277" spans="1:18" x14ac:dyDescent="0.25">
      <c r="A1277" s="13" t="s">
        <v>1289</v>
      </c>
      <c r="B1277" s="13" t="s">
        <v>2193</v>
      </c>
      <c r="C1277" s="13" t="s">
        <v>2196</v>
      </c>
      <c r="D1277" s="13" t="s">
        <v>2207</v>
      </c>
      <c r="E1277" s="13" t="s">
        <v>2212</v>
      </c>
      <c r="F1277" s="13" t="s">
        <v>2216</v>
      </c>
      <c r="G1277" s="13">
        <v>140.28</v>
      </c>
      <c r="H1277" s="13">
        <v>0</v>
      </c>
      <c r="I1277" s="13">
        <v>140.28</v>
      </c>
      <c r="J1277" s="24">
        <v>45875</v>
      </c>
      <c r="K1277" s="13">
        <v>10</v>
      </c>
      <c r="L1277" s="44">
        <v>1.9</v>
      </c>
      <c r="M1277" s="13" t="b">
        <v>0</v>
      </c>
      <c r="O1277" s="25">
        <f t="shared" si="76"/>
        <v>27</v>
      </c>
      <c r="P1277" s="13">
        <f t="shared" si="77"/>
        <v>0</v>
      </c>
      <c r="Q1277" s="13" t="str">
        <f t="shared" si="78"/>
        <v/>
      </c>
      <c r="R1277" s="13" t="str">
        <f t="shared" si="79"/>
        <v>Non diskon</v>
      </c>
    </row>
    <row r="1278" spans="1:18" x14ac:dyDescent="0.25">
      <c r="A1278" s="13" t="s">
        <v>1290</v>
      </c>
      <c r="B1278" s="13" t="s">
        <v>2193</v>
      </c>
      <c r="C1278" s="13" t="s">
        <v>2197</v>
      </c>
      <c r="D1278" s="13" t="s">
        <v>2207</v>
      </c>
      <c r="E1278" s="13" t="s">
        <v>2212</v>
      </c>
      <c r="F1278" s="13" t="s">
        <v>2217</v>
      </c>
      <c r="G1278" s="13">
        <v>171.07</v>
      </c>
      <c r="H1278" s="13">
        <v>0</v>
      </c>
      <c r="I1278" s="13">
        <v>171.07</v>
      </c>
      <c r="J1278" s="24">
        <v>45875</v>
      </c>
      <c r="K1278" s="13">
        <v>25</v>
      </c>
      <c r="L1278" s="44">
        <v>3</v>
      </c>
      <c r="M1278" s="13" t="b">
        <v>0</v>
      </c>
      <c r="O1278" s="25">
        <f t="shared" si="76"/>
        <v>27</v>
      </c>
      <c r="P1278" s="13">
        <f t="shared" si="77"/>
        <v>0</v>
      </c>
      <c r="Q1278" s="13" t="str">
        <f t="shared" si="78"/>
        <v/>
      </c>
      <c r="R1278" s="13" t="str">
        <f t="shared" si="79"/>
        <v>Non diskon</v>
      </c>
    </row>
    <row r="1279" spans="1:18" x14ac:dyDescent="0.25">
      <c r="A1279" s="13" t="s">
        <v>1291</v>
      </c>
      <c r="B1279" s="13" t="s">
        <v>2191</v>
      </c>
      <c r="C1279" s="13" t="s">
        <v>2196</v>
      </c>
      <c r="D1279" s="13" t="s">
        <v>2207</v>
      </c>
      <c r="E1279" s="13" t="s">
        <v>2213</v>
      </c>
      <c r="F1279" s="13" t="s">
        <v>2223</v>
      </c>
      <c r="G1279" s="13">
        <v>77.87</v>
      </c>
      <c r="H1279" s="13">
        <v>0</v>
      </c>
      <c r="I1279" s="13">
        <v>77.87</v>
      </c>
      <c r="J1279" s="24">
        <v>45875</v>
      </c>
      <c r="K1279" s="13">
        <v>4</v>
      </c>
      <c r="L1279" s="44">
        <v>2.7</v>
      </c>
      <c r="M1279" s="13" t="b">
        <v>0</v>
      </c>
      <c r="O1279" s="25">
        <f t="shared" si="76"/>
        <v>27</v>
      </c>
      <c r="P1279" s="13">
        <f t="shared" si="77"/>
        <v>0</v>
      </c>
      <c r="Q1279" s="13" t="str">
        <f t="shared" si="78"/>
        <v/>
      </c>
      <c r="R1279" s="13" t="str">
        <f t="shared" si="79"/>
        <v>Non diskon</v>
      </c>
    </row>
    <row r="1280" spans="1:18" x14ac:dyDescent="0.25">
      <c r="A1280" s="13" t="s">
        <v>1292</v>
      </c>
      <c r="B1280" s="13" t="s">
        <v>2191</v>
      </c>
      <c r="C1280" s="13" t="s">
        <v>2200</v>
      </c>
      <c r="D1280" s="13" t="s">
        <v>2204</v>
      </c>
      <c r="E1280" s="13" t="s">
        <v>2208</v>
      </c>
      <c r="F1280" s="13" t="s">
        <v>2222</v>
      </c>
      <c r="G1280" s="13">
        <v>80.540000000000006</v>
      </c>
      <c r="H1280" s="13">
        <v>0</v>
      </c>
      <c r="I1280" s="13">
        <v>80.540000000000006</v>
      </c>
      <c r="J1280" s="24">
        <v>45636</v>
      </c>
      <c r="K1280" s="13">
        <v>50</v>
      </c>
      <c r="L1280" s="44">
        <v>2.1</v>
      </c>
      <c r="M1280" s="13" t="b">
        <v>0</v>
      </c>
      <c r="O1280" s="25">
        <f t="shared" si="76"/>
        <v>266</v>
      </c>
      <c r="P1280" s="13">
        <f t="shared" si="77"/>
        <v>0</v>
      </c>
      <c r="Q1280" s="13" t="str">
        <f t="shared" si="78"/>
        <v/>
      </c>
      <c r="R1280" s="13" t="str">
        <f t="shared" si="79"/>
        <v>Non diskon</v>
      </c>
    </row>
    <row r="1281" spans="1:18" x14ac:dyDescent="0.25">
      <c r="A1281" s="13" t="s">
        <v>1293</v>
      </c>
      <c r="B1281" s="13" t="s">
        <v>2194</v>
      </c>
      <c r="C1281" s="13" t="s">
        <v>2197</v>
      </c>
      <c r="D1281" s="13" t="s">
        <v>2207</v>
      </c>
      <c r="E1281" s="13" t="s">
        <v>2210</v>
      </c>
      <c r="F1281" s="13" t="s">
        <v>2217</v>
      </c>
      <c r="G1281" s="13">
        <v>48.68</v>
      </c>
      <c r="H1281" s="13">
        <v>41.7</v>
      </c>
      <c r="I1281" s="13">
        <v>28.38</v>
      </c>
      <c r="J1281" s="24">
        <v>45875</v>
      </c>
      <c r="K1281" s="13">
        <v>20</v>
      </c>
      <c r="L1281" s="44">
        <v>1.3</v>
      </c>
      <c r="M1281" s="13" t="b">
        <v>1</v>
      </c>
      <c r="N1281" s="13" t="s">
        <v>2227</v>
      </c>
      <c r="O1281" s="25">
        <f t="shared" si="76"/>
        <v>27</v>
      </c>
      <c r="P1281" s="13">
        <f t="shared" si="77"/>
        <v>834</v>
      </c>
      <c r="Q1281" s="13">
        <f t="shared" si="78"/>
        <v>1</v>
      </c>
      <c r="R1281" s="13" t="str">
        <f t="shared" si="79"/>
        <v>Diskon</v>
      </c>
    </row>
    <row r="1282" spans="1:18" x14ac:dyDescent="0.25">
      <c r="A1282" s="13" t="s">
        <v>1294</v>
      </c>
      <c r="B1282" s="13" t="s">
        <v>2193</v>
      </c>
      <c r="C1282" s="13" t="s">
        <v>2201</v>
      </c>
      <c r="D1282" s="13" t="s">
        <v>2205</v>
      </c>
      <c r="E1282" s="13" t="s">
        <v>2212</v>
      </c>
      <c r="F1282" s="13" t="s">
        <v>2223</v>
      </c>
      <c r="G1282" s="13">
        <v>137.83000000000001</v>
      </c>
      <c r="H1282" s="13">
        <v>0</v>
      </c>
      <c r="I1282" s="13">
        <v>137.83000000000001</v>
      </c>
      <c r="J1282" s="24">
        <v>45875</v>
      </c>
      <c r="K1282" s="13">
        <v>32</v>
      </c>
      <c r="L1282" s="44">
        <v>3.4</v>
      </c>
      <c r="M1282" s="13" t="b">
        <v>1</v>
      </c>
      <c r="N1282" s="13" t="s">
        <v>2229</v>
      </c>
      <c r="O1282" s="25">
        <f t="shared" si="76"/>
        <v>27</v>
      </c>
      <c r="P1282" s="13">
        <f t="shared" si="77"/>
        <v>0</v>
      </c>
      <c r="Q1282" s="13">
        <f t="shared" si="78"/>
        <v>1</v>
      </c>
      <c r="R1282" s="13" t="str">
        <f t="shared" si="79"/>
        <v>Non diskon</v>
      </c>
    </row>
    <row r="1283" spans="1:18" x14ac:dyDescent="0.25">
      <c r="A1283" s="13" t="s">
        <v>1295</v>
      </c>
      <c r="B1283" s="13" t="s">
        <v>2194</v>
      </c>
      <c r="C1283" s="13" t="s">
        <v>2196</v>
      </c>
      <c r="D1283" s="13" t="s">
        <v>2206</v>
      </c>
      <c r="E1283" s="13" t="s">
        <v>2211</v>
      </c>
      <c r="F1283" s="13" t="s">
        <v>2224</v>
      </c>
      <c r="G1283" s="13">
        <v>96.88</v>
      </c>
      <c r="H1283" s="13">
        <v>44.8</v>
      </c>
      <c r="I1283" s="13">
        <v>53.48</v>
      </c>
      <c r="J1283" s="24">
        <v>45875</v>
      </c>
      <c r="K1283" s="13">
        <v>15</v>
      </c>
      <c r="L1283" s="44">
        <v>1.3</v>
      </c>
      <c r="M1283" s="13" t="b">
        <v>0</v>
      </c>
      <c r="O1283" s="25">
        <f t="shared" ref="O1283:O1346" si="80">DATE(2025,9,2)-J1283</f>
        <v>27</v>
      </c>
      <c r="P1283" s="13">
        <f t="shared" ref="P1283:P1346" si="81">H1283*K1283</f>
        <v>672</v>
      </c>
      <c r="Q1283" s="13" t="str">
        <f t="shared" ref="Q1283:Q1346" si="82">IF(M1283=FALSE,"",1)</f>
        <v/>
      </c>
      <c r="R1283" s="13" t="str">
        <f t="shared" ref="R1283:R1346" si="83">IF(H1283=0,"Non diskon","Diskon")</f>
        <v>Diskon</v>
      </c>
    </row>
    <row r="1284" spans="1:18" x14ac:dyDescent="0.25">
      <c r="A1284" s="13" t="s">
        <v>1296</v>
      </c>
      <c r="B1284" s="13" t="s">
        <v>2191</v>
      </c>
      <c r="C1284" s="13" t="s">
        <v>2200</v>
      </c>
      <c r="D1284" s="13" t="s">
        <v>2204</v>
      </c>
      <c r="E1284" s="13" t="s">
        <v>2208</v>
      </c>
      <c r="F1284" s="13" t="s">
        <v>2219</v>
      </c>
      <c r="G1284" s="13">
        <v>46.44</v>
      </c>
      <c r="H1284" s="13">
        <v>36.799999999999997</v>
      </c>
      <c r="I1284" s="13">
        <v>29.35</v>
      </c>
      <c r="J1284" s="24">
        <v>45727</v>
      </c>
      <c r="K1284" s="13">
        <v>19</v>
      </c>
      <c r="L1284" s="44">
        <v>1.9</v>
      </c>
      <c r="M1284" s="13" t="b">
        <v>0</v>
      </c>
      <c r="O1284" s="25">
        <f t="shared" si="80"/>
        <v>175</v>
      </c>
      <c r="P1284" s="13">
        <f t="shared" si="81"/>
        <v>699.19999999999993</v>
      </c>
      <c r="Q1284" s="13" t="str">
        <f t="shared" si="82"/>
        <v/>
      </c>
      <c r="R1284" s="13" t="str">
        <f t="shared" si="83"/>
        <v>Diskon</v>
      </c>
    </row>
    <row r="1285" spans="1:18" x14ac:dyDescent="0.25">
      <c r="A1285" s="13" t="s">
        <v>1297</v>
      </c>
      <c r="B1285" s="13" t="s">
        <v>2194</v>
      </c>
      <c r="C1285" s="13" t="s">
        <v>2202</v>
      </c>
      <c r="D1285" s="13" t="s">
        <v>2205</v>
      </c>
      <c r="E1285" s="13" t="s">
        <v>2209</v>
      </c>
      <c r="F1285" s="13" t="s">
        <v>2224</v>
      </c>
      <c r="G1285" s="13">
        <v>86.4</v>
      </c>
      <c r="H1285" s="13">
        <v>0</v>
      </c>
      <c r="I1285" s="13">
        <v>86.4</v>
      </c>
      <c r="J1285" s="24">
        <v>45875</v>
      </c>
      <c r="K1285" s="13">
        <v>26</v>
      </c>
      <c r="L1285" s="44">
        <v>3.7</v>
      </c>
      <c r="M1285" s="13" t="b">
        <v>0</v>
      </c>
      <c r="O1285" s="25">
        <f t="shared" si="80"/>
        <v>27</v>
      </c>
      <c r="P1285" s="13">
        <f t="shared" si="81"/>
        <v>0</v>
      </c>
      <c r="Q1285" s="13" t="str">
        <f t="shared" si="82"/>
        <v/>
      </c>
      <c r="R1285" s="13" t="str">
        <f t="shared" si="83"/>
        <v>Non diskon</v>
      </c>
    </row>
    <row r="1286" spans="1:18" x14ac:dyDescent="0.25">
      <c r="A1286" s="13" t="s">
        <v>1298</v>
      </c>
      <c r="B1286" s="13" t="s">
        <v>2194</v>
      </c>
      <c r="C1286" s="13" t="s">
        <v>2199</v>
      </c>
      <c r="D1286" s="13" t="s">
        <v>2206</v>
      </c>
      <c r="E1286" s="13" t="s">
        <v>2211</v>
      </c>
      <c r="F1286" s="13" t="s">
        <v>2220</v>
      </c>
      <c r="G1286" s="13">
        <v>113.83</v>
      </c>
      <c r="H1286" s="13">
        <v>51.6</v>
      </c>
      <c r="I1286" s="13">
        <v>55.09</v>
      </c>
      <c r="J1286" s="24">
        <v>45875</v>
      </c>
      <c r="K1286" s="13">
        <v>12</v>
      </c>
      <c r="L1286" s="44">
        <v>2.9</v>
      </c>
      <c r="M1286" s="13" t="b">
        <v>0</v>
      </c>
      <c r="O1286" s="25">
        <f t="shared" si="80"/>
        <v>27</v>
      </c>
      <c r="P1286" s="13">
        <f t="shared" si="81"/>
        <v>619.20000000000005</v>
      </c>
      <c r="Q1286" s="13" t="str">
        <f t="shared" si="82"/>
        <v/>
      </c>
      <c r="R1286" s="13" t="str">
        <f t="shared" si="83"/>
        <v>Diskon</v>
      </c>
    </row>
    <row r="1287" spans="1:18" x14ac:dyDescent="0.25">
      <c r="A1287" s="13" t="s">
        <v>1299</v>
      </c>
      <c r="B1287" s="13" t="s">
        <v>2194</v>
      </c>
      <c r="C1287" s="13" t="s">
        <v>2196</v>
      </c>
      <c r="D1287" s="13" t="s">
        <v>2207</v>
      </c>
      <c r="E1287" s="13" t="s">
        <v>2212</v>
      </c>
      <c r="F1287" s="13" t="s">
        <v>2223</v>
      </c>
      <c r="G1287" s="13">
        <v>64.680000000000007</v>
      </c>
      <c r="H1287" s="13">
        <v>42.9</v>
      </c>
      <c r="I1287" s="13">
        <v>36.93</v>
      </c>
      <c r="J1287" s="24">
        <v>45875</v>
      </c>
      <c r="K1287" s="13">
        <v>36</v>
      </c>
      <c r="L1287" s="44">
        <v>2.9210526315789478</v>
      </c>
      <c r="M1287" s="13" t="b">
        <v>0</v>
      </c>
      <c r="O1287" s="25">
        <f t="shared" si="80"/>
        <v>27</v>
      </c>
      <c r="P1287" s="13">
        <f t="shared" si="81"/>
        <v>1544.3999999999999</v>
      </c>
      <c r="Q1287" s="13" t="str">
        <f t="shared" si="82"/>
        <v/>
      </c>
      <c r="R1287" s="13" t="str">
        <f t="shared" si="83"/>
        <v>Diskon</v>
      </c>
    </row>
    <row r="1288" spans="1:18" x14ac:dyDescent="0.25">
      <c r="A1288" s="13" t="s">
        <v>1300</v>
      </c>
      <c r="B1288" s="13" t="s">
        <v>2193</v>
      </c>
      <c r="C1288" s="13" t="s">
        <v>2203</v>
      </c>
      <c r="D1288" s="13" t="s">
        <v>2206</v>
      </c>
      <c r="F1288" s="13" t="s">
        <v>2221</v>
      </c>
      <c r="G1288" s="13">
        <v>123.23</v>
      </c>
      <c r="H1288" s="13">
        <v>0</v>
      </c>
      <c r="I1288" s="13">
        <v>123.23</v>
      </c>
      <c r="J1288" s="24">
        <v>45875</v>
      </c>
      <c r="K1288" s="13">
        <v>40</v>
      </c>
      <c r="L1288" s="44">
        <v>4.3</v>
      </c>
      <c r="M1288" s="13" t="b">
        <v>0</v>
      </c>
      <c r="O1288" s="25">
        <f t="shared" si="80"/>
        <v>27</v>
      </c>
      <c r="P1288" s="13">
        <f t="shared" si="81"/>
        <v>0</v>
      </c>
      <c r="Q1288" s="13" t="str">
        <f t="shared" si="82"/>
        <v/>
      </c>
      <c r="R1288" s="13" t="str">
        <f t="shared" si="83"/>
        <v>Non diskon</v>
      </c>
    </row>
    <row r="1289" spans="1:18" x14ac:dyDescent="0.25">
      <c r="A1289" s="13" t="s">
        <v>1301</v>
      </c>
      <c r="B1289" s="13" t="s">
        <v>2192</v>
      </c>
      <c r="C1289" s="13" t="s">
        <v>2201</v>
      </c>
      <c r="D1289" s="13" t="s">
        <v>2205</v>
      </c>
      <c r="F1289" s="13" t="s">
        <v>2214</v>
      </c>
      <c r="G1289" s="13">
        <v>69.69</v>
      </c>
      <c r="H1289" s="13">
        <v>0</v>
      </c>
      <c r="I1289" s="13">
        <v>69.69</v>
      </c>
      <c r="J1289" s="24">
        <v>45875</v>
      </c>
      <c r="K1289" s="13">
        <v>35</v>
      </c>
      <c r="L1289" s="44">
        <v>3</v>
      </c>
      <c r="M1289" s="13" t="b">
        <v>0</v>
      </c>
      <c r="O1289" s="25">
        <f t="shared" si="80"/>
        <v>27</v>
      </c>
      <c r="P1289" s="13">
        <f t="shared" si="81"/>
        <v>0</v>
      </c>
      <c r="Q1289" s="13" t="str">
        <f t="shared" si="82"/>
        <v/>
      </c>
      <c r="R1289" s="13" t="str">
        <f t="shared" si="83"/>
        <v>Non diskon</v>
      </c>
    </row>
    <row r="1290" spans="1:18" x14ac:dyDescent="0.25">
      <c r="A1290" s="13" t="s">
        <v>1302</v>
      </c>
      <c r="B1290" s="13" t="s">
        <v>2192</v>
      </c>
      <c r="C1290" s="13" t="s">
        <v>2198</v>
      </c>
      <c r="D1290" s="13" t="s">
        <v>2205</v>
      </c>
      <c r="F1290" s="13" t="s">
        <v>2220</v>
      </c>
      <c r="G1290" s="13">
        <v>46.15</v>
      </c>
      <c r="H1290" s="13">
        <v>24.4</v>
      </c>
      <c r="I1290" s="13">
        <v>34.89</v>
      </c>
      <c r="J1290" s="24">
        <v>45875</v>
      </c>
      <c r="K1290" s="13">
        <v>31</v>
      </c>
      <c r="L1290" s="44">
        <v>4.4000000000000004</v>
      </c>
      <c r="M1290" s="13" t="b">
        <v>1</v>
      </c>
      <c r="N1290" s="13" t="s">
        <v>2226</v>
      </c>
      <c r="O1290" s="25">
        <f t="shared" si="80"/>
        <v>27</v>
      </c>
      <c r="P1290" s="13">
        <f t="shared" si="81"/>
        <v>756.4</v>
      </c>
      <c r="Q1290" s="13">
        <f t="shared" si="82"/>
        <v>1</v>
      </c>
      <c r="R1290" s="13" t="str">
        <f t="shared" si="83"/>
        <v>Diskon</v>
      </c>
    </row>
    <row r="1291" spans="1:18" x14ac:dyDescent="0.25">
      <c r="A1291" s="13" t="s">
        <v>1303</v>
      </c>
      <c r="B1291" s="13" t="s">
        <v>2190</v>
      </c>
      <c r="C1291" s="13" t="s">
        <v>2200</v>
      </c>
      <c r="D1291" s="13" t="s">
        <v>2207</v>
      </c>
      <c r="E1291" s="13" t="s">
        <v>2212</v>
      </c>
      <c r="F1291" s="13" t="s">
        <v>2222</v>
      </c>
      <c r="G1291" s="13">
        <v>229.8</v>
      </c>
      <c r="H1291" s="13">
        <v>0</v>
      </c>
      <c r="I1291" s="13">
        <v>229.8</v>
      </c>
      <c r="J1291" s="24">
        <v>45875</v>
      </c>
      <c r="K1291" s="13">
        <v>46</v>
      </c>
      <c r="L1291" s="44">
        <v>3.6</v>
      </c>
      <c r="M1291" s="13" t="b">
        <v>0</v>
      </c>
      <c r="O1291" s="25">
        <f t="shared" si="80"/>
        <v>27</v>
      </c>
      <c r="P1291" s="13">
        <f t="shared" si="81"/>
        <v>0</v>
      </c>
      <c r="Q1291" s="13" t="str">
        <f t="shared" si="82"/>
        <v/>
      </c>
      <c r="R1291" s="13" t="str">
        <f t="shared" si="83"/>
        <v>Non diskon</v>
      </c>
    </row>
    <row r="1292" spans="1:18" x14ac:dyDescent="0.25">
      <c r="A1292" s="13" t="s">
        <v>1304</v>
      </c>
      <c r="B1292" s="13" t="s">
        <v>2190</v>
      </c>
      <c r="C1292" s="13" t="s">
        <v>2197</v>
      </c>
      <c r="D1292" s="13" t="s">
        <v>2206</v>
      </c>
      <c r="E1292" s="13" t="s">
        <v>2212</v>
      </c>
      <c r="F1292" s="13" t="s">
        <v>2223</v>
      </c>
      <c r="G1292" s="13">
        <v>179.44</v>
      </c>
      <c r="H1292" s="13">
        <v>19.600000000000001</v>
      </c>
      <c r="I1292" s="13">
        <v>144.27000000000001</v>
      </c>
      <c r="J1292" s="24">
        <v>45875</v>
      </c>
      <c r="K1292" s="13">
        <v>42</v>
      </c>
      <c r="L1292" s="44">
        <v>3</v>
      </c>
      <c r="M1292" s="13" t="b">
        <v>0</v>
      </c>
      <c r="O1292" s="25">
        <f t="shared" si="80"/>
        <v>27</v>
      </c>
      <c r="P1292" s="13">
        <f t="shared" si="81"/>
        <v>823.2</v>
      </c>
      <c r="Q1292" s="13" t="str">
        <f t="shared" si="82"/>
        <v/>
      </c>
      <c r="R1292" s="13" t="str">
        <f t="shared" si="83"/>
        <v>Diskon</v>
      </c>
    </row>
    <row r="1293" spans="1:18" x14ac:dyDescent="0.25">
      <c r="A1293" s="13" t="s">
        <v>1305</v>
      </c>
      <c r="B1293" s="13" t="s">
        <v>2193</v>
      </c>
      <c r="C1293" s="13" t="s">
        <v>2198</v>
      </c>
      <c r="D1293" s="13" t="s">
        <v>2206</v>
      </c>
      <c r="E1293" s="13" t="s">
        <v>2209</v>
      </c>
      <c r="F1293" s="13" t="s">
        <v>2220</v>
      </c>
      <c r="G1293" s="13">
        <v>80.959999999999994</v>
      </c>
      <c r="H1293" s="13">
        <v>56.3</v>
      </c>
      <c r="I1293" s="13">
        <v>35.380000000000003</v>
      </c>
      <c r="J1293" s="24">
        <v>45875</v>
      </c>
      <c r="K1293" s="13">
        <v>41</v>
      </c>
      <c r="L1293" s="44">
        <v>2.2000000000000002</v>
      </c>
      <c r="M1293" s="13" t="b">
        <v>1</v>
      </c>
      <c r="N1293" s="13" t="s">
        <v>2229</v>
      </c>
      <c r="O1293" s="25">
        <f t="shared" si="80"/>
        <v>27</v>
      </c>
      <c r="P1293" s="13">
        <f t="shared" si="81"/>
        <v>2308.2999999999997</v>
      </c>
      <c r="Q1293" s="13">
        <f t="shared" si="82"/>
        <v>1</v>
      </c>
      <c r="R1293" s="13" t="str">
        <f t="shared" si="83"/>
        <v>Diskon</v>
      </c>
    </row>
    <row r="1294" spans="1:18" x14ac:dyDescent="0.25">
      <c r="A1294" s="13" t="s">
        <v>1306</v>
      </c>
      <c r="B1294" s="13" t="s">
        <v>2194</v>
      </c>
      <c r="C1294" s="13" t="s">
        <v>2197</v>
      </c>
      <c r="D1294" s="13" t="s">
        <v>2206</v>
      </c>
      <c r="E1294" s="13" t="s">
        <v>2209</v>
      </c>
      <c r="F1294" s="13" t="s">
        <v>2220</v>
      </c>
      <c r="G1294" s="13">
        <v>62.3</v>
      </c>
      <c r="H1294" s="13">
        <v>19.2</v>
      </c>
      <c r="I1294" s="13">
        <v>50.34</v>
      </c>
      <c r="J1294" s="24">
        <v>45875</v>
      </c>
      <c r="K1294" s="13">
        <v>9</v>
      </c>
      <c r="L1294" s="44">
        <v>2.5</v>
      </c>
      <c r="M1294" s="13" t="b">
        <v>0</v>
      </c>
      <c r="O1294" s="25">
        <f t="shared" si="80"/>
        <v>27</v>
      </c>
      <c r="P1294" s="13">
        <f t="shared" si="81"/>
        <v>172.79999999999998</v>
      </c>
      <c r="Q1294" s="13" t="str">
        <f t="shared" si="82"/>
        <v/>
      </c>
      <c r="R1294" s="13" t="str">
        <f t="shared" si="83"/>
        <v>Diskon</v>
      </c>
    </row>
    <row r="1295" spans="1:18" x14ac:dyDescent="0.25">
      <c r="A1295" s="13" t="s">
        <v>1307</v>
      </c>
      <c r="B1295" s="13" t="s">
        <v>2192</v>
      </c>
      <c r="C1295" s="13" t="s">
        <v>2197</v>
      </c>
      <c r="D1295" s="13" t="s">
        <v>2206</v>
      </c>
      <c r="F1295" s="13" t="s">
        <v>2221</v>
      </c>
      <c r="G1295" s="13">
        <v>58.83</v>
      </c>
      <c r="H1295" s="13">
        <v>12.5</v>
      </c>
      <c r="I1295" s="13">
        <v>51.48</v>
      </c>
      <c r="J1295" s="24">
        <v>45875</v>
      </c>
      <c r="K1295" s="13">
        <v>3</v>
      </c>
      <c r="L1295" s="44">
        <v>1.5</v>
      </c>
      <c r="M1295" s="13" t="b">
        <v>0</v>
      </c>
      <c r="O1295" s="25">
        <f t="shared" si="80"/>
        <v>27</v>
      </c>
      <c r="P1295" s="13">
        <f t="shared" si="81"/>
        <v>37.5</v>
      </c>
      <c r="Q1295" s="13" t="str">
        <f t="shared" si="82"/>
        <v/>
      </c>
      <c r="R1295" s="13" t="str">
        <f t="shared" si="83"/>
        <v>Diskon</v>
      </c>
    </row>
    <row r="1296" spans="1:18" x14ac:dyDescent="0.25">
      <c r="A1296" s="13" t="s">
        <v>1308</v>
      </c>
      <c r="B1296" s="13" t="s">
        <v>2191</v>
      </c>
      <c r="C1296" s="13" t="s">
        <v>2200</v>
      </c>
      <c r="D1296" s="13" t="s">
        <v>2207</v>
      </c>
      <c r="E1296" s="13" t="s">
        <v>2211</v>
      </c>
      <c r="F1296" s="13" t="s">
        <v>2222</v>
      </c>
      <c r="G1296" s="13">
        <v>119.04</v>
      </c>
      <c r="H1296" s="13">
        <v>1.7</v>
      </c>
      <c r="I1296" s="13">
        <v>117.02</v>
      </c>
      <c r="J1296" s="24">
        <v>45875</v>
      </c>
      <c r="K1296" s="13">
        <v>34</v>
      </c>
      <c r="L1296" s="44">
        <v>4.0999999999999996</v>
      </c>
      <c r="M1296" s="13" t="b">
        <v>0</v>
      </c>
      <c r="O1296" s="25">
        <f t="shared" si="80"/>
        <v>27</v>
      </c>
      <c r="P1296" s="13">
        <f t="shared" si="81"/>
        <v>57.8</v>
      </c>
      <c r="Q1296" s="13" t="str">
        <f t="shared" si="82"/>
        <v/>
      </c>
      <c r="R1296" s="13" t="str">
        <f t="shared" si="83"/>
        <v>Diskon</v>
      </c>
    </row>
    <row r="1297" spans="1:18" x14ac:dyDescent="0.25">
      <c r="A1297" s="13" t="s">
        <v>1309</v>
      </c>
      <c r="B1297" s="13" t="s">
        <v>2190</v>
      </c>
      <c r="C1297" s="13" t="s">
        <v>2196</v>
      </c>
      <c r="D1297" s="13" t="s">
        <v>2207</v>
      </c>
      <c r="E1297" s="13" t="s">
        <v>2210</v>
      </c>
      <c r="F1297" s="13" t="s">
        <v>2222</v>
      </c>
      <c r="G1297" s="13">
        <v>80.540000000000006</v>
      </c>
      <c r="H1297" s="13">
        <v>0</v>
      </c>
      <c r="I1297" s="13">
        <v>80.540000000000006</v>
      </c>
      <c r="J1297" s="24">
        <v>45875</v>
      </c>
      <c r="K1297" s="13">
        <v>3</v>
      </c>
      <c r="L1297" s="44">
        <v>1.8</v>
      </c>
      <c r="M1297" s="13" t="b">
        <v>1</v>
      </c>
      <c r="N1297" s="13" t="s">
        <v>2226</v>
      </c>
      <c r="O1297" s="25">
        <f t="shared" si="80"/>
        <v>27</v>
      </c>
      <c r="P1297" s="13">
        <f t="shared" si="81"/>
        <v>0</v>
      </c>
      <c r="Q1297" s="13">
        <f t="shared" si="82"/>
        <v>1</v>
      </c>
      <c r="R1297" s="13" t="str">
        <f t="shared" si="83"/>
        <v>Non diskon</v>
      </c>
    </row>
    <row r="1298" spans="1:18" x14ac:dyDescent="0.25">
      <c r="A1298" s="13" t="s">
        <v>1310</v>
      </c>
      <c r="B1298" s="13" t="s">
        <v>2194</v>
      </c>
      <c r="C1298" s="13" t="s">
        <v>2198</v>
      </c>
      <c r="D1298" s="13" t="s">
        <v>2205</v>
      </c>
      <c r="E1298" s="13" t="s">
        <v>2212</v>
      </c>
      <c r="F1298" s="13" t="s">
        <v>2216</v>
      </c>
      <c r="G1298" s="13">
        <v>47.32</v>
      </c>
      <c r="H1298" s="13">
        <v>25.7</v>
      </c>
      <c r="I1298" s="13">
        <v>35.159999999999997</v>
      </c>
      <c r="J1298" s="24">
        <v>45875</v>
      </c>
      <c r="K1298" s="13">
        <v>2</v>
      </c>
      <c r="L1298" s="44">
        <v>3.2</v>
      </c>
      <c r="M1298" s="13" t="b">
        <v>0</v>
      </c>
      <c r="O1298" s="25">
        <f t="shared" si="80"/>
        <v>27</v>
      </c>
      <c r="P1298" s="13">
        <f t="shared" si="81"/>
        <v>51.4</v>
      </c>
      <c r="Q1298" s="13" t="str">
        <f t="shared" si="82"/>
        <v/>
      </c>
      <c r="R1298" s="13" t="str">
        <f t="shared" si="83"/>
        <v>Diskon</v>
      </c>
    </row>
    <row r="1299" spans="1:18" x14ac:dyDescent="0.25">
      <c r="A1299" s="13" t="s">
        <v>1311</v>
      </c>
      <c r="B1299" s="13" t="s">
        <v>2193</v>
      </c>
      <c r="C1299" s="13" t="s">
        <v>2202</v>
      </c>
      <c r="D1299" s="13" t="s">
        <v>2205</v>
      </c>
      <c r="E1299" s="13" t="s">
        <v>2208</v>
      </c>
      <c r="F1299" s="13" t="s">
        <v>2215</v>
      </c>
      <c r="G1299" s="13">
        <v>104.57</v>
      </c>
      <c r="H1299" s="13">
        <v>27.4</v>
      </c>
      <c r="I1299" s="13">
        <v>75.92</v>
      </c>
      <c r="J1299" s="24">
        <v>45875</v>
      </c>
      <c r="K1299" s="13">
        <v>7</v>
      </c>
      <c r="L1299" s="44">
        <v>1</v>
      </c>
      <c r="M1299" s="13" t="b">
        <v>1</v>
      </c>
      <c r="N1299" s="13" t="s">
        <v>2228</v>
      </c>
      <c r="O1299" s="25">
        <f t="shared" si="80"/>
        <v>27</v>
      </c>
      <c r="P1299" s="13">
        <f t="shared" si="81"/>
        <v>191.79999999999998</v>
      </c>
      <c r="Q1299" s="13">
        <f t="shared" si="82"/>
        <v>1</v>
      </c>
      <c r="R1299" s="13" t="str">
        <f t="shared" si="83"/>
        <v>Diskon</v>
      </c>
    </row>
    <row r="1300" spans="1:18" x14ac:dyDescent="0.25">
      <c r="A1300" s="13" t="s">
        <v>1312</v>
      </c>
      <c r="B1300" s="13" t="s">
        <v>2192</v>
      </c>
      <c r="C1300" s="13" t="s">
        <v>2196</v>
      </c>
      <c r="D1300" s="13" t="s">
        <v>2205</v>
      </c>
      <c r="F1300" s="13" t="s">
        <v>2219</v>
      </c>
      <c r="G1300" s="13">
        <v>38.369999999999997</v>
      </c>
      <c r="H1300" s="13">
        <v>23.3</v>
      </c>
      <c r="I1300" s="13">
        <v>29.43</v>
      </c>
      <c r="J1300" s="24">
        <v>45875</v>
      </c>
      <c r="K1300" s="13">
        <v>22</v>
      </c>
      <c r="L1300" s="44">
        <v>1.4</v>
      </c>
      <c r="M1300" s="13" t="b">
        <v>0</v>
      </c>
      <c r="O1300" s="25">
        <f t="shared" si="80"/>
        <v>27</v>
      </c>
      <c r="P1300" s="13">
        <f t="shared" si="81"/>
        <v>512.6</v>
      </c>
      <c r="Q1300" s="13" t="str">
        <f t="shared" si="82"/>
        <v/>
      </c>
      <c r="R1300" s="13" t="str">
        <f t="shared" si="83"/>
        <v>Diskon</v>
      </c>
    </row>
    <row r="1301" spans="1:18" x14ac:dyDescent="0.25">
      <c r="A1301" s="13" t="s">
        <v>1313</v>
      </c>
      <c r="B1301" s="13" t="s">
        <v>2190</v>
      </c>
      <c r="C1301" s="13" t="s">
        <v>2200</v>
      </c>
      <c r="D1301" s="13" t="s">
        <v>2205</v>
      </c>
      <c r="F1301" s="13" t="s">
        <v>2214</v>
      </c>
      <c r="G1301" s="13">
        <v>86.3</v>
      </c>
      <c r="H1301" s="13">
        <v>0</v>
      </c>
      <c r="I1301" s="13">
        <v>86.3</v>
      </c>
      <c r="J1301" s="24">
        <v>45875</v>
      </c>
      <c r="K1301" s="13">
        <v>33</v>
      </c>
      <c r="L1301" s="44">
        <v>3.9</v>
      </c>
      <c r="M1301" s="13" t="b">
        <v>0</v>
      </c>
      <c r="O1301" s="25">
        <f t="shared" si="80"/>
        <v>27</v>
      </c>
      <c r="P1301" s="13">
        <f t="shared" si="81"/>
        <v>0</v>
      </c>
      <c r="Q1301" s="13" t="str">
        <f t="shared" si="82"/>
        <v/>
      </c>
      <c r="R1301" s="13" t="str">
        <f t="shared" si="83"/>
        <v>Non diskon</v>
      </c>
    </row>
    <row r="1302" spans="1:18" x14ac:dyDescent="0.25">
      <c r="A1302" s="13" t="s">
        <v>1314</v>
      </c>
      <c r="B1302" s="13" t="s">
        <v>2192</v>
      </c>
      <c r="C1302" s="13" t="s">
        <v>2199</v>
      </c>
      <c r="D1302" s="13" t="s">
        <v>2205</v>
      </c>
      <c r="F1302" s="13" t="s">
        <v>2223</v>
      </c>
      <c r="G1302" s="13">
        <v>64.89</v>
      </c>
      <c r="H1302" s="13">
        <v>4.2</v>
      </c>
      <c r="I1302" s="13">
        <v>62.16</v>
      </c>
      <c r="J1302" s="24">
        <v>45875</v>
      </c>
      <c r="K1302" s="13">
        <v>40</v>
      </c>
      <c r="L1302" s="44">
        <v>1.4</v>
      </c>
      <c r="M1302" s="13" t="b">
        <v>0</v>
      </c>
      <c r="O1302" s="25">
        <f t="shared" si="80"/>
        <v>27</v>
      </c>
      <c r="P1302" s="13">
        <f t="shared" si="81"/>
        <v>168</v>
      </c>
      <c r="Q1302" s="13" t="str">
        <f t="shared" si="82"/>
        <v/>
      </c>
      <c r="R1302" s="13" t="str">
        <f t="shared" si="83"/>
        <v>Diskon</v>
      </c>
    </row>
    <row r="1303" spans="1:18" x14ac:dyDescent="0.25">
      <c r="A1303" s="13" t="s">
        <v>1315</v>
      </c>
      <c r="B1303" s="13" t="s">
        <v>2192</v>
      </c>
      <c r="C1303" s="13" t="s">
        <v>2199</v>
      </c>
      <c r="D1303" s="13" t="s">
        <v>2206</v>
      </c>
      <c r="F1303" s="13" t="s">
        <v>2222</v>
      </c>
      <c r="G1303" s="13">
        <v>53.64</v>
      </c>
      <c r="H1303" s="13">
        <v>0</v>
      </c>
      <c r="I1303" s="13">
        <v>53.64</v>
      </c>
      <c r="J1303" s="24">
        <v>45875</v>
      </c>
      <c r="K1303" s="13">
        <v>18</v>
      </c>
      <c r="L1303" s="44">
        <v>2.2999999999999998</v>
      </c>
      <c r="M1303" s="13" t="b">
        <v>0</v>
      </c>
      <c r="O1303" s="25">
        <f t="shared" si="80"/>
        <v>27</v>
      </c>
      <c r="P1303" s="13">
        <f t="shared" si="81"/>
        <v>0</v>
      </c>
      <c r="Q1303" s="13" t="str">
        <f t="shared" si="82"/>
        <v/>
      </c>
      <c r="R1303" s="13" t="str">
        <f t="shared" si="83"/>
        <v>Non diskon</v>
      </c>
    </row>
    <row r="1304" spans="1:18" x14ac:dyDescent="0.25">
      <c r="A1304" s="13" t="s">
        <v>1316</v>
      </c>
      <c r="B1304" s="13" t="s">
        <v>2195</v>
      </c>
      <c r="C1304" s="13" t="s">
        <v>2199</v>
      </c>
      <c r="D1304" s="13" t="s">
        <v>2207</v>
      </c>
      <c r="E1304" s="13" t="s">
        <v>2211</v>
      </c>
      <c r="F1304" s="13" t="s">
        <v>2215</v>
      </c>
      <c r="G1304" s="13">
        <v>113.81</v>
      </c>
      <c r="H1304" s="13">
        <v>9.1999999999999993</v>
      </c>
      <c r="I1304" s="13">
        <v>103.34</v>
      </c>
      <c r="J1304" s="24">
        <v>45875</v>
      </c>
      <c r="K1304" s="13">
        <v>11</v>
      </c>
      <c r="L1304" s="44">
        <v>2.4</v>
      </c>
      <c r="M1304" s="13" t="b">
        <v>0</v>
      </c>
      <c r="O1304" s="25">
        <f t="shared" si="80"/>
        <v>27</v>
      </c>
      <c r="P1304" s="13">
        <f t="shared" si="81"/>
        <v>101.19999999999999</v>
      </c>
      <c r="Q1304" s="13" t="str">
        <f t="shared" si="82"/>
        <v/>
      </c>
      <c r="R1304" s="13" t="str">
        <f t="shared" si="83"/>
        <v>Diskon</v>
      </c>
    </row>
    <row r="1305" spans="1:18" x14ac:dyDescent="0.25">
      <c r="A1305" s="13" t="s">
        <v>1317</v>
      </c>
      <c r="B1305" s="13" t="s">
        <v>2191</v>
      </c>
      <c r="C1305" s="13" t="s">
        <v>2201</v>
      </c>
      <c r="D1305" s="13" t="s">
        <v>2207</v>
      </c>
      <c r="E1305" s="13" t="s">
        <v>2211</v>
      </c>
      <c r="F1305" s="13" t="s">
        <v>2221</v>
      </c>
      <c r="G1305" s="13">
        <v>40.119999999999997</v>
      </c>
      <c r="H1305" s="13">
        <v>27.7</v>
      </c>
      <c r="I1305" s="13">
        <v>29.01</v>
      </c>
      <c r="J1305" s="24">
        <v>45875</v>
      </c>
      <c r="K1305" s="13">
        <v>29</v>
      </c>
      <c r="L1305" s="44">
        <v>1.7</v>
      </c>
      <c r="M1305" s="13" t="b">
        <v>1</v>
      </c>
      <c r="N1305" s="13" t="s">
        <v>2226</v>
      </c>
      <c r="O1305" s="25">
        <f t="shared" si="80"/>
        <v>27</v>
      </c>
      <c r="P1305" s="13">
        <f t="shared" si="81"/>
        <v>803.3</v>
      </c>
      <c r="Q1305" s="13">
        <f t="shared" si="82"/>
        <v>1</v>
      </c>
      <c r="R1305" s="13" t="str">
        <f t="shared" si="83"/>
        <v>Diskon</v>
      </c>
    </row>
    <row r="1306" spans="1:18" x14ac:dyDescent="0.25">
      <c r="A1306" s="13" t="s">
        <v>1318</v>
      </c>
      <c r="B1306" s="13" t="s">
        <v>2191</v>
      </c>
      <c r="C1306" s="13" t="s">
        <v>2202</v>
      </c>
      <c r="D1306" s="13" t="s">
        <v>2205</v>
      </c>
      <c r="E1306" s="13" t="s">
        <v>2213</v>
      </c>
      <c r="F1306" s="13" t="s">
        <v>2216</v>
      </c>
      <c r="G1306" s="13">
        <v>49.64</v>
      </c>
      <c r="H1306" s="13">
        <v>30.9</v>
      </c>
      <c r="I1306" s="13">
        <v>34.299999999999997</v>
      </c>
      <c r="J1306" s="24">
        <v>45875</v>
      </c>
      <c r="K1306" s="13">
        <v>21</v>
      </c>
      <c r="L1306" s="44">
        <v>2</v>
      </c>
      <c r="M1306" s="13" t="b">
        <v>0</v>
      </c>
      <c r="O1306" s="25">
        <f t="shared" si="80"/>
        <v>27</v>
      </c>
      <c r="P1306" s="13">
        <f t="shared" si="81"/>
        <v>648.9</v>
      </c>
      <c r="Q1306" s="13" t="str">
        <f t="shared" si="82"/>
        <v/>
      </c>
      <c r="R1306" s="13" t="str">
        <f t="shared" si="83"/>
        <v>Diskon</v>
      </c>
    </row>
    <row r="1307" spans="1:18" x14ac:dyDescent="0.25">
      <c r="A1307" s="13" t="s">
        <v>1319</v>
      </c>
      <c r="B1307" s="13" t="s">
        <v>2194</v>
      </c>
      <c r="C1307" s="13" t="s">
        <v>2203</v>
      </c>
      <c r="D1307" s="13" t="s">
        <v>2207</v>
      </c>
      <c r="E1307" s="13" t="s">
        <v>2209</v>
      </c>
      <c r="F1307" s="13" t="s">
        <v>2224</v>
      </c>
      <c r="G1307" s="13">
        <v>117.64</v>
      </c>
      <c r="H1307" s="13">
        <v>54.2</v>
      </c>
      <c r="I1307" s="13">
        <v>53.88</v>
      </c>
      <c r="J1307" s="24">
        <v>45875</v>
      </c>
      <c r="K1307" s="13">
        <v>25</v>
      </c>
      <c r="L1307" s="44">
        <v>4.5999999999999996</v>
      </c>
      <c r="M1307" s="13" t="b">
        <v>1</v>
      </c>
      <c r="N1307" s="13" t="s">
        <v>2230</v>
      </c>
      <c r="O1307" s="25">
        <f t="shared" si="80"/>
        <v>27</v>
      </c>
      <c r="P1307" s="13">
        <f t="shared" si="81"/>
        <v>1355</v>
      </c>
      <c r="Q1307" s="13">
        <f t="shared" si="82"/>
        <v>1</v>
      </c>
      <c r="R1307" s="13" t="str">
        <f t="shared" si="83"/>
        <v>Diskon</v>
      </c>
    </row>
    <row r="1308" spans="1:18" x14ac:dyDescent="0.25">
      <c r="A1308" s="13" t="s">
        <v>1320</v>
      </c>
      <c r="B1308" s="13" t="s">
        <v>2192</v>
      </c>
      <c r="C1308" s="13" t="s">
        <v>2199</v>
      </c>
      <c r="D1308" s="13" t="s">
        <v>2207</v>
      </c>
      <c r="F1308" s="13" t="s">
        <v>2214</v>
      </c>
      <c r="G1308" s="13">
        <v>69.78</v>
      </c>
      <c r="H1308" s="13">
        <v>3.7</v>
      </c>
      <c r="I1308" s="13">
        <v>67.2</v>
      </c>
      <c r="J1308" s="24">
        <v>45875</v>
      </c>
      <c r="K1308" s="13">
        <v>14</v>
      </c>
      <c r="L1308" s="44">
        <v>3.2</v>
      </c>
      <c r="M1308" s="13" t="b">
        <v>0</v>
      </c>
      <c r="O1308" s="25">
        <f t="shared" si="80"/>
        <v>27</v>
      </c>
      <c r="P1308" s="13">
        <f t="shared" si="81"/>
        <v>51.800000000000004</v>
      </c>
      <c r="Q1308" s="13" t="str">
        <f t="shared" si="82"/>
        <v/>
      </c>
      <c r="R1308" s="13" t="str">
        <f t="shared" si="83"/>
        <v>Diskon</v>
      </c>
    </row>
    <row r="1309" spans="1:18" x14ac:dyDescent="0.25">
      <c r="A1309" s="13" t="s">
        <v>1321</v>
      </c>
      <c r="B1309" s="13" t="s">
        <v>2192</v>
      </c>
      <c r="C1309" s="13" t="s">
        <v>2203</v>
      </c>
      <c r="D1309" s="13" t="s">
        <v>2204</v>
      </c>
      <c r="F1309" s="13" t="s">
        <v>2217</v>
      </c>
      <c r="G1309" s="13">
        <v>29.91</v>
      </c>
      <c r="H1309" s="13">
        <v>18.399999999999999</v>
      </c>
      <c r="I1309" s="13">
        <v>24.41</v>
      </c>
      <c r="J1309" s="24">
        <v>45719</v>
      </c>
      <c r="K1309" s="13">
        <v>10</v>
      </c>
      <c r="L1309" s="44">
        <v>4.9000000000000004</v>
      </c>
      <c r="M1309" s="13" t="b">
        <v>0</v>
      </c>
      <c r="O1309" s="25">
        <f t="shared" si="80"/>
        <v>183</v>
      </c>
      <c r="P1309" s="13">
        <f t="shared" si="81"/>
        <v>184</v>
      </c>
      <c r="Q1309" s="13" t="str">
        <f t="shared" si="82"/>
        <v/>
      </c>
      <c r="R1309" s="13" t="str">
        <f t="shared" si="83"/>
        <v>Diskon</v>
      </c>
    </row>
    <row r="1310" spans="1:18" x14ac:dyDescent="0.25">
      <c r="A1310" s="13" t="s">
        <v>1322</v>
      </c>
      <c r="B1310" s="13" t="s">
        <v>2193</v>
      </c>
      <c r="C1310" s="13" t="s">
        <v>2200</v>
      </c>
      <c r="D1310" s="13" t="s">
        <v>2206</v>
      </c>
      <c r="E1310" s="13" t="s">
        <v>2208</v>
      </c>
      <c r="F1310" s="13" t="s">
        <v>2216</v>
      </c>
      <c r="G1310" s="13">
        <v>187.11</v>
      </c>
      <c r="H1310" s="13">
        <v>43.3</v>
      </c>
      <c r="I1310" s="13">
        <v>106.09</v>
      </c>
      <c r="J1310" s="24">
        <v>45875</v>
      </c>
      <c r="K1310" s="13">
        <v>26</v>
      </c>
      <c r="L1310" s="44">
        <v>3</v>
      </c>
      <c r="M1310" s="13" t="b">
        <v>0</v>
      </c>
      <c r="O1310" s="25">
        <f t="shared" si="80"/>
        <v>27</v>
      </c>
      <c r="P1310" s="13">
        <f t="shared" si="81"/>
        <v>1125.8</v>
      </c>
      <c r="Q1310" s="13" t="str">
        <f t="shared" si="82"/>
        <v/>
      </c>
      <c r="R1310" s="13" t="str">
        <f t="shared" si="83"/>
        <v>Diskon</v>
      </c>
    </row>
    <row r="1311" spans="1:18" x14ac:dyDescent="0.25">
      <c r="A1311" s="13" t="s">
        <v>1323</v>
      </c>
      <c r="B1311" s="13" t="s">
        <v>2192</v>
      </c>
      <c r="C1311" s="13" t="s">
        <v>2201</v>
      </c>
      <c r="D1311" s="13" t="s">
        <v>2207</v>
      </c>
      <c r="F1311" s="13" t="s">
        <v>2221</v>
      </c>
      <c r="G1311" s="13">
        <v>40.04</v>
      </c>
      <c r="H1311" s="13">
        <v>15.8</v>
      </c>
      <c r="I1311" s="13">
        <v>33.71</v>
      </c>
      <c r="J1311" s="24">
        <v>45875</v>
      </c>
      <c r="K1311" s="13">
        <v>31</v>
      </c>
      <c r="L1311" s="44">
        <v>1.8</v>
      </c>
      <c r="M1311" s="13" t="b">
        <v>0</v>
      </c>
      <c r="O1311" s="25">
        <f t="shared" si="80"/>
        <v>27</v>
      </c>
      <c r="P1311" s="13">
        <f t="shared" si="81"/>
        <v>489.8</v>
      </c>
      <c r="Q1311" s="13" t="str">
        <f t="shared" si="82"/>
        <v/>
      </c>
      <c r="R1311" s="13" t="str">
        <f t="shared" si="83"/>
        <v>Diskon</v>
      </c>
    </row>
    <row r="1312" spans="1:18" x14ac:dyDescent="0.25">
      <c r="A1312" s="13" t="s">
        <v>1324</v>
      </c>
      <c r="B1312" s="13" t="s">
        <v>2195</v>
      </c>
      <c r="C1312" s="13" t="s">
        <v>2199</v>
      </c>
      <c r="D1312" s="13" t="s">
        <v>2204</v>
      </c>
      <c r="E1312" s="13" t="s">
        <v>2212</v>
      </c>
      <c r="F1312" s="13" t="s">
        <v>2221</v>
      </c>
      <c r="G1312" s="13">
        <v>113.44</v>
      </c>
      <c r="H1312" s="13">
        <v>23.4</v>
      </c>
      <c r="I1312" s="13">
        <v>86.9</v>
      </c>
      <c r="J1312" s="24">
        <v>45723</v>
      </c>
      <c r="K1312" s="13">
        <v>1</v>
      </c>
      <c r="L1312" s="44">
        <v>2.8372093023255811</v>
      </c>
      <c r="M1312" s="13" t="b">
        <v>0</v>
      </c>
      <c r="O1312" s="25">
        <f t="shared" si="80"/>
        <v>179</v>
      </c>
      <c r="P1312" s="13">
        <f t="shared" si="81"/>
        <v>23.4</v>
      </c>
      <c r="Q1312" s="13" t="str">
        <f t="shared" si="82"/>
        <v/>
      </c>
      <c r="R1312" s="13" t="str">
        <f t="shared" si="83"/>
        <v>Diskon</v>
      </c>
    </row>
    <row r="1313" spans="1:18" x14ac:dyDescent="0.25">
      <c r="A1313" s="13" t="s">
        <v>1325</v>
      </c>
      <c r="B1313" s="13" t="s">
        <v>2194</v>
      </c>
      <c r="C1313" s="13" t="s">
        <v>2196</v>
      </c>
      <c r="D1313" s="13" t="s">
        <v>2204</v>
      </c>
      <c r="E1313" s="13" t="s">
        <v>2210</v>
      </c>
      <c r="F1313" s="13" t="s">
        <v>2218</v>
      </c>
      <c r="G1313" s="13">
        <v>119.84</v>
      </c>
      <c r="H1313" s="13">
        <v>0</v>
      </c>
      <c r="I1313" s="13">
        <v>119.84</v>
      </c>
      <c r="J1313" s="24">
        <v>45562</v>
      </c>
      <c r="K1313" s="13">
        <v>47</v>
      </c>
      <c r="L1313" s="44">
        <v>1.4</v>
      </c>
      <c r="M1313" s="13" t="b">
        <v>0</v>
      </c>
      <c r="O1313" s="25">
        <f t="shared" si="80"/>
        <v>340</v>
      </c>
      <c r="P1313" s="13">
        <f t="shared" si="81"/>
        <v>0</v>
      </c>
      <c r="Q1313" s="13" t="str">
        <f t="shared" si="82"/>
        <v/>
      </c>
      <c r="R1313" s="13" t="str">
        <f t="shared" si="83"/>
        <v>Non diskon</v>
      </c>
    </row>
    <row r="1314" spans="1:18" x14ac:dyDescent="0.25">
      <c r="A1314" s="13" t="s">
        <v>1326</v>
      </c>
      <c r="B1314" s="13" t="s">
        <v>2193</v>
      </c>
      <c r="C1314" s="13" t="s">
        <v>2197</v>
      </c>
      <c r="D1314" s="13" t="s">
        <v>2206</v>
      </c>
      <c r="E1314" s="13" t="s">
        <v>2211</v>
      </c>
      <c r="F1314" s="13" t="s">
        <v>2224</v>
      </c>
      <c r="G1314" s="13">
        <v>167.27</v>
      </c>
      <c r="H1314" s="13">
        <v>0</v>
      </c>
      <c r="I1314" s="13">
        <v>167.27</v>
      </c>
      <c r="J1314" s="24">
        <v>45875</v>
      </c>
      <c r="K1314" s="13">
        <v>9</v>
      </c>
      <c r="L1314" s="44">
        <v>4</v>
      </c>
      <c r="M1314" s="13" t="b">
        <v>0</v>
      </c>
      <c r="O1314" s="25">
        <f t="shared" si="80"/>
        <v>27</v>
      </c>
      <c r="P1314" s="13">
        <f t="shared" si="81"/>
        <v>0</v>
      </c>
      <c r="Q1314" s="13" t="str">
        <f t="shared" si="82"/>
        <v/>
      </c>
      <c r="R1314" s="13" t="str">
        <f t="shared" si="83"/>
        <v>Non diskon</v>
      </c>
    </row>
    <row r="1315" spans="1:18" x14ac:dyDescent="0.25">
      <c r="A1315" s="13" t="s">
        <v>1327</v>
      </c>
      <c r="B1315" s="13" t="s">
        <v>2195</v>
      </c>
      <c r="C1315" s="13" t="s">
        <v>2198</v>
      </c>
      <c r="D1315" s="13" t="s">
        <v>2204</v>
      </c>
      <c r="E1315" s="13" t="s">
        <v>2208</v>
      </c>
      <c r="F1315" s="13" t="s">
        <v>2219</v>
      </c>
      <c r="G1315" s="13">
        <v>148</v>
      </c>
      <c r="H1315" s="13">
        <v>1.1000000000000001</v>
      </c>
      <c r="I1315" s="13">
        <v>146.37</v>
      </c>
      <c r="J1315" s="24">
        <v>45711</v>
      </c>
      <c r="K1315" s="13">
        <v>43</v>
      </c>
      <c r="L1315" s="44">
        <v>2</v>
      </c>
      <c r="M1315" s="13" t="b">
        <v>0</v>
      </c>
      <c r="O1315" s="25">
        <f t="shared" si="80"/>
        <v>191</v>
      </c>
      <c r="P1315" s="13">
        <f t="shared" si="81"/>
        <v>47.300000000000004</v>
      </c>
      <c r="Q1315" s="13" t="str">
        <f t="shared" si="82"/>
        <v/>
      </c>
      <c r="R1315" s="13" t="str">
        <f t="shared" si="83"/>
        <v>Diskon</v>
      </c>
    </row>
    <row r="1316" spans="1:18" x14ac:dyDescent="0.25">
      <c r="A1316" s="13" t="s">
        <v>1328</v>
      </c>
      <c r="B1316" s="13" t="s">
        <v>2194</v>
      </c>
      <c r="C1316" s="13" t="s">
        <v>2200</v>
      </c>
      <c r="D1316" s="13" t="s">
        <v>2205</v>
      </c>
      <c r="E1316" s="13" t="s">
        <v>2211</v>
      </c>
      <c r="F1316" s="13" t="s">
        <v>2214</v>
      </c>
      <c r="G1316" s="13">
        <v>65.34</v>
      </c>
      <c r="H1316" s="13">
        <v>49.8</v>
      </c>
      <c r="I1316" s="13">
        <v>32.799999999999997</v>
      </c>
      <c r="J1316" s="24">
        <v>45875</v>
      </c>
      <c r="K1316" s="13">
        <v>9</v>
      </c>
      <c r="L1316" s="44">
        <v>3.0659090909090896</v>
      </c>
      <c r="M1316" s="13" t="b">
        <v>0</v>
      </c>
      <c r="O1316" s="25">
        <f t="shared" si="80"/>
        <v>27</v>
      </c>
      <c r="P1316" s="13">
        <f t="shared" si="81"/>
        <v>448.2</v>
      </c>
      <c r="Q1316" s="13" t="str">
        <f t="shared" si="82"/>
        <v/>
      </c>
      <c r="R1316" s="13" t="str">
        <f t="shared" si="83"/>
        <v>Diskon</v>
      </c>
    </row>
    <row r="1317" spans="1:18" x14ac:dyDescent="0.25">
      <c r="A1317" s="13" t="s">
        <v>1329</v>
      </c>
      <c r="B1317" s="13" t="s">
        <v>2193</v>
      </c>
      <c r="C1317" s="13" t="s">
        <v>2198</v>
      </c>
      <c r="D1317" s="13" t="s">
        <v>2204</v>
      </c>
      <c r="E1317" s="13" t="s">
        <v>2213</v>
      </c>
      <c r="F1317" s="13" t="s">
        <v>2220</v>
      </c>
      <c r="G1317" s="13">
        <v>84.57</v>
      </c>
      <c r="H1317" s="13">
        <v>5.4</v>
      </c>
      <c r="I1317" s="13">
        <v>80</v>
      </c>
      <c r="J1317" s="24">
        <v>45855</v>
      </c>
      <c r="K1317" s="13">
        <v>33</v>
      </c>
      <c r="L1317" s="44">
        <v>3.1936170212765949</v>
      </c>
      <c r="M1317" s="13" t="b">
        <v>0</v>
      </c>
      <c r="O1317" s="25">
        <f t="shared" si="80"/>
        <v>47</v>
      </c>
      <c r="P1317" s="13">
        <f t="shared" si="81"/>
        <v>178.20000000000002</v>
      </c>
      <c r="Q1317" s="13" t="str">
        <f t="shared" si="82"/>
        <v/>
      </c>
      <c r="R1317" s="13" t="str">
        <f t="shared" si="83"/>
        <v>Diskon</v>
      </c>
    </row>
    <row r="1318" spans="1:18" x14ac:dyDescent="0.25">
      <c r="A1318" s="13" t="s">
        <v>1330</v>
      </c>
      <c r="B1318" s="13" t="s">
        <v>2194</v>
      </c>
      <c r="C1318" s="13" t="s">
        <v>2202</v>
      </c>
      <c r="D1318" s="13" t="s">
        <v>2207</v>
      </c>
      <c r="E1318" s="13" t="s">
        <v>2212</v>
      </c>
      <c r="F1318" s="13" t="s">
        <v>2218</v>
      </c>
      <c r="G1318" s="13">
        <v>52.6</v>
      </c>
      <c r="H1318" s="13">
        <v>0</v>
      </c>
      <c r="I1318" s="13">
        <v>52.6</v>
      </c>
      <c r="J1318" s="24">
        <v>45875</v>
      </c>
      <c r="K1318" s="13">
        <v>35</v>
      </c>
      <c r="L1318" s="44">
        <v>1.2</v>
      </c>
      <c r="M1318" s="13" t="b">
        <v>1</v>
      </c>
      <c r="N1318" s="13" t="s">
        <v>2225</v>
      </c>
      <c r="O1318" s="25">
        <f t="shared" si="80"/>
        <v>27</v>
      </c>
      <c r="P1318" s="13">
        <f t="shared" si="81"/>
        <v>0</v>
      </c>
      <c r="Q1318" s="13">
        <f t="shared" si="82"/>
        <v>1</v>
      </c>
      <c r="R1318" s="13" t="str">
        <f t="shared" si="83"/>
        <v>Non diskon</v>
      </c>
    </row>
    <row r="1319" spans="1:18" x14ac:dyDescent="0.25">
      <c r="A1319" s="13" t="s">
        <v>1331</v>
      </c>
      <c r="B1319" s="13" t="s">
        <v>2193</v>
      </c>
      <c r="C1319" s="13" t="s">
        <v>2197</v>
      </c>
      <c r="D1319" s="13" t="s">
        <v>2207</v>
      </c>
      <c r="E1319" s="13" t="s">
        <v>2209</v>
      </c>
      <c r="F1319" s="13" t="s">
        <v>2220</v>
      </c>
      <c r="G1319" s="13">
        <v>106.37</v>
      </c>
      <c r="H1319" s="13">
        <v>0</v>
      </c>
      <c r="I1319" s="13">
        <v>106.37</v>
      </c>
      <c r="J1319" s="24">
        <v>45875</v>
      </c>
      <c r="K1319" s="13">
        <v>30</v>
      </c>
      <c r="L1319" s="44">
        <v>1.1000000000000001</v>
      </c>
      <c r="M1319" s="13" t="b">
        <v>0</v>
      </c>
      <c r="O1319" s="25">
        <f t="shared" si="80"/>
        <v>27</v>
      </c>
      <c r="P1319" s="13">
        <f t="shared" si="81"/>
        <v>0</v>
      </c>
      <c r="Q1319" s="13" t="str">
        <f t="shared" si="82"/>
        <v/>
      </c>
      <c r="R1319" s="13" t="str">
        <f t="shared" si="83"/>
        <v>Non diskon</v>
      </c>
    </row>
    <row r="1320" spans="1:18" x14ac:dyDescent="0.25">
      <c r="A1320" s="13" t="s">
        <v>1332</v>
      </c>
      <c r="B1320" s="13" t="s">
        <v>2191</v>
      </c>
      <c r="C1320" s="13" t="s">
        <v>2202</v>
      </c>
      <c r="D1320" s="13" t="s">
        <v>2207</v>
      </c>
      <c r="E1320" s="13" t="s">
        <v>2211</v>
      </c>
      <c r="F1320" s="13" t="s">
        <v>2216</v>
      </c>
      <c r="G1320" s="13">
        <v>96.77</v>
      </c>
      <c r="H1320" s="13">
        <v>40.4</v>
      </c>
      <c r="I1320" s="13">
        <v>57.67</v>
      </c>
      <c r="J1320" s="24">
        <v>45875</v>
      </c>
      <c r="K1320" s="13">
        <v>31</v>
      </c>
      <c r="L1320" s="44">
        <v>4.5</v>
      </c>
      <c r="M1320" s="13" t="b">
        <v>0</v>
      </c>
      <c r="O1320" s="25">
        <f t="shared" si="80"/>
        <v>27</v>
      </c>
      <c r="P1320" s="13">
        <f t="shared" si="81"/>
        <v>1252.3999999999999</v>
      </c>
      <c r="Q1320" s="13" t="str">
        <f t="shared" si="82"/>
        <v/>
      </c>
      <c r="R1320" s="13" t="str">
        <f t="shared" si="83"/>
        <v>Diskon</v>
      </c>
    </row>
    <row r="1321" spans="1:18" x14ac:dyDescent="0.25">
      <c r="A1321" s="13" t="s">
        <v>1333</v>
      </c>
      <c r="B1321" s="13" t="s">
        <v>2190</v>
      </c>
      <c r="C1321" s="13" t="s">
        <v>2198</v>
      </c>
      <c r="D1321" s="13" t="s">
        <v>2204</v>
      </c>
      <c r="E1321" s="13" t="s">
        <v>2209</v>
      </c>
      <c r="F1321" s="13" t="s">
        <v>2224</v>
      </c>
      <c r="G1321" s="13">
        <v>99.02</v>
      </c>
      <c r="H1321" s="13">
        <v>0</v>
      </c>
      <c r="I1321" s="13">
        <v>99.02</v>
      </c>
      <c r="J1321" s="24">
        <v>45581</v>
      </c>
      <c r="K1321" s="13">
        <v>21</v>
      </c>
      <c r="L1321" s="44">
        <v>1.2</v>
      </c>
      <c r="M1321" s="13" t="b">
        <v>0</v>
      </c>
      <c r="O1321" s="25">
        <f t="shared" si="80"/>
        <v>321</v>
      </c>
      <c r="P1321" s="13">
        <f t="shared" si="81"/>
        <v>0</v>
      </c>
      <c r="Q1321" s="13" t="str">
        <f t="shared" si="82"/>
        <v/>
      </c>
      <c r="R1321" s="13" t="str">
        <f t="shared" si="83"/>
        <v>Non diskon</v>
      </c>
    </row>
    <row r="1322" spans="1:18" x14ac:dyDescent="0.25">
      <c r="A1322" s="13" t="s">
        <v>1334</v>
      </c>
      <c r="B1322" s="13" t="s">
        <v>2192</v>
      </c>
      <c r="C1322" s="13" t="s">
        <v>2196</v>
      </c>
      <c r="D1322" s="13" t="s">
        <v>2204</v>
      </c>
      <c r="F1322" s="13" t="s">
        <v>2223</v>
      </c>
      <c r="G1322" s="13">
        <v>68.89</v>
      </c>
      <c r="H1322" s="13">
        <v>36.9</v>
      </c>
      <c r="I1322" s="13">
        <v>43.47</v>
      </c>
      <c r="J1322" s="24">
        <v>45631</v>
      </c>
      <c r="K1322" s="13">
        <v>9</v>
      </c>
      <c r="L1322" s="44">
        <v>1.8</v>
      </c>
      <c r="M1322" s="13" t="b">
        <v>0</v>
      </c>
      <c r="O1322" s="25">
        <f t="shared" si="80"/>
        <v>271</v>
      </c>
      <c r="P1322" s="13">
        <f t="shared" si="81"/>
        <v>332.09999999999997</v>
      </c>
      <c r="Q1322" s="13" t="str">
        <f t="shared" si="82"/>
        <v/>
      </c>
      <c r="R1322" s="13" t="str">
        <f t="shared" si="83"/>
        <v>Diskon</v>
      </c>
    </row>
    <row r="1323" spans="1:18" x14ac:dyDescent="0.25">
      <c r="A1323" s="13" t="s">
        <v>1335</v>
      </c>
      <c r="B1323" s="13" t="s">
        <v>2195</v>
      </c>
      <c r="C1323" s="13" t="s">
        <v>2200</v>
      </c>
      <c r="D1323" s="13" t="s">
        <v>2204</v>
      </c>
      <c r="E1323" s="13" t="s">
        <v>2210</v>
      </c>
      <c r="F1323" s="13" t="s">
        <v>2215</v>
      </c>
      <c r="G1323" s="13">
        <v>63.91</v>
      </c>
      <c r="H1323" s="13">
        <v>3.5</v>
      </c>
      <c r="I1323" s="13">
        <v>61.67</v>
      </c>
      <c r="J1323" s="24">
        <v>45796</v>
      </c>
      <c r="K1323" s="13">
        <v>14</v>
      </c>
      <c r="L1323" s="44">
        <v>2.1</v>
      </c>
      <c r="M1323" s="13" t="b">
        <v>0</v>
      </c>
      <c r="O1323" s="25">
        <f t="shared" si="80"/>
        <v>106</v>
      </c>
      <c r="P1323" s="13">
        <f t="shared" si="81"/>
        <v>49</v>
      </c>
      <c r="Q1323" s="13" t="str">
        <f t="shared" si="82"/>
        <v/>
      </c>
      <c r="R1323" s="13" t="str">
        <f t="shared" si="83"/>
        <v>Diskon</v>
      </c>
    </row>
    <row r="1324" spans="1:18" x14ac:dyDescent="0.25">
      <c r="A1324" s="13" t="s">
        <v>1336</v>
      </c>
      <c r="B1324" s="13" t="s">
        <v>2193</v>
      </c>
      <c r="C1324" s="13" t="s">
        <v>2199</v>
      </c>
      <c r="D1324" s="13" t="s">
        <v>2206</v>
      </c>
      <c r="E1324" s="13" t="s">
        <v>2210</v>
      </c>
      <c r="F1324" s="13" t="s">
        <v>2222</v>
      </c>
      <c r="G1324" s="13">
        <v>116.38</v>
      </c>
      <c r="H1324" s="13">
        <v>11.4</v>
      </c>
      <c r="I1324" s="13">
        <v>103.11</v>
      </c>
      <c r="J1324" s="24">
        <v>45875</v>
      </c>
      <c r="K1324" s="13">
        <v>15</v>
      </c>
      <c r="L1324" s="44">
        <v>2.9804347826086954</v>
      </c>
      <c r="M1324" s="13" t="b">
        <v>0</v>
      </c>
      <c r="O1324" s="25">
        <f t="shared" si="80"/>
        <v>27</v>
      </c>
      <c r="P1324" s="13">
        <f t="shared" si="81"/>
        <v>171</v>
      </c>
      <c r="Q1324" s="13" t="str">
        <f t="shared" si="82"/>
        <v/>
      </c>
      <c r="R1324" s="13" t="str">
        <f t="shared" si="83"/>
        <v>Diskon</v>
      </c>
    </row>
    <row r="1325" spans="1:18" x14ac:dyDescent="0.25">
      <c r="A1325" s="13" t="s">
        <v>1337</v>
      </c>
      <c r="B1325" s="13" t="s">
        <v>2194</v>
      </c>
      <c r="C1325" s="13" t="s">
        <v>2197</v>
      </c>
      <c r="D1325" s="13" t="s">
        <v>2206</v>
      </c>
      <c r="E1325" s="13" t="s">
        <v>2212</v>
      </c>
      <c r="F1325" s="13" t="s">
        <v>2220</v>
      </c>
      <c r="G1325" s="13">
        <v>71.739999999999995</v>
      </c>
      <c r="H1325" s="13">
        <v>0</v>
      </c>
      <c r="I1325" s="13">
        <v>71.739999999999995</v>
      </c>
      <c r="J1325" s="24">
        <v>45875</v>
      </c>
      <c r="K1325" s="13">
        <v>16</v>
      </c>
      <c r="L1325" s="44">
        <v>3.0846153846153843</v>
      </c>
      <c r="M1325" s="13" t="b">
        <v>0</v>
      </c>
      <c r="O1325" s="25">
        <f t="shared" si="80"/>
        <v>27</v>
      </c>
      <c r="P1325" s="13">
        <f t="shared" si="81"/>
        <v>0</v>
      </c>
      <c r="Q1325" s="13" t="str">
        <f t="shared" si="82"/>
        <v/>
      </c>
      <c r="R1325" s="13" t="str">
        <f t="shared" si="83"/>
        <v>Non diskon</v>
      </c>
    </row>
    <row r="1326" spans="1:18" x14ac:dyDescent="0.25">
      <c r="A1326" s="13" t="s">
        <v>1338</v>
      </c>
      <c r="B1326" s="13" t="s">
        <v>2194</v>
      </c>
      <c r="C1326" s="13" t="s">
        <v>2203</v>
      </c>
      <c r="D1326" s="13" t="s">
        <v>2205</v>
      </c>
      <c r="E1326" s="13" t="s">
        <v>2213</v>
      </c>
      <c r="F1326" s="13" t="s">
        <v>2221</v>
      </c>
      <c r="G1326" s="13">
        <v>91.11</v>
      </c>
      <c r="H1326" s="13">
        <v>0</v>
      </c>
      <c r="I1326" s="13">
        <v>91.11</v>
      </c>
      <c r="J1326" s="24">
        <v>45875</v>
      </c>
      <c r="K1326" s="13">
        <v>38</v>
      </c>
      <c r="L1326" s="44">
        <v>3.3</v>
      </c>
      <c r="M1326" s="13" t="b">
        <v>0</v>
      </c>
      <c r="O1326" s="25">
        <f t="shared" si="80"/>
        <v>27</v>
      </c>
      <c r="P1326" s="13">
        <f t="shared" si="81"/>
        <v>0</v>
      </c>
      <c r="Q1326" s="13" t="str">
        <f t="shared" si="82"/>
        <v/>
      </c>
      <c r="R1326" s="13" t="str">
        <f t="shared" si="83"/>
        <v>Non diskon</v>
      </c>
    </row>
    <row r="1327" spans="1:18" x14ac:dyDescent="0.25">
      <c r="A1327" s="13" t="s">
        <v>1339</v>
      </c>
      <c r="B1327" s="13" t="s">
        <v>2192</v>
      </c>
      <c r="C1327" s="13" t="s">
        <v>2196</v>
      </c>
      <c r="D1327" s="13" t="s">
        <v>2207</v>
      </c>
      <c r="F1327" s="13" t="s">
        <v>2217</v>
      </c>
      <c r="G1327" s="13">
        <v>46.07</v>
      </c>
      <c r="H1327" s="13">
        <v>0</v>
      </c>
      <c r="I1327" s="13">
        <v>46.07</v>
      </c>
      <c r="J1327" s="24">
        <v>45875</v>
      </c>
      <c r="K1327" s="13">
        <v>25</v>
      </c>
      <c r="L1327" s="44">
        <v>2.5</v>
      </c>
      <c r="M1327" s="13" t="b">
        <v>0</v>
      </c>
      <c r="O1327" s="25">
        <f t="shared" si="80"/>
        <v>27</v>
      </c>
      <c r="P1327" s="13">
        <f t="shared" si="81"/>
        <v>0</v>
      </c>
      <c r="Q1327" s="13" t="str">
        <f t="shared" si="82"/>
        <v/>
      </c>
      <c r="R1327" s="13" t="str">
        <f t="shared" si="83"/>
        <v>Non diskon</v>
      </c>
    </row>
    <row r="1328" spans="1:18" x14ac:dyDescent="0.25">
      <c r="A1328" s="13" t="s">
        <v>1340</v>
      </c>
      <c r="B1328" s="13" t="s">
        <v>2195</v>
      </c>
      <c r="C1328" s="13" t="s">
        <v>2199</v>
      </c>
      <c r="D1328" s="13" t="s">
        <v>2206</v>
      </c>
      <c r="E1328" s="13" t="s">
        <v>2210</v>
      </c>
      <c r="F1328" s="13" t="s">
        <v>2220</v>
      </c>
      <c r="G1328" s="13">
        <v>156.27000000000001</v>
      </c>
      <c r="H1328" s="13">
        <v>0</v>
      </c>
      <c r="I1328" s="13">
        <v>156.27000000000001</v>
      </c>
      <c r="J1328" s="24">
        <v>45875</v>
      </c>
      <c r="K1328" s="13">
        <v>43</v>
      </c>
      <c r="L1328" s="44">
        <v>2.8372093023255811</v>
      </c>
      <c r="M1328" s="13" t="b">
        <v>0</v>
      </c>
      <c r="O1328" s="25">
        <f t="shared" si="80"/>
        <v>27</v>
      </c>
      <c r="P1328" s="13">
        <f t="shared" si="81"/>
        <v>0</v>
      </c>
      <c r="Q1328" s="13" t="str">
        <f t="shared" si="82"/>
        <v/>
      </c>
      <c r="R1328" s="13" t="str">
        <f t="shared" si="83"/>
        <v>Non diskon</v>
      </c>
    </row>
    <row r="1329" spans="1:18" x14ac:dyDescent="0.25">
      <c r="A1329" s="13" t="s">
        <v>1341</v>
      </c>
      <c r="B1329" s="13" t="s">
        <v>2191</v>
      </c>
      <c r="C1329" s="13" t="s">
        <v>2199</v>
      </c>
      <c r="D1329" s="13" t="s">
        <v>2206</v>
      </c>
      <c r="E1329" s="13" t="s">
        <v>2212</v>
      </c>
      <c r="F1329" s="13" t="s">
        <v>2215</v>
      </c>
      <c r="G1329" s="13">
        <v>56.35</v>
      </c>
      <c r="H1329" s="13">
        <v>0</v>
      </c>
      <c r="I1329" s="13">
        <v>56.35</v>
      </c>
      <c r="J1329" s="24">
        <v>45875</v>
      </c>
      <c r="K1329" s="13">
        <v>31</v>
      </c>
      <c r="L1329" s="44">
        <v>1.5</v>
      </c>
      <c r="M1329" s="13" t="b">
        <v>0</v>
      </c>
      <c r="O1329" s="25">
        <f t="shared" si="80"/>
        <v>27</v>
      </c>
      <c r="P1329" s="13">
        <f t="shared" si="81"/>
        <v>0</v>
      </c>
      <c r="Q1329" s="13" t="str">
        <f t="shared" si="82"/>
        <v/>
      </c>
      <c r="R1329" s="13" t="str">
        <f t="shared" si="83"/>
        <v>Non diskon</v>
      </c>
    </row>
    <row r="1330" spans="1:18" x14ac:dyDescent="0.25">
      <c r="A1330" s="13" t="s">
        <v>1342</v>
      </c>
      <c r="B1330" s="13" t="s">
        <v>2194</v>
      </c>
      <c r="C1330" s="13" t="s">
        <v>2196</v>
      </c>
      <c r="D1330" s="13" t="s">
        <v>2205</v>
      </c>
      <c r="E1330" s="13" t="s">
        <v>2212</v>
      </c>
      <c r="F1330" s="13" t="s">
        <v>2223</v>
      </c>
      <c r="G1330" s="13">
        <v>118.21</v>
      </c>
      <c r="H1330" s="13">
        <v>23.1</v>
      </c>
      <c r="I1330" s="13">
        <v>90.9</v>
      </c>
      <c r="J1330" s="24">
        <v>45875</v>
      </c>
      <c r="K1330" s="13">
        <v>15</v>
      </c>
      <c r="L1330" s="44">
        <v>5</v>
      </c>
      <c r="M1330" s="13" t="b">
        <v>0</v>
      </c>
      <c r="O1330" s="25">
        <f t="shared" si="80"/>
        <v>27</v>
      </c>
      <c r="P1330" s="13">
        <f t="shared" si="81"/>
        <v>346.5</v>
      </c>
      <c r="Q1330" s="13" t="str">
        <f t="shared" si="82"/>
        <v/>
      </c>
      <c r="R1330" s="13" t="str">
        <f t="shared" si="83"/>
        <v>Diskon</v>
      </c>
    </row>
    <row r="1331" spans="1:18" x14ac:dyDescent="0.25">
      <c r="A1331" s="13" t="s">
        <v>1343</v>
      </c>
      <c r="B1331" s="13" t="s">
        <v>2191</v>
      </c>
      <c r="C1331" s="13" t="s">
        <v>2202</v>
      </c>
      <c r="D1331" s="13" t="s">
        <v>2206</v>
      </c>
      <c r="E1331" s="13" t="s">
        <v>2212</v>
      </c>
      <c r="F1331" s="13" t="s">
        <v>2221</v>
      </c>
      <c r="G1331" s="13">
        <v>25.86</v>
      </c>
      <c r="H1331" s="13">
        <v>0</v>
      </c>
      <c r="I1331" s="13">
        <v>25.86</v>
      </c>
      <c r="J1331" s="24">
        <v>45875</v>
      </c>
      <c r="K1331" s="13">
        <v>46</v>
      </c>
      <c r="L1331" s="44">
        <v>1.5</v>
      </c>
      <c r="M1331" s="13" t="b">
        <v>0</v>
      </c>
      <c r="O1331" s="25">
        <f t="shared" si="80"/>
        <v>27</v>
      </c>
      <c r="P1331" s="13">
        <f t="shared" si="81"/>
        <v>0</v>
      </c>
      <c r="Q1331" s="13" t="str">
        <f t="shared" si="82"/>
        <v/>
      </c>
      <c r="R1331" s="13" t="str">
        <f t="shared" si="83"/>
        <v>Non diskon</v>
      </c>
    </row>
    <row r="1332" spans="1:18" x14ac:dyDescent="0.25">
      <c r="A1332" s="13" t="s">
        <v>1344</v>
      </c>
      <c r="B1332" s="13" t="s">
        <v>2191</v>
      </c>
      <c r="C1332" s="13" t="s">
        <v>2200</v>
      </c>
      <c r="D1332" s="13" t="s">
        <v>2206</v>
      </c>
      <c r="E1332" s="13" t="s">
        <v>2210</v>
      </c>
      <c r="F1332" s="13" t="s">
        <v>2220</v>
      </c>
      <c r="G1332" s="13">
        <v>91.67</v>
      </c>
      <c r="H1332" s="13">
        <v>23.7</v>
      </c>
      <c r="I1332" s="13">
        <v>69.94</v>
      </c>
      <c r="J1332" s="24">
        <v>45875</v>
      </c>
      <c r="K1332" s="13">
        <v>3</v>
      </c>
      <c r="L1332" s="44">
        <v>3.7</v>
      </c>
      <c r="M1332" s="13" t="b">
        <v>0</v>
      </c>
      <c r="O1332" s="25">
        <f t="shared" si="80"/>
        <v>27</v>
      </c>
      <c r="P1332" s="13">
        <f t="shared" si="81"/>
        <v>71.099999999999994</v>
      </c>
      <c r="Q1332" s="13" t="str">
        <f t="shared" si="82"/>
        <v/>
      </c>
      <c r="R1332" s="13" t="str">
        <f t="shared" si="83"/>
        <v>Diskon</v>
      </c>
    </row>
    <row r="1333" spans="1:18" x14ac:dyDescent="0.25">
      <c r="A1333" s="13" t="s">
        <v>1345</v>
      </c>
      <c r="B1333" s="13" t="s">
        <v>2194</v>
      </c>
      <c r="C1333" s="13" t="s">
        <v>2197</v>
      </c>
      <c r="D1333" s="13" t="s">
        <v>2206</v>
      </c>
      <c r="E1333" s="13" t="s">
        <v>2209</v>
      </c>
      <c r="F1333" s="13" t="s">
        <v>2219</v>
      </c>
      <c r="G1333" s="13">
        <v>25.29</v>
      </c>
      <c r="H1333" s="13">
        <v>7.9</v>
      </c>
      <c r="I1333" s="13">
        <v>23.29</v>
      </c>
      <c r="J1333" s="24">
        <v>45875</v>
      </c>
      <c r="K1333" s="13">
        <v>39</v>
      </c>
      <c r="L1333" s="44">
        <v>1.7</v>
      </c>
      <c r="M1333" s="13" t="b">
        <v>0</v>
      </c>
      <c r="O1333" s="25">
        <f t="shared" si="80"/>
        <v>27</v>
      </c>
      <c r="P1333" s="13">
        <f t="shared" si="81"/>
        <v>308.10000000000002</v>
      </c>
      <c r="Q1333" s="13" t="str">
        <f t="shared" si="82"/>
        <v/>
      </c>
      <c r="R1333" s="13" t="str">
        <f t="shared" si="83"/>
        <v>Diskon</v>
      </c>
    </row>
    <row r="1334" spans="1:18" x14ac:dyDescent="0.25">
      <c r="A1334" s="13" t="s">
        <v>1346</v>
      </c>
      <c r="B1334" s="13" t="s">
        <v>2192</v>
      </c>
      <c r="C1334" s="13" t="s">
        <v>2200</v>
      </c>
      <c r="D1334" s="13" t="s">
        <v>2205</v>
      </c>
      <c r="F1334" s="13" t="s">
        <v>2222</v>
      </c>
      <c r="G1334" s="13">
        <v>51.61</v>
      </c>
      <c r="H1334" s="13">
        <v>32.200000000000003</v>
      </c>
      <c r="I1334" s="13">
        <v>34.99</v>
      </c>
      <c r="J1334" s="24">
        <v>45875</v>
      </c>
      <c r="K1334" s="13">
        <v>34</v>
      </c>
      <c r="L1334" s="44">
        <v>4.8</v>
      </c>
      <c r="M1334" s="13" t="b">
        <v>0</v>
      </c>
      <c r="O1334" s="25">
        <f t="shared" si="80"/>
        <v>27</v>
      </c>
      <c r="P1334" s="13">
        <f t="shared" si="81"/>
        <v>1094.8000000000002</v>
      </c>
      <c r="Q1334" s="13" t="str">
        <f t="shared" si="82"/>
        <v/>
      </c>
      <c r="R1334" s="13" t="str">
        <f t="shared" si="83"/>
        <v>Diskon</v>
      </c>
    </row>
    <row r="1335" spans="1:18" x14ac:dyDescent="0.25">
      <c r="A1335" s="13" t="s">
        <v>1347</v>
      </c>
      <c r="B1335" s="13" t="s">
        <v>2190</v>
      </c>
      <c r="C1335" s="13" t="s">
        <v>2198</v>
      </c>
      <c r="D1335" s="13" t="s">
        <v>2207</v>
      </c>
      <c r="E1335" s="13" t="s">
        <v>2208</v>
      </c>
      <c r="F1335" s="13" t="s">
        <v>2216</v>
      </c>
      <c r="G1335" s="13">
        <v>143.61000000000001</v>
      </c>
      <c r="H1335" s="13">
        <v>24.6</v>
      </c>
      <c r="I1335" s="13">
        <v>108.28</v>
      </c>
      <c r="J1335" s="24">
        <v>45875</v>
      </c>
      <c r="K1335" s="13">
        <v>50</v>
      </c>
      <c r="L1335" s="44">
        <v>4.0999999999999996</v>
      </c>
      <c r="M1335" s="13" t="b">
        <v>0</v>
      </c>
      <c r="O1335" s="25">
        <f t="shared" si="80"/>
        <v>27</v>
      </c>
      <c r="P1335" s="13">
        <f t="shared" si="81"/>
        <v>1230</v>
      </c>
      <c r="Q1335" s="13" t="str">
        <f t="shared" si="82"/>
        <v/>
      </c>
      <c r="R1335" s="13" t="str">
        <f t="shared" si="83"/>
        <v>Diskon</v>
      </c>
    </row>
    <row r="1336" spans="1:18" x14ac:dyDescent="0.25">
      <c r="A1336" s="13" t="s">
        <v>1348</v>
      </c>
      <c r="B1336" s="13" t="s">
        <v>2194</v>
      </c>
      <c r="C1336" s="13" t="s">
        <v>2202</v>
      </c>
      <c r="D1336" s="13" t="s">
        <v>2207</v>
      </c>
      <c r="E1336" s="13" t="s">
        <v>2209</v>
      </c>
      <c r="F1336" s="13" t="s">
        <v>2214</v>
      </c>
      <c r="G1336" s="13">
        <v>45.48</v>
      </c>
      <c r="H1336" s="13">
        <v>0</v>
      </c>
      <c r="I1336" s="13">
        <v>45.48</v>
      </c>
      <c r="J1336" s="24">
        <v>45875</v>
      </c>
      <c r="K1336" s="13">
        <v>29</v>
      </c>
      <c r="L1336" s="44">
        <v>2.2999999999999998</v>
      </c>
      <c r="M1336" s="13" t="b">
        <v>0</v>
      </c>
      <c r="O1336" s="25">
        <f t="shared" si="80"/>
        <v>27</v>
      </c>
      <c r="P1336" s="13">
        <f t="shared" si="81"/>
        <v>0</v>
      </c>
      <c r="Q1336" s="13" t="str">
        <f t="shared" si="82"/>
        <v/>
      </c>
      <c r="R1336" s="13" t="str">
        <f t="shared" si="83"/>
        <v>Non diskon</v>
      </c>
    </row>
    <row r="1337" spans="1:18" x14ac:dyDescent="0.25">
      <c r="A1337" s="13" t="s">
        <v>1349</v>
      </c>
      <c r="B1337" s="13" t="s">
        <v>2193</v>
      </c>
      <c r="C1337" s="13" t="s">
        <v>2196</v>
      </c>
      <c r="D1337" s="13" t="s">
        <v>2207</v>
      </c>
      <c r="F1337" s="13" t="s">
        <v>2217</v>
      </c>
      <c r="G1337" s="13">
        <v>177.79</v>
      </c>
      <c r="H1337" s="13">
        <v>10.7</v>
      </c>
      <c r="I1337" s="13">
        <v>158.77000000000001</v>
      </c>
      <c r="J1337" s="24">
        <v>45875</v>
      </c>
      <c r="K1337" s="13">
        <v>37</v>
      </c>
      <c r="L1337" s="44">
        <v>2.9153846153846157</v>
      </c>
      <c r="M1337" s="13" t="b">
        <v>0</v>
      </c>
      <c r="O1337" s="25">
        <f t="shared" si="80"/>
        <v>27</v>
      </c>
      <c r="P1337" s="13">
        <f t="shared" si="81"/>
        <v>395.9</v>
      </c>
      <c r="Q1337" s="13" t="str">
        <f t="shared" si="82"/>
        <v/>
      </c>
      <c r="R1337" s="13" t="str">
        <f t="shared" si="83"/>
        <v>Diskon</v>
      </c>
    </row>
    <row r="1338" spans="1:18" x14ac:dyDescent="0.25">
      <c r="A1338" s="13" t="s">
        <v>1350</v>
      </c>
      <c r="B1338" s="13" t="s">
        <v>2190</v>
      </c>
      <c r="C1338" s="13" t="s">
        <v>2202</v>
      </c>
      <c r="D1338" s="13" t="s">
        <v>2206</v>
      </c>
      <c r="E1338" s="13" t="s">
        <v>2212</v>
      </c>
      <c r="F1338" s="13" t="s">
        <v>2223</v>
      </c>
      <c r="G1338" s="13">
        <v>145.1</v>
      </c>
      <c r="H1338" s="13">
        <v>34.200000000000003</v>
      </c>
      <c r="I1338" s="13">
        <v>95.48</v>
      </c>
      <c r="J1338" s="24">
        <v>45875</v>
      </c>
      <c r="K1338" s="13">
        <v>14</v>
      </c>
      <c r="L1338" s="44">
        <v>2.9034482758620692</v>
      </c>
      <c r="M1338" s="13" t="b">
        <v>0</v>
      </c>
      <c r="O1338" s="25">
        <f t="shared" si="80"/>
        <v>27</v>
      </c>
      <c r="P1338" s="13">
        <f t="shared" si="81"/>
        <v>478.80000000000007</v>
      </c>
      <c r="Q1338" s="13" t="str">
        <f t="shared" si="82"/>
        <v/>
      </c>
      <c r="R1338" s="13" t="str">
        <f t="shared" si="83"/>
        <v>Diskon</v>
      </c>
    </row>
    <row r="1339" spans="1:18" x14ac:dyDescent="0.25">
      <c r="A1339" s="13" t="s">
        <v>1351</v>
      </c>
      <c r="B1339" s="13" t="s">
        <v>2193</v>
      </c>
      <c r="C1339" s="13" t="s">
        <v>2201</v>
      </c>
      <c r="D1339" s="13" t="s">
        <v>2207</v>
      </c>
      <c r="E1339" s="13" t="s">
        <v>2211</v>
      </c>
      <c r="F1339" s="13" t="s">
        <v>2222</v>
      </c>
      <c r="G1339" s="13">
        <v>190.78</v>
      </c>
      <c r="H1339" s="13">
        <v>0</v>
      </c>
      <c r="I1339" s="13">
        <v>190.78</v>
      </c>
      <c r="J1339" s="24">
        <v>45875</v>
      </c>
      <c r="K1339" s="13">
        <v>39</v>
      </c>
      <c r="L1339" s="44">
        <v>3.7</v>
      </c>
      <c r="M1339" s="13" t="b">
        <v>0</v>
      </c>
      <c r="O1339" s="25">
        <f t="shared" si="80"/>
        <v>27</v>
      </c>
      <c r="P1339" s="13">
        <f t="shared" si="81"/>
        <v>0</v>
      </c>
      <c r="Q1339" s="13" t="str">
        <f t="shared" si="82"/>
        <v/>
      </c>
      <c r="R1339" s="13" t="str">
        <f t="shared" si="83"/>
        <v>Non diskon</v>
      </c>
    </row>
    <row r="1340" spans="1:18" x14ac:dyDescent="0.25">
      <c r="A1340" s="13" t="s">
        <v>1352</v>
      </c>
      <c r="B1340" s="13" t="s">
        <v>2192</v>
      </c>
      <c r="C1340" s="13" t="s">
        <v>2203</v>
      </c>
      <c r="D1340" s="13" t="s">
        <v>2206</v>
      </c>
      <c r="F1340" s="13" t="s">
        <v>2219</v>
      </c>
      <c r="G1340" s="13">
        <v>44.73</v>
      </c>
      <c r="H1340" s="13">
        <v>0</v>
      </c>
      <c r="I1340" s="13">
        <v>44.73</v>
      </c>
      <c r="J1340" s="24">
        <v>45875</v>
      </c>
      <c r="K1340" s="13">
        <v>25</v>
      </c>
      <c r="L1340" s="44">
        <v>1.1000000000000001</v>
      </c>
      <c r="M1340" s="13" t="b">
        <v>0</v>
      </c>
      <c r="O1340" s="25">
        <f t="shared" si="80"/>
        <v>27</v>
      </c>
      <c r="P1340" s="13">
        <f t="shared" si="81"/>
        <v>0</v>
      </c>
      <c r="Q1340" s="13" t="str">
        <f t="shared" si="82"/>
        <v/>
      </c>
      <c r="R1340" s="13" t="str">
        <f t="shared" si="83"/>
        <v>Non diskon</v>
      </c>
    </row>
    <row r="1341" spans="1:18" x14ac:dyDescent="0.25">
      <c r="A1341" s="13" t="s">
        <v>1353</v>
      </c>
      <c r="B1341" s="13" t="s">
        <v>2193</v>
      </c>
      <c r="C1341" s="13" t="s">
        <v>2198</v>
      </c>
      <c r="D1341" s="13" t="s">
        <v>2205</v>
      </c>
      <c r="E1341" s="13" t="s">
        <v>2211</v>
      </c>
      <c r="F1341" s="13" t="s">
        <v>2217</v>
      </c>
      <c r="G1341" s="13">
        <v>65.48</v>
      </c>
      <c r="H1341" s="13">
        <v>0</v>
      </c>
      <c r="I1341" s="13">
        <v>65.48</v>
      </c>
      <c r="J1341" s="24">
        <v>45875</v>
      </c>
      <c r="K1341" s="13">
        <v>7</v>
      </c>
      <c r="L1341" s="44">
        <v>4.5999999999999996</v>
      </c>
      <c r="M1341" s="13" t="b">
        <v>0</v>
      </c>
      <c r="O1341" s="25">
        <f t="shared" si="80"/>
        <v>27</v>
      </c>
      <c r="P1341" s="13">
        <f t="shared" si="81"/>
        <v>0</v>
      </c>
      <c r="Q1341" s="13" t="str">
        <f t="shared" si="82"/>
        <v/>
      </c>
      <c r="R1341" s="13" t="str">
        <f t="shared" si="83"/>
        <v>Non diskon</v>
      </c>
    </row>
    <row r="1342" spans="1:18" x14ac:dyDescent="0.25">
      <c r="A1342" s="13" t="s">
        <v>1354</v>
      </c>
      <c r="B1342" s="13" t="s">
        <v>2193</v>
      </c>
      <c r="C1342" s="13" t="s">
        <v>2202</v>
      </c>
      <c r="D1342" s="13" t="s">
        <v>2204</v>
      </c>
      <c r="E1342" s="13" t="s">
        <v>2212</v>
      </c>
      <c r="F1342" s="13" t="s">
        <v>2223</v>
      </c>
      <c r="G1342" s="13">
        <v>86.1</v>
      </c>
      <c r="H1342" s="13">
        <v>0</v>
      </c>
      <c r="I1342" s="13">
        <v>86.1</v>
      </c>
      <c r="J1342" s="24">
        <v>45653</v>
      </c>
      <c r="K1342" s="13">
        <v>4</v>
      </c>
      <c r="L1342" s="44">
        <v>2.4</v>
      </c>
      <c r="M1342" s="13" t="b">
        <v>0</v>
      </c>
      <c r="O1342" s="25">
        <f t="shared" si="80"/>
        <v>249</v>
      </c>
      <c r="P1342" s="13">
        <f t="shared" si="81"/>
        <v>0</v>
      </c>
      <c r="Q1342" s="13" t="str">
        <f t="shared" si="82"/>
        <v/>
      </c>
      <c r="R1342" s="13" t="str">
        <f t="shared" si="83"/>
        <v>Non diskon</v>
      </c>
    </row>
    <row r="1343" spans="1:18" x14ac:dyDescent="0.25">
      <c r="A1343" s="13" t="s">
        <v>1355</v>
      </c>
      <c r="B1343" s="13" t="s">
        <v>2194</v>
      </c>
      <c r="C1343" s="13" t="s">
        <v>2197</v>
      </c>
      <c r="D1343" s="13" t="s">
        <v>2205</v>
      </c>
      <c r="E1343" s="13" t="s">
        <v>2212</v>
      </c>
      <c r="F1343" s="13" t="s">
        <v>2220</v>
      </c>
      <c r="G1343" s="13">
        <v>100.14</v>
      </c>
      <c r="H1343" s="13">
        <v>0</v>
      </c>
      <c r="I1343" s="13">
        <v>100.14</v>
      </c>
      <c r="J1343" s="24">
        <v>45875</v>
      </c>
      <c r="K1343" s="13">
        <v>48</v>
      </c>
      <c r="L1343" s="44">
        <v>4.2</v>
      </c>
      <c r="M1343" s="13" t="b">
        <v>0</v>
      </c>
      <c r="O1343" s="25">
        <f t="shared" si="80"/>
        <v>27</v>
      </c>
      <c r="P1343" s="13">
        <f t="shared" si="81"/>
        <v>0</v>
      </c>
      <c r="Q1343" s="13" t="str">
        <f t="shared" si="82"/>
        <v/>
      </c>
      <c r="R1343" s="13" t="str">
        <f t="shared" si="83"/>
        <v>Non diskon</v>
      </c>
    </row>
    <row r="1344" spans="1:18" x14ac:dyDescent="0.25">
      <c r="A1344" s="13" t="s">
        <v>1356</v>
      </c>
      <c r="B1344" s="13" t="s">
        <v>2190</v>
      </c>
      <c r="C1344" s="13" t="s">
        <v>2198</v>
      </c>
      <c r="D1344" s="13" t="s">
        <v>2205</v>
      </c>
      <c r="F1344" s="13" t="s">
        <v>2214</v>
      </c>
      <c r="G1344" s="13">
        <v>203.4</v>
      </c>
      <c r="H1344" s="13">
        <v>0</v>
      </c>
      <c r="I1344" s="13">
        <v>203.4</v>
      </c>
      <c r="J1344" s="24">
        <v>45875</v>
      </c>
      <c r="K1344" s="13">
        <v>18</v>
      </c>
      <c r="L1344" s="44">
        <v>1.8</v>
      </c>
      <c r="M1344" s="13" t="b">
        <v>0</v>
      </c>
      <c r="O1344" s="25">
        <f t="shared" si="80"/>
        <v>27</v>
      </c>
      <c r="P1344" s="13">
        <f t="shared" si="81"/>
        <v>0</v>
      </c>
      <c r="Q1344" s="13" t="str">
        <f t="shared" si="82"/>
        <v/>
      </c>
      <c r="R1344" s="13" t="str">
        <f t="shared" si="83"/>
        <v>Non diskon</v>
      </c>
    </row>
    <row r="1345" spans="1:18" x14ac:dyDescent="0.25">
      <c r="A1345" s="13" t="s">
        <v>1357</v>
      </c>
      <c r="B1345" s="13" t="s">
        <v>2191</v>
      </c>
      <c r="C1345" s="13" t="s">
        <v>2202</v>
      </c>
      <c r="D1345" s="13" t="s">
        <v>2205</v>
      </c>
      <c r="E1345" s="13" t="s">
        <v>2212</v>
      </c>
      <c r="F1345" s="13" t="s">
        <v>2217</v>
      </c>
      <c r="G1345" s="13">
        <v>95.22</v>
      </c>
      <c r="H1345" s="13">
        <v>24.4</v>
      </c>
      <c r="I1345" s="13">
        <v>71.989999999999995</v>
      </c>
      <c r="J1345" s="24">
        <v>45875</v>
      </c>
      <c r="K1345" s="13">
        <v>26</v>
      </c>
      <c r="L1345" s="44">
        <v>2.2999999999999998</v>
      </c>
      <c r="M1345" s="13" t="b">
        <v>0</v>
      </c>
      <c r="O1345" s="25">
        <f t="shared" si="80"/>
        <v>27</v>
      </c>
      <c r="P1345" s="13">
        <f t="shared" si="81"/>
        <v>634.4</v>
      </c>
      <c r="Q1345" s="13" t="str">
        <f t="shared" si="82"/>
        <v/>
      </c>
      <c r="R1345" s="13" t="str">
        <f t="shared" si="83"/>
        <v>Diskon</v>
      </c>
    </row>
    <row r="1346" spans="1:18" x14ac:dyDescent="0.25">
      <c r="A1346" s="13" t="s">
        <v>1358</v>
      </c>
      <c r="B1346" s="13" t="s">
        <v>2195</v>
      </c>
      <c r="C1346" s="13" t="s">
        <v>2200</v>
      </c>
      <c r="D1346" s="13" t="s">
        <v>2206</v>
      </c>
      <c r="E1346" s="13" t="s">
        <v>2208</v>
      </c>
      <c r="F1346" s="13" t="s">
        <v>2214</v>
      </c>
      <c r="G1346" s="13">
        <v>173.88</v>
      </c>
      <c r="H1346" s="13">
        <v>31.6</v>
      </c>
      <c r="I1346" s="13">
        <v>118.93</v>
      </c>
      <c r="J1346" s="24">
        <v>45875</v>
      </c>
      <c r="K1346" s="13">
        <v>5</v>
      </c>
      <c r="L1346" s="44">
        <v>3.2</v>
      </c>
      <c r="M1346" s="13" t="b">
        <v>0</v>
      </c>
      <c r="O1346" s="25">
        <f t="shared" si="80"/>
        <v>27</v>
      </c>
      <c r="P1346" s="13">
        <f t="shared" si="81"/>
        <v>158</v>
      </c>
      <c r="Q1346" s="13" t="str">
        <f t="shared" si="82"/>
        <v/>
      </c>
      <c r="R1346" s="13" t="str">
        <f t="shared" si="83"/>
        <v>Diskon</v>
      </c>
    </row>
    <row r="1347" spans="1:18" x14ac:dyDescent="0.25">
      <c r="A1347" s="13" t="s">
        <v>1359</v>
      </c>
      <c r="B1347" s="13" t="s">
        <v>2195</v>
      </c>
      <c r="C1347" s="13" t="s">
        <v>2200</v>
      </c>
      <c r="D1347" s="13" t="s">
        <v>2205</v>
      </c>
      <c r="E1347" s="13" t="s">
        <v>2209</v>
      </c>
      <c r="F1347" s="13" t="s">
        <v>2221</v>
      </c>
      <c r="G1347" s="13">
        <v>160.05000000000001</v>
      </c>
      <c r="H1347" s="13">
        <v>0</v>
      </c>
      <c r="I1347" s="13">
        <v>160.05000000000001</v>
      </c>
      <c r="J1347" s="24">
        <v>45875</v>
      </c>
      <c r="K1347" s="13">
        <v>23</v>
      </c>
      <c r="L1347" s="44">
        <v>4</v>
      </c>
      <c r="M1347" s="13" t="b">
        <v>0</v>
      </c>
      <c r="O1347" s="25">
        <f t="shared" ref="O1347:O1410" si="84">DATE(2025,9,2)-J1347</f>
        <v>27</v>
      </c>
      <c r="P1347" s="13">
        <f t="shared" ref="P1347:P1410" si="85">H1347*K1347</f>
        <v>0</v>
      </c>
      <c r="Q1347" s="13" t="str">
        <f t="shared" ref="Q1347:Q1410" si="86">IF(M1347=FALSE,"",1)</f>
        <v/>
      </c>
      <c r="R1347" s="13" t="str">
        <f t="shared" ref="R1347:R1410" si="87">IF(H1347=0,"Non diskon","Diskon")</f>
        <v>Non diskon</v>
      </c>
    </row>
    <row r="1348" spans="1:18" x14ac:dyDescent="0.25">
      <c r="A1348" s="13" t="s">
        <v>1360</v>
      </c>
      <c r="B1348" s="13" t="s">
        <v>2191</v>
      </c>
      <c r="C1348" s="13" t="s">
        <v>2203</v>
      </c>
      <c r="D1348" s="13" t="s">
        <v>2205</v>
      </c>
      <c r="E1348" s="13" t="s">
        <v>2212</v>
      </c>
      <c r="F1348" s="13" t="s">
        <v>2219</v>
      </c>
      <c r="G1348" s="13">
        <v>59.53</v>
      </c>
      <c r="H1348" s="13">
        <v>0</v>
      </c>
      <c r="I1348" s="13">
        <v>59.53</v>
      </c>
      <c r="J1348" s="24">
        <v>45875</v>
      </c>
      <c r="K1348" s="13">
        <v>28</v>
      </c>
      <c r="L1348" s="44">
        <v>1.5</v>
      </c>
      <c r="M1348" s="13" t="b">
        <v>0</v>
      </c>
      <c r="O1348" s="25">
        <f t="shared" si="84"/>
        <v>27</v>
      </c>
      <c r="P1348" s="13">
        <f t="shared" si="85"/>
        <v>0</v>
      </c>
      <c r="Q1348" s="13" t="str">
        <f t="shared" si="86"/>
        <v/>
      </c>
      <c r="R1348" s="13" t="str">
        <f t="shared" si="87"/>
        <v>Non diskon</v>
      </c>
    </row>
    <row r="1349" spans="1:18" x14ac:dyDescent="0.25">
      <c r="A1349" s="13" t="s">
        <v>1361</v>
      </c>
      <c r="B1349" s="13" t="s">
        <v>2195</v>
      </c>
      <c r="C1349" s="13" t="s">
        <v>2199</v>
      </c>
      <c r="D1349" s="13" t="s">
        <v>2206</v>
      </c>
      <c r="E1349" s="13" t="s">
        <v>2212</v>
      </c>
      <c r="F1349" s="13" t="s">
        <v>2219</v>
      </c>
      <c r="G1349" s="13">
        <v>155.32</v>
      </c>
      <c r="H1349" s="13">
        <v>0</v>
      </c>
      <c r="I1349" s="13">
        <v>155.32</v>
      </c>
      <c r="J1349" s="24">
        <v>45875</v>
      </c>
      <c r="K1349" s="13">
        <v>19</v>
      </c>
      <c r="L1349" s="44">
        <v>4.0999999999999996</v>
      </c>
      <c r="M1349" s="13" t="b">
        <v>0</v>
      </c>
      <c r="O1349" s="25">
        <f t="shared" si="84"/>
        <v>27</v>
      </c>
      <c r="P1349" s="13">
        <f t="shared" si="85"/>
        <v>0</v>
      </c>
      <c r="Q1349" s="13" t="str">
        <f t="shared" si="86"/>
        <v/>
      </c>
      <c r="R1349" s="13" t="str">
        <f t="shared" si="87"/>
        <v>Non diskon</v>
      </c>
    </row>
    <row r="1350" spans="1:18" x14ac:dyDescent="0.25">
      <c r="A1350" s="13" t="s">
        <v>1362</v>
      </c>
      <c r="B1350" s="13" t="s">
        <v>2194</v>
      </c>
      <c r="C1350" s="13" t="s">
        <v>2203</v>
      </c>
      <c r="D1350" s="13" t="s">
        <v>2204</v>
      </c>
      <c r="E1350" s="13" t="s">
        <v>2208</v>
      </c>
      <c r="F1350" s="13" t="s">
        <v>2216</v>
      </c>
      <c r="G1350" s="13">
        <v>29.65</v>
      </c>
      <c r="H1350" s="13">
        <v>41</v>
      </c>
      <c r="I1350" s="13">
        <v>17.489999999999998</v>
      </c>
      <c r="J1350" s="24">
        <v>45530</v>
      </c>
      <c r="K1350" s="13">
        <v>21</v>
      </c>
      <c r="L1350" s="44">
        <v>4.5</v>
      </c>
      <c r="M1350" s="13" t="b">
        <v>1</v>
      </c>
      <c r="N1350" s="13" t="s">
        <v>2228</v>
      </c>
      <c r="O1350" s="25">
        <f t="shared" si="84"/>
        <v>372</v>
      </c>
      <c r="P1350" s="13">
        <f t="shared" si="85"/>
        <v>861</v>
      </c>
      <c r="Q1350" s="13">
        <f t="shared" si="86"/>
        <v>1</v>
      </c>
      <c r="R1350" s="13" t="str">
        <f t="shared" si="87"/>
        <v>Diskon</v>
      </c>
    </row>
    <row r="1351" spans="1:18" x14ac:dyDescent="0.25">
      <c r="A1351" s="13" t="s">
        <v>1363</v>
      </c>
      <c r="B1351" s="13" t="s">
        <v>2190</v>
      </c>
      <c r="C1351" s="13" t="s">
        <v>2199</v>
      </c>
      <c r="D1351" s="13" t="s">
        <v>2205</v>
      </c>
      <c r="E1351" s="13" t="s">
        <v>2211</v>
      </c>
      <c r="F1351" s="13" t="s">
        <v>2224</v>
      </c>
      <c r="G1351" s="13">
        <v>237.53</v>
      </c>
      <c r="H1351" s="13">
        <v>23.2</v>
      </c>
      <c r="I1351" s="13">
        <v>182.42</v>
      </c>
      <c r="J1351" s="24">
        <v>45875</v>
      </c>
      <c r="K1351" s="13">
        <v>23</v>
      </c>
      <c r="L1351" s="44">
        <v>2.2000000000000002</v>
      </c>
      <c r="M1351" s="13" t="b">
        <v>0</v>
      </c>
      <c r="O1351" s="25">
        <f t="shared" si="84"/>
        <v>27</v>
      </c>
      <c r="P1351" s="13">
        <f t="shared" si="85"/>
        <v>533.6</v>
      </c>
      <c r="Q1351" s="13" t="str">
        <f t="shared" si="86"/>
        <v/>
      </c>
      <c r="R1351" s="13" t="str">
        <f t="shared" si="87"/>
        <v>Diskon</v>
      </c>
    </row>
    <row r="1352" spans="1:18" x14ac:dyDescent="0.25">
      <c r="A1352" s="13" t="s">
        <v>1364</v>
      </c>
      <c r="B1352" s="13" t="s">
        <v>2190</v>
      </c>
      <c r="C1352" s="13" t="s">
        <v>2201</v>
      </c>
      <c r="D1352" s="13" t="s">
        <v>2207</v>
      </c>
      <c r="E1352" s="13" t="s">
        <v>2213</v>
      </c>
      <c r="F1352" s="13" t="s">
        <v>2215</v>
      </c>
      <c r="G1352" s="13">
        <v>81.67</v>
      </c>
      <c r="H1352" s="13">
        <v>0</v>
      </c>
      <c r="I1352" s="13">
        <v>81.67</v>
      </c>
      <c r="J1352" s="24">
        <v>45875</v>
      </c>
      <c r="K1352" s="13">
        <v>34</v>
      </c>
      <c r="L1352" s="44">
        <v>3.1</v>
      </c>
      <c r="M1352" s="13" t="b">
        <v>1</v>
      </c>
      <c r="N1352" s="13" t="s">
        <v>2227</v>
      </c>
      <c r="O1352" s="25">
        <f t="shared" si="84"/>
        <v>27</v>
      </c>
      <c r="P1352" s="13">
        <f t="shared" si="85"/>
        <v>0</v>
      </c>
      <c r="Q1352" s="13">
        <f t="shared" si="86"/>
        <v>1</v>
      </c>
      <c r="R1352" s="13" t="str">
        <f t="shared" si="87"/>
        <v>Non diskon</v>
      </c>
    </row>
    <row r="1353" spans="1:18" x14ac:dyDescent="0.25">
      <c r="A1353" s="13" t="s">
        <v>1365</v>
      </c>
      <c r="B1353" s="13" t="s">
        <v>2194</v>
      </c>
      <c r="C1353" s="13" t="s">
        <v>2198</v>
      </c>
      <c r="D1353" s="13" t="s">
        <v>2204</v>
      </c>
      <c r="E1353" s="13" t="s">
        <v>2213</v>
      </c>
      <c r="F1353" s="13" t="s">
        <v>2221</v>
      </c>
      <c r="G1353" s="13">
        <v>37.07</v>
      </c>
      <c r="H1353" s="13">
        <v>0</v>
      </c>
      <c r="I1353" s="13">
        <v>37.07</v>
      </c>
      <c r="J1353" s="24">
        <v>45778</v>
      </c>
      <c r="K1353" s="13">
        <v>13</v>
      </c>
      <c r="L1353" s="44">
        <v>3.0384615384615379</v>
      </c>
      <c r="M1353" s="13" t="b">
        <v>0</v>
      </c>
      <c r="O1353" s="25">
        <f t="shared" si="84"/>
        <v>124</v>
      </c>
      <c r="P1353" s="13">
        <f t="shared" si="85"/>
        <v>0</v>
      </c>
      <c r="Q1353" s="13" t="str">
        <f t="shared" si="86"/>
        <v/>
      </c>
      <c r="R1353" s="13" t="str">
        <f t="shared" si="87"/>
        <v>Non diskon</v>
      </c>
    </row>
    <row r="1354" spans="1:18" x14ac:dyDescent="0.25">
      <c r="A1354" s="13" t="s">
        <v>1366</v>
      </c>
      <c r="B1354" s="13" t="s">
        <v>2191</v>
      </c>
      <c r="C1354" s="13" t="s">
        <v>2197</v>
      </c>
      <c r="D1354" s="13" t="s">
        <v>2206</v>
      </c>
      <c r="E1354" s="13" t="s">
        <v>2211</v>
      </c>
      <c r="F1354" s="13" t="s">
        <v>2223</v>
      </c>
      <c r="G1354" s="13">
        <v>80.97</v>
      </c>
      <c r="H1354" s="13">
        <v>0</v>
      </c>
      <c r="I1354" s="13">
        <v>80.97</v>
      </c>
      <c r="J1354" s="24">
        <v>45875</v>
      </c>
      <c r="K1354" s="13">
        <v>13</v>
      </c>
      <c r="L1354" s="44">
        <v>3.34</v>
      </c>
      <c r="M1354" s="13" t="b">
        <v>0</v>
      </c>
      <c r="O1354" s="25">
        <f t="shared" si="84"/>
        <v>27</v>
      </c>
      <c r="P1354" s="13">
        <f t="shared" si="85"/>
        <v>0</v>
      </c>
      <c r="Q1354" s="13" t="str">
        <f t="shared" si="86"/>
        <v/>
      </c>
      <c r="R1354" s="13" t="str">
        <f t="shared" si="87"/>
        <v>Non diskon</v>
      </c>
    </row>
    <row r="1355" spans="1:18" x14ac:dyDescent="0.25">
      <c r="A1355" s="13" t="s">
        <v>1367</v>
      </c>
      <c r="B1355" s="13" t="s">
        <v>2192</v>
      </c>
      <c r="C1355" s="13" t="s">
        <v>2196</v>
      </c>
      <c r="D1355" s="13" t="s">
        <v>2204</v>
      </c>
      <c r="F1355" s="13" t="s">
        <v>2218</v>
      </c>
      <c r="G1355" s="13">
        <v>77.680000000000007</v>
      </c>
      <c r="H1355" s="13">
        <v>29.9</v>
      </c>
      <c r="I1355" s="13">
        <v>54.45</v>
      </c>
      <c r="J1355" s="24">
        <v>45862</v>
      </c>
      <c r="K1355" s="13">
        <v>33</v>
      </c>
      <c r="L1355" s="44">
        <v>4</v>
      </c>
      <c r="M1355" s="13" t="b">
        <v>1</v>
      </c>
      <c r="N1355" s="13" t="s">
        <v>2227</v>
      </c>
      <c r="O1355" s="25">
        <f t="shared" si="84"/>
        <v>40</v>
      </c>
      <c r="P1355" s="13">
        <f t="shared" si="85"/>
        <v>986.69999999999993</v>
      </c>
      <c r="Q1355" s="13">
        <f t="shared" si="86"/>
        <v>1</v>
      </c>
      <c r="R1355" s="13" t="str">
        <f t="shared" si="87"/>
        <v>Diskon</v>
      </c>
    </row>
    <row r="1356" spans="1:18" x14ac:dyDescent="0.25">
      <c r="A1356" s="13" t="s">
        <v>1368</v>
      </c>
      <c r="B1356" s="13" t="s">
        <v>2191</v>
      </c>
      <c r="C1356" s="13" t="s">
        <v>2198</v>
      </c>
      <c r="D1356" s="13" t="s">
        <v>2207</v>
      </c>
      <c r="E1356" s="13" t="s">
        <v>2211</v>
      </c>
      <c r="F1356" s="13" t="s">
        <v>2220</v>
      </c>
      <c r="G1356" s="13">
        <v>117.58</v>
      </c>
      <c r="H1356" s="13">
        <v>1</v>
      </c>
      <c r="I1356" s="13">
        <v>116.4</v>
      </c>
      <c r="J1356" s="24">
        <v>45875</v>
      </c>
      <c r="K1356" s="13">
        <v>27</v>
      </c>
      <c r="L1356" s="44">
        <v>3.3</v>
      </c>
      <c r="M1356" s="13" t="b">
        <v>0</v>
      </c>
      <c r="O1356" s="25">
        <f t="shared" si="84"/>
        <v>27</v>
      </c>
      <c r="P1356" s="13">
        <f t="shared" si="85"/>
        <v>27</v>
      </c>
      <c r="Q1356" s="13" t="str">
        <f t="shared" si="86"/>
        <v/>
      </c>
      <c r="R1356" s="13" t="str">
        <f t="shared" si="87"/>
        <v>Diskon</v>
      </c>
    </row>
    <row r="1357" spans="1:18" x14ac:dyDescent="0.25">
      <c r="A1357" s="13" t="s">
        <v>1369</v>
      </c>
      <c r="B1357" s="13" t="s">
        <v>2190</v>
      </c>
      <c r="C1357" s="13" t="s">
        <v>2199</v>
      </c>
      <c r="D1357" s="13" t="s">
        <v>2206</v>
      </c>
      <c r="E1357" s="13" t="s">
        <v>2208</v>
      </c>
      <c r="F1357" s="13" t="s">
        <v>2219</v>
      </c>
      <c r="G1357" s="13">
        <v>130.09</v>
      </c>
      <c r="H1357" s="13">
        <v>28.3</v>
      </c>
      <c r="I1357" s="13">
        <v>93.27</v>
      </c>
      <c r="J1357" s="24">
        <v>45875</v>
      </c>
      <c r="K1357" s="13">
        <v>41</v>
      </c>
      <c r="L1357" s="44">
        <v>2.2999999999999998</v>
      </c>
      <c r="M1357" s="13" t="b">
        <v>0</v>
      </c>
      <c r="O1357" s="25">
        <f t="shared" si="84"/>
        <v>27</v>
      </c>
      <c r="P1357" s="13">
        <f t="shared" si="85"/>
        <v>1160.3</v>
      </c>
      <c r="Q1357" s="13" t="str">
        <f t="shared" si="86"/>
        <v/>
      </c>
      <c r="R1357" s="13" t="str">
        <f t="shared" si="87"/>
        <v>Diskon</v>
      </c>
    </row>
    <row r="1358" spans="1:18" x14ac:dyDescent="0.25">
      <c r="A1358" s="13" t="s">
        <v>1370</v>
      </c>
      <c r="B1358" s="13" t="s">
        <v>2191</v>
      </c>
      <c r="C1358" s="13" t="s">
        <v>2197</v>
      </c>
      <c r="D1358" s="13" t="s">
        <v>2206</v>
      </c>
      <c r="E1358" s="13" t="s">
        <v>2212</v>
      </c>
      <c r="F1358" s="13" t="s">
        <v>2223</v>
      </c>
      <c r="G1358" s="13">
        <v>63.69</v>
      </c>
      <c r="H1358" s="13">
        <v>0</v>
      </c>
      <c r="I1358" s="13">
        <v>63.69</v>
      </c>
      <c r="J1358" s="24">
        <v>45875</v>
      </c>
      <c r="K1358" s="13">
        <v>11</v>
      </c>
      <c r="L1358" s="44">
        <v>3</v>
      </c>
      <c r="M1358" s="13" t="b">
        <v>0</v>
      </c>
      <c r="O1358" s="25">
        <f t="shared" si="84"/>
        <v>27</v>
      </c>
      <c r="P1358" s="13">
        <f t="shared" si="85"/>
        <v>0</v>
      </c>
      <c r="Q1358" s="13" t="str">
        <f t="shared" si="86"/>
        <v/>
      </c>
      <c r="R1358" s="13" t="str">
        <f t="shared" si="87"/>
        <v>Non diskon</v>
      </c>
    </row>
    <row r="1359" spans="1:18" x14ac:dyDescent="0.25">
      <c r="A1359" s="13" t="s">
        <v>1371</v>
      </c>
      <c r="B1359" s="13" t="s">
        <v>2190</v>
      </c>
      <c r="C1359" s="13" t="s">
        <v>2198</v>
      </c>
      <c r="D1359" s="13" t="s">
        <v>2204</v>
      </c>
      <c r="E1359" s="13" t="s">
        <v>2208</v>
      </c>
      <c r="F1359" s="13" t="s">
        <v>2214</v>
      </c>
      <c r="G1359" s="13">
        <v>135.02000000000001</v>
      </c>
      <c r="H1359" s="13">
        <v>0</v>
      </c>
      <c r="I1359" s="13">
        <v>135.02000000000001</v>
      </c>
      <c r="J1359" s="24">
        <v>45868</v>
      </c>
      <c r="K1359" s="13">
        <v>25</v>
      </c>
      <c r="L1359" s="44">
        <v>3.4</v>
      </c>
      <c r="M1359" s="13" t="b">
        <v>1</v>
      </c>
      <c r="N1359" s="13" t="s">
        <v>2229</v>
      </c>
      <c r="O1359" s="25">
        <f t="shared" si="84"/>
        <v>34</v>
      </c>
      <c r="P1359" s="13">
        <f t="shared" si="85"/>
        <v>0</v>
      </c>
      <c r="Q1359" s="13">
        <f t="shared" si="86"/>
        <v>1</v>
      </c>
      <c r="R1359" s="13" t="str">
        <f t="shared" si="87"/>
        <v>Non diskon</v>
      </c>
    </row>
    <row r="1360" spans="1:18" x14ac:dyDescent="0.25">
      <c r="A1360" s="13" t="s">
        <v>1372</v>
      </c>
      <c r="B1360" s="13" t="s">
        <v>2192</v>
      </c>
      <c r="C1360" s="13" t="s">
        <v>2200</v>
      </c>
      <c r="D1360" s="13" t="s">
        <v>2205</v>
      </c>
      <c r="F1360" s="13" t="s">
        <v>2221</v>
      </c>
      <c r="G1360" s="13">
        <v>45.37</v>
      </c>
      <c r="H1360" s="13">
        <v>0</v>
      </c>
      <c r="I1360" s="13">
        <v>45.37</v>
      </c>
      <c r="J1360" s="24">
        <v>45875</v>
      </c>
      <c r="K1360" s="13">
        <v>19</v>
      </c>
      <c r="L1360" s="44">
        <v>1.1000000000000001</v>
      </c>
      <c r="M1360" s="13" t="b">
        <v>0</v>
      </c>
      <c r="O1360" s="25">
        <f t="shared" si="84"/>
        <v>27</v>
      </c>
      <c r="P1360" s="13">
        <f t="shared" si="85"/>
        <v>0</v>
      </c>
      <c r="Q1360" s="13" t="str">
        <f t="shared" si="86"/>
        <v/>
      </c>
      <c r="R1360" s="13" t="str">
        <f t="shared" si="87"/>
        <v>Non diskon</v>
      </c>
    </row>
    <row r="1361" spans="1:18" x14ac:dyDescent="0.25">
      <c r="A1361" s="13" t="s">
        <v>1373</v>
      </c>
      <c r="B1361" s="13" t="s">
        <v>2194</v>
      </c>
      <c r="C1361" s="13" t="s">
        <v>2196</v>
      </c>
      <c r="D1361" s="13" t="s">
        <v>2205</v>
      </c>
      <c r="E1361" s="13" t="s">
        <v>2208</v>
      </c>
      <c r="F1361" s="13" t="s">
        <v>2224</v>
      </c>
      <c r="G1361" s="13">
        <v>51.17</v>
      </c>
      <c r="H1361" s="13">
        <v>8</v>
      </c>
      <c r="I1361" s="13">
        <v>47.08</v>
      </c>
      <c r="J1361" s="24">
        <v>45875</v>
      </c>
      <c r="K1361" s="13">
        <v>7</v>
      </c>
      <c r="L1361" s="44">
        <v>2.9210526315789478</v>
      </c>
      <c r="M1361" s="13" t="b">
        <v>0</v>
      </c>
      <c r="O1361" s="25">
        <f t="shared" si="84"/>
        <v>27</v>
      </c>
      <c r="P1361" s="13">
        <f t="shared" si="85"/>
        <v>56</v>
      </c>
      <c r="Q1361" s="13" t="str">
        <f t="shared" si="86"/>
        <v/>
      </c>
      <c r="R1361" s="13" t="str">
        <f t="shared" si="87"/>
        <v>Diskon</v>
      </c>
    </row>
    <row r="1362" spans="1:18" x14ac:dyDescent="0.25">
      <c r="A1362" s="13" t="s">
        <v>1374</v>
      </c>
      <c r="B1362" s="13" t="s">
        <v>2195</v>
      </c>
      <c r="C1362" s="13" t="s">
        <v>2203</v>
      </c>
      <c r="D1362" s="13" t="s">
        <v>2207</v>
      </c>
      <c r="E1362" s="13" t="s">
        <v>2211</v>
      </c>
      <c r="F1362" s="13" t="s">
        <v>2224</v>
      </c>
      <c r="G1362" s="13">
        <v>49.34</v>
      </c>
      <c r="H1362" s="13">
        <v>5.5</v>
      </c>
      <c r="I1362" s="13">
        <v>46.63</v>
      </c>
      <c r="J1362" s="24">
        <v>45875</v>
      </c>
      <c r="K1362" s="13">
        <v>10</v>
      </c>
      <c r="L1362" s="44">
        <v>4.3</v>
      </c>
      <c r="M1362" s="13" t="b">
        <v>0</v>
      </c>
      <c r="O1362" s="25">
        <f t="shared" si="84"/>
        <v>27</v>
      </c>
      <c r="P1362" s="13">
        <f t="shared" si="85"/>
        <v>55</v>
      </c>
      <c r="Q1362" s="13" t="str">
        <f t="shared" si="86"/>
        <v/>
      </c>
      <c r="R1362" s="13" t="str">
        <f t="shared" si="87"/>
        <v>Diskon</v>
      </c>
    </row>
    <row r="1363" spans="1:18" x14ac:dyDescent="0.25">
      <c r="A1363" s="13" t="s">
        <v>1375</v>
      </c>
      <c r="B1363" s="13" t="s">
        <v>2193</v>
      </c>
      <c r="C1363" s="13" t="s">
        <v>2197</v>
      </c>
      <c r="D1363" s="13" t="s">
        <v>2204</v>
      </c>
      <c r="E1363" s="13" t="s">
        <v>2210</v>
      </c>
      <c r="F1363" s="13" t="s">
        <v>2220</v>
      </c>
      <c r="G1363" s="13">
        <v>119.78</v>
      </c>
      <c r="H1363" s="13">
        <v>0</v>
      </c>
      <c r="I1363" s="13">
        <v>119.78</v>
      </c>
      <c r="J1363" s="24">
        <v>45818</v>
      </c>
      <c r="K1363" s="13">
        <v>40</v>
      </c>
      <c r="L1363" s="44">
        <v>2.8205128205128198</v>
      </c>
      <c r="M1363" s="13" t="b">
        <v>0</v>
      </c>
      <c r="O1363" s="25">
        <f t="shared" si="84"/>
        <v>84</v>
      </c>
      <c r="P1363" s="13">
        <f t="shared" si="85"/>
        <v>0</v>
      </c>
      <c r="Q1363" s="13" t="str">
        <f t="shared" si="86"/>
        <v/>
      </c>
      <c r="R1363" s="13" t="str">
        <f t="shared" si="87"/>
        <v>Non diskon</v>
      </c>
    </row>
    <row r="1364" spans="1:18" x14ac:dyDescent="0.25">
      <c r="A1364" s="13" t="s">
        <v>1376</v>
      </c>
      <c r="B1364" s="13" t="s">
        <v>2191</v>
      </c>
      <c r="C1364" s="13" t="s">
        <v>2198</v>
      </c>
      <c r="D1364" s="13" t="s">
        <v>2204</v>
      </c>
      <c r="E1364" s="13" t="s">
        <v>2210</v>
      </c>
      <c r="F1364" s="13" t="s">
        <v>2218</v>
      </c>
      <c r="G1364" s="13">
        <v>77.3</v>
      </c>
      <c r="H1364" s="13">
        <v>35.1</v>
      </c>
      <c r="I1364" s="13">
        <v>50.17</v>
      </c>
      <c r="J1364" s="24">
        <v>45864</v>
      </c>
      <c r="K1364" s="13">
        <v>16</v>
      </c>
      <c r="L1364" s="44">
        <v>2.953125</v>
      </c>
      <c r="M1364" s="13" t="b">
        <v>0</v>
      </c>
      <c r="O1364" s="25">
        <f t="shared" si="84"/>
        <v>38</v>
      </c>
      <c r="P1364" s="13">
        <f t="shared" si="85"/>
        <v>561.6</v>
      </c>
      <c r="Q1364" s="13" t="str">
        <f t="shared" si="86"/>
        <v/>
      </c>
      <c r="R1364" s="13" t="str">
        <f t="shared" si="87"/>
        <v>Diskon</v>
      </c>
    </row>
    <row r="1365" spans="1:18" x14ac:dyDescent="0.25">
      <c r="A1365" s="13" t="s">
        <v>1377</v>
      </c>
      <c r="B1365" s="13" t="s">
        <v>2191</v>
      </c>
      <c r="C1365" s="13" t="s">
        <v>2202</v>
      </c>
      <c r="D1365" s="13" t="s">
        <v>2206</v>
      </c>
      <c r="E1365" s="13" t="s">
        <v>2212</v>
      </c>
      <c r="F1365" s="13" t="s">
        <v>2214</v>
      </c>
      <c r="G1365" s="13">
        <v>72.69</v>
      </c>
      <c r="H1365" s="13">
        <v>0</v>
      </c>
      <c r="I1365" s="13">
        <v>72.69</v>
      </c>
      <c r="J1365" s="24">
        <v>45875</v>
      </c>
      <c r="K1365" s="13">
        <v>6</v>
      </c>
      <c r="L1365" s="44">
        <v>2.9074999999999998</v>
      </c>
      <c r="M1365" s="13" t="b">
        <v>0</v>
      </c>
      <c r="O1365" s="25">
        <f t="shared" si="84"/>
        <v>27</v>
      </c>
      <c r="P1365" s="13">
        <f t="shared" si="85"/>
        <v>0</v>
      </c>
      <c r="Q1365" s="13" t="str">
        <f t="shared" si="86"/>
        <v/>
      </c>
      <c r="R1365" s="13" t="str">
        <f t="shared" si="87"/>
        <v>Non diskon</v>
      </c>
    </row>
    <row r="1366" spans="1:18" x14ac:dyDescent="0.25">
      <c r="A1366" s="13" t="s">
        <v>1378</v>
      </c>
      <c r="B1366" s="13" t="s">
        <v>2193</v>
      </c>
      <c r="C1366" s="13" t="s">
        <v>2202</v>
      </c>
      <c r="D1366" s="13" t="s">
        <v>2206</v>
      </c>
      <c r="E1366" s="13" t="s">
        <v>2208</v>
      </c>
      <c r="F1366" s="13" t="s">
        <v>2224</v>
      </c>
      <c r="G1366" s="13">
        <v>117.57</v>
      </c>
      <c r="H1366" s="13">
        <v>0</v>
      </c>
      <c r="I1366" s="13">
        <v>117.57</v>
      </c>
      <c r="J1366" s="24">
        <v>45875</v>
      </c>
      <c r="K1366" s="13">
        <v>30</v>
      </c>
      <c r="L1366" s="44">
        <v>4.8</v>
      </c>
      <c r="M1366" s="13" t="b">
        <v>0</v>
      </c>
      <c r="O1366" s="25">
        <f t="shared" si="84"/>
        <v>27</v>
      </c>
      <c r="P1366" s="13">
        <f t="shared" si="85"/>
        <v>0</v>
      </c>
      <c r="Q1366" s="13" t="str">
        <f t="shared" si="86"/>
        <v/>
      </c>
      <c r="R1366" s="13" t="str">
        <f t="shared" si="87"/>
        <v>Non diskon</v>
      </c>
    </row>
    <row r="1367" spans="1:18" x14ac:dyDescent="0.25">
      <c r="A1367" s="13" t="s">
        <v>1379</v>
      </c>
      <c r="B1367" s="13" t="s">
        <v>2190</v>
      </c>
      <c r="C1367" s="13" t="s">
        <v>2203</v>
      </c>
      <c r="D1367" s="13" t="s">
        <v>2204</v>
      </c>
      <c r="E1367" s="13" t="s">
        <v>2210</v>
      </c>
      <c r="F1367" s="13" t="s">
        <v>2220</v>
      </c>
      <c r="G1367" s="13">
        <v>161.25</v>
      </c>
      <c r="H1367" s="13">
        <v>48.4</v>
      </c>
      <c r="I1367" s="13">
        <v>83.2</v>
      </c>
      <c r="J1367" s="24">
        <v>45607</v>
      </c>
      <c r="K1367" s="13">
        <v>32</v>
      </c>
      <c r="L1367" s="44">
        <v>2.9718749999999998</v>
      </c>
      <c r="M1367" s="13" t="b">
        <v>0</v>
      </c>
      <c r="O1367" s="25">
        <f t="shared" si="84"/>
        <v>295</v>
      </c>
      <c r="P1367" s="13">
        <f t="shared" si="85"/>
        <v>1548.8</v>
      </c>
      <c r="Q1367" s="13" t="str">
        <f t="shared" si="86"/>
        <v/>
      </c>
      <c r="R1367" s="13" t="str">
        <f t="shared" si="87"/>
        <v>Diskon</v>
      </c>
    </row>
    <row r="1368" spans="1:18" x14ac:dyDescent="0.25">
      <c r="A1368" s="13" t="s">
        <v>1380</v>
      </c>
      <c r="B1368" s="13" t="s">
        <v>2193</v>
      </c>
      <c r="C1368" s="13" t="s">
        <v>2201</v>
      </c>
      <c r="D1368" s="13" t="s">
        <v>2206</v>
      </c>
      <c r="E1368" s="13" t="s">
        <v>2210</v>
      </c>
      <c r="F1368" s="13" t="s">
        <v>2223</v>
      </c>
      <c r="G1368" s="13">
        <v>158.01</v>
      </c>
      <c r="H1368" s="13">
        <v>0</v>
      </c>
      <c r="I1368" s="13">
        <v>158.01</v>
      </c>
      <c r="J1368" s="24">
        <v>45875</v>
      </c>
      <c r="K1368" s="13">
        <v>19</v>
      </c>
      <c r="L1368" s="44">
        <v>2.6</v>
      </c>
      <c r="M1368" s="13" t="b">
        <v>0</v>
      </c>
      <c r="O1368" s="25">
        <f t="shared" si="84"/>
        <v>27</v>
      </c>
      <c r="P1368" s="13">
        <f t="shared" si="85"/>
        <v>0</v>
      </c>
      <c r="Q1368" s="13" t="str">
        <f t="shared" si="86"/>
        <v/>
      </c>
      <c r="R1368" s="13" t="str">
        <f t="shared" si="87"/>
        <v>Non diskon</v>
      </c>
    </row>
    <row r="1369" spans="1:18" x14ac:dyDescent="0.25">
      <c r="A1369" s="13" t="s">
        <v>1381</v>
      </c>
      <c r="B1369" s="13" t="s">
        <v>2191</v>
      </c>
      <c r="C1369" s="13" t="s">
        <v>2201</v>
      </c>
      <c r="D1369" s="13" t="s">
        <v>2207</v>
      </c>
      <c r="E1369" s="13" t="s">
        <v>2209</v>
      </c>
      <c r="F1369" s="13" t="s">
        <v>2219</v>
      </c>
      <c r="G1369" s="13">
        <v>60.92</v>
      </c>
      <c r="H1369" s="13">
        <v>0</v>
      </c>
      <c r="I1369" s="13">
        <v>60.92</v>
      </c>
      <c r="J1369" s="24">
        <v>45875</v>
      </c>
      <c r="K1369" s="13">
        <v>25</v>
      </c>
      <c r="L1369" s="44">
        <v>2.9846153846153847</v>
      </c>
      <c r="M1369" s="13" t="b">
        <v>1</v>
      </c>
      <c r="N1369" s="13" t="s">
        <v>2228</v>
      </c>
      <c r="O1369" s="25">
        <f t="shared" si="84"/>
        <v>27</v>
      </c>
      <c r="P1369" s="13">
        <f t="shared" si="85"/>
        <v>0</v>
      </c>
      <c r="Q1369" s="13">
        <f t="shared" si="86"/>
        <v>1</v>
      </c>
      <c r="R1369" s="13" t="str">
        <f t="shared" si="87"/>
        <v>Non diskon</v>
      </c>
    </row>
    <row r="1370" spans="1:18" x14ac:dyDescent="0.25">
      <c r="A1370" s="13" t="s">
        <v>1382</v>
      </c>
      <c r="B1370" s="13" t="s">
        <v>2193</v>
      </c>
      <c r="C1370" s="13" t="s">
        <v>2200</v>
      </c>
      <c r="D1370" s="13" t="s">
        <v>2207</v>
      </c>
      <c r="E1370" s="13" t="s">
        <v>2208</v>
      </c>
      <c r="F1370" s="13" t="s">
        <v>2218</v>
      </c>
      <c r="G1370" s="13">
        <v>122.03</v>
      </c>
      <c r="H1370" s="13">
        <v>25.2</v>
      </c>
      <c r="I1370" s="13">
        <v>91.28</v>
      </c>
      <c r="J1370" s="24">
        <v>45875</v>
      </c>
      <c r="K1370" s="13">
        <v>21</v>
      </c>
      <c r="L1370" s="44">
        <v>4.7</v>
      </c>
      <c r="M1370" s="13" t="b">
        <v>0</v>
      </c>
      <c r="O1370" s="25">
        <f t="shared" si="84"/>
        <v>27</v>
      </c>
      <c r="P1370" s="13">
        <f t="shared" si="85"/>
        <v>529.19999999999993</v>
      </c>
      <c r="Q1370" s="13" t="str">
        <f t="shared" si="86"/>
        <v/>
      </c>
      <c r="R1370" s="13" t="str">
        <f t="shared" si="87"/>
        <v>Diskon</v>
      </c>
    </row>
    <row r="1371" spans="1:18" x14ac:dyDescent="0.25">
      <c r="A1371" s="13" t="s">
        <v>1383</v>
      </c>
      <c r="B1371" s="13" t="s">
        <v>2193</v>
      </c>
      <c r="C1371" s="13" t="s">
        <v>2199</v>
      </c>
      <c r="D1371" s="13" t="s">
        <v>2204</v>
      </c>
      <c r="E1371" s="13" t="s">
        <v>2210</v>
      </c>
      <c r="F1371" s="13" t="s">
        <v>2224</v>
      </c>
      <c r="G1371" s="13">
        <v>109.15</v>
      </c>
      <c r="H1371" s="13">
        <v>0</v>
      </c>
      <c r="I1371" s="13">
        <v>109.15</v>
      </c>
      <c r="J1371" s="24">
        <v>45607</v>
      </c>
      <c r="K1371" s="13">
        <v>11</v>
      </c>
      <c r="L1371" s="44">
        <v>2.9804347826086954</v>
      </c>
      <c r="M1371" s="13" t="b">
        <v>0</v>
      </c>
      <c r="O1371" s="25">
        <f t="shared" si="84"/>
        <v>295</v>
      </c>
      <c r="P1371" s="13">
        <f t="shared" si="85"/>
        <v>0</v>
      </c>
      <c r="Q1371" s="13" t="str">
        <f t="shared" si="86"/>
        <v/>
      </c>
      <c r="R1371" s="13" t="str">
        <f t="shared" si="87"/>
        <v>Non diskon</v>
      </c>
    </row>
    <row r="1372" spans="1:18" x14ac:dyDescent="0.25">
      <c r="A1372" s="13" t="s">
        <v>1384</v>
      </c>
      <c r="B1372" s="13" t="s">
        <v>2194</v>
      </c>
      <c r="C1372" s="13" t="s">
        <v>2201</v>
      </c>
      <c r="D1372" s="13" t="s">
        <v>2206</v>
      </c>
      <c r="E1372" s="13" t="s">
        <v>2213</v>
      </c>
      <c r="F1372" s="13" t="s">
        <v>2221</v>
      </c>
      <c r="G1372" s="13">
        <v>60.97</v>
      </c>
      <c r="H1372" s="13">
        <v>0</v>
      </c>
      <c r="I1372" s="13">
        <v>60.97</v>
      </c>
      <c r="J1372" s="24">
        <v>45875</v>
      </c>
      <c r="K1372" s="13">
        <v>29</v>
      </c>
      <c r="L1372" s="44">
        <v>4.5</v>
      </c>
      <c r="M1372" s="13" t="b">
        <v>0</v>
      </c>
      <c r="O1372" s="25">
        <f t="shared" si="84"/>
        <v>27</v>
      </c>
      <c r="P1372" s="13">
        <f t="shared" si="85"/>
        <v>0</v>
      </c>
      <c r="Q1372" s="13" t="str">
        <f t="shared" si="86"/>
        <v/>
      </c>
      <c r="R1372" s="13" t="str">
        <f t="shared" si="87"/>
        <v>Non diskon</v>
      </c>
    </row>
    <row r="1373" spans="1:18" x14ac:dyDescent="0.25">
      <c r="A1373" s="13" t="s">
        <v>1385</v>
      </c>
      <c r="B1373" s="13" t="s">
        <v>2192</v>
      </c>
      <c r="C1373" s="13" t="s">
        <v>2197</v>
      </c>
      <c r="D1373" s="13" t="s">
        <v>2207</v>
      </c>
      <c r="F1373" s="13" t="s">
        <v>2215</v>
      </c>
      <c r="G1373" s="13">
        <v>64.87</v>
      </c>
      <c r="H1373" s="13">
        <v>35.299999999999997</v>
      </c>
      <c r="I1373" s="13">
        <v>41.97</v>
      </c>
      <c r="J1373" s="24">
        <v>45875</v>
      </c>
      <c r="K1373" s="13">
        <v>12</v>
      </c>
      <c r="L1373" s="44">
        <v>4.2</v>
      </c>
      <c r="M1373" s="13" t="b">
        <v>1</v>
      </c>
      <c r="N1373" s="13" t="s">
        <v>2226</v>
      </c>
      <c r="O1373" s="25">
        <f t="shared" si="84"/>
        <v>27</v>
      </c>
      <c r="P1373" s="13">
        <f t="shared" si="85"/>
        <v>423.59999999999997</v>
      </c>
      <c r="Q1373" s="13">
        <f t="shared" si="86"/>
        <v>1</v>
      </c>
      <c r="R1373" s="13" t="str">
        <f t="shared" si="87"/>
        <v>Diskon</v>
      </c>
    </row>
    <row r="1374" spans="1:18" x14ac:dyDescent="0.25">
      <c r="A1374" s="13" t="s">
        <v>1386</v>
      </c>
      <c r="B1374" s="13" t="s">
        <v>2193</v>
      </c>
      <c r="C1374" s="13" t="s">
        <v>2199</v>
      </c>
      <c r="D1374" s="13" t="s">
        <v>2206</v>
      </c>
      <c r="E1374" s="13" t="s">
        <v>2210</v>
      </c>
      <c r="F1374" s="13" t="s">
        <v>2215</v>
      </c>
      <c r="G1374" s="13">
        <v>151.35</v>
      </c>
      <c r="H1374" s="13">
        <v>0</v>
      </c>
      <c r="I1374" s="13">
        <v>151.35</v>
      </c>
      <c r="J1374" s="24">
        <v>45875</v>
      </c>
      <c r="K1374" s="13">
        <v>18</v>
      </c>
      <c r="L1374" s="44">
        <v>2.9804347826086954</v>
      </c>
      <c r="M1374" s="13" t="b">
        <v>0</v>
      </c>
      <c r="O1374" s="25">
        <f t="shared" si="84"/>
        <v>27</v>
      </c>
      <c r="P1374" s="13">
        <f t="shared" si="85"/>
        <v>0</v>
      </c>
      <c r="Q1374" s="13" t="str">
        <f t="shared" si="86"/>
        <v/>
      </c>
      <c r="R1374" s="13" t="str">
        <f t="shared" si="87"/>
        <v>Non diskon</v>
      </c>
    </row>
    <row r="1375" spans="1:18" x14ac:dyDescent="0.25">
      <c r="A1375" s="13" t="s">
        <v>1387</v>
      </c>
      <c r="B1375" s="13" t="s">
        <v>2192</v>
      </c>
      <c r="C1375" s="13" t="s">
        <v>2202</v>
      </c>
      <c r="D1375" s="13" t="s">
        <v>2205</v>
      </c>
      <c r="F1375" s="13" t="s">
        <v>2219</v>
      </c>
      <c r="G1375" s="13">
        <v>72.900000000000006</v>
      </c>
      <c r="H1375" s="13">
        <v>44</v>
      </c>
      <c r="I1375" s="13">
        <v>40.82</v>
      </c>
      <c r="J1375" s="24">
        <v>45875</v>
      </c>
      <c r="K1375" s="13">
        <v>25</v>
      </c>
      <c r="L1375" s="44">
        <v>3</v>
      </c>
      <c r="M1375" s="13" t="b">
        <v>0</v>
      </c>
      <c r="O1375" s="25">
        <f t="shared" si="84"/>
        <v>27</v>
      </c>
      <c r="P1375" s="13">
        <f t="shared" si="85"/>
        <v>1100</v>
      </c>
      <c r="Q1375" s="13" t="str">
        <f t="shared" si="86"/>
        <v/>
      </c>
      <c r="R1375" s="13" t="str">
        <f t="shared" si="87"/>
        <v>Diskon</v>
      </c>
    </row>
    <row r="1376" spans="1:18" x14ac:dyDescent="0.25">
      <c r="A1376" s="13" t="s">
        <v>1388</v>
      </c>
      <c r="B1376" s="13" t="s">
        <v>2192</v>
      </c>
      <c r="C1376" s="13" t="s">
        <v>2202</v>
      </c>
      <c r="D1376" s="13" t="s">
        <v>2205</v>
      </c>
      <c r="F1376" s="13" t="s">
        <v>2223</v>
      </c>
      <c r="G1376" s="13">
        <v>79.48</v>
      </c>
      <c r="H1376" s="13">
        <v>0</v>
      </c>
      <c r="I1376" s="13">
        <v>79.48</v>
      </c>
      <c r="J1376" s="24">
        <v>45875</v>
      </c>
      <c r="K1376" s="13">
        <v>2</v>
      </c>
      <c r="L1376" s="44">
        <v>3.3</v>
      </c>
      <c r="M1376" s="13" t="b">
        <v>0</v>
      </c>
      <c r="O1376" s="25">
        <f t="shared" si="84"/>
        <v>27</v>
      </c>
      <c r="P1376" s="13">
        <f t="shared" si="85"/>
        <v>0</v>
      </c>
      <c r="Q1376" s="13" t="str">
        <f t="shared" si="86"/>
        <v/>
      </c>
      <c r="R1376" s="13" t="str">
        <f t="shared" si="87"/>
        <v>Non diskon</v>
      </c>
    </row>
    <row r="1377" spans="1:18" x14ac:dyDescent="0.25">
      <c r="A1377" s="13" t="s">
        <v>1389</v>
      </c>
      <c r="B1377" s="13" t="s">
        <v>2193</v>
      </c>
      <c r="C1377" s="13" t="s">
        <v>2199</v>
      </c>
      <c r="D1377" s="13" t="s">
        <v>2206</v>
      </c>
      <c r="E1377" s="13" t="s">
        <v>2213</v>
      </c>
      <c r="F1377" s="13" t="s">
        <v>2221</v>
      </c>
      <c r="G1377" s="13">
        <v>122.77</v>
      </c>
      <c r="H1377" s="13">
        <v>59.8</v>
      </c>
      <c r="I1377" s="13">
        <v>49.35</v>
      </c>
      <c r="J1377" s="24">
        <v>45875</v>
      </c>
      <c r="K1377" s="13">
        <v>33</v>
      </c>
      <c r="L1377" s="44">
        <v>4</v>
      </c>
      <c r="M1377" s="13" t="b">
        <v>0</v>
      </c>
      <c r="O1377" s="25">
        <f t="shared" si="84"/>
        <v>27</v>
      </c>
      <c r="P1377" s="13">
        <f t="shared" si="85"/>
        <v>1973.3999999999999</v>
      </c>
      <c r="Q1377" s="13" t="str">
        <f t="shared" si="86"/>
        <v/>
      </c>
      <c r="R1377" s="13" t="str">
        <f t="shared" si="87"/>
        <v>Diskon</v>
      </c>
    </row>
    <row r="1378" spans="1:18" x14ac:dyDescent="0.25">
      <c r="A1378" s="13" t="s">
        <v>1390</v>
      </c>
      <c r="B1378" s="13" t="s">
        <v>2194</v>
      </c>
      <c r="C1378" s="13" t="s">
        <v>2203</v>
      </c>
      <c r="D1378" s="13" t="s">
        <v>2207</v>
      </c>
      <c r="E1378" s="13" t="s">
        <v>2208</v>
      </c>
      <c r="F1378" s="13" t="s">
        <v>2216</v>
      </c>
      <c r="G1378" s="13">
        <v>79.61</v>
      </c>
      <c r="H1378" s="13">
        <v>0</v>
      </c>
      <c r="I1378" s="13">
        <v>79.61</v>
      </c>
      <c r="J1378" s="24">
        <v>45875</v>
      </c>
      <c r="K1378" s="13">
        <v>29</v>
      </c>
      <c r="L1378" s="44">
        <v>3.7</v>
      </c>
      <c r="M1378" s="13" t="b">
        <v>0</v>
      </c>
      <c r="O1378" s="25">
        <f t="shared" si="84"/>
        <v>27</v>
      </c>
      <c r="P1378" s="13">
        <f t="shared" si="85"/>
        <v>0</v>
      </c>
      <c r="Q1378" s="13" t="str">
        <f t="shared" si="86"/>
        <v/>
      </c>
      <c r="R1378" s="13" t="str">
        <f t="shared" si="87"/>
        <v>Non diskon</v>
      </c>
    </row>
    <row r="1379" spans="1:18" x14ac:dyDescent="0.25">
      <c r="A1379" s="13" t="s">
        <v>1391</v>
      </c>
      <c r="B1379" s="13" t="s">
        <v>2194</v>
      </c>
      <c r="C1379" s="13" t="s">
        <v>2197</v>
      </c>
      <c r="D1379" s="13" t="s">
        <v>2205</v>
      </c>
      <c r="E1379" s="13" t="s">
        <v>2209</v>
      </c>
      <c r="F1379" s="13" t="s">
        <v>2217</v>
      </c>
      <c r="G1379" s="13">
        <v>60.13</v>
      </c>
      <c r="H1379" s="13">
        <v>0</v>
      </c>
      <c r="I1379" s="13">
        <v>60.13</v>
      </c>
      <c r="J1379" s="24">
        <v>45875</v>
      </c>
      <c r="K1379" s="13">
        <v>27</v>
      </c>
      <c r="L1379" s="44">
        <v>3.0846153846153843</v>
      </c>
      <c r="M1379" s="13" t="b">
        <v>0</v>
      </c>
      <c r="O1379" s="25">
        <f t="shared" si="84"/>
        <v>27</v>
      </c>
      <c r="P1379" s="13">
        <f t="shared" si="85"/>
        <v>0</v>
      </c>
      <c r="Q1379" s="13" t="str">
        <f t="shared" si="86"/>
        <v/>
      </c>
      <c r="R1379" s="13" t="str">
        <f t="shared" si="87"/>
        <v>Non diskon</v>
      </c>
    </row>
    <row r="1380" spans="1:18" x14ac:dyDescent="0.25">
      <c r="A1380" s="13" t="s">
        <v>1392</v>
      </c>
      <c r="B1380" s="13" t="s">
        <v>2192</v>
      </c>
      <c r="C1380" s="13" t="s">
        <v>2202</v>
      </c>
      <c r="D1380" s="13" t="s">
        <v>2205</v>
      </c>
      <c r="F1380" s="13" t="s">
        <v>2218</v>
      </c>
      <c r="G1380" s="13">
        <v>72.260000000000005</v>
      </c>
      <c r="H1380" s="13">
        <v>41</v>
      </c>
      <c r="I1380" s="13">
        <v>42.63</v>
      </c>
      <c r="J1380" s="24">
        <v>45875</v>
      </c>
      <c r="K1380" s="13">
        <v>43</v>
      </c>
      <c r="L1380" s="44">
        <v>3.5</v>
      </c>
      <c r="M1380" s="13" t="b">
        <v>0</v>
      </c>
      <c r="O1380" s="25">
        <f t="shared" si="84"/>
        <v>27</v>
      </c>
      <c r="P1380" s="13">
        <f t="shared" si="85"/>
        <v>1763</v>
      </c>
      <c r="Q1380" s="13" t="str">
        <f t="shared" si="86"/>
        <v/>
      </c>
      <c r="R1380" s="13" t="str">
        <f t="shared" si="87"/>
        <v>Diskon</v>
      </c>
    </row>
    <row r="1381" spans="1:18" x14ac:dyDescent="0.25">
      <c r="A1381" s="13" t="s">
        <v>1393</v>
      </c>
      <c r="B1381" s="13" t="s">
        <v>2194</v>
      </c>
      <c r="C1381" s="13" t="s">
        <v>2199</v>
      </c>
      <c r="D1381" s="13" t="s">
        <v>2207</v>
      </c>
      <c r="E1381" s="13" t="s">
        <v>2208</v>
      </c>
      <c r="F1381" s="13" t="s">
        <v>2220</v>
      </c>
      <c r="G1381" s="13">
        <v>66.38</v>
      </c>
      <c r="H1381" s="13">
        <v>17</v>
      </c>
      <c r="I1381" s="13">
        <v>55.1</v>
      </c>
      <c r="J1381" s="24">
        <v>45875</v>
      </c>
      <c r="K1381" s="13">
        <v>24</v>
      </c>
      <c r="L1381" s="44">
        <v>4.9000000000000004</v>
      </c>
      <c r="M1381" s="13" t="b">
        <v>1</v>
      </c>
      <c r="N1381" s="13" t="s">
        <v>2226</v>
      </c>
      <c r="O1381" s="25">
        <f t="shared" si="84"/>
        <v>27</v>
      </c>
      <c r="P1381" s="13">
        <f t="shared" si="85"/>
        <v>408</v>
      </c>
      <c r="Q1381" s="13">
        <f t="shared" si="86"/>
        <v>1</v>
      </c>
      <c r="R1381" s="13" t="str">
        <f t="shared" si="87"/>
        <v>Diskon</v>
      </c>
    </row>
    <row r="1382" spans="1:18" x14ac:dyDescent="0.25">
      <c r="A1382" s="13" t="s">
        <v>1394</v>
      </c>
      <c r="B1382" s="13" t="s">
        <v>2190</v>
      </c>
      <c r="C1382" s="13" t="s">
        <v>2201</v>
      </c>
      <c r="D1382" s="13" t="s">
        <v>2204</v>
      </c>
      <c r="E1382" s="13" t="s">
        <v>2212</v>
      </c>
      <c r="F1382" s="13" t="s">
        <v>2221</v>
      </c>
      <c r="G1382" s="13">
        <v>100.27</v>
      </c>
      <c r="H1382" s="13">
        <v>0</v>
      </c>
      <c r="I1382" s="13">
        <v>100.27</v>
      </c>
      <c r="J1382" s="24">
        <v>45719</v>
      </c>
      <c r="K1382" s="13">
        <v>37</v>
      </c>
      <c r="L1382" s="44">
        <v>3.1</v>
      </c>
      <c r="M1382" s="13" t="b">
        <v>0</v>
      </c>
      <c r="O1382" s="25">
        <f t="shared" si="84"/>
        <v>183</v>
      </c>
      <c r="P1382" s="13">
        <f t="shared" si="85"/>
        <v>0</v>
      </c>
      <c r="Q1382" s="13" t="str">
        <f t="shared" si="86"/>
        <v/>
      </c>
      <c r="R1382" s="13" t="str">
        <f t="shared" si="87"/>
        <v>Non diskon</v>
      </c>
    </row>
    <row r="1383" spans="1:18" x14ac:dyDescent="0.25">
      <c r="A1383" s="13" t="s">
        <v>1395</v>
      </c>
      <c r="B1383" s="13" t="s">
        <v>2195</v>
      </c>
      <c r="C1383" s="13" t="s">
        <v>2196</v>
      </c>
      <c r="D1383" s="13" t="s">
        <v>2207</v>
      </c>
      <c r="E1383" s="13" t="s">
        <v>2210</v>
      </c>
      <c r="F1383" s="13" t="s">
        <v>2221</v>
      </c>
      <c r="G1383" s="13">
        <v>116.09</v>
      </c>
      <c r="H1383" s="13">
        <v>52.8</v>
      </c>
      <c r="I1383" s="13">
        <v>54.79</v>
      </c>
      <c r="J1383" s="24">
        <v>45875</v>
      </c>
      <c r="K1383" s="13">
        <v>22</v>
      </c>
      <c r="L1383" s="44">
        <v>3.0424242424242425</v>
      </c>
      <c r="M1383" s="13" t="b">
        <v>0</v>
      </c>
      <c r="O1383" s="25">
        <f t="shared" si="84"/>
        <v>27</v>
      </c>
      <c r="P1383" s="13">
        <f t="shared" si="85"/>
        <v>1161.5999999999999</v>
      </c>
      <c r="Q1383" s="13" t="str">
        <f t="shared" si="86"/>
        <v/>
      </c>
      <c r="R1383" s="13" t="str">
        <f t="shared" si="87"/>
        <v>Diskon</v>
      </c>
    </row>
    <row r="1384" spans="1:18" x14ac:dyDescent="0.25">
      <c r="A1384" s="13" t="s">
        <v>1396</v>
      </c>
      <c r="B1384" s="13" t="s">
        <v>2190</v>
      </c>
      <c r="C1384" s="13" t="s">
        <v>2199</v>
      </c>
      <c r="D1384" s="13" t="s">
        <v>2206</v>
      </c>
      <c r="E1384" s="13" t="s">
        <v>2210</v>
      </c>
      <c r="F1384" s="13" t="s">
        <v>2217</v>
      </c>
      <c r="G1384" s="13">
        <v>80.709999999999994</v>
      </c>
      <c r="H1384" s="13">
        <v>0.9</v>
      </c>
      <c r="I1384" s="13">
        <v>79.98</v>
      </c>
      <c r="J1384" s="24">
        <v>45875</v>
      </c>
      <c r="K1384" s="13">
        <v>11</v>
      </c>
      <c r="L1384" s="44">
        <v>1.1000000000000001</v>
      </c>
      <c r="M1384" s="13" t="b">
        <v>0</v>
      </c>
      <c r="O1384" s="25">
        <f t="shared" si="84"/>
        <v>27</v>
      </c>
      <c r="P1384" s="13">
        <f t="shared" si="85"/>
        <v>9.9</v>
      </c>
      <c r="Q1384" s="13" t="str">
        <f t="shared" si="86"/>
        <v/>
      </c>
      <c r="R1384" s="13" t="str">
        <f t="shared" si="87"/>
        <v>Diskon</v>
      </c>
    </row>
    <row r="1385" spans="1:18" x14ac:dyDescent="0.25">
      <c r="A1385" s="13" t="s">
        <v>1397</v>
      </c>
      <c r="B1385" s="13" t="s">
        <v>2195</v>
      </c>
      <c r="C1385" s="13" t="s">
        <v>2198</v>
      </c>
      <c r="D1385" s="13" t="s">
        <v>2207</v>
      </c>
      <c r="E1385" s="13" t="s">
        <v>2213</v>
      </c>
      <c r="F1385" s="13" t="s">
        <v>2219</v>
      </c>
      <c r="G1385" s="13">
        <v>175.11</v>
      </c>
      <c r="H1385" s="13">
        <v>0</v>
      </c>
      <c r="I1385" s="13">
        <v>175.11</v>
      </c>
      <c r="J1385" s="24">
        <v>45875</v>
      </c>
      <c r="K1385" s="13">
        <v>39</v>
      </c>
      <c r="L1385" s="44">
        <v>2.9</v>
      </c>
      <c r="M1385" s="13" t="b">
        <v>0</v>
      </c>
      <c r="O1385" s="25">
        <f t="shared" si="84"/>
        <v>27</v>
      </c>
      <c r="P1385" s="13">
        <f t="shared" si="85"/>
        <v>0</v>
      </c>
      <c r="Q1385" s="13" t="str">
        <f t="shared" si="86"/>
        <v/>
      </c>
      <c r="R1385" s="13" t="str">
        <f t="shared" si="87"/>
        <v>Non diskon</v>
      </c>
    </row>
    <row r="1386" spans="1:18" x14ac:dyDescent="0.25">
      <c r="A1386" s="13" t="s">
        <v>1398</v>
      </c>
      <c r="B1386" s="13" t="s">
        <v>2195</v>
      </c>
      <c r="C1386" s="13" t="s">
        <v>2199</v>
      </c>
      <c r="D1386" s="13" t="s">
        <v>2206</v>
      </c>
      <c r="E1386" s="13" t="s">
        <v>2212</v>
      </c>
      <c r="F1386" s="13" t="s">
        <v>2224</v>
      </c>
      <c r="G1386" s="13">
        <v>122.35</v>
      </c>
      <c r="H1386" s="13">
        <v>37</v>
      </c>
      <c r="I1386" s="13">
        <v>77.08</v>
      </c>
      <c r="J1386" s="24">
        <v>45875</v>
      </c>
      <c r="K1386" s="13">
        <v>25</v>
      </c>
      <c r="L1386" s="44">
        <v>2.8372093023255811</v>
      </c>
      <c r="M1386" s="13" t="b">
        <v>0</v>
      </c>
      <c r="O1386" s="25">
        <f t="shared" si="84"/>
        <v>27</v>
      </c>
      <c r="P1386" s="13">
        <f t="shared" si="85"/>
        <v>925</v>
      </c>
      <c r="Q1386" s="13" t="str">
        <f t="shared" si="86"/>
        <v/>
      </c>
      <c r="R1386" s="13" t="str">
        <f t="shared" si="87"/>
        <v>Diskon</v>
      </c>
    </row>
    <row r="1387" spans="1:18" x14ac:dyDescent="0.25">
      <c r="A1387" s="13" t="s">
        <v>1399</v>
      </c>
      <c r="B1387" s="13" t="s">
        <v>2193</v>
      </c>
      <c r="C1387" s="13" t="s">
        <v>2197</v>
      </c>
      <c r="D1387" s="13" t="s">
        <v>2205</v>
      </c>
      <c r="E1387" s="13" t="s">
        <v>2210</v>
      </c>
      <c r="F1387" s="13" t="s">
        <v>2219</v>
      </c>
      <c r="G1387" s="13">
        <v>127.99</v>
      </c>
      <c r="H1387" s="13">
        <v>0</v>
      </c>
      <c r="I1387" s="13">
        <v>127.99</v>
      </c>
      <c r="J1387" s="24">
        <v>45875</v>
      </c>
      <c r="K1387" s="13">
        <v>14</v>
      </c>
      <c r="L1387" s="44">
        <v>2.7</v>
      </c>
      <c r="M1387" s="13" t="b">
        <v>0</v>
      </c>
      <c r="O1387" s="25">
        <f t="shared" si="84"/>
        <v>27</v>
      </c>
      <c r="P1387" s="13">
        <f t="shared" si="85"/>
        <v>0</v>
      </c>
      <c r="Q1387" s="13" t="str">
        <f t="shared" si="86"/>
        <v/>
      </c>
      <c r="R1387" s="13" t="str">
        <f t="shared" si="87"/>
        <v>Non diskon</v>
      </c>
    </row>
    <row r="1388" spans="1:18" x14ac:dyDescent="0.25">
      <c r="A1388" s="13" t="s">
        <v>1400</v>
      </c>
      <c r="B1388" s="13" t="s">
        <v>2194</v>
      </c>
      <c r="C1388" s="13" t="s">
        <v>2196</v>
      </c>
      <c r="D1388" s="13" t="s">
        <v>2207</v>
      </c>
      <c r="E1388" s="13" t="s">
        <v>2210</v>
      </c>
      <c r="F1388" s="13" t="s">
        <v>2224</v>
      </c>
      <c r="G1388" s="13">
        <v>101.07</v>
      </c>
      <c r="H1388" s="13">
        <v>4.5999999999999996</v>
      </c>
      <c r="I1388" s="13">
        <v>96.42</v>
      </c>
      <c r="J1388" s="24">
        <v>45875</v>
      </c>
      <c r="K1388" s="13">
        <v>19</v>
      </c>
      <c r="L1388" s="44">
        <v>4.7</v>
      </c>
      <c r="M1388" s="13" t="b">
        <v>0</v>
      </c>
      <c r="O1388" s="25">
        <f t="shared" si="84"/>
        <v>27</v>
      </c>
      <c r="P1388" s="13">
        <f t="shared" si="85"/>
        <v>87.399999999999991</v>
      </c>
      <c r="Q1388" s="13" t="str">
        <f t="shared" si="86"/>
        <v/>
      </c>
      <c r="R1388" s="13" t="str">
        <f t="shared" si="87"/>
        <v>Diskon</v>
      </c>
    </row>
    <row r="1389" spans="1:18" x14ac:dyDescent="0.25">
      <c r="A1389" s="13" t="s">
        <v>1401</v>
      </c>
      <c r="B1389" s="13" t="s">
        <v>2194</v>
      </c>
      <c r="C1389" s="13" t="s">
        <v>2203</v>
      </c>
      <c r="D1389" s="13" t="s">
        <v>2205</v>
      </c>
      <c r="E1389" s="13" t="s">
        <v>2209</v>
      </c>
      <c r="F1389" s="13" t="s">
        <v>2224</v>
      </c>
      <c r="G1389" s="13">
        <v>41.83</v>
      </c>
      <c r="H1389" s="13">
        <v>44.1</v>
      </c>
      <c r="I1389" s="13">
        <v>23.38</v>
      </c>
      <c r="J1389" s="24">
        <v>45875</v>
      </c>
      <c r="K1389" s="13">
        <v>6</v>
      </c>
      <c r="L1389" s="44">
        <v>2.4</v>
      </c>
      <c r="M1389" s="13" t="b">
        <v>0</v>
      </c>
      <c r="O1389" s="25">
        <f t="shared" si="84"/>
        <v>27</v>
      </c>
      <c r="P1389" s="13">
        <f t="shared" si="85"/>
        <v>264.60000000000002</v>
      </c>
      <c r="Q1389" s="13" t="str">
        <f t="shared" si="86"/>
        <v/>
      </c>
      <c r="R1389" s="13" t="str">
        <f t="shared" si="87"/>
        <v>Diskon</v>
      </c>
    </row>
    <row r="1390" spans="1:18" x14ac:dyDescent="0.25">
      <c r="A1390" s="13" t="s">
        <v>1402</v>
      </c>
      <c r="B1390" s="13" t="s">
        <v>2193</v>
      </c>
      <c r="C1390" s="13" t="s">
        <v>2200</v>
      </c>
      <c r="D1390" s="13" t="s">
        <v>2204</v>
      </c>
      <c r="E1390" s="13" t="s">
        <v>2213</v>
      </c>
      <c r="F1390" s="13" t="s">
        <v>2220</v>
      </c>
      <c r="G1390" s="13">
        <v>147.52000000000001</v>
      </c>
      <c r="H1390" s="13">
        <v>0</v>
      </c>
      <c r="I1390" s="13">
        <v>147.52000000000001</v>
      </c>
      <c r="J1390" s="24">
        <v>45665</v>
      </c>
      <c r="K1390" s="13">
        <v>41</v>
      </c>
      <c r="L1390" s="44">
        <v>4</v>
      </c>
      <c r="M1390" s="13" t="b">
        <v>0</v>
      </c>
      <c r="O1390" s="25">
        <f t="shared" si="84"/>
        <v>237</v>
      </c>
      <c r="P1390" s="13">
        <f t="shared" si="85"/>
        <v>0</v>
      </c>
      <c r="Q1390" s="13" t="str">
        <f t="shared" si="86"/>
        <v/>
      </c>
      <c r="R1390" s="13" t="str">
        <f t="shared" si="87"/>
        <v>Non diskon</v>
      </c>
    </row>
    <row r="1391" spans="1:18" x14ac:dyDescent="0.25">
      <c r="A1391" s="13" t="s">
        <v>1403</v>
      </c>
      <c r="B1391" s="13" t="s">
        <v>2191</v>
      </c>
      <c r="C1391" s="13" t="s">
        <v>2198</v>
      </c>
      <c r="D1391" s="13" t="s">
        <v>2206</v>
      </c>
      <c r="E1391" s="13" t="s">
        <v>2210</v>
      </c>
      <c r="F1391" s="13" t="s">
        <v>2218</v>
      </c>
      <c r="G1391" s="13">
        <v>85.94</v>
      </c>
      <c r="H1391" s="13">
        <v>0</v>
      </c>
      <c r="I1391" s="13">
        <v>85.94</v>
      </c>
      <c r="J1391" s="24">
        <v>45875</v>
      </c>
      <c r="K1391" s="13">
        <v>49</v>
      </c>
      <c r="L1391" s="44">
        <v>1.5</v>
      </c>
      <c r="M1391" s="13" t="b">
        <v>0</v>
      </c>
      <c r="O1391" s="25">
        <f t="shared" si="84"/>
        <v>27</v>
      </c>
      <c r="P1391" s="13">
        <f t="shared" si="85"/>
        <v>0</v>
      </c>
      <c r="Q1391" s="13" t="str">
        <f t="shared" si="86"/>
        <v/>
      </c>
      <c r="R1391" s="13" t="str">
        <f t="shared" si="87"/>
        <v>Non diskon</v>
      </c>
    </row>
    <row r="1392" spans="1:18" x14ac:dyDescent="0.25">
      <c r="A1392" s="13" t="s">
        <v>1404</v>
      </c>
      <c r="B1392" s="13" t="s">
        <v>2195</v>
      </c>
      <c r="C1392" s="13" t="s">
        <v>2202</v>
      </c>
      <c r="D1392" s="13" t="s">
        <v>2205</v>
      </c>
      <c r="E1392" s="13" t="s">
        <v>2211</v>
      </c>
      <c r="F1392" s="13" t="s">
        <v>2220</v>
      </c>
      <c r="G1392" s="13">
        <v>115.61</v>
      </c>
      <c r="H1392" s="13">
        <v>0</v>
      </c>
      <c r="I1392" s="13">
        <v>115.61</v>
      </c>
      <c r="J1392" s="24">
        <v>45875</v>
      </c>
      <c r="K1392" s="13">
        <v>35</v>
      </c>
      <c r="L1392" s="44">
        <v>1.8</v>
      </c>
      <c r="M1392" s="13" t="b">
        <v>0</v>
      </c>
      <c r="O1392" s="25">
        <f t="shared" si="84"/>
        <v>27</v>
      </c>
      <c r="P1392" s="13">
        <f t="shared" si="85"/>
        <v>0</v>
      </c>
      <c r="Q1392" s="13" t="str">
        <f t="shared" si="86"/>
        <v/>
      </c>
      <c r="R1392" s="13" t="str">
        <f t="shared" si="87"/>
        <v>Non diskon</v>
      </c>
    </row>
    <row r="1393" spans="1:18" x14ac:dyDescent="0.25">
      <c r="A1393" s="13" t="s">
        <v>1405</v>
      </c>
      <c r="B1393" s="13" t="s">
        <v>2190</v>
      </c>
      <c r="C1393" s="13" t="s">
        <v>2201</v>
      </c>
      <c r="D1393" s="13" t="s">
        <v>2205</v>
      </c>
      <c r="E1393" s="13" t="s">
        <v>2212</v>
      </c>
      <c r="F1393" s="13" t="s">
        <v>2215</v>
      </c>
      <c r="G1393" s="13">
        <v>90.58</v>
      </c>
      <c r="H1393" s="13">
        <v>0</v>
      </c>
      <c r="I1393" s="13">
        <v>90.58</v>
      </c>
      <c r="J1393" s="24">
        <v>45875</v>
      </c>
      <c r="K1393" s="13">
        <v>1</v>
      </c>
      <c r="L1393" s="44">
        <v>1</v>
      </c>
      <c r="M1393" s="13" t="b">
        <v>0</v>
      </c>
      <c r="O1393" s="25">
        <f t="shared" si="84"/>
        <v>27</v>
      </c>
      <c r="P1393" s="13">
        <f t="shared" si="85"/>
        <v>0</v>
      </c>
      <c r="Q1393" s="13" t="str">
        <f t="shared" si="86"/>
        <v/>
      </c>
      <c r="R1393" s="13" t="str">
        <f t="shared" si="87"/>
        <v>Non diskon</v>
      </c>
    </row>
    <row r="1394" spans="1:18" x14ac:dyDescent="0.25">
      <c r="A1394" s="13" t="s">
        <v>1406</v>
      </c>
      <c r="B1394" s="13" t="s">
        <v>2191</v>
      </c>
      <c r="C1394" s="13" t="s">
        <v>2202</v>
      </c>
      <c r="D1394" s="13" t="s">
        <v>2204</v>
      </c>
      <c r="E1394" s="13" t="s">
        <v>2210</v>
      </c>
      <c r="F1394" s="13" t="s">
        <v>2214</v>
      </c>
      <c r="G1394" s="13">
        <v>64.84</v>
      </c>
      <c r="H1394" s="13">
        <v>0</v>
      </c>
      <c r="I1394" s="13">
        <v>64.84</v>
      </c>
      <c r="J1394" s="24">
        <v>45591</v>
      </c>
      <c r="K1394" s="13">
        <v>25</v>
      </c>
      <c r="L1394" s="44">
        <v>3.9</v>
      </c>
      <c r="M1394" s="13" t="b">
        <v>0</v>
      </c>
      <c r="O1394" s="25">
        <f t="shared" si="84"/>
        <v>311</v>
      </c>
      <c r="P1394" s="13">
        <f t="shared" si="85"/>
        <v>0</v>
      </c>
      <c r="Q1394" s="13" t="str">
        <f t="shared" si="86"/>
        <v/>
      </c>
      <c r="R1394" s="13" t="str">
        <f t="shared" si="87"/>
        <v>Non diskon</v>
      </c>
    </row>
    <row r="1395" spans="1:18" x14ac:dyDescent="0.25">
      <c r="A1395" s="13" t="s">
        <v>1407</v>
      </c>
      <c r="B1395" s="13" t="s">
        <v>2194</v>
      </c>
      <c r="C1395" s="13" t="s">
        <v>2198</v>
      </c>
      <c r="D1395" s="13" t="s">
        <v>2207</v>
      </c>
      <c r="E1395" s="13" t="s">
        <v>2212</v>
      </c>
      <c r="F1395" s="13" t="s">
        <v>2216</v>
      </c>
      <c r="G1395" s="13">
        <v>37.270000000000003</v>
      </c>
      <c r="H1395" s="13">
        <v>0</v>
      </c>
      <c r="I1395" s="13">
        <v>37.270000000000003</v>
      </c>
      <c r="J1395" s="24">
        <v>45875</v>
      </c>
      <c r="K1395" s="13">
        <v>27</v>
      </c>
      <c r="L1395" s="44">
        <v>2.8</v>
      </c>
      <c r="M1395" s="13" t="b">
        <v>1</v>
      </c>
      <c r="N1395" s="13" t="s">
        <v>2229</v>
      </c>
      <c r="O1395" s="25">
        <f t="shared" si="84"/>
        <v>27</v>
      </c>
      <c r="P1395" s="13">
        <f t="shared" si="85"/>
        <v>0</v>
      </c>
      <c r="Q1395" s="13">
        <f t="shared" si="86"/>
        <v>1</v>
      </c>
      <c r="R1395" s="13" t="str">
        <f t="shared" si="87"/>
        <v>Non diskon</v>
      </c>
    </row>
    <row r="1396" spans="1:18" x14ac:dyDescent="0.25">
      <c r="A1396" s="13" t="s">
        <v>1408</v>
      </c>
      <c r="B1396" s="13" t="s">
        <v>2191</v>
      </c>
      <c r="C1396" s="13" t="s">
        <v>2202</v>
      </c>
      <c r="D1396" s="13" t="s">
        <v>2207</v>
      </c>
      <c r="E1396" s="13" t="s">
        <v>2208</v>
      </c>
      <c r="F1396" s="13" t="s">
        <v>2219</v>
      </c>
      <c r="G1396" s="13">
        <v>90.48</v>
      </c>
      <c r="H1396" s="13">
        <v>55.2</v>
      </c>
      <c r="I1396" s="13">
        <v>40.54</v>
      </c>
      <c r="J1396" s="24">
        <v>45875</v>
      </c>
      <c r="K1396" s="13">
        <v>26</v>
      </c>
      <c r="L1396" s="44">
        <v>3</v>
      </c>
      <c r="M1396" s="13" t="b">
        <v>0</v>
      </c>
      <c r="O1396" s="25">
        <f t="shared" si="84"/>
        <v>27</v>
      </c>
      <c r="P1396" s="13">
        <f t="shared" si="85"/>
        <v>1435.2</v>
      </c>
      <c r="Q1396" s="13" t="str">
        <f t="shared" si="86"/>
        <v/>
      </c>
      <c r="R1396" s="13" t="str">
        <f t="shared" si="87"/>
        <v>Diskon</v>
      </c>
    </row>
    <row r="1397" spans="1:18" x14ac:dyDescent="0.25">
      <c r="A1397" s="13" t="s">
        <v>1409</v>
      </c>
      <c r="B1397" s="13" t="s">
        <v>2193</v>
      </c>
      <c r="C1397" s="13" t="s">
        <v>2202</v>
      </c>
      <c r="D1397" s="13" t="s">
        <v>2207</v>
      </c>
      <c r="E1397" s="13" t="s">
        <v>2210</v>
      </c>
      <c r="F1397" s="13" t="s">
        <v>2220</v>
      </c>
      <c r="G1397" s="13">
        <v>159.62</v>
      </c>
      <c r="H1397" s="13">
        <v>58.4</v>
      </c>
      <c r="I1397" s="13">
        <v>66.400000000000006</v>
      </c>
      <c r="J1397" s="24">
        <v>45875</v>
      </c>
      <c r="K1397" s="13">
        <v>45</v>
      </c>
      <c r="L1397" s="44">
        <v>1.1000000000000001</v>
      </c>
      <c r="M1397" s="13" t="b">
        <v>0</v>
      </c>
      <c r="O1397" s="25">
        <f t="shared" si="84"/>
        <v>27</v>
      </c>
      <c r="P1397" s="13">
        <f t="shared" si="85"/>
        <v>2628</v>
      </c>
      <c r="Q1397" s="13" t="str">
        <f t="shared" si="86"/>
        <v/>
      </c>
      <c r="R1397" s="13" t="str">
        <f t="shared" si="87"/>
        <v>Diskon</v>
      </c>
    </row>
    <row r="1398" spans="1:18" x14ac:dyDescent="0.25">
      <c r="A1398" s="13" t="s">
        <v>1410</v>
      </c>
      <c r="B1398" s="13" t="s">
        <v>2193</v>
      </c>
      <c r="C1398" s="13" t="s">
        <v>2201</v>
      </c>
      <c r="D1398" s="13" t="s">
        <v>2207</v>
      </c>
      <c r="E1398" s="13" t="s">
        <v>2209</v>
      </c>
      <c r="F1398" s="13" t="s">
        <v>2218</v>
      </c>
      <c r="G1398" s="13">
        <v>81.459999999999994</v>
      </c>
      <c r="H1398" s="13">
        <v>58.8</v>
      </c>
      <c r="I1398" s="13">
        <v>33.56</v>
      </c>
      <c r="J1398" s="24">
        <v>45875</v>
      </c>
      <c r="K1398" s="13">
        <v>37</v>
      </c>
      <c r="L1398" s="44">
        <v>4.5999999999999996</v>
      </c>
      <c r="M1398" s="13" t="b">
        <v>0</v>
      </c>
      <c r="O1398" s="25">
        <f t="shared" si="84"/>
        <v>27</v>
      </c>
      <c r="P1398" s="13">
        <f t="shared" si="85"/>
        <v>2175.6</v>
      </c>
      <c r="Q1398" s="13" t="str">
        <f t="shared" si="86"/>
        <v/>
      </c>
      <c r="R1398" s="13" t="str">
        <f t="shared" si="87"/>
        <v>Diskon</v>
      </c>
    </row>
    <row r="1399" spans="1:18" x14ac:dyDescent="0.25">
      <c r="A1399" s="13" t="s">
        <v>1411</v>
      </c>
      <c r="B1399" s="13" t="s">
        <v>2193</v>
      </c>
      <c r="C1399" s="13" t="s">
        <v>2203</v>
      </c>
      <c r="D1399" s="13" t="s">
        <v>2205</v>
      </c>
      <c r="E1399" s="13" t="s">
        <v>2212</v>
      </c>
      <c r="F1399" s="13" t="s">
        <v>2217</v>
      </c>
      <c r="G1399" s="13">
        <v>93.63</v>
      </c>
      <c r="H1399" s="13">
        <v>0</v>
      </c>
      <c r="I1399" s="13">
        <v>93.63</v>
      </c>
      <c r="J1399" s="24">
        <v>45875</v>
      </c>
      <c r="K1399" s="13">
        <v>47</v>
      </c>
      <c r="L1399" s="44">
        <v>4.0999999999999996</v>
      </c>
      <c r="M1399" s="13" t="b">
        <v>0</v>
      </c>
      <c r="O1399" s="25">
        <f t="shared" si="84"/>
        <v>27</v>
      </c>
      <c r="P1399" s="13">
        <f t="shared" si="85"/>
        <v>0</v>
      </c>
      <c r="Q1399" s="13" t="str">
        <f t="shared" si="86"/>
        <v/>
      </c>
      <c r="R1399" s="13" t="str">
        <f t="shared" si="87"/>
        <v>Non diskon</v>
      </c>
    </row>
    <row r="1400" spans="1:18" x14ac:dyDescent="0.25">
      <c r="A1400" s="13" t="s">
        <v>1412</v>
      </c>
      <c r="B1400" s="13" t="s">
        <v>2191</v>
      </c>
      <c r="C1400" s="13" t="s">
        <v>2201</v>
      </c>
      <c r="D1400" s="13" t="s">
        <v>2207</v>
      </c>
      <c r="E1400" s="13" t="s">
        <v>2213</v>
      </c>
      <c r="F1400" s="13" t="s">
        <v>2224</v>
      </c>
      <c r="G1400" s="13">
        <v>95.55</v>
      </c>
      <c r="H1400" s="13">
        <v>0</v>
      </c>
      <c r="I1400" s="13">
        <v>95.55</v>
      </c>
      <c r="J1400" s="24">
        <v>45875</v>
      </c>
      <c r="K1400" s="13">
        <v>25</v>
      </c>
      <c r="L1400" s="44">
        <v>4.7</v>
      </c>
      <c r="M1400" s="13" t="b">
        <v>0</v>
      </c>
      <c r="O1400" s="25">
        <f t="shared" si="84"/>
        <v>27</v>
      </c>
      <c r="P1400" s="13">
        <f t="shared" si="85"/>
        <v>0</v>
      </c>
      <c r="Q1400" s="13" t="str">
        <f t="shared" si="86"/>
        <v/>
      </c>
      <c r="R1400" s="13" t="str">
        <f t="shared" si="87"/>
        <v>Non diskon</v>
      </c>
    </row>
    <row r="1401" spans="1:18" x14ac:dyDescent="0.25">
      <c r="A1401" s="13" t="s">
        <v>1413</v>
      </c>
      <c r="B1401" s="13" t="s">
        <v>2190</v>
      </c>
      <c r="C1401" s="13" t="s">
        <v>2196</v>
      </c>
      <c r="D1401" s="13" t="s">
        <v>2205</v>
      </c>
      <c r="E1401" s="13" t="s">
        <v>2213</v>
      </c>
      <c r="F1401" s="13" t="s">
        <v>2217</v>
      </c>
      <c r="G1401" s="13">
        <v>146.44999999999999</v>
      </c>
      <c r="H1401" s="13">
        <v>0</v>
      </c>
      <c r="I1401" s="13">
        <v>146.44999999999999</v>
      </c>
      <c r="J1401" s="24">
        <v>45875</v>
      </c>
      <c r="K1401" s="13">
        <v>45</v>
      </c>
      <c r="L1401" s="44">
        <v>3.4</v>
      </c>
      <c r="M1401" s="13" t="b">
        <v>0</v>
      </c>
      <c r="O1401" s="25">
        <f t="shared" si="84"/>
        <v>27</v>
      </c>
      <c r="P1401" s="13">
        <f t="shared" si="85"/>
        <v>0</v>
      </c>
      <c r="Q1401" s="13" t="str">
        <f t="shared" si="86"/>
        <v/>
      </c>
      <c r="R1401" s="13" t="str">
        <f t="shared" si="87"/>
        <v>Non diskon</v>
      </c>
    </row>
    <row r="1402" spans="1:18" x14ac:dyDescent="0.25">
      <c r="A1402" s="13" t="s">
        <v>1414</v>
      </c>
      <c r="B1402" s="13" t="s">
        <v>2193</v>
      </c>
      <c r="C1402" s="13" t="s">
        <v>2198</v>
      </c>
      <c r="D1402" s="13" t="s">
        <v>2204</v>
      </c>
      <c r="E1402" s="13" t="s">
        <v>2213</v>
      </c>
      <c r="F1402" s="13" t="s">
        <v>2219</v>
      </c>
      <c r="G1402" s="13">
        <v>96.9</v>
      </c>
      <c r="H1402" s="13">
        <v>0</v>
      </c>
      <c r="I1402" s="13">
        <v>96.9</v>
      </c>
      <c r="J1402" s="24">
        <v>45691</v>
      </c>
      <c r="K1402" s="13">
        <v>24</v>
      </c>
      <c r="L1402" s="44">
        <v>4.3</v>
      </c>
      <c r="M1402" s="13" t="b">
        <v>0</v>
      </c>
      <c r="O1402" s="25">
        <f t="shared" si="84"/>
        <v>211</v>
      </c>
      <c r="P1402" s="13">
        <f t="shared" si="85"/>
        <v>0</v>
      </c>
      <c r="Q1402" s="13" t="str">
        <f t="shared" si="86"/>
        <v/>
      </c>
      <c r="R1402" s="13" t="str">
        <f t="shared" si="87"/>
        <v>Non diskon</v>
      </c>
    </row>
    <row r="1403" spans="1:18" x14ac:dyDescent="0.25">
      <c r="A1403" s="13" t="s">
        <v>1415</v>
      </c>
      <c r="B1403" s="13" t="s">
        <v>2191</v>
      </c>
      <c r="C1403" s="13" t="s">
        <v>2198</v>
      </c>
      <c r="D1403" s="13" t="s">
        <v>2206</v>
      </c>
      <c r="E1403" s="13" t="s">
        <v>2211</v>
      </c>
      <c r="F1403" s="13" t="s">
        <v>2224</v>
      </c>
      <c r="G1403" s="13">
        <v>71.83</v>
      </c>
      <c r="H1403" s="13">
        <v>0</v>
      </c>
      <c r="I1403" s="13">
        <v>71.83</v>
      </c>
      <c r="J1403" s="24">
        <v>45875</v>
      </c>
      <c r="K1403" s="13">
        <v>46</v>
      </c>
      <c r="L1403" s="44">
        <v>4.5</v>
      </c>
      <c r="M1403" s="13" t="b">
        <v>0</v>
      </c>
      <c r="O1403" s="25">
        <f t="shared" si="84"/>
        <v>27</v>
      </c>
      <c r="P1403" s="13">
        <f t="shared" si="85"/>
        <v>0</v>
      </c>
      <c r="Q1403" s="13" t="str">
        <f t="shared" si="86"/>
        <v/>
      </c>
      <c r="R1403" s="13" t="str">
        <f t="shared" si="87"/>
        <v>Non diskon</v>
      </c>
    </row>
    <row r="1404" spans="1:18" x14ac:dyDescent="0.25">
      <c r="A1404" s="13" t="s">
        <v>1416</v>
      </c>
      <c r="B1404" s="13" t="s">
        <v>2191</v>
      </c>
      <c r="C1404" s="13" t="s">
        <v>2200</v>
      </c>
      <c r="D1404" s="13" t="s">
        <v>2207</v>
      </c>
      <c r="E1404" s="13" t="s">
        <v>2209</v>
      </c>
      <c r="F1404" s="13" t="s">
        <v>2222</v>
      </c>
      <c r="G1404" s="13">
        <v>29.17</v>
      </c>
      <c r="H1404" s="13">
        <v>0</v>
      </c>
      <c r="I1404" s="13">
        <v>29.17</v>
      </c>
      <c r="J1404" s="24">
        <v>45875</v>
      </c>
      <c r="K1404" s="13">
        <v>17</v>
      </c>
      <c r="L1404" s="44">
        <v>1.6</v>
      </c>
      <c r="M1404" s="13" t="b">
        <v>0</v>
      </c>
      <c r="O1404" s="25">
        <f t="shared" si="84"/>
        <v>27</v>
      </c>
      <c r="P1404" s="13">
        <f t="shared" si="85"/>
        <v>0</v>
      </c>
      <c r="Q1404" s="13" t="str">
        <f t="shared" si="86"/>
        <v/>
      </c>
      <c r="R1404" s="13" t="str">
        <f t="shared" si="87"/>
        <v>Non diskon</v>
      </c>
    </row>
    <row r="1405" spans="1:18" x14ac:dyDescent="0.25">
      <c r="A1405" s="13" t="s">
        <v>1417</v>
      </c>
      <c r="B1405" s="13" t="s">
        <v>2191</v>
      </c>
      <c r="C1405" s="13" t="s">
        <v>2200</v>
      </c>
      <c r="D1405" s="13" t="s">
        <v>2204</v>
      </c>
      <c r="E1405" s="13" t="s">
        <v>2210</v>
      </c>
      <c r="F1405" s="13" t="s">
        <v>2220</v>
      </c>
      <c r="G1405" s="13">
        <v>31.3</v>
      </c>
      <c r="H1405" s="13">
        <v>43.6</v>
      </c>
      <c r="I1405" s="13">
        <v>17.649999999999999</v>
      </c>
      <c r="J1405" s="24">
        <v>45722</v>
      </c>
      <c r="K1405" s="13">
        <v>21</v>
      </c>
      <c r="L1405" s="44">
        <v>4.4000000000000004</v>
      </c>
      <c r="M1405" s="13" t="b">
        <v>0</v>
      </c>
      <c r="O1405" s="25">
        <f t="shared" si="84"/>
        <v>180</v>
      </c>
      <c r="P1405" s="13">
        <f t="shared" si="85"/>
        <v>915.6</v>
      </c>
      <c r="Q1405" s="13" t="str">
        <f t="shared" si="86"/>
        <v/>
      </c>
      <c r="R1405" s="13" t="str">
        <f t="shared" si="87"/>
        <v>Diskon</v>
      </c>
    </row>
    <row r="1406" spans="1:18" x14ac:dyDescent="0.25">
      <c r="A1406" s="13" t="s">
        <v>1418</v>
      </c>
      <c r="B1406" s="13" t="s">
        <v>2192</v>
      </c>
      <c r="C1406" s="13" t="s">
        <v>2196</v>
      </c>
      <c r="D1406" s="13" t="s">
        <v>2206</v>
      </c>
      <c r="F1406" s="13" t="s">
        <v>2220</v>
      </c>
      <c r="G1406" s="13">
        <v>73.569999999999993</v>
      </c>
      <c r="H1406" s="13">
        <v>0</v>
      </c>
      <c r="I1406" s="13">
        <v>73.569999999999993</v>
      </c>
      <c r="J1406" s="24">
        <v>45875</v>
      </c>
      <c r="K1406" s="13">
        <v>22</v>
      </c>
      <c r="L1406" s="44">
        <v>1.1000000000000001</v>
      </c>
      <c r="M1406" s="13" t="b">
        <v>0</v>
      </c>
      <c r="O1406" s="25">
        <f t="shared" si="84"/>
        <v>27</v>
      </c>
      <c r="P1406" s="13">
        <f t="shared" si="85"/>
        <v>0</v>
      </c>
      <c r="Q1406" s="13" t="str">
        <f t="shared" si="86"/>
        <v/>
      </c>
      <c r="R1406" s="13" t="str">
        <f t="shared" si="87"/>
        <v>Non diskon</v>
      </c>
    </row>
    <row r="1407" spans="1:18" x14ac:dyDescent="0.25">
      <c r="A1407" s="13" t="s">
        <v>1419</v>
      </c>
      <c r="B1407" s="13" t="s">
        <v>2193</v>
      </c>
      <c r="C1407" s="13" t="s">
        <v>2199</v>
      </c>
      <c r="D1407" s="13" t="s">
        <v>2207</v>
      </c>
      <c r="F1407" s="13" t="s">
        <v>2215</v>
      </c>
      <c r="G1407" s="13">
        <v>75.95</v>
      </c>
      <c r="H1407" s="13">
        <v>0</v>
      </c>
      <c r="I1407" s="13">
        <v>75.95</v>
      </c>
      <c r="J1407" s="24">
        <v>45875</v>
      </c>
      <c r="K1407" s="13">
        <v>14</v>
      </c>
      <c r="L1407" s="44">
        <v>2.9804347826086954</v>
      </c>
      <c r="M1407" s="13" t="b">
        <v>0</v>
      </c>
      <c r="O1407" s="25">
        <f t="shared" si="84"/>
        <v>27</v>
      </c>
      <c r="P1407" s="13">
        <f t="shared" si="85"/>
        <v>0</v>
      </c>
      <c r="Q1407" s="13" t="str">
        <f t="shared" si="86"/>
        <v/>
      </c>
      <c r="R1407" s="13" t="str">
        <f t="shared" si="87"/>
        <v>Non diskon</v>
      </c>
    </row>
    <row r="1408" spans="1:18" x14ac:dyDescent="0.25">
      <c r="A1408" s="13" t="s">
        <v>1420</v>
      </c>
      <c r="B1408" s="13" t="s">
        <v>2192</v>
      </c>
      <c r="C1408" s="13" t="s">
        <v>2200</v>
      </c>
      <c r="D1408" s="13" t="s">
        <v>2204</v>
      </c>
      <c r="F1408" s="13" t="s">
        <v>2220</v>
      </c>
      <c r="G1408" s="13">
        <v>79.040000000000006</v>
      </c>
      <c r="H1408" s="13">
        <v>0</v>
      </c>
      <c r="I1408" s="13">
        <v>79.040000000000006</v>
      </c>
      <c r="J1408" s="24">
        <v>45568</v>
      </c>
      <c r="K1408" s="13">
        <v>28</v>
      </c>
      <c r="L1408" s="44">
        <v>4.7</v>
      </c>
      <c r="M1408" s="13" t="b">
        <v>0</v>
      </c>
      <c r="O1408" s="25">
        <f t="shared" si="84"/>
        <v>334</v>
      </c>
      <c r="P1408" s="13">
        <f t="shared" si="85"/>
        <v>0</v>
      </c>
      <c r="Q1408" s="13" t="str">
        <f t="shared" si="86"/>
        <v/>
      </c>
      <c r="R1408" s="13" t="str">
        <f t="shared" si="87"/>
        <v>Non diskon</v>
      </c>
    </row>
    <row r="1409" spans="1:18" x14ac:dyDescent="0.25">
      <c r="A1409" s="13" t="s">
        <v>1421</v>
      </c>
      <c r="B1409" s="13" t="s">
        <v>2191</v>
      </c>
      <c r="C1409" s="13" t="s">
        <v>2199</v>
      </c>
      <c r="D1409" s="13" t="s">
        <v>2206</v>
      </c>
      <c r="E1409" s="13" t="s">
        <v>2209</v>
      </c>
      <c r="F1409" s="13" t="s">
        <v>2217</v>
      </c>
      <c r="G1409" s="13">
        <v>26.85</v>
      </c>
      <c r="H1409" s="13">
        <v>0</v>
      </c>
      <c r="I1409" s="13">
        <v>26.85</v>
      </c>
      <c r="J1409" s="24">
        <v>45875</v>
      </c>
      <c r="K1409" s="13">
        <v>26</v>
      </c>
      <c r="L1409" s="44">
        <v>2.9742857142857138</v>
      </c>
      <c r="M1409" s="13" t="b">
        <v>0</v>
      </c>
      <c r="O1409" s="25">
        <f t="shared" si="84"/>
        <v>27</v>
      </c>
      <c r="P1409" s="13">
        <f t="shared" si="85"/>
        <v>0</v>
      </c>
      <c r="Q1409" s="13" t="str">
        <f t="shared" si="86"/>
        <v/>
      </c>
      <c r="R1409" s="13" t="str">
        <f t="shared" si="87"/>
        <v>Non diskon</v>
      </c>
    </row>
    <row r="1410" spans="1:18" x14ac:dyDescent="0.25">
      <c r="A1410" s="13" t="s">
        <v>1422</v>
      </c>
      <c r="B1410" s="13" t="s">
        <v>2195</v>
      </c>
      <c r="C1410" s="13" t="s">
        <v>2201</v>
      </c>
      <c r="D1410" s="13" t="s">
        <v>2204</v>
      </c>
      <c r="E1410" s="13" t="s">
        <v>2209</v>
      </c>
      <c r="F1410" s="13" t="s">
        <v>2218</v>
      </c>
      <c r="G1410" s="13">
        <v>126.21</v>
      </c>
      <c r="H1410" s="13">
        <v>29.2</v>
      </c>
      <c r="I1410" s="13">
        <v>89.36</v>
      </c>
      <c r="J1410" s="24">
        <v>45519</v>
      </c>
      <c r="K1410" s="13">
        <v>25</v>
      </c>
      <c r="L1410" s="44">
        <v>1.1000000000000001</v>
      </c>
      <c r="M1410" s="13" t="b">
        <v>0</v>
      </c>
      <c r="O1410" s="25">
        <f t="shared" si="84"/>
        <v>383</v>
      </c>
      <c r="P1410" s="13">
        <f t="shared" si="85"/>
        <v>730</v>
      </c>
      <c r="Q1410" s="13" t="str">
        <f t="shared" si="86"/>
        <v/>
      </c>
      <c r="R1410" s="13" t="str">
        <f t="shared" si="87"/>
        <v>Diskon</v>
      </c>
    </row>
    <row r="1411" spans="1:18" x14ac:dyDescent="0.25">
      <c r="A1411" s="13" t="s">
        <v>1423</v>
      </c>
      <c r="B1411" s="13" t="s">
        <v>2193</v>
      </c>
      <c r="C1411" s="13" t="s">
        <v>2199</v>
      </c>
      <c r="D1411" s="13" t="s">
        <v>2206</v>
      </c>
      <c r="E1411" s="13" t="s">
        <v>2210</v>
      </c>
      <c r="F1411" s="13" t="s">
        <v>2222</v>
      </c>
      <c r="G1411" s="13">
        <v>71.459999999999994</v>
      </c>
      <c r="H1411" s="13">
        <v>0</v>
      </c>
      <c r="I1411" s="13">
        <v>71.459999999999994</v>
      </c>
      <c r="J1411" s="24">
        <v>45875</v>
      </c>
      <c r="K1411" s="13">
        <v>2</v>
      </c>
      <c r="L1411" s="44">
        <v>3.1</v>
      </c>
      <c r="M1411" s="13" t="b">
        <v>0</v>
      </c>
      <c r="O1411" s="25">
        <f t="shared" ref="O1411:O1474" si="88">DATE(2025,9,2)-J1411</f>
        <v>27</v>
      </c>
      <c r="P1411" s="13">
        <f t="shared" ref="P1411:P1474" si="89">H1411*K1411</f>
        <v>0</v>
      </c>
      <c r="Q1411" s="13" t="str">
        <f t="shared" ref="Q1411:Q1474" si="90">IF(M1411=FALSE,"",1)</f>
        <v/>
      </c>
      <c r="R1411" s="13" t="str">
        <f t="shared" ref="R1411:R1474" si="91">IF(H1411=0,"Non diskon","Diskon")</f>
        <v>Non diskon</v>
      </c>
    </row>
    <row r="1412" spans="1:18" x14ac:dyDescent="0.25">
      <c r="A1412" s="13" t="s">
        <v>1424</v>
      </c>
      <c r="B1412" s="13" t="s">
        <v>2195</v>
      </c>
      <c r="C1412" s="13" t="s">
        <v>2199</v>
      </c>
      <c r="D1412" s="13" t="s">
        <v>2205</v>
      </c>
      <c r="E1412" s="13" t="s">
        <v>2213</v>
      </c>
      <c r="F1412" s="13" t="s">
        <v>2221</v>
      </c>
      <c r="G1412" s="13">
        <v>65.069999999999993</v>
      </c>
      <c r="H1412" s="13">
        <v>14.8</v>
      </c>
      <c r="I1412" s="13">
        <v>55.44</v>
      </c>
      <c r="J1412" s="24">
        <v>45875</v>
      </c>
      <c r="K1412" s="13">
        <v>21</v>
      </c>
      <c r="L1412" s="44">
        <v>2.8372093023255811</v>
      </c>
      <c r="M1412" s="13" t="b">
        <v>0</v>
      </c>
      <c r="O1412" s="25">
        <f t="shared" si="88"/>
        <v>27</v>
      </c>
      <c r="P1412" s="13">
        <f t="shared" si="89"/>
        <v>310.8</v>
      </c>
      <c r="Q1412" s="13" t="str">
        <f t="shared" si="90"/>
        <v/>
      </c>
      <c r="R1412" s="13" t="str">
        <f t="shared" si="91"/>
        <v>Diskon</v>
      </c>
    </row>
    <row r="1413" spans="1:18" x14ac:dyDescent="0.25">
      <c r="A1413" s="13" t="s">
        <v>1425</v>
      </c>
      <c r="B1413" s="13" t="s">
        <v>2194</v>
      </c>
      <c r="C1413" s="13" t="s">
        <v>2199</v>
      </c>
      <c r="D1413" s="13" t="s">
        <v>2206</v>
      </c>
      <c r="E1413" s="13" t="s">
        <v>2208</v>
      </c>
      <c r="F1413" s="13" t="s">
        <v>2215</v>
      </c>
      <c r="G1413" s="13">
        <v>28.11</v>
      </c>
      <c r="H1413" s="13">
        <v>20.9</v>
      </c>
      <c r="I1413" s="13">
        <v>22.24</v>
      </c>
      <c r="J1413" s="24">
        <v>45875</v>
      </c>
      <c r="K1413" s="13">
        <v>6</v>
      </c>
      <c r="L1413" s="44">
        <v>2.2999999999999998</v>
      </c>
      <c r="M1413" s="13" t="b">
        <v>0</v>
      </c>
      <c r="O1413" s="25">
        <f t="shared" si="88"/>
        <v>27</v>
      </c>
      <c r="P1413" s="13">
        <f t="shared" si="89"/>
        <v>125.39999999999999</v>
      </c>
      <c r="Q1413" s="13" t="str">
        <f t="shared" si="90"/>
        <v/>
      </c>
      <c r="R1413" s="13" t="str">
        <f t="shared" si="91"/>
        <v>Diskon</v>
      </c>
    </row>
    <row r="1414" spans="1:18" x14ac:dyDescent="0.25">
      <c r="A1414" s="13" t="s">
        <v>1426</v>
      </c>
      <c r="B1414" s="13" t="s">
        <v>2191</v>
      </c>
      <c r="C1414" s="13" t="s">
        <v>2200</v>
      </c>
      <c r="D1414" s="13" t="s">
        <v>2204</v>
      </c>
      <c r="E1414" s="13" t="s">
        <v>2209</v>
      </c>
      <c r="F1414" s="13" t="s">
        <v>2220</v>
      </c>
      <c r="G1414" s="13">
        <v>29.12</v>
      </c>
      <c r="H1414" s="13">
        <v>0</v>
      </c>
      <c r="I1414" s="13">
        <v>29.12</v>
      </c>
      <c r="J1414" s="24">
        <v>45741</v>
      </c>
      <c r="K1414" s="13">
        <v>14</v>
      </c>
      <c r="L1414" s="44">
        <v>2.7</v>
      </c>
      <c r="M1414" s="13" t="b">
        <v>0</v>
      </c>
      <c r="O1414" s="25">
        <f t="shared" si="88"/>
        <v>161</v>
      </c>
      <c r="P1414" s="13">
        <f t="shared" si="89"/>
        <v>0</v>
      </c>
      <c r="Q1414" s="13" t="str">
        <f t="shared" si="90"/>
        <v/>
      </c>
      <c r="R1414" s="13" t="str">
        <f t="shared" si="91"/>
        <v>Non diskon</v>
      </c>
    </row>
    <row r="1415" spans="1:18" x14ac:dyDescent="0.25">
      <c r="A1415" s="13" t="s">
        <v>1427</v>
      </c>
      <c r="B1415" s="13" t="s">
        <v>2192</v>
      </c>
      <c r="C1415" s="13" t="s">
        <v>2203</v>
      </c>
      <c r="D1415" s="13" t="s">
        <v>2205</v>
      </c>
      <c r="F1415" s="13" t="s">
        <v>2216</v>
      </c>
      <c r="G1415" s="13">
        <v>57.1</v>
      </c>
      <c r="H1415" s="13">
        <v>0</v>
      </c>
      <c r="I1415" s="13">
        <v>57.1</v>
      </c>
      <c r="J1415" s="24">
        <v>45875</v>
      </c>
      <c r="K1415" s="13">
        <v>28</v>
      </c>
      <c r="L1415" s="44">
        <v>2.8636363636363633</v>
      </c>
      <c r="M1415" s="13" t="b">
        <v>1</v>
      </c>
      <c r="N1415" s="13" t="s">
        <v>2230</v>
      </c>
      <c r="O1415" s="25">
        <f t="shared" si="88"/>
        <v>27</v>
      </c>
      <c r="P1415" s="13">
        <f t="shared" si="89"/>
        <v>0</v>
      </c>
      <c r="Q1415" s="13">
        <f t="shared" si="90"/>
        <v>1</v>
      </c>
      <c r="R1415" s="13" t="str">
        <f t="shared" si="91"/>
        <v>Non diskon</v>
      </c>
    </row>
    <row r="1416" spans="1:18" x14ac:dyDescent="0.25">
      <c r="A1416" s="13" t="s">
        <v>1428</v>
      </c>
      <c r="B1416" s="13" t="s">
        <v>2190</v>
      </c>
      <c r="C1416" s="13" t="s">
        <v>2197</v>
      </c>
      <c r="D1416" s="13" t="s">
        <v>2204</v>
      </c>
      <c r="E1416" s="13" t="s">
        <v>2213</v>
      </c>
      <c r="F1416" s="13" t="s">
        <v>2216</v>
      </c>
      <c r="G1416" s="13">
        <v>248.05</v>
      </c>
      <c r="H1416" s="13">
        <v>0</v>
      </c>
      <c r="I1416" s="13">
        <v>248.05</v>
      </c>
      <c r="J1416" s="24">
        <v>45776</v>
      </c>
      <c r="K1416" s="13">
        <v>17</v>
      </c>
      <c r="L1416" s="44">
        <v>4.5999999999999996</v>
      </c>
      <c r="M1416" s="13" t="b">
        <v>0</v>
      </c>
      <c r="O1416" s="25">
        <f t="shared" si="88"/>
        <v>126</v>
      </c>
      <c r="P1416" s="13">
        <f t="shared" si="89"/>
        <v>0</v>
      </c>
      <c r="Q1416" s="13" t="str">
        <f t="shared" si="90"/>
        <v/>
      </c>
      <c r="R1416" s="13" t="str">
        <f t="shared" si="91"/>
        <v>Non diskon</v>
      </c>
    </row>
    <row r="1417" spans="1:18" x14ac:dyDescent="0.25">
      <c r="A1417" s="13" t="s">
        <v>1429</v>
      </c>
      <c r="B1417" s="13" t="s">
        <v>2194</v>
      </c>
      <c r="C1417" s="13" t="s">
        <v>2196</v>
      </c>
      <c r="D1417" s="13" t="s">
        <v>2206</v>
      </c>
      <c r="E1417" s="13" t="s">
        <v>2210</v>
      </c>
      <c r="F1417" s="13" t="s">
        <v>2218</v>
      </c>
      <c r="G1417" s="13">
        <v>108.59</v>
      </c>
      <c r="H1417" s="13">
        <v>40.6</v>
      </c>
      <c r="I1417" s="13">
        <v>64.5</v>
      </c>
      <c r="J1417" s="24">
        <v>45875</v>
      </c>
      <c r="K1417" s="13">
        <v>9</v>
      </c>
      <c r="L1417" s="44">
        <v>1.3</v>
      </c>
      <c r="M1417" s="13" t="b">
        <v>0</v>
      </c>
      <c r="O1417" s="25">
        <f t="shared" si="88"/>
        <v>27</v>
      </c>
      <c r="P1417" s="13">
        <f t="shared" si="89"/>
        <v>365.40000000000003</v>
      </c>
      <c r="Q1417" s="13" t="str">
        <f t="shared" si="90"/>
        <v/>
      </c>
      <c r="R1417" s="13" t="str">
        <f t="shared" si="91"/>
        <v>Diskon</v>
      </c>
    </row>
    <row r="1418" spans="1:18" x14ac:dyDescent="0.25">
      <c r="A1418" s="13" t="s">
        <v>1430</v>
      </c>
      <c r="B1418" s="13" t="s">
        <v>2190</v>
      </c>
      <c r="C1418" s="13" t="s">
        <v>2203</v>
      </c>
      <c r="D1418" s="13" t="s">
        <v>2207</v>
      </c>
      <c r="E1418" s="13" t="s">
        <v>2208</v>
      </c>
      <c r="F1418" s="13" t="s">
        <v>2221</v>
      </c>
      <c r="G1418" s="13">
        <v>124.13</v>
      </c>
      <c r="H1418" s="13">
        <v>0</v>
      </c>
      <c r="I1418" s="13">
        <v>124.13</v>
      </c>
      <c r="J1418" s="24">
        <v>45875</v>
      </c>
      <c r="K1418" s="13">
        <v>33</v>
      </c>
      <c r="L1418" s="44">
        <v>5</v>
      </c>
      <c r="M1418" s="13" t="b">
        <v>0</v>
      </c>
      <c r="O1418" s="25">
        <f t="shared" si="88"/>
        <v>27</v>
      </c>
      <c r="P1418" s="13">
        <f t="shared" si="89"/>
        <v>0</v>
      </c>
      <c r="Q1418" s="13" t="str">
        <f t="shared" si="90"/>
        <v/>
      </c>
      <c r="R1418" s="13" t="str">
        <f t="shared" si="91"/>
        <v>Non diskon</v>
      </c>
    </row>
    <row r="1419" spans="1:18" x14ac:dyDescent="0.25">
      <c r="A1419" s="13" t="s">
        <v>1431</v>
      </c>
      <c r="B1419" s="13" t="s">
        <v>2192</v>
      </c>
      <c r="C1419" s="13" t="s">
        <v>2196</v>
      </c>
      <c r="D1419" s="13" t="s">
        <v>2204</v>
      </c>
      <c r="F1419" s="13" t="s">
        <v>2224</v>
      </c>
      <c r="G1419" s="13">
        <v>62.21</v>
      </c>
      <c r="H1419" s="13">
        <v>1.8</v>
      </c>
      <c r="I1419" s="13">
        <v>61.09</v>
      </c>
      <c r="J1419" s="24">
        <v>45599</v>
      </c>
      <c r="K1419" s="13">
        <v>4</v>
      </c>
      <c r="L1419" s="44">
        <v>2.2999999999999998</v>
      </c>
      <c r="M1419" s="13" t="b">
        <v>0</v>
      </c>
      <c r="O1419" s="25">
        <f t="shared" si="88"/>
        <v>303</v>
      </c>
      <c r="P1419" s="13">
        <f t="shared" si="89"/>
        <v>7.2</v>
      </c>
      <c r="Q1419" s="13" t="str">
        <f t="shared" si="90"/>
        <v/>
      </c>
      <c r="R1419" s="13" t="str">
        <f t="shared" si="91"/>
        <v>Diskon</v>
      </c>
    </row>
    <row r="1420" spans="1:18" x14ac:dyDescent="0.25">
      <c r="A1420" s="13" t="s">
        <v>1432</v>
      </c>
      <c r="B1420" s="13" t="s">
        <v>2194</v>
      </c>
      <c r="C1420" s="13" t="s">
        <v>2197</v>
      </c>
      <c r="D1420" s="13" t="s">
        <v>2206</v>
      </c>
      <c r="E1420" s="13" t="s">
        <v>2213</v>
      </c>
      <c r="F1420" s="13" t="s">
        <v>2218</v>
      </c>
      <c r="G1420" s="13">
        <v>48.27</v>
      </c>
      <c r="H1420" s="13">
        <v>0</v>
      </c>
      <c r="I1420" s="13">
        <v>48.27</v>
      </c>
      <c r="J1420" s="24">
        <v>45875</v>
      </c>
      <c r="K1420" s="13">
        <v>33</v>
      </c>
      <c r="L1420" s="44">
        <v>3.0846153846153843</v>
      </c>
      <c r="M1420" s="13" t="b">
        <v>0</v>
      </c>
      <c r="O1420" s="25">
        <f t="shared" si="88"/>
        <v>27</v>
      </c>
      <c r="P1420" s="13">
        <f t="shared" si="89"/>
        <v>0</v>
      </c>
      <c r="Q1420" s="13" t="str">
        <f t="shared" si="90"/>
        <v/>
      </c>
      <c r="R1420" s="13" t="str">
        <f t="shared" si="91"/>
        <v>Non diskon</v>
      </c>
    </row>
    <row r="1421" spans="1:18" x14ac:dyDescent="0.25">
      <c r="A1421" s="13" t="s">
        <v>1433</v>
      </c>
      <c r="B1421" s="13" t="s">
        <v>2191</v>
      </c>
      <c r="C1421" s="13" t="s">
        <v>2196</v>
      </c>
      <c r="D1421" s="13" t="s">
        <v>2204</v>
      </c>
      <c r="E1421" s="13" t="s">
        <v>2208</v>
      </c>
      <c r="F1421" s="13" t="s">
        <v>2219</v>
      </c>
      <c r="G1421" s="13">
        <v>88.77</v>
      </c>
      <c r="H1421" s="13">
        <v>0</v>
      </c>
      <c r="I1421" s="13">
        <v>88.77</v>
      </c>
      <c r="J1421" s="24">
        <v>45793</v>
      </c>
      <c r="K1421" s="13">
        <v>40</v>
      </c>
      <c r="L1421" s="44">
        <v>4.8</v>
      </c>
      <c r="M1421" s="13" t="b">
        <v>0</v>
      </c>
      <c r="O1421" s="25">
        <f t="shared" si="88"/>
        <v>109</v>
      </c>
      <c r="P1421" s="13">
        <f t="shared" si="89"/>
        <v>0</v>
      </c>
      <c r="Q1421" s="13" t="str">
        <f t="shared" si="90"/>
        <v/>
      </c>
      <c r="R1421" s="13" t="str">
        <f t="shared" si="91"/>
        <v>Non diskon</v>
      </c>
    </row>
    <row r="1422" spans="1:18" x14ac:dyDescent="0.25">
      <c r="A1422" s="13" t="s">
        <v>1434</v>
      </c>
      <c r="B1422" s="13" t="s">
        <v>2195</v>
      </c>
      <c r="C1422" s="13" t="s">
        <v>2202</v>
      </c>
      <c r="D1422" s="13" t="s">
        <v>2206</v>
      </c>
      <c r="E1422" s="13" t="s">
        <v>2213</v>
      </c>
      <c r="F1422" s="13" t="s">
        <v>2222</v>
      </c>
      <c r="G1422" s="13">
        <v>94.17</v>
      </c>
      <c r="H1422" s="13">
        <v>0</v>
      </c>
      <c r="I1422" s="13">
        <v>94.17</v>
      </c>
      <c r="J1422" s="24">
        <v>45875</v>
      </c>
      <c r="K1422" s="13">
        <v>2</v>
      </c>
      <c r="L1422" s="44">
        <v>2.980952380952381</v>
      </c>
      <c r="M1422" s="13" t="b">
        <v>0</v>
      </c>
      <c r="O1422" s="25">
        <f t="shared" si="88"/>
        <v>27</v>
      </c>
      <c r="P1422" s="13">
        <f t="shared" si="89"/>
        <v>0</v>
      </c>
      <c r="Q1422" s="13" t="str">
        <f t="shared" si="90"/>
        <v/>
      </c>
      <c r="R1422" s="13" t="str">
        <f t="shared" si="91"/>
        <v>Non diskon</v>
      </c>
    </row>
    <row r="1423" spans="1:18" x14ac:dyDescent="0.25">
      <c r="A1423" s="13" t="s">
        <v>1435</v>
      </c>
      <c r="B1423" s="13" t="s">
        <v>2192</v>
      </c>
      <c r="C1423" s="13" t="s">
        <v>2203</v>
      </c>
      <c r="D1423" s="13" t="s">
        <v>2206</v>
      </c>
      <c r="F1423" s="13" t="s">
        <v>2216</v>
      </c>
      <c r="G1423" s="13">
        <v>30.44</v>
      </c>
      <c r="H1423" s="13">
        <v>0</v>
      </c>
      <c r="I1423" s="13">
        <v>30.44</v>
      </c>
      <c r="J1423" s="24">
        <v>45875</v>
      </c>
      <c r="K1423" s="13">
        <v>42</v>
      </c>
      <c r="L1423" s="44">
        <v>2.8636363636363633</v>
      </c>
      <c r="M1423" s="13" t="b">
        <v>0</v>
      </c>
      <c r="O1423" s="25">
        <f t="shared" si="88"/>
        <v>27</v>
      </c>
      <c r="P1423" s="13">
        <f t="shared" si="89"/>
        <v>0</v>
      </c>
      <c r="Q1423" s="13" t="str">
        <f t="shared" si="90"/>
        <v/>
      </c>
      <c r="R1423" s="13" t="str">
        <f t="shared" si="91"/>
        <v>Non diskon</v>
      </c>
    </row>
    <row r="1424" spans="1:18" x14ac:dyDescent="0.25">
      <c r="A1424" s="13" t="s">
        <v>1436</v>
      </c>
      <c r="B1424" s="13" t="s">
        <v>2194</v>
      </c>
      <c r="C1424" s="13" t="s">
        <v>2197</v>
      </c>
      <c r="D1424" s="13" t="s">
        <v>2206</v>
      </c>
      <c r="E1424" s="13" t="s">
        <v>2212</v>
      </c>
      <c r="F1424" s="13" t="s">
        <v>2223</v>
      </c>
      <c r="G1424" s="13">
        <v>114.29</v>
      </c>
      <c r="H1424" s="13">
        <v>0</v>
      </c>
      <c r="I1424" s="13">
        <v>114.29</v>
      </c>
      <c r="J1424" s="24">
        <v>45875</v>
      </c>
      <c r="K1424" s="13">
        <v>9</v>
      </c>
      <c r="L1424" s="44">
        <v>3.2</v>
      </c>
      <c r="M1424" s="13" t="b">
        <v>0</v>
      </c>
      <c r="O1424" s="25">
        <f t="shared" si="88"/>
        <v>27</v>
      </c>
      <c r="P1424" s="13">
        <f t="shared" si="89"/>
        <v>0</v>
      </c>
      <c r="Q1424" s="13" t="str">
        <f t="shared" si="90"/>
        <v/>
      </c>
      <c r="R1424" s="13" t="str">
        <f t="shared" si="91"/>
        <v>Non diskon</v>
      </c>
    </row>
    <row r="1425" spans="1:18" x14ac:dyDescent="0.25">
      <c r="A1425" s="13" t="s">
        <v>1437</v>
      </c>
      <c r="B1425" s="13" t="s">
        <v>2193</v>
      </c>
      <c r="C1425" s="13" t="s">
        <v>2197</v>
      </c>
      <c r="D1425" s="13" t="s">
        <v>2206</v>
      </c>
      <c r="E1425" s="13" t="s">
        <v>2208</v>
      </c>
      <c r="F1425" s="13" t="s">
        <v>2218</v>
      </c>
      <c r="G1425" s="13">
        <v>105.01</v>
      </c>
      <c r="H1425" s="13">
        <v>25.8</v>
      </c>
      <c r="I1425" s="13">
        <v>77.92</v>
      </c>
      <c r="J1425" s="24">
        <v>45875</v>
      </c>
      <c r="K1425" s="13">
        <v>17</v>
      </c>
      <c r="L1425" s="44">
        <v>3.2</v>
      </c>
      <c r="M1425" s="13" t="b">
        <v>0</v>
      </c>
      <c r="O1425" s="25">
        <f t="shared" si="88"/>
        <v>27</v>
      </c>
      <c r="P1425" s="13">
        <f t="shared" si="89"/>
        <v>438.6</v>
      </c>
      <c r="Q1425" s="13" t="str">
        <f t="shared" si="90"/>
        <v/>
      </c>
      <c r="R1425" s="13" t="str">
        <f t="shared" si="91"/>
        <v>Diskon</v>
      </c>
    </row>
    <row r="1426" spans="1:18" x14ac:dyDescent="0.25">
      <c r="A1426" s="13" t="s">
        <v>1438</v>
      </c>
      <c r="B1426" s="13" t="s">
        <v>2191</v>
      </c>
      <c r="C1426" s="13" t="s">
        <v>2201</v>
      </c>
      <c r="D1426" s="13" t="s">
        <v>2204</v>
      </c>
      <c r="E1426" s="13" t="s">
        <v>2208</v>
      </c>
      <c r="F1426" s="13" t="s">
        <v>2219</v>
      </c>
      <c r="G1426" s="13">
        <v>38.56</v>
      </c>
      <c r="H1426" s="13">
        <v>0</v>
      </c>
      <c r="I1426" s="13">
        <v>38.56</v>
      </c>
      <c r="J1426" s="24">
        <v>45807</v>
      </c>
      <c r="K1426" s="13">
        <v>39</v>
      </c>
      <c r="L1426" s="44">
        <v>1.5</v>
      </c>
      <c r="M1426" s="13" t="b">
        <v>0</v>
      </c>
      <c r="O1426" s="25">
        <f t="shared" si="88"/>
        <v>95</v>
      </c>
      <c r="P1426" s="13">
        <f t="shared" si="89"/>
        <v>0</v>
      </c>
      <c r="Q1426" s="13" t="str">
        <f t="shared" si="90"/>
        <v/>
      </c>
      <c r="R1426" s="13" t="str">
        <f t="shared" si="91"/>
        <v>Non diskon</v>
      </c>
    </row>
    <row r="1427" spans="1:18" x14ac:dyDescent="0.25">
      <c r="A1427" s="13" t="s">
        <v>1439</v>
      </c>
      <c r="B1427" s="13" t="s">
        <v>2193</v>
      </c>
      <c r="C1427" s="13" t="s">
        <v>2199</v>
      </c>
      <c r="D1427" s="13" t="s">
        <v>2205</v>
      </c>
      <c r="E1427" s="13" t="s">
        <v>2209</v>
      </c>
      <c r="F1427" s="13" t="s">
        <v>2223</v>
      </c>
      <c r="G1427" s="13">
        <v>64.94</v>
      </c>
      <c r="H1427" s="13">
        <v>0</v>
      </c>
      <c r="I1427" s="13">
        <v>64.94</v>
      </c>
      <c r="J1427" s="24">
        <v>45875</v>
      </c>
      <c r="K1427" s="13">
        <v>32</v>
      </c>
      <c r="L1427" s="44">
        <v>4.5</v>
      </c>
      <c r="M1427" s="13" t="b">
        <v>0</v>
      </c>
      <c r="O1427" s="25">
        <f t="shared" si="88"/>
        <v>27</v>
      </c>
      <c r="P1427" s="13">
        <f t="shared" si="89"/>
        <v>0</v>
      </c>
      <c r="Q1427" s="13" t="str">
        <f t="shared" si="90"/>
        <v/>
      </c>
      <c r="R1427" s="13" t="str">
        <f t="shared" si="91"/>
        <v>Non diskon</v>
      </c>
    </row>
    <row r="1428" spans="1:18" x14ac:dyDescent="0.25">
      <c r="A1428" s="13" t="s">
        <v>1440</v>
      </c>
      <c r="B1428" s="13" t="s">
        <v>2194</v>
      </c>
      <c r="C1428" s="13" t="s">
        <v>2199</v>
      </c>
      <c r="D1428" s="13" t="s">
        <v>2205</v>
      </c>
      <c r="E1428" s="13" t="s">
        <v>2210</v>
      </c>
      <c r="F1428" s="13" t="s">
        <v>2220</v>
      </c>
      <c r="G1428" s="13">
        <v>63.74</v>
      </c>
      <c r="H1428" s="13">
        <v>56.8</v>
      </c>
      <c r="I1428" s="13">
        <v>27.54</v>
      </c>
      <c r="J1428" s="24">
        <v>45875</v>
      </c>
      <c r="K1428" s="13">
        <v>15</v>
      </c>
      <c r="L1428" s="44">
        <v>4</v>
      </c>
      <c r="M1428" s="13" t="b">
        <v>0</v>
      </c>
      <c r="O1428" s="25">
        <f t="shared" si="88"/>
        <v>27</v>
      </c>
      <c r="P1428" s="13">
        <f t="shared" si="89"/>
        <v>852</v>
      </c>
      <c r="Q1428" s="13" t="str">
        <f t="shared" si="90"/>
        <v/>
      </c>
      <c r="R1428" s="13" t="str">
        <f t="shared" si="91"/>
        <v>Diskon</v>
      </c>
    </row>
    <row r="1429" spans="1:18" x14ac:dyDescent="0.25">
      <c r="A1429" s="13" t="s">
        <v>1441</v>
      </c>
      <c r="B1429" s="13" t="s">
        <v>2191</v>
      </c>
      <c r="C1429" s="13" t="s">
        <v>2196</v>
      </c>
      <c r="D1429" s="13" t="s">
        <v>2207</v>
      </c>
      <c r="E1429" s="13" t="s">
        <v>2208</v>
      </c>
      <c r="F1429" s="13" t="s">
        <v>2215</v>
      </c>
      <c r="G1429" s="13">
        <v>67.23</v>
      </c>
      <c r="H1429" s="13">
        <v>11.1</v>
      </c>
      <c r="I1429" s="13">
        <v>59.77</v>
      </c>
      <c r="J1429" s="24">
        <v>45875</v>
      </c>
      <c r="K1429" s="13">
        <v>39</v>
      </c>
      <c r="L1429" s="44">
        <v>1.1000000000000001</v>
      </c>
      <c r="M1429" s="13" t="b">
        <v>1</v>
      </c>
      <c r="N1429" s="13" t="s">
        <v>2230</v>
      </c>
      <c r="O1429" s="25">
        <f t="shared" si="88"/>
        <v>27</v>
      </c>
      <c r="P1429" s="13">
        <f t="shared" si="89"/>
        <v>432.9</v>
      </c>
      <c r="Q1429" s="13">
        <f t="shared" si="90"/>
        <v>1</v>
      </c>
      <c r="R1429" s="13" t="str">
        <f t="shared" si="91"/>
        <v>Diskon</v>
      </c>
    </row>
    <row r="1430" spans="1:18" x14ac:dyDescent="0.25">
      <c r="A1430" s="13" t="s">
        <v>1442</v>
      </c>
      <c r="B1430" s="13" t="s">
        <v>2192</v>
      </c>
      <c r="C1430" s="13" t="s">
        <v>2200</v>
      </c>
      <c r="D1430" s="13" t="s">
        <v>2204</v>
      </c>
      <c r="F1430" s="13" t="s">
        <v>2219</v>
      </c>
      <c r="G1430" s="13">
        <v>27.2</v>
      </c>
      <c r="H1430" s="13">
        <v>40.4</v>
      </c>
      <c r="I1430" s="13">
        <v>16.21</v>
      </c>
      <c r="J1430" s="24">
        <v>45523</v>
      </c>
      <c r="K1430" s="13">
        <v>20</v>
      </c>
      <c r="L1430" s="44">
        <v>4.3</v>
      </c>
      <c r="M1430" s="13" t="b">
        <v>0</v>
      </c>
      <c r="O1430" s="25">
        <f t="shared" si="88"/>
        <v>379</v>
      </c>
      <c r="P1430" s="13">
        <f t="shared" si="89"/>
        <v>808</v>
      </c>
      <c r="Q1430" s="13" t="str">
        <f t="shared" si="90"/>
        <v/>
      </c>
      <c r="R1430" s="13" t="str">
        <f t="shared" si="91"/>
        <v>Diskon</v>
      </c>
    </row>
    <row r="1431" spans="1:18" x14ac:dyDescent="0.25">
      <c r="A1431" s="13" t="s">
        <v>1443</v>
      </c>
      <c r="B1431" s="13" t="s">
        <v>2191</v>
      </c>
      <c r="C1431" s="13" t="s">
        <v>2199</v>
      </c>
      <c r="D1431" s="13" t="s">
        <v>2204</v>
      </c>
      <c r="E1431" s="13" t="s">
        <v>2208</v>
      </c>
      <c r="F1431" s="13" t="s">
        <v>2224</v>
      </c>
      <c r="G1431" s="13">
        <v>75.84</v>
      </c>
      <c r="H1431" s="13">
        <v>0</v>
      </c>
      <c r="I1431" s="13">
        <v>75.84</v>
      </c>
      <c r="J1431" s="24">
        <v>45754</v>
      </c>
      <c r="K1431" s="13">
        <v>8</v>
      </c>
      <c r="L1431" s="44">
        <v>4.0999999999999996</v>
      </c>
      <c r="M1431" s="13" t="b">
        <v>0</v>
      </c>
      <c r="O1431" s="25">
        <f t="shared" si="88"/>
        <v>148</v>
      </c>
      <c r="P1431" s="13">
        <f t="shared" si="89"/>
        <v>0</v>
      </c>
      <c r="Q1431" s="13" t="str">
        <f t="shared" si="90"/>
        <v/>
      </c>
      <c r="R1431" s="13" t="str">
        <f t="shared" si="91"/>
        <v>Non diskon</v>
      </c>
    </row>
    <row r="1432" spans="1:18" x14ac:dyDescent="0.25">
      <c r="A1432" s="13" t="s">
        <v>1444</v>
      </c>
      <c r="B1432" s="13" t="s">
        <v>2195</v>
      </c>
      <c r="C1432" s="13" t="s">
        <v>2199</v>
      </c>
      <c r="D1432" s="13" t="s">
        <v>2205</v>
      </c>
      <c r="E1432" s="13" t="s">
        <v>2213</v>
      </c>
      <c r="F1432" s="13" t="s">
        <v>2222</v>
      </c>
      <c r="G1432" s="13">
        <v>68.510000000000005</v>
      </c>
      <c r="H1432" s="13">
        <v>0</v>
      </c>
      <c r="I1432" s="13">
        <v>68.510000000000005</v>
      </c>
      <c r="J1432" s="24">
        <v>45875</v>
      </c>
      <c r="K1432" s="13">
        <v>1</v>
      </c>
      <c r="L1432" s="44">
        <v>2.6</v>
      </c>
      <c r="M1432" s="13" t="b">
        <v>0</v>
      </c>
      <c r="O1432" s="25">
        <f t="shared" si="88"/>
        <v>27</v>
      </c>
      <c r="P1432" s="13">
        <f t="shared" si="89"/>
        <v>0</v>
      </c>
      <c r="Q1432" s="13" t="str">
        <f t="shared" si="90"/>
        <v/>
      </c>
      <c r="R1432" s="13" t="str">
        <f t="shared" si="91"/>
        <v>Non diskon</v>
      </c>
    </row>
    <row r="1433" spans="1:18" x14ac:dyDescent="0.25">
      <c r="A1433" s="13" t="s">
        <v>1445</v>
      </c>
      <c r="B1433" s="13" t="s">
        <v>2192</v>
      </c>
      <c r="C1433" s="13" t="s">
        <v>2199</v>
      </c>
      <c r="D1433" s="13" t="s">
        <v>2207</v>
      </c>
      <c r="F1433" s="13" t="s">
        <v>2223</v>
      </c>
      <c r="G1433" s="13">
        <v>25.49</v>
      </c>
      <c r="H1433" s="13">
        <v>0</v>
      </c>
      <c r="I1433" s="13">
        <v>25.49</v>
      </c>
      <c r="J1433" s="24">
        <v>45875</v>
      </c>
      <c r="K1433" s="13">
        <v>35</v>
      </c>
      <c r="L1433" s="44">
        <v>2.2000000000000002</v>
      </c>
      <c r="M1433" s="13" t="b">
        <v>1</v>
      </c>
      <c r="N1433" s="13" t="s">
        <v>2226</v>
      </c>
      <c r="O1433" s="25">
        <f t="shared" si="88"/>
        <v>27</v>
      </c>
      <c r="P1433" s="13">
        <f t="shared" si="89"/>
        <v>0</v>
      </c>
      <c r="Q1433" s="13">
        <f t="shared" si="90"/>
        <v>1</v>
      </c>
      <c r="R1433" s="13" t="str">
        <f t="shared" si="91"/>
        <v>Non diskon</v>
      </c>
    </row>
    <row r="1434" spans="1:18" x14ac:dyDescent="0.25">
      <c r="A1434" s="13" t="s">
        <v>1446</v>
      </c>
      <c r="B1434" s="13" t="s">
        <v>2191</v>
      </c>
      <c r="C1434" s="13" t="s">
        <v>2201</v>
      </c>
      <c r="D1434" s="13" t="s">
        <v>2206</v>
      </c>
      <c r="E1434" s="13" t="s">
        <v>2212</v>
      </c>
      <c r="F1434" s="13" t="s">
        <v>2214</v>
      </c>
      <c r="G1434" s="13">
        <v>70.88</v>
      </c>
      <c r="H1434" s="13">
        <v>0</v>
      </c>
      <c r="I1434" s="13">
        <v>70.88</v>
      </c>
      <c r="J1434" s="24">
        <v>45875</v>
      </c>
      <c r="K1434" s="13">
        <v>5</v>
      </c>
      <c r="L1434" s="44">
        <v>2.2999999999999998</v>
      </c>
      <c r="M1434" s="13" t="b">
        <v>0</v>
      </c>
      <c r="O1434" s="25">
        <f t="shared" si="88"/>
        <v>27</v>
      </c>
      <c r="P1434" s="13">
        <f t="shared" si="89"/>
        <v>0</v>
      </c>
      <c r="Q1434" s="13" t="str">
        <f t="shared" si="90"/>
        <v/>
      </c>
      <c r="R1434" s="13" t="str">
        <f t="shared" si="91"/>
        <v>Non diskon</v>
      </c>
    </row>
    <row r="1435" spans="1:18" x14ac:dyDescent="0.25">
      <c r="A1435" s="13" t="s">
        <v>1447</v>
      </c>
      <c r="B1435" s="13" t="s">
        <v>2193</v>
      </c>
      <c r="C1435" s="13" t="s">
        <v>2200</v>
      </c>
      <c r="D1435" s="13" t="s">
        <v>2207</v>
      </c>
      <c r="E1435" s="13" t="s">
        <v>2212</v>
      </c>
      <c r="F1435" s="13" t="s">
        <v>2217</v>
      </c>
      <c r="G1435" s="13">
        <v>176.64</v>
      </c>
      <c r="H1435" s="13">
        <v>8.8000000000000007</v>
      </c>
      <c r="I1435" s="13">
        <v>161.1</v>
      </c>
      <c r="J1435" s="24">
        <v>45875</v>
      </c>
      <c r="K1435" s="13">
        <v>1</v>
      </c>
      <c r="L1435" s="44">
        <v>1.7</v>
      </c>
      <c r="M1435" s="13" t="b">
        <v>0</v>
      </c>
      <c r="O1435" s="25">
        <f t="shared" si="88"/>
        <v>27</v>
      </c>
      <c r="P1435" s="13">
        <f t="shared" si="89"/>
        <v>8.8000000000000007</v>
      </c>
      <c r="Q1435" s="13" t="str">
        <f t="shared" si="90"/>
        <v/>
      </c>
      <c r="R1435" s="13" t="str">
        <f t="shared" si="91"/>
        <v>Diskon</v>
      </c>
    </row>
    <row r="1436" spans="1:18" x14ac:dyDescent="0.25">
      <c r="A1436" s="13" t="s">
        <v>1448</v>
      </c>
      <c r="B1436" s="13" t="s">
        <v>2195</v>
      </c>
      <c r="C1436" s="13" t="s">
        <v>2201</v>
      </c>
      <c r="D1436" s="13" t="s">
        <v>2205</v>
      </c>
      <c r="E1436" s="13" t="s">
        <v>2209</v>
      </c>
      <c r="F1436" s="13" t="s">
        <v>2214</v>
      </c>
      <c r="G1436" s="13">
        <v>50.76</v>
      </c>
      <c r="H1436" s="13">
        <v>0</v>
      </c>
      <c r="I1436" s="13">
        <v>50.76</v>
      </c>
      <c r="J1436" s="24">
        <v>45875</v>
      </c>
      <c r="K1436" s="13">
        <v>45</v>
      </c>
      <c r="L1436" s="44">
        <v>4.3</v>
      </c>
      <c r="M1436" s="13" t="b">
        <v>0</v>
      </c>
      <c r="O1436" s="25">
        <f t="shared" si="88"/>
        <v>27</v>
      </c>
      <c r="P1436" s="13">
        <f t="shared" si="89"/>
        <v>0</v>
      </c>
      <c r="Q1436" s="13" t="str">
        <f t="shared" si="90"/>
        <v/>
      </c>
      <c r="R1436" s="13" t="str">
        <f t="shared" si="91"/>
        <v>Non diskon</v>
      </c>
    </row>
    <row r="1437" spans="1:18" x14ac:dyDescent="0.25">
      <c r="A1437" s="13" t="s">
        <v>1449</v>
      </c>
      <c r="B1437" s="13" t="s">
        <v>2193</v>
      </c>
      <c r="C1437" s="13" t="s">
        <v>2199</v>
      </c>
      <c r="D1437" s="13" t="s">
        <v>2206</v>
      </c>
      <c r="E1437" s="13" t="s">
        <v>2208</v>
      </c>
      <c r="F1437" s="13" t="s">
        <v>2215</v>
      </c>
      <c r="G1437" s="13">
        <v>155.85</v>
      </c>
      <c r="H1437" s="13">
        <v>0</v>
      </c>
      <c r="I1437" s="13">
        <v>155.85</v>
      </c>
      <c r="J1437" s="24">
        <v>45875</v>
      </c>
      <c r="K1437" s="13">
        <v>1</v>
      </c>
      <c r="L1437" s="44">
        <v>3.5</v>
      </c>
      <c r="M1437" s="13" t="b">
        <v>0</v>
      </c>
      <c r="O1437" s="25">
        <f t="shared" si="88"/>
        <v>27</v>
      </c>
      <c r="P1437" s="13">
        <f t="shared" si="89"/>
        <v>0</v>
      </c>
      <c r="Q1437" s="13" t="str">
        <f t="shared" si="90"/>
        <v/>
      </c>
      <c r="R1437" s="13" t="str">
        <f t="shared" si="91"/>
        <v>Non diskon</v>
      </c>
    </row>
    <row r="1438" spans="1:18" x14ac:dyDescent="0.25">
      <c r="A1438" s="13" t="s">
        <v>1450</v>
      </c>
      <c r="B1438" s="13" t="s">
        <v>2195</v>
      </c>
      <c r="C1438" s="13" t="s">
        <v>2198</v>
      </c>
      <c r="D1438" s="13" t="s">
        <v>2204</v>
      </c>
      <c r="E1438" s="13" t="s">
        <v>2208</v>
      </c>
      <c r="F1438" s="13" t="s">
        <v>2219</v>
      </c>
      <c r="G1438" s="13">
        <v>48.04</v>
      </c>
      <c r="H1438" s="13">
        <v>0</v>
      </c>
      <c r="I1438" s="13">
        <v>48.04</v>
      </c>
      <c r="J1438" s="24">
        <v>45778</v>
      </c>
      <c r="K1438" s="13">
        <v>20</v>
      </c>
      <c r="L1438" s="44">
        <v>3.2</v>
      </c>
      <c r="M1438" s="13" t="b">
        <v>0</v>
      </c>
      <c r="O1438" s="25">
        <f t="shared" si="88"/>
        <v>124</v>
      </c>
      <c r="P1438" s="13">
        <f t="shared" si="89"/>
        <v>0</v>
      </c>
      <c r="Q1438" s="13" t="str">
        <f t="shared" si="90"/>
        <v/>
      </c>
      <c r="R1438" s="13" t="str">
        <f t="shared" si="91"/>
        <v>Non diskon</v>
      </c>
    </row>
    <row r="1439" spans="1:18" x14ac:dyDescent="0.25">
      <c r="A1439" s="13" t="s">
        <v>1451</v>
      </c>
      <c r="B1439" s="13" t="s">
        <v>2191</v>
      </c>
      <c r="C1439" s="13" t="s">
        <v>2203</v>
      </c>
      <c r="D1439" s="13" t="s">
        <v>2204</v>
      </c>
      <c r="E1439" s="13" t="s">
        <v>2212</v>
      </c>
      <c r="F1439" s="13" t="s">
        <v>2222</v>
      </c>
      <c r="G1439" s="13">
        <v>44.79</v>
      </c>
      <c r="H1439" s="13">
        <v>0</v>
      </c>
      <c r="I1439" s="13">
        <v>44.79</v>
      </c>
      <c r="J1439" s="24">
        <v>45676</v>
      </c>
      <c r="K1439" s="13">
        <v>7</v>
      </c>
      <c r="L1439" s="44">
        <v>3.6</v>
      </c>
      <c r="M1439" s="13" t="b">
        <v>0</v>
      </c>
      <c r="O1439" s="25">
        <f t="shared" si="88"/>
        <v>226</v>
      </c>
      <c r="P1439" s="13">
        <f t="shared" si="89"/>
        <v>0</v>
      </c>
      <c r="Q1439" s="13" t="str">
        <f t="shared" si="90"/>
        <v/>
      </c>
      <c r="R1439" s="13" t="str">
        <f t="shared" si="91"/>
        <v>Non diskon</v>
      </c>
    </row>
    <row r="1440" spans="1:18" x14ac:dyDescent="0.25">
      <c r="A1440" s="13" t="s">
        <v>1452</v>
      </c>
      <c r="B1440" s="13" t="s">
        <v>2191</v>
      </c>
      <c r="C1440" s="13" t="s">
        <v>2197</v>
      </c>
      <c r="D1440" s="13" t="s">
        <v>2204</v>
      </c>
      <c r="E1440" s="13" t="s">
        <v>2212</v>
      </c>
      <c r="F1440" s="13" t="s">
        <v>2219</v>
      </c>
      <c r="G1440" s="13">
        <v>76.95</v>
      </c>
      <c r="H1440" s="13">
        <v>0</v>
      </c>
      <c r="I1440" s="13">
        <v>76.95</v>
      </c>
      <c r="J1440" s="24">
        <v>45669</v>
      </c>
      <c r="K1440" s="13">
        <v>9</v>
      </c>
      <c r="L1440" s="44">
        <v>2.5</v>
      </c>
      <c r="M1440" s="13" t="b">
        <v>0</v>
      </c>
      <c r="O1440" s="25">
        <f t="shared" si="88"/>
        <v>233</v>
      </c>
      <c r="P1440" s="13">
        <f t="shared" si="89"/>
        <v>0</v>
      </c>
      <c r="Q1440" s="13" t="str">
        <f t="shared" si="90"/>
        <v/>
      </c>
      <c r="R1440" s="13" t="str">
        <f t="shared" si="91"/>
        <v>Non diskon</v>
      </c>
    </row>
    <row r="1441" spans="1:18" x14ac:dyDescent="0.25">
      <c r="A1441" s="13" t="s">
        <v>1453</v>
      </c>
      <c r="B1441" s="13" t="s">
        <v>2192</v>
      </c>
      <c r="C1441" s="13" t="s">
        <v>2202</v>
      </c>
      <c r="D1441" s="13" t="s">
        <v>2207</v>
      </c>
      <c r="F1441" s="13" t="s">
        <v>2218</v>
      </c>
      <c r="G1441" s="13">
        <v>35.93</v>
      </c>
      <c r="H1441" s="13">
        <v>49.9</v>
      </c>
      <c r="I1441" s="13">
        <v>18</v>
      </c>
      <c r="J1441" s="24">
        <v>45875</v>
      </c>
      <c r="K1441" s="13">
        <v>26</v>
      </c>
      <c r="L1441" s="44">
        <v>4</v>
      </c>
      <c r="M1441" s="13" t="b">
        <v>0</v>
      </c>
      <c r="O1441" s="25">
        <f t="shared" si="88"/>
        <v>27</v>
      </c>
      <c r="P1441" s="13">
        <f t="shared" si="89"/>
        <v>1297.3999999999999</v>
      </c>
      <c r="Q1441" s="13" t="str">
        <f t="shared" si="90"/>
        <v/>
      </c>
      <c r="R1441" s="13" t="str">
        <f t="shared" si="91"/>
        <v>Diskon</v>
      </c>
    </row>
    <row r="1442" spans="1:18" x14ac:dyDescent="0.25">
      <c r="A1442" s="13" t="s">
        <v>1454</v>
      </c>
      <c r="B1442" s="13" t="s">
        <v>2194</v>
      </c>
      <c r="C1442" s="13" t="s">
        <v>2198</v>
      </c>
      <c r="D1442" s="13" t="s">
        <v>2206</v>
      </c>
      <c r="E1442" s="13" t="s">
        <v>2208</v>
      </c>
      <c r="F1442" s="13" t="s">
        <v>2214</v>
      </c>
      <c r="G1442" s="13">
        <v>49.97</v>
      </c>
      <c r="H1442" s="13">
        <v>0</v>
      </c>
      <c r="I1442" s="13">
        <v>49.97</v>
      </c>
      <c r="J1442" s="24">
        <v>45875</v>
      </c>
      <c r="K1442" s="13">
        <v>11</v>
      </c>
      <c r="L1442" s="44">
        <v>3.5</v>
      </c>
      <c r="M1442" s="13" t="b">
        <v>1</v>
      </c>
      <c r="N1442" s="13" t="s">
        <v>2228</v>
      </c>
      <c r="O1442" s="25">
        <f t="shared" si="88"/>
        <v>27</v>
      </c>
      <c r="P1442" s="13">
        <f t="shared" si="89"/>
        <v>0</v>
      </c>
      <c r="Q1442" s="13">
        <f t="shared" si="90"/>
        <v>1</v>
      </c>
      <c r="R1442" s="13" t="str">
        <f t="shared" si="91"/>
        <v>Non diskon</v>
      </c>
    </row>
    <row r="1443" spans="1:18" x14ac:dyDescent="0.25">
      <c r="A1443" s="13" t="s">
        <v>1455</v>
      </c>
      <c r="B1443" s="13" t="s">
        <v>2190</v>
      </c>
      <c r="C1443" s="13" t="s">
        <v>2200</v>
      </c>
      <c r="D1443" s="13" t="s">
        <v>2207</v>
      </c>
      <c r="F1443" s="13" t="s">
        <v>2216</v>
      </c>
      <c r="G1443" s="13">
        <v>169.69</v>
      </c>
      <c r="H1443" s="13">
        <v>0</v>
      </c>
      <c r="I1443" s="13">
        <v>169.69</v>
      </c>
      <c r="J1443" s="24">
        <v>45875</v>
      </c>
      <c r="K1443" s="13">
        <v>29</v>
      </c>
      <c r="L1443" s="44">
        <v>1.9</v>
      </c>
      <c r="M1443" s="13" t="b">
        <v>0</v>
      </c>
      <c r="O1443" s="25">
        <f t="shared" si="88"/>
        <v>27</v>
      </c>
      <c r="P1443" s="13">
        <f t="shared" si="89"/>
        <v>0</v>
      </c>
      <c r="Q1443" s="13" t="str">
        <f t="shared" si="90"/>
        <v/>
      </c>
      <c r="R1443" s="13" t="str">
        <f t="shared" si="91"/>
        <v>Non diskon</v>
      </c>
    </row>
    <row r="1444" spans="1:18" x14ac:dyDescent="0.25">
      <c r="A1444" s="13" t="s">
        <v>1456</v>
      </c>
      <c r="B1444" s="13" t="s">
        <v>2190</v>
      </c>
      <c r="C1444" s="13" t="s">
        <v>2201</v>
      </c>
      <c r="D1444" s="13" t="s">
        <v>2204</v>
      </c>
      <c r="F1444" s="13" t="s">
        <v>2217</v>
      </c>
      <c r="G1444" s="13">
        <v>209.3</v>
      </c>
      <c r="H1444" s="13">
        <v>14.2</v>
      </c>
      <c r="I1444" s="13">
        <v>179.58</v>
      </c>
      <c r="J1444" s="24">
        <v>45721</v>
      </c>
      <c r="K1444" s="13">
        <v>29</v>
      </c>
      <c r="L1444" s="44">
        <v>3.0305555555555546</v>
      </c>
      <c r="M1444" s="13" t="b">
        <v>0</v>
      </c>
      <c r="O1444" s="25">
        <f t="shared" si="88"/>
        <v>181</v>
      </c>
      <c r="P1444" s="13">
        <f t="shared" si="89"/>
        <v>411.79999999999995</v>
      </c>
      <c r="Q1444" s="13" t="str">
        <f t="shared" si="90"/>
        <v/>
      </c>
      <c r="R1444" s="13" t="str">
        <f t="shared" si="91"/>
        <v>Diskon</v>
      </c>
    </row>
    <row r="1445" spans="1:18" x14ac:dyDescent="0.25">
      <c r="A1445" s="13" t="s">
        <v>1457</v>
      </c>
      <c r="B1445" s="13" t="s">
        <v>2191</v>
      </c>
      <c r="C1445" s="13" t="s">
        <v>2202</v>
      </c>
      <c r="D1445" s="13" t="s">
        <v>2207</v>
      </c>
      <c r="E1445" s="13" t="s">
        <v>2211</v>
      </c>
      <c r="F1445" s="13" t="s">
        <v>2215</v>
      </c>
      <c r="G1445" s="13">
        <v>110.81</v>
      </c>
      <c r="H1445" s="13">
        <v>0</v>
      </c>
      <c r="I1445" s="13">
        <v>110.81</v>
      </c>
      <c r="J1445" s="24">
        <v>45875</v>
      </c>
      <c r="K1445" s="13">
        <v>24</v>
      </c>
      <c r="L1445" s="44">
        <v>2.4</v>
      </c>
      <c r="M1445" s="13" t="b">
        <v>0</v>
      </c>
      <c r="O1445" s="25">
        <f t="shared" si="88"/>
        <v>27</v>
      </c>
      <c r="P1445" s="13">
        <f t="shared" si="89"/>
        <v>0</v>
      </c>
      <c r="Q1445" s="13" t="str">
        <f t="shared" si="90"/>
        <v/>
      </c>
      <c r="R1445" s="13" t="str">
        <f t="shared" si="91"/>
        <v>Non diskon</v>
      </c>
    </row>
    <row r="1446" spans="1:18" x14ac:dyDescent="0.25">
      <c r="A1446" s="13" t="s">
        <v>1458</v>
      </c>
      <c r="B1446" s="13" t="s">
        <v>2192</v>
      </c>
      <c r="C1446" s="13" t="s">
        <v>2197</v>
      </c>
      <c r="D1446" s="13" t="s">
        <v>2206</v>
      </c>
      <c r="F1446" s="13" t="s">
        <v>2216</v>
      </c>
      <c r="G1446" s="13">
        <v>61.84</v>
      </c>
      <c r="H1446" s="13">
        <v>0</v>
      </c>
      <c r="I1446" s="13">
        <v>61.84</v>
      </c>
      <c r="J1446" s="24">
        <v>45875</v>
      </c>
      <c r="K1446" s="13">
        <v>0</v>
      </c>
      <c r="L1446" s="44">
        <v>4.7</v>
      </c>
      <c r="M1446" s="13" t="b">
        <v>1</v>
      </c>
      <c r="N1446" s="13" t="s">
        <v>2230</v>
      </c>
      <c r="O1446" s="25">
        <f t="shared" si="88"/>
        <v>27</v>
      </c>
      <c r="P1446" s="13">
        <f t="shared" si="89"/>
        <v>0</v>
      </c>
      <c r="Q1446" s="13">
        <f t="shared" si="90"/>
        <v>1</v>
      </c>
      <c r="R1446" s="13" t="str">
        <f t="shared" si="91"/>
        <v>Non diskon</v>
      </c>
    </row>
    <row r="1447" spans="1:18" x14ac:dyDescent="0.25">
      <c r="A1447" s="13" t="s">
        <v>1459</v>
      </c>
      <c r="B1447" s="13" t="s">
        <v>2190</v>
      </c>
      <c r="C1447" s="13" t="s">
        <v>2196</v>
      </c>
      <c r="D1447" s="13" t="s">
        <v>2204</v>
      </c>
      <c r="E1447" s="13" t="s">
        <v>2210</v>
      </c>
      <c r="F1447" s="13" t="s">
        <v>2224</v>
      </c>
      <c r="G1447" s="13">
        <v>190.03</v>
      </c>
      <c r="H1447" s="13">
        <v>14.9</v>
      </c>
      <c r="I1447" s="13">
        <v>161.72</v>
      </c>
      <c r="J1447" s="24">
        <v>45862</v>
      </c>
      <c r="K1447" s="13">
        <v>35</v>
      </c>
      <c r="L1447" s="44">
        <v>4.0999999999999996</v>
      </c>
      <c r="M1447" s="13" t="b">
        <v>0</v>
      </c>
      <c r="O1447" s="25">
        <f t="shared" si="88"/>
        <v>40</v>
      </c>
      <c r="P1447" s="13">
        <f t="shared" si="89"/>
        <v>521.5</v>
      </c>
      <c r="Q1447" s="13" t="str">
        <f t="shared" si="90"/>
        <v/>
      </c>
      <c r="R1447" s="13" t="str">
        <f t="shared" si="91"/>
        <v>Diskon</v>
      </c>
    </row>
    <row r="1448" spans="1:18" x14ac:dyDescent="0.25">
      <c r="A1448" s="13" t="s">
        <v>1460</v>
      </c>
      <c r="B1448" s="13" t="s">
        <v>2194</v>
      </c>
      <c r="C1448" s="13" t="s">
        <v>2198</v>
      </c>
      <c r="D1448" s="13" t="s">
        <v>2206</v>
      </c>
      <c r="E1448" s="13" t="s">
        <v>2212</v>
      </c>
      <c r="F1448" s="13" t="s">
        <v>2214</v>
      </c>
      <c r="G1448" s="13">
        <v>74.27</v>
      </c>
      <c r="H1448" s="13">
        <v>0</v>
      </c>
      <c r="I1448" s="13">
        <v>74.27</v>
      </c>
      <c r="J1448" s="24">
        <v>45875</v>
      </c>
      <c r="K1448" s="13">
        <v>6</v>
      </c>
      <c r="L1448" s="44">
        <v>1.3</v>
      </c>
      <c r="M1448" s="13" t="b">
        <v>0</v>
      </c>
      <c r="O1448" s="25">
        <f t="shared" si="88"/>
        <v>27</v>
      </c>
      <c r="P1448" s="13">
        <f t="shared" si="89"/>
        <v>0</v>
      </c>
      <c r="Q1448" s="13" t="str">
        <f t="shared" si="90"/>
        <v/>
      </c>
      <c r="R1448" s="13" t="str">
        <f t="shared" si="91"/>
        <v>Non diskon</v>
      </c>
    </row>
    <row r="1449" spans="1:18" x14ac:dyDescent="0.25">
      <c r="A1449" s="13" t="s">
        <v>1461</v>
      </c>
      <c r="B1449" s="13" t="s">
        <v>2190</v>
      </c>
      <c r="C1449" s="13" t="s">
        <v>2196</v>
      </c>
      <c r="D1449" s="13" t="s">
        <v>2206</v>
      </c>
      <c r="E1449" s="13" t="s">
        <v>2208</v>
      </c>
      <c r="F1449" s="13" t="s">
        <v>2221</v>
      </c>
      <c r="G1449" s="13">
        <v>163.77000000000001</v>
      </c>
      <c r="H1449" s="13">
        <v>30.5</v>
      </c>
      <c r="I1449" s="13">
        <v>113.82</v>
      </c>
      <c r="J1449" s="24">
        <v>45875</v>
      </c>
      <c r="K1449" s="13">
        <v>10</v>
      </c>
      <c r="L1449" s="44">
        <v>2.7030303030303036</v>
      </c>
      <c r="M1449" s="13" t="b">
        <v>0</v>
      </c>
      <c r="O1449" s="25">
        <f t="shared" si="88"/>
        <v>27</v>
      </c>
      <c r="P1449" s="13">
        <f t="shared" si="89"/>
        <v>305</v>
      </c>
      <c r="Q1449" s="13" t="str">
        <f t="shared" si="90"/>
        <v/>
      </c>
      <c r="R1449" s="13" t="str">
        <f t="shared" si="91"/>
        <v>Diskon</v>
      </c>
    </row>
    <row r="1450" spans="1:18" x14ac:dyDescent="0.25">
      <c r="A1450" s="13" t="s">
        <v>1462</v>
      </c>
      <c r="B1450" s="13" t="s">
        <v>2192</v>
      </c>
      <c r="C1450" s="13" t="s">
        <v>2199</v>
      </c>
      <c r="D1450" s="13" t="s">
        <v>2205</v>
      </c>
      <c r="F1450" s="13" t="s">
        <v>2223</v>
      </c>
      <c r="G1450" s="13">
        <v>42.28</v>
      </c>
      <c r="H1450" s="13">
        <v>0</v>
      </c>
      <c r="I1450" s="13">
        <v>42.28</v>
      </c>
      <c r="J1450" s="24">
        <v>45875</v>
      </c>
      <c r="K1450" s="13">
        <v>22</v>
      </c>
      <c r="L1450" s="44">
        <v>1.9</v>
      </c>
      <c r="M1450" s="13" t="b">
        <v>0</v>
      </c>
      <c r="O1450" s="25">
        <f t="shared" si="88"/>
        <v>27</v>
      </c>
      <c r="P1450" s="13">
        <f t="shared" si="89"/>
        <v>0</v>
      </c>
      <c r="Q1450" s="13" t="str">
        <f t="shared" si="90"/>
        <v/>
      </c>
      <c r="R1450" s="13" t="str">
        <f t="shared" si="91"/>
        <v>Non diskon</v>
      </c>
    </row>
    <row r="1451" spans="1:18" x14ac:dyDescent="0.25">
      <c r="A1451" s="13" t="s">
        <v>1463</v>
      </c>
      <c r="B1451" s="13" t="s">
        <v>2194</v>
      </c>
      <c r="C1451" s="13" t="s">
        <v>2200</v>
      </c>
      <c r="D1451" s="13" t="s">
        <v>2207</v>
      </c>
      <c r="E1451" s="13" t="s">
        <v>2212</v>
      </c>
      <c r="F1451" s="13" t="s">
        <v>2222</v>
      </c>
      <c r="G1451" s="13">
        <v>52.92</v>
      </c>
      <c r="H1451" s="13">
        <v>0</v>
      </c>
      <c r="I1451" s="13">
        <v>52.92</v>
      </c>
      <c r="J1451" s="24">
        <v>45875</v>
      </c>
      <c r="K1451" s="13">
        <v>9</v>
      </c>
      <c r="L1451" s="44">
        <v>3.0659090909090896</v>
      </c>
      <c r="M1451" s="13" t="b">
        <v>0</v>
      </c>
      <c r="O1451" s="25">
        <f t="shared" si="88"/>
        <v>27</v>
      </c>
      <c r="P1451" s="13">
        <f t="shared" si="89"/>
        <v>0</v>
      </c>
      <c r="Q1451" s="13" t="str">
        <f t="shared" si="90"/>
        <v/>
      </c>
      <c r="R1451" s="13" t="str">
        <f t="shared" si="91"/>
        <v>Non diskon</v>
      </c>
    </row>
    <row r="1452" spans="1:18" x14ac:dyDescent="0.25">
      <c r="A1452" s="13" t="s">
        <v>1464</v>
      </c>
      <c r="B1452" s="13" t="s">
        <v>2192</v>
      </c>
      <c r="C1452" s="13" t="s">
        <v>2201</v>
      </c>
      <c r="D1452" s="13" t="s">
        <v>2204</v>
      </c>
      <c r="F1452" s="13" t="s">
        <v>2216</v>
      </c>
      <c r="G1452" s="13">
        <v>40.549999999999997</v>
      </c>
      <c r="H1452" s="13">
        <v>6.2</v>
      </c>
      <c r="I1452" s="13">
        <v>38.04</v>
      </c>
      <c r="J1452" s="24">
        <v>45544</v>
      </c>
      <c r="K1452" s="13">
        <v>26</v>
      </c>
      <c r="L1452" s="44">
        <v>3.7</v>
      </c>
      <c r="M1452" s="13" t="b">
        <v>1</v>
      </c>
      <c r="N1452" s="13" t="s">
        <v>2230</v>
      </c>
      <c r="O1452" s="25">
        <f t="shared" si="88"/>
        <v>358</v>
      </c>
      <c r="P1452" s="13">
        <f t="shared" si="89"/>
        <v>161.20000000000002</v>
      </c>
      <c r="Q1452" s="13">
        <f t="shared" si="90"/>
        <v>1</v>
      </c>
      <c r="R1452" s="13" t="str">
        <f t="shared" si="91"/>
        <v>Diskon</v>
      </c>
    </row>
    <row r="1453" spans="1:18" x14ac:dyDescent="0.25">
      <c r="A1453" s="13" t="s">
        <v>1465</v>
      </c>
      <c r="B1453" s="13" t="s">
        <v>2193</v>
      </c>
      <c r="C1453" s="13" t="s">
        <v>2199</v>
      </c>
      <c r="D1453" s="13" t="s">
        <v>2207</v>
      </c>
      <c r="E1453" s="13" t="s">
        <v>2211</v>
      </c>
      <c r="F1453" s="13" t="s">
        <v>2216</v>
      </c>
      <c r="G1453" s="13">
        <v>129.76</v>
      </c>
      <c r="H1453" s="13">
        <v>0</v>
      </c>
      <c r="I1453" s="13">
        <v>129.76</v>
      </c>
      <c r="J1453" s="24">
        <v>45875</v>
      </c>
      <c r="K1453" s="13">
        <v>39</v>
      </c>
      <c r="L1453" s="44">
        <v>2.9</v>
      </c>
      <c r="M1453" s="13" t="b">
        <v>0</v>
      </c>
      <c r="O1453" s="25">
        <f t="shared" si="88"/>
        <v>27</v>
      </c>
      <c r="P1453" s="13">
        <f t="shared" si="89"/>
        <v>0</v>
      </c>
      <c r="Q1453" s="13" t="str">
        <f t="shared" si="90"/>
        <v/>
      </c>
      <c r="R1453" s="13" t="str">
        <f t="shared" si="91"/>
        <v>Non diskon</v>
      </c>
    </row>
    <row r="1454" spans="1:18" x14ac:dyDescent="0.25">
      <c r="A1454" s="13" t="s">
        <v>1466</v>
      </c>
      <c r="B1454" s="13" t="s">
        <v>2191</v>
      </c>
      <c r="C1454" s="13" t="s">
        <v>2201</v>
      </c>
      <c r="D1454" s="13" t="s">
        <v>2206</v>
      </c>
      <c r="E1454" s="13" t="s">
        <v>2208</v>
      </c>
      <c r="F1454" s="13" t="s">
        <v>2223</v>
      </c>
      <c r="G1454" s="13">
        <v>63.39</v>
      </c>
      <c r="H1454" s="13">
        <v>0</v>
      </c>
      <c r="I1454" s="13">
        <v>63.39</v>
      </c>
      <c r="J1454" s="24">
        <v>45875</v>
      </c>
      <c r="K1454" s="13">
        <v>50</v>
      </c>
      <c r="L1454" s="44">
        <v>2.5</v>
      </c>
      <c r="M1454" s="13" t="b">
        <v>0</v>
      </c>
      <c r="O1454" s="25">
        <f t="shared" si="88"/>
        <v>27</v>
      </c>
      <c r="P1454" s="13">
        <f t="shared" si="89"/>
        <v>0</v>
      </c>
      <c r="Q1454" s="13" t="str">
        <f t="shared" si="90"/>
        <v/>
      </c>
      <c r="R1454" s="13" t="str">
        <f t="shared" si="91"/>
        <v>Non diskon</v>
      </c>
    </row>
    <row r="1455" spans="1:18" x14ac:dyDescent="0.25">
      <c r="A1455" s="13" t="s">
        <v>1467</v>
      </c>
      <c r="B1455" s="13" t="s">
        <v>2193</v>
      </c>
      <c r="C1455" s="13" t="s">
        <v>2200</v>
      </c>
      <c r="D1455" s="13" t="s">
        <v>2206</v>
      </c>
      <c r="E1455" s="13" t="s">
        <v>2210</v>
      </c>
      <c r="F1455" s="13" t="s">
        <v>2222</v>
      </c>
      <c r="G1455" s="13">
        <v>191.94</v>
      </c>
      <c r="H1455" s="13">
        <v>1.3</v>
      </c>
      <c r="I1455" s="13">
        <v>189.44</v>
      </c>
      <c r="J1455" s="24">
        <v>45875</v>
      </c>
      <c r="K1455" s="13">
        <v>39</v>
      </c>
      <c r="L1455" s="44">
        <v>1.2</v>
      </c>
      <c r="M1455" s="13" t="b">
        <v>0</v>
      </c>
      <c r="O1455" s="25">
        <f t="shared" si="88"/>
        <v>27</v>
      </c>
      <c r="P1455" s="13">
        <f t="shared" si="89"/>
        <v>50.7</v>
      </c>
      <c r="Q1455" s="13" t="str">
        <f t="shared" si="90"/>
        <v/>
      </c>
      <c r="R1455" s="13" t="str">
        <f t="shared" si="91"/>
        <v>Diskon</v>
      </c>
    </row>
    <row r="1456" spans="1:18" x14ac:dyDescent="0.25">
      <c r="A1456" s="13" t="s">
        <v>1468</v>
      </c>
      <c r="B1456" s="13" t="s">
        <v>2192</v>
      </c>
      <c r="C1456" s="13" t="s">
        <v>2197</v>
      </c>
      <c r="D1456" s="13" t="s">
        <v>2204</v>
      </c>
      <c r="F1456" s="13" t="s">
        <v>2223</v>
      </c>
      <c r="G1456" s="13">
        <v>63.42</v>
      </c>
      <c r="H1456" s="13">
        <v>0</v>
      </c>
      <c r="I1456" s="13">
        <v>63.42</v>
      </c>
      <c r="J1456" s="24">
        <v>45608</v>
      </c>
      <c r="K1456" s="13">
        <v>19</v>
      </c>
      <c r="L1456" s="44">
        <v>2.9</v>
      </c>
      <c r="M1456" s="13" t="b">
        <v>1</v>
      </c>
      <c r="N1456" s="13" t="s">
        <v>2225</v>
      </c>
      <c r="O1456" s="25">
        <f t="shared" si="88"/>
        <v>294</v>
      </c>
      <c r="P1456" s="13">
        <f t="shared" si="89"/>
        <v>0</v>
      </c>
      <c r="Q1456" s="13">
        <f t="shared" si="90"/>
        <v>1</v>
      </c>
      <c r="R1456" s="13" t="str">
        <f t="shared" si="91"/>
        <v>Non diskon</v>
      </c>
    </row>
    <row r="1457" spans="1:18" x14ac:dyDescent="0.25">
      <c r="A1457" s="13" t="s">
        <v>1469</v>
      </c>
      <c r="B1457" s="13" t="s">
        <v>2191</v>
      </c>
      <c r="C1457" s="13" t="s">
        <v>2201</v>
      </c>
      <c r="D1457" s="13" t="s">
        <v>2205</v>
      </c>
      <c r="E1457" s="13" t="s">
        <v>2211</v>
      </c>
      <c r="F1457" s="13" t="s">
        <v>2221</v>
      </c>
      <c r="G1457" s="13">
        <v>35.26</v>
      </c>
      <c r="H1457" s="13">
        <v>0</v>
      </c>
      <c r="I1457" s="13">
        <v>35.26</v>
      </c>
      <c r="J1457" s="24">
        <v>45875</v>
      </c>
      <c r="K1457" s="13">
        <v>47</v>
      </c>
      <c r="L1457" s="44">
        <v>2.2999999999999998</v>
      </c>
      <c r="M1457" s="13" t="b">
        <v>0</v>
      </c>
      <c r="O1457" s="25">
        <f t="shared" si="88"/>
        <v>27</v>
      </c>
      <c r="P1457" s="13">
        <f t="shared" si="89"/>
        <v>0</v>
      </c>
      <c r="Q1457" s="13" t="str">
        <f t="shared" si="90"/>
        <v/>
      </c>
      <c r="R1457" s="13" t="str">
        <f t="shared" si="91"/>
        <v>Non diskon</v>
      </c>
    </row>
    <row r="1458" spans="1:18" x14ac:dyDescent="0.25">
      <c r="A1458" s="13" t="s">
        <v>1470</v>
      </c>
      <c r="B1458" s="13" t="s">
        <v>2192</v>
      </c>
      <c r="C1458" s="13" t="s">
        <v>2202</v>
      </c>
      <c r="D1458" s="13" t="s">
        <v>2204</v>
      </c>
      <c r="F1458" s="13" t="s">
        <v>2220</v>
      </c>
      <c r="G1458" s="13">
        <v>44.5</v>
      </c>
      <c r="H1458" s="13">
        <v>0</v>
      </c>
      <c r="I1458" s="13">
        <v>44.5</v>
      </c>
      <c r="J1458" s="24">
        <v>45821</v>
      </c>
      <c r="K1458" s="13">
        <v>36</v>
      </c>
      <c r="L1458" s="44">
        <v>3.6</v>
      </c>
      <c r="M1458" s="13" t="b">
        <v>0</v>
      </c>
      <c r="O1458" s="25">
        <f t="shared" si="88"/>
        <v>81</v>
      </c>
      <c r="P1458" s="13">
        <f t="shared" si="89"/>
        <v>0</v>
      </c>
      <c r="Q1458" s="13" t="str">
        <f t="shared" si="90"/>
        <v/>
      </c>
      <c r="R1458" s="13" t="str">
        <f t="shared" si="91"/>
        <v>Non diskon</v>
      </c>
    </row>
    <row r="1459" spans="1:18" x14ac:dyDescent="0.25">
      <c r="A1459" s="13" t="s">
        <v>1471</v>
      </c>
      <c r="B1459" s="13" t="s">
        <v>2193</v>
      </c>
      <c r="C1459" s="13" t="s">
        <v>2196</v>
      </c>
      <c r="D1459" s="13" t="s">
        <v>2204</v>
      </c>
      <c r="E1459" s="13" t="s">
        <v>2212</v>
      </c>
      <c r="F1459" s="13" t="s">
        <v>2217</v>
      </c>
      <c r="G1459" s="13">
        <v>186.78</v>
      </c>
      <c r="H1459" s="13">
        <v>43.4</v>
      </c>
      <c r="I1459" s="13">
        <v>105.72</v>
      </c>
      <c r="J1459" s="24">
        <v>45568</v>
      </c>
      <c r="K1459" s="13">
        <v>42</v>
      </c>
      <c r="L1459" s="44">
        <v>2.5</v>
      </c>
      <c r="M1459" s="13" t="b">
        <v>1</v>
      </c>
      <c r="N1459" s="13" t="s">
        <v>2227</v>
      </c>
      <c r="O1459" s="25">
        <f t="shared" si="88"/>
        <v>334</v>
      </c>
      <c r="P1459" s="13">
        <f t="shared" si="89"/>
        <v>1822.8</v>
      </c>
      <c r="Q1459" s="13">
        <f t="shared" si="90"/>
        <v>1</v>
      </c>
      <c r="R1459" s="13" t="str">
        <f t="shared" si="91"/>
        <v>Diskon</v>
      </c>
    </row>
    <row r="1460" spans="1:18" x14ac:dyDescent="0.25">
      <c r="A1460" s="13" t="s">
        <v>1472</v>
      </c>
      <c r="B1460" s="13" t="s">
        <v>2191</v>
      </c>
      <c r="C1460" s="13" t="s">
        <v>2200</v>
      </c>
      <c r="D1460" s="13" t="s">
        <v>2207</v>
      </c>
      <c r="E1460" s="13" t="s">
        <v>2209</v>
      </c>
      <c r="F1460" s="13" t="s">
        <v>2216</v>
      </c>
      <c r="G1460" s="13">
        <v>116.71</v>
      </c>
      <c r="H1460" s="13">
        <v>55.4</v>
      </c>
      <c r="I1460" s="13">
        <v>52.05</v>
      </c>
      <c r="J1460" s="24">
        <v>45875</v>
      </c>
      <c r="K1460" s="13">
        <v>15</v>
      </c>
      <c r="L1460" s="44">
        <v>2.9657142857142857</v>
      </c>
      <c r="M1460" s="13" t="b">
        <v>0</v>
      </c>
      <c r="O1460" s="25">
        <f t="shared" si="88"/>
        <v>27</v>
      </c>
      <c r="P1460" s="13">
        <f t="shared" si="89"/>
        <v>831</v>
      </c>
      <c r="Q1460" s="13" t="str">
        <f t="shared" si="90"/>
        <v/>
      </c>
      <c r="R1460" s="13" t="str">
        <f t="shared" si="91"/>
        <v>Diskon</v>
      </c>
    </row>
    <row r="1461" spans="1:18" x14ac:dyDescent="0.25">
      <c r="A1461" s="13" t="s">
        <v>1473</v>
      </c>
      <c r="B1461" s="13" t="s">
        <v>2192</v>
      </c>
      <c r="C1461" s="13" t="s">
        <v>2200</v>
      </c>
      <c r="D1461" s="13" t="s">
        <v>2205</v>
      </c>
      <c r="F1461" s="13" t="s">
        <v>2216</v>
      </c>
      <c r="G1461" s="13">
        <v>24.5</v>
      </c>
      <c r="H1461" s="13">
        <v>0</v>
      </c>
      <c r="I1461" s="13">
        <v>24.5</v>
      </c>
      <c r="J1461" s="24">
        <v>45875</v>
      </c>
      <c r="K1461" s="13">
        <v>7</v>
      </c>
      <c r="L1461" s="44">
        <v>2.7333333333333334</v>
      </c>
      <c r="M1461" s="13" t="b">
        <v>0</v>
      </c>
      <c r="O1461" s="25">
        <f t="shared" si="88"/>
        <v>27</v>
      </c>
      <c r="P1461" s="13">
        <f t="shared" si="89"/>
        <v>0</v>
      </c>
      <c r="Q1461" s="13" t="str">
        <f t="shared" si="90"/>
        <v/>
      </c>
      <c r="R1461" s="13" t="str">
        <f t="shared" si="91"/>
        <v>Non diskon</v>
      </c>
    </row>
    <row r="1462" spans="1:18" x14ac:dyDescent="0.25">
      <c r="A1462" s="13" t="s">
        <v>1474</v>
      </c>
      <c r="B1462" s="13" t="s">
        <v>2192</v>
      </c>
      <c r="C1462" s="13" t="s">
        <v>2202</v>
      </c>
      <c r="D1462" s="13" t="s">
        <v>2205</v>
      </c>
      <c r="F1462" s="13" t="s">
        <v>2222</v>
      </c>
      <c r="G1462" s="13">
        <v>23.2</v>
      </c>
      <c r="H1462" s="13">
        <v>0</v>
      </c>
      <c r="I1462" s="13">
        <v>23.2</v>
      </c>
      <c r="J1462" s="24">
        <v>45875</v>
      </c>
      <c r="K1462" s="13">
        <v>17</v>
      </c>
      <c r="L1462" s="44">
        <v>2.1</v>
      </c>
      <c r="M1462" s="13" t="b">
        <v>0</v>
      </c>
      <c r="O1462" s="25">
        <f t="shared" si="88"/>
        <v>27</v>
      </c>
      <c r="P1462" s="13">
        <f t="shared" si="89"/>
        <v>0</v>
      </c>
      <c r="Q1462" s="13" t="str">
        <f t="shared" si="90"/>
        <v/>
      </c>
      <c r="R1462" s="13" t="str">
        <f t="shared" si="91"/>
        <v>Non diskon</v>
      </c>
    </row>
    <row r="1463" spans="1:18" x14ac:dyDescent="0.25">
      <c r="A1463" s="13" t="s">
        <v>1475</v>
      </c>
      <c r="B1463" s="13" t="s">
        <v>2194</v>
      </c>
      <c r="C1463" s="13" t="s">
        <v>2203</v>
      </c>
      <c r="D1463" s="13" t="s">
        <v>2205</v>
      </c>
      <c r="E1463" s="13" t="s">
        <v>2208</v>
      </c>
      <c r="F1463" s="13" t="s">
        <v>2220</v>
      </c>
      <c r="G1463" s="13">
        <v>73.8</v>
      </c>
      <c r="H1463" s="13">
        <v>0</v>
      </c>
      <c r="I1463" s="13">
        <v>73.8</v>
      </c>
      <c r="J1463" s="24">
        <v>45875</v>
      </c>
      <c r="K1463" s="13">
        <v>42</v>
      </c>
      <c r="L1463" s="44">
        <v>3.1021739130434773</v>
      </c>
      <c r="M1463" s="13" t="b">
        <v>0</v>
      </c>
      <c r="O1463" s="25">
        <f t="shared" si="88"/>
        <v>27</v>
      </c>
      <c r="P1463" s="13">
        <f t="shared" si="89"/>
        <v>0</v>
      </c>
      <c r="Q1463" s="13" t="str">
        <f t="shared" si="90"/>
        <v/>
      </c>
      <c r="R1463" s="13" t="str">
        <f t="shared" si="91"/>
        <v>Non diskon</v>
      </c>
    </row>
    <row r="1464" spans="1:18" x14ac:dyDescent="0.25">
      <c r="A1464" s="13" t="s">
        <v>1476</v>
      </c>
      <c r="B1464" s="13" t="s">
        <v>2192</v>
      </c>
      <c r="C1464" s="13" t="s">
        <v>2196</v>
      </c>
      <c r="D1464" s="13" t="s">
        <v>2207</v>
      </c>
      <c r="F1464" s="13" t="s">
        <v>2216</v>
      </c>
      <c r="G1464" s="13">
        <v>51.33</v>
      </c>
      <c r="H1464" s="13">
        <v>0</v>
      </c>
      <c r="I1464" s="13">
        <v>51.33</v>
      </c>
      <c r="J1464" s="24">
        <v>45875</v>
      </c>
      <c r="K1464" s="13">
        <v>25</v>
      </c>
      <c r="L1464" s="44">
        <v>1.2</v>
      </c>
      <c r="M1464" s="13" t="b">
        <v>0</v>
      </c>
      <c r="O1464" s="25">
        <f t="shared" si="88"/>
        <v>27</v>
      </c>
      <c r="P1464" s="13">
        <f t="shared" si="89"/>
        <v>0</v>
      </c>
      <c r="Q1464" s="13" t="str">
        <f t="shared" si="90"/>
        <v/>
      </c>
      <c r="R1464" s="13" t="str">
        <f t="shared" si="91"/>
        <v>Non diskon</v>
      </c>
    </row>
    <row r="1465" spans="1:18" x14ac:dyDescent="0.25">
      <c r="A1465" s="13" t="s">
        <v>1477</v>
      </c>
      <c r="B1465" s="13" t="s">
        <v>2194</v>
      </c>
      <c r="C1465" s="13" t="s">
        <v>2200</v>
      </c>
      <c r="D1465" s="13" t="s">
        <v>2205</v>
      </c>
      <c r="E1465" s="13" t="s">
        <v>2211</v>
      </c>
      <c r="F1465" s="13" t="s">
        <v>2220</v>
      </c>
      <c r="G1465" s="13">
        <v>80.209999999999994</v>
      </c>
      <c r="H1465" s="13">
        <v>0</v>
      </c>
      <c r="I1465" s="13">
        <v>80.209999999999994</v>
      </c>
      <c r="J1465" s="24">
        <v>45875</v>
      </c>
      <c r="K1465" s="13">
        <v>17</v>
      </c>
      <c r="L1465" s="44">
        <v>3.0659090909090896</v>
      </c>
      <c r="M1465" s="13" t="b">
        <v>0</v>
      </c>
      <c r="O1465" s="25">
        <f t="shared" si="88"/>
        <v>27</v>
      </c>
      <c r="P1465" s="13">
        <f t="shared" si="89"/>
        <v>0</v>
      </c>
      <c r="Q1465" s="13" t="str">
        <f t="shared" si="90"/>
        <v/>
      </c>
      <c r="R1465" s="13" t="str">
        <f t="shared" si="91"/>
        <v>Non diskon</v>
      </c>
    </row>
    <row r="1466" spans="1:18" x14ac:dyDescent="0.25">
      <c r="A1466" s="13" t="s">
        <v>1478</v>
      </c>
      <c r="B1466" s="13" t="s">
        <v>2190</v>
      </c>
      <c r="C1466" s="13" t="s">
        <v>2197</v>
      </c>
      <c r="D1466" s="13" t="s">
        <v>2206</v>
      </c>
      <c r="E1466" s="13" t="s">
        <v>2209</v>
      </c>
      <c r="F1466" s="13" t="s">
        <v>2224</v>
      </c>
      <c r="G1466" s="13">
        <v>237.65</v>
      </c>
      <c r="H1466" s="13">
        <v>0</v>
      </c>
      <c r="I1466" s="13">
        <v>237.65</v>
      </c>
      <c r="J1466" s="24">
        <v>45875</v>
      </c>
      <c r="K1466" s="13">
        <v>3</v>
      </c>
      <c r="L1466" s="44">
        <v>3.4</v>
      </c>
      <c r="M1466" s="13" t="b">
        <v>0</v>
      </c>
      <c r="O1466" s="25">
        <f t="shared" si="88"/>
        <v>27</v>
      </c>
      <c r="P1466" s="13">
        <f t="shared" si="89"/>
        <v>0</v>
      </c>
      <c r="Q1466" s="13" t="str">
        <f t="shared" si="90"/>
        <v/>
      </c>
      <c r="R1466" s="13" t="str">
        <f t="shared" si="91"/>
        <v>Non diskon</v>
      </c>
    </row>
    <row r="1467" spans="1:18" x14ac:dyDescent="0.25">
      <c r="A1467" s="13" t="s">
        <v>1479</v>
      </c>
      <c r="B1467" s="13" t="s">
        <v>2194</v>
      </c>
      <c r="C1467" s="13" t="s">
        <v>2198</v>
      </c>
      <c r="D1467" s="13" t="s">
        <v>2204</v>
      </c>
      <c r="E1467" s="13" t="s">
        <v>2210</v>
      </c>
      <c r="F1467" s="13" t="s">
        <v>2224</v>
      </c>
      <c r="G1467" s="13">
        <v>96.35</v>
      </c>
      <c r="H1467" s="13">
        <v>0</v>
      </c>
      <c r="I1467" s="13">
        <v>96.35</v>
      </c>
      <c r="J1467" s="24">
        <v>45638</v>
      </c>
      <c r="K1467" s="13">
        <v>34</v>
      </c>
      <c r="L1467" s="44">
        <v>3.7</v>
      </c>
      <c r="M1467" s="13" t="b">
        <v>0</v>
      </c>
      <c r="O1467" s="25">
        <f t="shared" si="88"/>
        <v>264</v>
      </c>
      <c r="P1467" s="13">
        <f t="shared" si="89"/>
        <v>0</v>
      </c>
      <c r="Q1467" s="13" t="str">
        <f t="shared" si="90"/>
        <v/>
      </c>
      <c r="R1467" s="13" t="str">
        <f t="shared" si="91"/>
        <v>Non diskon</v>
      </c>
    </row>
    <row r="1468" spans="1:18" x14ac:dyDescent="0.25">
      <c r="A1468" s="13" t="s">
        <v>1480</v>
      </c>
      <c r="B1468" s="13" t="s">
        <v>2194</v>
      </c>
      <c r="C1468" s="13" t="s">
        <v>2198</v>
      </c>
      <c r="D1468" s="13" t="s">
        <v>2205</v>
      </c>
      <c r="E1468" s="13" t="s">
        <v>2208</v>
      </c>
      <c r="F1468" s="13" t="s">
        <v>2217</v>
      </c>
      <c r="G1468" s="13">
        <v>91.92</v>
      </c>
      <c r="H1468" s="13">
        <v>0</v>
      </c>
      <c r="I1468" s="13">
        <v>91.92</v>
      </c>
      <c r="J1468" s="24">
        <v>45875</v>
      </c>
      <c r="K1468" s="13">
        <v>29</v>
      </c>
      <c r="L1468" s="44">
        <v>3.0384615384615379</v>
      </c>
      <c r="M1468" s="13" t="b">
        <v>0</v>
      </c>
      <c r="O1468" s="25">
        <f t="shared" si="88"/>
        <v>27</v>
      </c>
      <c r="P1468" s="13">
        <f t="shared" si="89"/>
        <v>0</v>
      </c>
      <c r="Q1468" s="13" t="str">
        <f t="shared" si="90"/>
        <v/>
      </c>
      <c r="R1468" s="13" t="str">
        <f t="shared" si="91"/>
        <v>Non diskon</v>
      </c>
    </row>
    <row r="1469" spans="1:18" x14ac:dyDescent="0.25">
      <c r="A1469" s="13" t="s">
        <v>1481</v>
      </c>
      <c r="B1469" s="13" t="s">
        <v>2193</v>
      </c>
      <c r="C1469" s="13" t="s">
        <v>2198</v>
      </c>
      <c r="D1469" s="13" t="s">
        <v>2206</v>
      </c>
      <c r="E1469" s="13" t="s">
        <v>2211</v>
      </c>
      <c r="F1469" s="13" t="s">
        <v>2222</v>
      </c>
      <c r="G1469" s="13">
        <v>194.05</v>
      </c>
      <c r="H1469" s="13">
        <v>0</v>
      </c>
      <c r="I1469" s="13">
        <v>194.05</v>
      </c>
      <c r="J1469" s="24">
        <v>45875</v>
      </c>
      <c r="K1469" s="13">
        <v>7</v>
      </c>
      <c r="L1469" s="44">
        <v>1.3</v>
      </c>
      <c r="M1469" s="13" t="b">
        <v>0</v>
      </c>
      <c r="O1469" s="25">
        <f t="shared" si="88"/>
        <v>27</v>
      </c>
      <c r="P1469" s="13">
        <f t="shared" si="89"/>
        <v>0</v>
      </c>
      <c r="Q1469" s="13" t="str">
        <f t="shared" si="90"/>
        <v/>
      </c>
      <c r="R1469" s="13" t="str">
        <f t="shared" si="91"/>
        <v>Non diskon</v>
      </c>
    </row>
    <row r="1470" spans="1:18" x14ac:dyDescent="0.25">
      <c r="A1470" s="13" t="s">
        <v>1482</v>
      </c>
      <c r="B1470" s="13" t="s">
        <v>2190</v>
      </c>
      <c r="C1470" s="13" t="s">
        <v>2202</v>
      </c>
      <c r="D1470" s="13" t="s">
        <v>2207</v>
      </c>
      <c r="E1470" s="13" t="s">
        <v>2210</v>
      </c>
      <c r="F1470" s="13" t="s">
        <v>2214</v>
      </c>
      <c r="G1470" s="13">
        <v>166.88</v>
      </c>
      <c r="H1470" s="13">
        <v>0</v>
      </c>
      <c r="I1470" s="13">
        <v>166.88</v>
      </c>
      <c r="J1470" s="24">
        <v>45875</v>
      </c>
      <c r="K1470" s="13">
        <v>10</v>
      </c>
      <c r="L1470" s="44">
        <v>1.6</v>
      </c>
      <c r="M1470" s="13" t="b">
        <v>0</v>
      </c>
      <c r="O1470" s="25">
        <f t="shared" si="88"/>
        <v>27</v>
      </c>
      <c r="P1470" s="13">
        <f t="shared" si="89"/>
        <v>0</v>
      </c>
      <c r="Q1470" s="13" t="str">
        <f t="shared" si="90"/>
        <v/>
      </c>
      <c r="R1470" s="13" t="str">
        <f t="shared" si="91"/>
        <v>Non diskon</v>
      </c>
    </row>
    <row r="1471" spans="1:18" x14ac:dyDescent="0.25">
      <c r="A1471" s="13" t="s">
        <v>1483</v>
      </c>
      <c r="B1471" s="13" t="s">
        <v>2194</v>
      </c>
      <c r="C1471" s="13" t="s">
        <v>2200</v>
      </c>
      <c r="D1471" s="13" t="s">
        <v>2205</v>
      </c>
      <c r="E1471" s="13" t="s">
        <v>2210</v>
      </c>
      <c r="F1471" s="13" t="s">
        <v>2214</v>
      </c>
      <c r="G1471" s="13">
        <v>47.01</v>
      </c>
      <c r="H1471" s="13">
        <v>0</v>
      </c>
      <c r="I1471" s="13">
        <v>47.01</v>
      </c>
      <c r="J1471" s="24">
        <v>45875</v>
      </c>
      <c r="K1471" s="13">
        <v>17</v>
      </c>
      <c r="L1471" s="44">
        <v>1.6</v>
      </c>
      <c r="M1471" s="13" t="b">
        <v>0</v>
      </c>
      <c r="O1471" s="25">
        <f t="shared" si="88"/>
        <v>27</v>
      </c>
      <c r="P1471" s="13">
        <f t="shared" si="89"/>
        <v>0</v>
      </c>
      <c r="Q1471" s="13" t="str">
        <f t="shared" si="90"/>
        <v/>
      </c>
      <c r="R1471" s="13" t="str">
        <f t="shared" si="91"/>
        <v>Non diskon</v>
      </c>
    </row>
    <row r="1472" spans="1:18" x14ac:dyDescent="0.25">
      <c r="A1472" s="13" t="s">
        <v>1484</v>
      </c>
      <c r="B1472" s="13" t="s">
        <v>2193</v>
      </c>
      <c r="C1472" s="13" t="s">
        <v>2198</v>
      </c>
      <c r="D1472" s="13" t="s">
        <v>2205</v>
      </c>
      <c r="E1472" s="13" t="s">
        <v>2211</v>
      </c>
      <c r="F1472" s="13" t="s">
        <v>2215</v>
      </c>
      <c r="G1472" s="13">
        <v>119.91</v>
      </c>
      <c r="H1472" s="13">
        <v>20.3</v>
      </c>
      <c r="I1472" s="13">
        <v>95.57</v>
      </c>
      <c r="J1472" s="24">
        <v>45875</v>
      </c>
      <c r="K1472" s="13">
        <v>15</v>
      </c>
      <c r="L1472" s="44">
        <v>3.8</v>
      </c>
      <c r="M1472" s="13" t="b">
        <v>0</v>
      </c>
      <c r="O1472" s="25">
        <f t="shared" si="88"/>
        <v>27</v>
      </c>
      <c r="P1472" s="13">
        <f t="shared" si="89"/>
        <v>304.5</v>
      </c>
      <c r="Q1472" s="13" t="str">
        <f t="shared" si="90"/>
        <v/>
      </c>
      <c r="R1472" s="13" t="str">
        <f t="shared" si="91"/>
        <v>Diskon</v>
      </c>
    </row>
    <row r="1473" spans="1:18" x14ac:dyDescent="0.25">
      <c r="A1473" s="13" t="s">
        <v>1485</v>
      </c>
      <c r="B1473" s="13" t="s">
        <v>2192</v>
      </c>
      <c r="C1473" s="13" t="s">
        <v>2200</v>
      </c>
      <c r="D1473" s="13" t="s">
        <v>2206</v>
      </c>
      <c r="F1473" s="13" t="s">
        <v>2214</v>
      </c>
      <c r="G1473" s="13">
        <v>73.73</v>
      </c>
      <c r="H1473" s="13">
        <v>54.2</v>
      </c>
      <c r="I1473" s="13">
        <v>33.770000000000003</v>
      </c>
      <c r="J1473" s="24">
        <v>45875</v>
      </c>
      <c r="K1473" s="13">
        <v>37</v>
      </c>
      <c r="L1473" s="44">
        <v>4.0999999999999996</v>
      </c>
      <c r="M1473" s="13" t="b">
        <v>0</v>
      </c>
      <c r="O1473" s="25">
        <f t="shared" si="88"/>
        <v>27</v>
      </c>
      <c r="P1473" s="13">
        <f t="shared" si="89"/>
        <v>2005.4</v>
      </c>
      <c r="Q1473" s="13" t="str">
        <f t="shared" si="90"/>
        <v/>
      </c>
      <c r="R1473" s="13" t="str">
        <f t="shared" si="91"/>
        <v>Diskon</v>
      </c>
    </row>
    <row r="1474" spans="1:18" x14ac:dyDescent="0.25">
      <c r="A1474" s="13" t="s">
        <v>1486</v>
      </c>
      <c r="B1474" s="13" t="s">
        <v>2194</v>
      </c>
      <c r="C1474" s="13" t="s">
        <v>2196</v>
      </c>
      <c r="D1474" s="13" t="s">
        <v>2206</v>
      </c>
      <c r="E1474" s="13" t="s">
        <v>2209</v>
      </c>
      <c r="F1474" s="13" t="s">
        <v>2216</v>
      </c>
      <c r="G1474" s="13">
        <v>108.65</v>
      </c>
      <c r="H1474" s="13">
        <v>0</v>
      </c>
      <c r="I1474" s="13">
        <v>108.65</v>
      </c>
      <c r="J1474" s="24">
        <v>45875</v>
      </c>
      <c r="K1474" s="13">
        <v>26</v>
      </c>
      <c r="L1474" s="44">
        <v>2.4</v>
      </c>
      <c r="M1474" s="13" t="b">
        <v>0</v>
      </c>
      <c r="O1474" s="25">
        <f t="shared" si="88"/>
        <v>27</v>
      </c>
      <c r="P1474" s="13">
        <f t="shared" si="89"/>
        <v>0</v>
      </c>
      <c r="Q1474" s="13" t="str">
        <f t="shared" si="90"/>
        <v/>
      </c>
      <c r="R1474" s="13" t="str">
        <f t="shared" si="91"/>
        <v>Non diskon</v>
      </c>
    </row>
    <row r="1475" spans="1:18" x14ac:dyDescent="0.25">
      <c r="A1475" s="13" t="s">
        <v>1487</v>
      </c>
      <c r="B1475" s="13" t="s">
        <v>2193</v>
      </c>
      <c r="C1475" s="13" t="s">
        <v>2199</v>
      </c>
      <c r="D1475" s="13" t="s">
        <v>2207</v>
      </c>
      <c r="E1475" s="13" t="s">
        <v>2209</v>
      </c>
      <c r="F1475" s="13" t="s">
        <v>2214</v>
      </c>
      <c r="G1475" s="13">
        <v>186.53</v>
      </c>
      <c r="H1475" s="13">
        <v>0</v>
      </c>
      <c r="I1475" s="13">
        <v>186.53</v>
      </c>
      <c r="J1475" s="24">
        <v>45875</v>
      </c>
      <c r="K1475" s="13">
        <v>31</v>
      </c>
      <c r="L1475" s="44">
        <v>2.6</v>
      </c>
      <c r="M1475" s="13" t="b">
        <v>0</v>
      </c>
      <c r="O1475" s="25">
        <f t="shared" ref="O1475:O1538" si="92">DATE(2025,9,2)-J1475</f>
        <v>27</v>
      </c>
      <c r="P1475" s="13">
        <f t="shared" ref="P1475:P1538" si="93">H1475*K1475</f>
        <v>0</v>
      </c>
      <c r="Q1475" s="13" t="str">
        <f t="shared" ref="Q1475:Q1538" si="94">IF(M1475=FALSE,"",1)</f>
        <v/>
      </c>
      <c r="R1475" s="13" t="str">
        <f t="shared" ref="R1475:R1538" si="95">IF(H1475=0,"Non diskon","Diskon")</f>
        <v>Non diskon</v>
      </c>
    </row>
    <row r="1476" spans="1:18" x14ac:dyDescent="0.25">
      <c r="A1476" s="13" t="s">
        <v>1488</v>
      </c>
      <c r="B1476" s="13" t="s">
        <v>2192</v>
      </c>
      <c r="C1476" s="13" t="s">
        <v>2196</v>
      </c>
      <c r="D1476" s="13" t="s">
        <v>2207</v>
      </c>
      <c r="F1476" s="13" t="s">
        <v>2214</v>
      </c>
      <c r="G1476" s="13">
        <v>60.34</v>
      </c>
      <c r="H1476" s="13">
        <v>0</v>
      </c>
      <c r="I1476" s="13">
        <v>60.34</v>
      </c>
      <c r="J1476" s="24">
        <v>45875</v>
      </c>
      <c r="K1476" s="13">
        <v>13</v>
      </c>
      <c r="L1476" s="44">
        <v>2.9116666666666675</v>
      </c>
      <c r="M1476" s="13" t="b">
        <v>0</v>
      </c>
      <c r="O1476" s="25">
        <f t="shared" si="92"/>
        <v>27</v>
      </c>
      <c r="P1476" s="13">
        <f t="shared" si="93"/>
        <v>0</v>
      </c>
      <c r="Q1476" s="13" t="str">
        <f t="shared" si="94"/>
        <v/>
      </c>
      <c r="R1476" s="13" t="str">
        <f t="shared" si="95"/>
        <v>Non diskon</v>
      </c>
    </row>
    <row r="1477" spans="1:18" x14ac:dyDescent="0.25">
      <c r="A1477" s="13" t="s">
        <v>1489</v>
      </c>
      <c r="B1477" s="13" t="s">
        <v>2192</v>
      </c>
      <c r="C1477" s="13" t="s">
        <v>2199</v>
      </c>
      <c r="D1477" s="13" t="s">
        <v>2205</v>
      </c>
      <c r="F1477" s="13" t="s">
        <v>2222</v>
      </c>
      <c r="G1477" s="13">
        <v>61.16</v>
      </c>
      <c r="H1477" s="13">
        <v>0</v>
      </c>
      <c r="I1477" s="13">
        <v>61.16</v>
      </c>
      <c r="J1477" s="24">
        <v>45875</v>
      </c>
      <c r="K1477" s="13">
        <v>28</v>
      </c>
      <c r="L1477" s="44">
        <v>2.2999999999999998</v>
      </c>
      <c r="M1477" s="13" t="b">
        <v>0</v>
      </c>
      <c r="O1477" s="25">
        <f t="shared" si="92"/>
        <v>27</v>
      </c>
      <c r="P1477" s="13">
        <f t="shared" si="93"/>
        <v>0</v>
      </c>
      <c r="Q1477" s="13" t="str">
        <f t="shared" si="94"/>
        <v/>
      </c>
      <c r="R1477" s="13" t="str">
        <f t="shared" si="95"/>
        <v>Non diskon</v>
      </c>
    </row>
    <row r="1478" spans="1:18" x14ac:dyDescent="0.25">
      <c r="A1478" s="13" t="s">
        <v>1490</v>
      </c>
      <c r="B1478" s="13" t="s">
        <v>2193</v>
      </c>
      <c r="C1478" s="13" t="s">
        <v>2203</v>
      </c>
      <c r="D1478" s="13" t="s">
        <v>2205</v>
      </c>
      <c r="E1478" s="13" t="s">
        <v>2208</v>
      </c>
      <c r="F1478" s="13" t="s">
        <v>2220</v>
      </c>
      <c r="G1478" s="13">
        <v>168.85</v>
      </c>
      <c r="H1478" s="13">
        <v>35.299999999999997</v>
      </c>
      <c r="I1478" s="13">
        <v>109.25</v>
      </c>
      <c r="J1478" s="24">
        <v>45875</v>
      </c>
      <c r="K1478" s="13">
        <v>10</v>
      </c>
      <c r="L1478" s="44">
        <v>3.3</v>
      </c>
      <c r="M1478" s="13" t="b">
        <v>0</v>
      </c>
      <c r="O1478" s="25">
        <f t="shared" si="92"/>
        <v>27</v>
      </c>
      <c r="P1478" s="13">
        <f t="shared" si="93"/>
        <v>353</v>
      </c>
      <c r="Q1478" s="13" t="str">
        <f t="shared" si="94"/>
        <v/>
      </c>
      <c r="R1478" s="13" t="str">
        <f t="shared" si="95"/>
        <v>Diskon</v>
      </c>
    </row>
    <row r="1479" spans="1:18" x14ac:dyDescent="0.25">
      <c r="A1479" s="13" t="s">
        <v>1491</v>
      </c>
      <c r="B1479" s="13" t="s">
        <v>2191</v>
      </c>
      <c r="C1479" s="13" t="s">
        <v>2201</v>
      </c>
      <c r="D1479" s="13" t="s">
        <v>2205</v>
      </c>
      <c r="E1479" s="13" t="s">
        <v>2209</v>
      </c>
      <c r="F1479" s="13" t="s">
        <v>2222</v>
      </c>
      <c r="G1479" s="13">
        <v>60.08</v>
      </c>
      <c r="H1479" s="13">
        <v>0</v>
      </c>
      <c r="I1479" s="13">
        <v>60.08</v>
      </c>
      <c r="J1479" s="24">
        <v>45875</v>
      </c>
      <c r="K1479" s="13">
        <v>26</v>
      </c>
      <c r="L1479" s="44">
        <v>2.9846153846153847</v>
      </c>
      <c r="M1479" s="13" t="b">
        <v>0</v>
      </c>
      <c r="O1479" s="25">
        <f t="shared" si="92"/>
        <v>27</v>
      </c>
      <c r="P1479" s="13">
        <f t="shared" si="93"/>
        <v>0</v>
      </c>
      <c r="Q1479" s="13" t="str">
        <f t="shared" si="94"/>
        <v/>
      </c>
      <c r="R1479" s="13" t="str">
        <f t="shared" si="95"/>
        <v>Non diskon</v>
      </c>
    </row>
    <row r="1480" spans="1:18" x14ac:dyDescent="0.25">
      <c r="A1480" s="13" t="s">
        <v>1492</v>
      </c>
      <c r="B1480" s="13" t="s">
        <v>2192</v>
      </c>
      <c r="C1480" s="13" t="s">
        <v>2202</v>
      </c>
      <c r="D1480" s="13" t="s">
        <v>2207</v>
      </c>
      <c r="F1480" s="13" t="s">
        <v>2224</v>
      </c>
      <c r="G1480" s="13">
        <v>39.39</v>
      </c>
      <c r="H1480" s="13">
        <v>29.8</v>
      </c>
      <c r="I1480" s="13">
        <v>27.65</v>
      </c>
      <c r="J1480" s="24">
        <v>45875</v>
      </c>
      <c r="K1480" s="13">
        <v>13</v>
      </c>
      <c r="L1480" s="44">
        <v>4.7</v>
      </c>
      <c r="M1480" s="13" t="b">
        <v>0</v>
      </c>
      <c r="O1480" s="25">
        <f t="shared" si="92"/>
        <v>27</v>
      </c>
      <c r="P1480" s="13">
        <f t="shared" si="93"/>
        <v>387.40000000000003</v>
      </c>
      <c r="Q1480" s="13" t="str">
        <f t="shared" si="94"/>
        <v/>
      </c>
      <c r="R1480" s="13" t="str">
        <f t="shared" si="95"/>
        <v>Diskon</v>
      </c>
    </row>
    <row r="1481" spans="1:18" x14ac:dyDescent="0.25">
      <c r="A1481" s="13" t="s">
        <v>1493</v>
      </c>
      <c r="B1481" s="13" t="s">
        <v>2191</v>
      </c>
      <c r="C1481" s="13" t="s">
        <v>2202</v>
      </c>
      <c r="D1481" s="13" t="s">
        <v>2206</v>
      </c>
      <c r="E1481" s="13" t="s">
        <v>2213</v>
      </c>
      <c r="F1481" s="13" t="s">
        <v>2215</v>
      </c>
      <c r="G1481" s="13">
        <v>111.09</v>
      </c>
      <c r="H1481" s="13">
        <v>0</v>
      </c>
      <c r="I1481" s="13">
        <v>111.09</v>
      </c>
      <c r="J1481" s="24">
        <v>45875</v>
      </c>
      <c r="K1481" s="13">
        <v>24</v>
      </c>
      <c r="L1481" s="44">
        <v>2.2000000000000002</v>
      </c>
      <c r="M1481" s="13" t="b">
        <v>0</v>
      </c>
      <c r="O1481" s="25">
        <f t="shared" si="92"/>
        <v>27</v>
      </c>
      <c r="P1481" s="13">
        <f t="shared" si="93"/>
        <v>0</v>
      </c>
      <c r="Q1481" s="13" t="str">
        <f t="shared" si="94"/>
        <v/>
      </c>
      <c r="R1481" s="13" t="str">
        <f t="shared" si="95"/>
        <v>Non diskon</v>
      </c>
    </row>
    <row r="1482" spans="1:18" x14ac:dyDescent="0.25">
      <c r="A1482" s="13" t="s">
        <v>1494</v>
      </c>
      <c r="B1482" s="13" t="s">
        <v>2195</v>
      </c>
      <c r="C1482" s="13" t="s">
        <v>2198</v>
      </c>
      <c r="D1482" s="13" t="s">
        <v>2207</v>
      </c>
      <c r="E1482" s="13" t="s">
        <v>2213</v>
      </c>
      <c r="F1482" s="13" t="s">
        <v>2220</v>
      </c>
      <c r="G1482" s="13">
        <v>133.51</v>
      </c>
      <c r="H1482" s="13">
        <v>0</v>
      </c>
      <c r="I1482" s="13">
        <v>133.51</v>
      </c>
      <c r="J1482" s="24">
        <v>45875</v>
      </c>
      <c r="K1482" s="13">
        <v>5</v>
      </c>
      <c r="L1482" s="44">
        <v>1.7</v>
      </c>
      <c r="M1482" s="13" t="b">
        <v>1</v>
      </c>
      <c r="N1482" s="13" t="s">
        <v>2228</v>
      </c>
      <c r="O1482" s="25">
        <f t="shared" si="92"/>
        <v>27</v>
      </c>
      <c r="P1482" s="13">
        <f t="shared" si="93"/>
        <v>0</v>
      </c>
      <c r="Q1482" s="13">
        <f t="shared" si="94"/>
        <v>1</v>
      </c>
      <c r="R1482" s="13" t="str">
        <f t="shared" si="95"/>
        <v>Non diskon</v>
      </c>
    </row>
    <row r="1483" spans="1:18" x14ac:dyDescent="0.25">
      <c r="A1483" s="13" t="s">
        <v>1495</v>
      </c>
      <c r="B1483" s="13" t="s">
        <v>2195</v>
      </c>
      <c r="C1483" s="13" t="s">
        <v>2203</v>
      </c>
      <c r="D1483" s="13" t="s">
        <v>2207</v>
      </c>
      <c r="E1483" s="13" t="s">
        <v>2212</v>
      </c>
      <c r="F1483" s="13" t="s">
        <v>2215</v>
      </c>
      <c r="G1483" s="13">
        <v>158.9</v>
      </c>
      <c r="H1483" s="13">
        <v>43.5</v>
      </c>
      <c r="I1483" s="13">
        <v>89.78</v>
      </c>
      <c r="J1483" s="24">
        <v>45875</v>
      </c>
      <c r="K1483" s="13">
        <v>46</v>
      </c>
      <c r="L1483" s="44">
        <v>2.9636363636363638</v>
      </c>
      <c r="M1483" s="13" t="b">
        <v>0</v>
      </c>
      <c r="O1483" s="25">
        <f t="shared" si="92"/>
        <v>27</v>
      </c>
      <c r="P1483" s="13">
        <f t="shared" si="93"/>
        <v>2001</v>
      </c>
      <c r="Q1483" s="13" t="str">
        <f t="shared" si="94"/>
        <v/>
      </c>
      <c r="R1483" s="13" t="str">
        <f t="shared" si="95"/>
        <v>Diskon</v>
      </c>
    </row>
    <row r="1484" spans="1:18" x14ac:dyDescent="0.25">
      <c r="A1484" s="13" t="s">
        <v>1496</v>
      </c>
      <c r="B1484" s="13" t="s">
        <v>2191</v>
      </c>
      <c r="C1484" s="13" t="s">
        <v>2202</v>
      </c>
      <c r="D1484" s="13" t="s">
        <v>2204</v>
      </c>
      <c r="E1484" s="13" t="s">
        <v>2212</v>
      </c>
      <c r="F1484" s="13" t="s">
        <v>2224</v>
      </c>
      <c r="G1484" s="13">
        <v>65.27</v>
      </c>
      <c r="H1484" s="13">
        <v>19</v>
      </c>
      <c r="I1484" s="13">
        <v>52.87</v>
      </c>
      <c r="J1484" s="24">
        <v>45533</v>
      </c>
      <c r="K1484" s="13">
        <v>48</v>
      </c>
      <c r="L1484" s="44">
        <v>3</v>
      </c>
      <c r="M1484" s="13" t="b">
        <v>0</v>
      </c>
      <c r="O1484" s="25">
        <f t="shared" si="92"/>
        <v>369</v>
      </c>
      <c r="P1484" s="13">
        <f t="shared" si="93"/>
        <v>912</v>
      </c>
      <c r="Q1484" s="13" t="str">
        <f t="shared" si="94"/>
        <v/>
      </c>
      <c r="R1484" s="13" t="str">
        <f t="shared" si="95"/>
        <v>Diskon</v>
      </c>
    </row>
    <row r="1485" spans="1:18" x14ac:dyDescent="0.25">
      <c r="A1485" s="13" t="s">
        <v>1497</v>
      </c>
      <c r="B1485" s="13" t="s">
        <v>2192</v>
      </c>
      <c r="C1485" s="13" t="s">
        <v>2196</v>
      </c>
      <c r="D1485" s="13" t="s">
        <v>2206</v>
      </c>
      <c r="F1485" s="13" t="s">
        <v>2220</v>
      </c>
      <c r="G1485" s="13">
        <v>72.37</v>
      </c>
      <c r="H1485" s="13">
        <v>0</v>
      </c>
      <c r="I1485" s="13">
        <v>72.37</v>
      </c>
      <c r="J1485" s="24">
        <v>45875</v>
      </c>
      <c r="K1485" s="13">
        <v>24</v>
      </c>
      <c r="L1485" s="44">
        <v>2.9</v>
      </c>
      <c r="M1485" s="13" t="b">
        <v>0</v>
      </c>
      <c r="O1485" s="25">
        <f t="shared" si="92"/>
        <v>27</v>
      </c>
      <c r="P1485" s="13">
        <f t="shared" si="93"/>
        <v>0</v>
      </c>
      <c r="Q1485" s="13" t="str">
        <f t="shared" si="94"/>
        <v/>
      </c>
      <c r="R1485" s="13" t="str">
        <f t="shared" si="95"/>
        <v>Non diskon</v>
      </c>
    </row>
    <row r="1486" spans="1:18" x14ac:dyDescent="0.25">
      <c r="A1486" s="13" t="s">
        <v>1498</v>
      </c>
      <c r="B1486" s="13" t="s">
        <v>2195</v>
      </c>
      <c r="C1486" s="13" t="s">
        <v>2198</v>
      </c>
      <c r="D1486" s="13" t="s">
        <v>2206</v>
      </c>
      <c r="E1486" s="13" t="s">
        <v>2208</v>
      </c>
      <c r="F1486" s="13" t="s">
        <v>2217</v>
      </c>
      <c r="G1486" s="13">
        <v>133.88</v>
      </c>
      <c r="H1486" s="13">
        <v>21.5</v>
      </c>
      <c r="I1486" s="13">
        <v>105.1</v>
      </c>
      <c r="J1486" s="24">
        <v>45875</v>
      </c>
      <c r="K1486" s="13">
        <v>42</v>
      </c>
      <c r="L1486" s="44">
        <v>3.1</v>
      </c>
      <c r="M1486" s="13" t="b">
        <v>0</v>
      </c>
      <c r="O1486" s="25">
        <f t="shared" si="92"/>
        <v>27</v>
      </c>
      <c r="P1486" s="13">
        <f t="shared" si="93"/>
        <v>903</v>
      </c>
      <c r="Q1486" s="13" t="str">
        <f t="shared" si="94"/>
        <v/>
      </c>
      <c r="R1486" s="13" t="str">
        <f t="shared" si="95"/>
        <v>Diskon</v>
      </c>
    </row>
    <row r="1487" spans="1:18" x14ac:dyDescent="0.25">
      <c r="A1487" s="13" t="s">
        <v>1499</v>
      </c>
      <c r="B1487" s="13" t="s">
        <v>2191</v>
      </c>
      <c r="C1487" s="13" t="s">
        <v>2196</v>
      </c>
      <c r="D1487" s="13" t="s">
        <v>2204</v>
      </c>
      <c r="E1487" s="13" t="s">
        <v>2211</v>
      </c>
      <c r="F1487" s="13" t="s">
        <v>2223</v>
      </c>
      <c r="G1487" s="13">
        <v>74.3</v>
      </c>
      <c r="H1487" s="13">
        <v>0</v>
      </c>
      <c r="I1487" s="13">
        <v>74.3</v>
      </c>
      <c r="J1487" s="24">
        <v>45633</v>
      </c>
      <c r="K1487" s="13">
        <v>24</v>
      </c>
      <c r="L1487" s="44">
        <v>4.4000000000000004</v>
      </c>
      <c r="M1487" s="13" t="b">
        <v>0</v>
      </c>
      <c r="O1487" s="25">
        <f t="shared" si="92"/>
        <v>269</v>
      </c>
      <c r="P1487" s="13">
        <f t="shared" si="93"/>
        <v>0</v>
      </c>
      <c r="Q1487" s="13" t="str">
        <f t="shared" si="94"/>
        <v/>
      </c>
      <c r="R1487" s="13" t="str">
        <f t="shared" si="95"/>
        <v>Non diskon</v>
      </c>
    </row>
    <row r="1488" spans="1:18" x14ac:dyDescent="0.25">
      <c r="A1488" s="13" t="s">
        <v>1500</v>
      </c>
      <c r="B1488" s="13" t="s">
        <v>2193</v>
      </c>
      <c r="C1488" s="13" t="s">
        <v>2198</v>
      </c>
      <c r="D1488" s="13" t="s">
        <v>2207</v>
      </c>
      <c r="E1488" s="13" t="s">
        <v>2208</v>
      </c>
      <c r="F1488" s="13" t="s">
        <v>2221</v>
      </c>
      <c r="G1488" s="13">
        <v>192.74</v>
      </c>
      <c r="H1488" s="13">
        <v>47.5</v>
      </c>
      <c r="I1488" s="13">
        <v>101.19</v>
      </c>
      <c r="J1488" s="24">
        <v>45875</v>
      </c>
      <c r="K1488" s="13">
        <v>40</v>
      </c>
      <c r="L1488" s="44">
        <v>2.8</v>
      </c>
      <c r="M1488" s="13" t="b">
        <v>0</v>
      </c>
      <c r="O1488" s="25">
        <f t="shared" si="92"/>
        <v>27</v>
      </c>
      <c r="P1488" s="13">
        <f t="shared" si="93"/>
        <v>1900</v>
      </c>
      <c r="Q1488" s="13" t="str">
        <f t="shared" si="94"/>
        <v/>
      </c>
      <c r="R1488" s="13" t="str">
        <f t="shared" si="95"/>
        <v>Diskon</v>
      </c>
    </row>
    <row r="1489" spans="1:18" x14ac:dyDescent="0.25">
      <c r="A1489" s="13" t="s">
        <v>1501</v>
      </c>
      <c r="B1489" s="13" t="s">
        <v>2192</v>
      </c>
      <c r="C1489" s="13" t="s">
        <v>2197</v>
      </c>
      <c r="D1489" s="13" t="s">
        <v>2207</v>
      </c>
      <c r="F1489" s="13" t="s">
        <v>2214</v>
      </c>
      <c r="G1489" s="13">
        <v>79.02</v>
      </c>
      <c r="H1489" s="13">
        <v>2.5</v>
      </c>
      <c r="I1489" s="13">
        <v>77.040000000000006</v>
      </c>
      <c r="J1489" s="24">
        <v>45875</v>
      </c>
      <c r="K1489" s="13">
        <v>16</v>
      </c>
      <c r="L1489" s="44">
        <v>2.8</v>
      </c>
      <c r="M1489" s="13" t="b">
        <v>0</v>
      </c>
      <c r="O1489" s="25">
        <f t="shared" si="92"/>
        <v>27</v>
      </c>
      <c r="P1489" s="13">
        <f t="shared" si="93"/>
        <v>40</v>
      </c>
      <c r="Q1489" s="13" t="str">
        <f t="shared" si="94"/>
        <v/>
      </c>
      <c r="R1489" s="13" t="str">
        <f t="shared" si="95"/>
        <v>Diskon</v>
      </c>
    </row>
    <row r="1490" spans="1:18" x14ac:dyDescent="0.25">
      <c r="A1490" s="13" t="s">
        <v>1502</v>
      </c>
      <c r="B1490" s="13" t="s">
        <v>2193</v>
      </c>
      <c r="C1490" s="13" t="s">
        <v>2196</v>
      </c>
      <c r="D1490" s="13" t="s">
        <v>2205</v>
      </c>
      <c r="E1490" s="13" t="s">
        <v>2210</v>
      </c>
      <c r="F1490" s="13" t="s">
        <v>2217</v>
      </c>
      <c r="G1490" s="13">
        <v>158.29</v>
      </c>
      <c r="H1490" s="13">
        <v>0</v>
      </c>
      <c r="I1490" s="13">
        <v>158.29</v>
      </c>
      <c r="J1490" s="24">
        <v>45875</v>
      </c>
      <c r="K1490" s="13">
        <v>5</v>
      </c>
      <c r="L1490" s="44">
        <v>1.6</v>
      </c>
      <c r="M1490" s="13" t="b">
        <v>0</v>
      </c>
      <c r="O1490" s="25">
        <f t="shared" si="92"/>
        <v>27</v>
      </c>
      <c r="P1490" s="13">
        <f t="shared" si="93"/>
        <v>0</v>
      </c>
      <c r="Q1490" s="13" t="str">
        <f t="shared" si="94"/>
        <v/>
      </c>
      <c r="R1490" s="13" t="str">
        <f t="shared" si="95"/>
        <v>Non diskon</v>
      </c>
    </row>
    <row r="1491" spans="1:18" x14ac:dyDescent="0.25">
      <c r="A1491" s="13" t="s">
        <v>1503</v>
      </c>
      <c r="B1491" s="13" t="s">
        <v>2191</v>
      </c>
      <c r="C1491" s="13" t="s">
        <v>2201</v>
      </c>
      <c r="D1491" s="13" t="s">
        <v>2205</v>
      </c>
      <c r="E1491" s="13" t="s">
        <v>2209</v>
      </c>
      <c r="F1491" s="13" t="s">
        <v>2217</v>
      </c>
      <c r="G1491" s="13">
        <v>69.33</v>
      </c>
      <c r="H1491" s="13">
        <v>0</v>
      </c>
      <c r="I1491" s="13">
        <v>69.33</v>
      </c>
      <c r="J1491" s="24">
        <v>45875</v>
      </c>
      <c r="K1491" s="13">
        <v>26</v>
      </c>
      <c r="L1491" s="44">
        <v>4.9000000000000004</v>
      </c>
      <c r="M1491" s="13" t="b">
        <v>0</v>
      </c>
      <c r="O1491" s="25">
        <f t="shared" si="92"/>
        <v>27</v>
      </c>
      <c r="P1491" s="13">
        <f t="shared" si="93"/>
        <v>0</v>
      </c>
      <c r="Q1491" s="13" t="str">
        <f t="shared" si="94"/>
        <v/>
      </c>
      <c r="R1491" s="13" t="str">
        <f t="shared" si="95"/>
        <v>Non diskon</v>
      </c>
    </row>
    <row r="1492" spans="1:18" x14ac:dyDescent="0.25">
      <c r="A1492" s="13" t="s">
        <v>1504</v>
      </c>
      <c r="B1492" s="13" t="s">
        <v>2193</v>
      </c>
      <c r="C1492" s="13" t="s">
        <v>2202</v>
      </c>
      <c r="D1492" s="13" t="s">
        <v>2205</v>
      </c>
      <c r="E1492" s="13" t="s">
        <v>2212</v>
      </c>
      <c r="F1492" s="13" t="s">
        <v>2224</v>
      </c>
      <c r="G1492" s="13">
        <v>86.89</v>
      </c>
      <c r="H1492" s="13">
        <v>19.5</v>
      </c>
      <c r="I1492" s="13">
        <v>69.95</v>
      </c>
      <c r="J1492" s="24">
        <v>45875</v>
      </c>
      <c r="K1492" s="13">
        <v>49</v>
      </c>
      <c r="L1492" s="44">
        <v>1.3</v>
      </c>
      <c r="M1492" s="13" t="b">
        <v>0</v>
      </c>
      <c r="O1492" s="25">
        <f t="shared" si="92"/>
        <v>27</v>
      </c>
      <c r="P1492" s="13">
        <f t="shared" si="93"/>
        <v>955.5</v>
      </c>
      <c r="Q1492" s="13" t="str">
        <f t="shared" si="94"/>
        <v/>
      </c>
      <c r="R1492" s="13" t="str">
        <f t="shared" si="95"/>
        <v>Diskon</v>
      </c>
    </row>
    <row r="1493" spans="1:18" x14ac:dyDescent="0.25">
      <c r="A1493" s="13" t="s">
        <v>1505</v>
      </c>
      <c r="B1493" s="13" t="s">
        <v>2190</v>
      </c>
      <c r="C1493" s="13" t="s">
        <v>2197</v>
      </c>
      <c r="D1493" s="13" t="s">
        <v>2206</v>
      </c>
      <c r="E1493" s="13" t="s">
        <v>2209</v>
      </c>
      <c r="F1493" s="13" t="s">
        <v>2220</v>
      </c>
      <c r="G1493" s="13">
        <v>162.75</v>
      </c>
      <c r="H1493" s="13">
        <v>0</v>
      </c>
      <c r="I1493" s="13">
        <v>162.75</v>
      </c>
      <c r="J1493" s="24">
        <v>45875</v>
      </c>
      <c r="K1493" s="13">
        <v>13</v>
      </c>
      <c r="L1493" s="44">
        <v>4.8</v>
      </c>
      <c r="M1493" s="13" t="b">
        <v>0</v>
      </c>
      <c r="O1493" s="25">
        <f t="shared" si="92"/>
        <v>27</v>
      </c>
      <c r="P1493" s="13">
        <f t="shared" si="93"/>
        <v>0</v>
      </c>
      <c r="Q1493" s="13" t="str">
        <f t="shared" si="94"/>
        <v/>
      </c>
      <c r="R1493" s="13" t="str">
        <f t="shared" si="95"/>
        <v>Non diskon</v>
      </c>
    </row>
    <row r="1494" spans="1:18" x14ac:dyDescent="0.25">
      <c r="A1494" s="13" t="s">
        <v>1506</v>
      </c>
      <c r="B1494" s="13" t="s">
        <v>2193</v>
      </c>
      <c r="C1494" s="13" t="s">
        <v>2200</v>
      </c>
      <c r="D1494" s="13" t="s">
        <v>2207</v>
      </c>
      <c r="E1494" s="13" t="s">
        <v>2213</v>
      </c>
      <c r="F1494" s="13" t="s">
        <v>2219</v>
      </c>
      <c r="G1494" s="13">
        <v>70.28</v>
      </c>
      <c r="H1494" s="13">
        <v>0</v>
      </c>
      <c r="I1494" s="13">
        <v>70.28</v>
      </c>
      <c r="J1494" s="24">
        <v>45875</v>
      </c>
      <c r="K1494" s="13">
        <v>27</v>
      </c>
      <c r="L1494" s="44">
        <v>4.7</v>
      </c>
      <c r="M1494" s="13" t="b">
        <v>0</v>
      </c>
      <c r="O1494" s="25">
        <f t="shared" si="92"/>
        <v>27</v>
      </c>
      <c r="P1494" s="13">
        <f t="shared" si="93"/>
        <v>0</v>
      </c>
      <c r="Q1494" s="13" t="str">
        <f t="shared" si="94"/>
        <v/>
      </c>
      <c r="R1494" s="13" t="str">
        <f t="shared" si="95"/>
        <v>Non diskon</v>
      </c>
    </row>
    <row r="1495" spans="1:18" x14ac:dyDescent="0.25">
      <c r="A1495" s="13" t="s">
        <v>1507</v>
      </c>
      <c r="B1495" s="13" t="s">
        <v>2194</v>
      </c>
      <c r="C1495" s="13" t="s">
        <v>2199</v>
      </c>
      <c r="D1495" s="13" t="s">
        <v>2204</v>
      </c>
      <c r="E1495" s="13" t="s">
        <v>2210</v>
      </c>
      <c r="F1495" s="13" t="s">
        <v>2217</v>
      </c>
      <c r="G1495" s="13">
        <v>111.91</v>
      </c>
      <c r="H1495" s="13">
        <v>0</v>
      </c>
      <c r="I1495" s="13">
        <v>111.91</v>
      </c>
      <c r="J1495" s="24">
        <v>45860</v>
      </c>
      <c r="K1495" s="13">
        <v>28</v>
      </c>
      <c r="L1495" s="44">
        <v>1.8</v>
      </c>
      <c r="M1495" s="13" t="b">
        <v>0</v>
      </c>
      <c r="O1495" s="25">
        <f t="shared" si="92"/>
        <v>42</v>
      </c>
      <c r="P1495" s="13">
        <f t="shared" si="93"/>
        <v>0</v>
      </c>
      <c r="Q1495" s="13" t="str">
        <f t="shared" si="94"/>
        <v/>
      </c>
      <c r="R1495" s="13" t="str">
        <f t="shared" si="95"/>
        <v>Non diskon</v>
      </c>
    </row>
    <row r="1496" spans="1:18" x14ac:dyDescent="0.25">
      <c r="A1496" s="13" t="s">
        <v>1508</v>
      </c>
      <c r="B1496" s="13" t="s">
        <v>2190</v>
      </c>
      <c r="C1496" s="13" t="s">
        <v>2201</v>
      </c>
      <c r="D1496" s="13" t="s">
        <v>2206</v>
      </c>
      <c r="E1496" s="13" t="s">
        <v>2210</v>
      </c>
      <c r="F1496" s="13" t="s">
        <v>2223</v>
      </c>
      <c r="G1496" s="13">
        <v>143.76</v>
      </c>
      <c r="H1496" s="13">
        <v>0</v>
      </c>
      <c r="I1496" s="13">
        <v>143.76</v>
      </c>
      <c r="J1496" s="24">
        <v>45875</v>
      </c>
      <c r="K1496" s="13">
        <v>7</v>
      </c>
      <c r="L1496" s="44">
        <v>2</v>
      </c>
      <c r="M1496" s="13" t="b">
        <v>0</v>
      </c>
      <c r="O1496" s="25">
        <f t="shared" si="92"/>
        <v>27</v>
      </c>
      <c r="P1496" s="13">
        <f t="shared" si="93"/>
        <v>0</v>
      </c>
      <c r="Q1496" s="13" t="str">
        <f t="shared" si="94"/>
        <v/>
      </c>
      <c r="R1496" s="13" t="str">
        <f t="shared" si="95"/>
        <v>Non diskon</v>
      </c>
    </row>
    <row r="1497" spans="1:18" x14ac:dyDescent="0.25">
      <c r="A1497" s="13" t="s">
        <v>1509</v>
      </c>
      <c r="B1497" s="13" t="s">
        <v>2195</v>
      </c>
      <c r="C1497" s="13" t="s">
        <v>2200</v>
      </c>
      <c r="D1497" s="13" t="s">
        <v>2207</v>
      </c>
      <c r="E1497" s="13" t="s">
        <v>2210</v>
      </c>
      <c r="F1497" s="13" t="s">
        <v>2223</v>
      </c>
      <c r="G1497" s="13">
        <v>169.89</v>
      </c>
      <c r="H1497" s="13">
        <v>0</v>
      </c>
      <c r="I1497" s="13">
        <v>169.89</v>
      </c>
      <c r="J1497" s="24">
        <v>45875</v>
      </c>
      <c r="K1497" s="13">
        <v>17</v>
      </c>
      <c r="L1497" s="44">
        <v>1.3</v>
      </c>
      <c r="M1497" s="13" t="b">
        <v>0</v>
      </c>
      <c r="O1497" s="25">
        <f t="shared" si="92"/>
        <v>27</v>
      </c>
      <c r="P1497" s="13">
        <f t="shared" si="93"/>
        <v>0</v>
      </c>
      <c r="Q1497" s="13" t="str">
        <f t="shared" si="94"/>
        <v/>
      </c>
      <c r="R1497" s="13" t="str">
        <f t="shared" si="95"/>
        <v>Non diskon</v>
      </c>
    </row>
    <row r="1498" spans="1:18" x14ac:dyDescent="0.25">
      <c r="A1498" s="13" t="s">
        <v>1510</v>
      </c>
      <c r="B1498" s="13" t="s">
        <v>2193</v>
      </c>
      <c r="C1498" s="13" t="s">
        <v>2196</v>
      </c>
      <c r="D1498" s="13" t="s">
        <v>2205</v>
      </c>
      <c r="E1498" s="13" t="s">
        <v>2208</v>
      </c>
      <c r="F1498" s="13" t="s">
        <v>2217</v>
      </c>
      <c r="G1498" s="13">
        <v>72.290000000000006</v>
      </c>
      <c r="H1498" s="13">
        <v>0</v>
      </c>
      <c r="I1498" s="13">
        <v>72.290000000000006</v>
      </c>
      <c r="J1498" s="24">
        <v>45875</v>
      </c>
      <c r="K1498" s="13">
        <v>0</v>
      </c>
      <c r="L1498" s="44">
        <v>2.9153846153846157</v>
      </c>
      <c r="M1498" s="13" t="b">
        <v>0</v>
      </c>
      <c r="O1498" s="25">
        <f t="shared" si="92"/>
        <v>27</v>
      </c>
      <c r="P1498" s="13">
        <f t="shared" si="93"/>
        <v>0</v>
      </c>
      <c r="Q1498" s="13" t="str">
        <f t="shared" si="94"/>
        <v/>
      </c>
      <c r="R1498" s="13" t="str">
        <f t="shared" si="95"/>
        <v>Non diskon</v>
      </c>
    </row>
    <row r="1499" spans="1:18" x14ac:dyDescent="0.25">
      <c r="A1499" s="13" t="s">
        <v>1511</v>
      </c>
      <c r="B1499" s="13" t="s">
        <v>2190</v>
      </c>
      <c r="C1499" s="13" t="s">
        <v>2203</v>
      </c>
      <c r="D1499" s="13" t="s">
        <v>2205</v>
      </c>
      <c r="E1499" s="13" t="s">
        <v>2212</v>
      </c>
      <c r="F1499" s="13" t="s">
        <v>2223</v>
      </c>
      <c r="G1499" s="13">
        <v>136.19999999999999</v>
      </c>
      <c r="H1499" s="13">
        <v>10.199999999999999</v>
      </c>
      <c r="I1499" s="13">
        <v>122.31</v>
      </c>
      <c r="J1499" s="24">
        <v>45875</v>
      </c>
      <c r="K1499" s="13">
        <v>10</v>
      </c>
      <c r="L1499" s="44">
        <v>3.6</v>
      </c>
      <c r="M1499" s="13" t="b">
        <v>0</v>
      </c>
      <c r="O1499" s="25">
        <f t="shared" si="92"/>
        <v>27</v>
      </c>
      <c r="P1499" s="13">
        <f t="shared" si="93"/>
        <v>102</v>
      </c>
      <c r="Q1499" s="13" t="str">
        <f t="shared" si="94"/>
        <v/>
      </c>
      <c r="R1499" s="13" t="str">
        <f t="shared" si="95"/>
        <v>Diskon</v>
      </c>
    </row>
    <row r="1500" spans="1:18" x14ac:dyDescent="0.25">
      <c r="A1500" s="13" t="s">
        <v>1512</v>
      </c>
      <c r="B1500" s="13" t="s">
        <v>2191</v>
      </c>
      <c r="C1500" s="13" t="s">
        <v>2203</v>
      </c>
      <c r="D1500" s="13" t="s">
        <v>2207</v>
      </c>
      <c r="E1500" s="13" t="s">
        <v>2210</v>
      </c>
      <c r="F1500" s="13" t="s">
        <v>2214</v>
      </c>
      <c r="G1500" s="13">
        <v>92.5</v>
      </c>
      <c r="H1500" s="13">
        <v>0</v>
      </c>
      <c r="I1500" s="13">
        <v>92.5</v>
      </c>
      <c r="J1500" s="24">
        <v>45875</v>
      </c>
      <c r="K1500" s="13">
        <v>15</v>
      </c>
      <c r="L1500" s="44">
        <v>2.7</v>
      </c>
      <c r="M1500" s="13" t="b">
        <v>0</v>
      </c>
      <c r="O1500" s="25">
        <f t="shared" si="92"/>
        <v>27</v>
      </c>
      <c r="P1500" s="13">
        <f t="shared" si="93"/>
        <v>0</v>
      </c>
      <c r="Q1500" s="13" t="str">
        <f t="shared" si="94"/>
        <v/>
      </c>
      <c r="R1500" s="13" t="str">
        <f t="shared" si="95"/>
        <v>Non diskon</v>
      </c>
    </row>
    <row r="1501" spans="1:18" x14ac:dyDescent="0.25">
      <c r="A1501" s="13" t="s">
        <v>1513</v>
      </c>
      <c r="B1501" s="13" t="s">
        <v>2193</v>
      </c>
      <c r="C1501" s="13" t="s">
        <v>2198</v>
      </c>
      <c r="D1501" s="13" t="s">
        <v>2205</v>
      </c>
      <c r="E1501" s="13" t="s">
        <v>2209</v>
      </c>
      <c r="F1501" s="13" t="s">
        <v>2223</v>
      </c>
      <c r="G1501" s="13">
        <v>89.5</v>
      </c>
      <c r="H1501" s="13">
        <v>0</v>
      </c>
      <c r="I1501" s="13">
        <v>89.5</v>
      </c>
      <c r="J1501" s="24">
        <v>45875</v>
      </c>
      <c r="K1501" s="13">
        <v>5</v>
      </c>
      <c r="L1501" s="44">
        <v>4.5</v>
      </c>
      <c r="M1501" s="13" t="b">
        <v>0</v>
      </c>
      <c r="O1501" s="25">
        <f t="shared" si="92"/>
        <v>27</v>
      </c>
      <c r="P1501" s="13">
        <f t="shared" si="93"/>
        <v>0</v>
      </c>
      <c r="Q1501" s="13" t="str">
        <f t="shared" si="94"/>
        <v/>
      </c>
      <c r="R1501" s="13" t="str">
        <f t="shared" si="95"/>
        <v>Non diskon</v>
      </c>
    </row>
    <row r="1502" spans="1:18" x14ac:dyDescent="0.25">
      <c r="A1502" s="13" t="s">
        <v>1514</v>
      </c>
      <c r="B1502" s="13" t="s">
        <v>2190</v>
      </c>
      <c r="C1502" s="13" t="s">
        <v>2200</v>
      </c>
      <c r="D1502" s="13" t="s">
        <v>2204</v>
      </c>
      <c r="E1502" s="13" t="s">
        <v>2209</v>
      </c>
      <c r="F1502" s="13" t="s">
        <v>2221</v>
      </c>
      <c r="G1502" s="13">
        <v>161.51</v>
      </c>
      <c r="H1502" s="13">
        <v>0</v>
      </c>
      <c r="I1502" s="13">
        <v>161.51</v>
      </c>
      <c r="J1502" s="24">
        <v>45598</v>
      </c>
      <c r="K1502" s="13">
        <v>22</v>
      </c>
      <c r="L1502" s="44">
        <v>4.7</v>
      </c>
      <c r="M1502" s="13" t="b">
        <v>0</v>
      </c>
      <c r="O1502" s="25">
        <f t="shared" si="92"/>
        <v>304</v>
      </c>
      <c r="P1502" s="13">
        <f t="shared" si="93"/>
        <v>0</v>
      </c>
      <c r="Q1502" s="13" t="str">
        <f t="shared" si="94"/>
        <v/>
      </c>
      <c r="R1502" s="13" t="str">
        <f t="shared" si="95"/>
        <v>Non diskon</v>
      </c>
    </row>
    <row r="1503" spans="1:18" x14ac:dyDescent="0.25">
      <c r="A1503" s="13" t="s">
        <v>1515</v>
      </c>
      <c r="B1503" s="13" t="s">
        <v>2192</v>
      </c>
      <c r="C1503" s="13" t="s">
        <v>2196</v>
      </c>
      <c r="D1503" s="13" t="s">
        <v>2205</v>
      </c>
      <c r="F1503" s="13" t="s">
        <v>2224</v>
      </c>
      <c r="G1503" s="13">
        <v>38.119999999999997</v>
      </c>
      <c r="H1503" s="13">
        <v>0</v>
      </c>
      <c r="I1503" s="13">
        <v>38.119999999999997</v>
      </c>
      <c r="J1503" s="24">
        <v>45875</v>
      </c>
      <c r="K1503" s="13">
        <v>18</v>
      </c>
      <c r="L1503" s="44">
        <v>4.4000000000000004</v>
      </c>
      <c r="M1503" s="13" t="b">
        <v>1</v>
      </c>
      <c r="N1503" s="13" t="s">
        <v>2227</v>
      </c>
      <c r="O1503" s="25">
        <f t="shared" si="92"/>
        <v>27</v>
      </c>
      <c r="P1503" s="13">
        <f t="shared" si="93"/>
        <v>0</v>
      </c>
      <c r="Q1503" s="13">
        <f t="shared" si="94"/>
        <v>1</v>
      </c>
      <c r="R1503" s="13" t="str">
        <f t="shared" si="95"/>
        <v>Non diskon</v>
      </c>
    </row>
    <row r="1504" spans="1:18" x14ac:dyDescent="0.25">
      <c r="A1504" s="13" t="s">
        <v>1516</v>
      </c>
      <c r="B1504" s="13" t="s">
        <v>2195</v>
      </c>
      <c r="C1504" s="13" t="s">
        <v>2200</v>
      </c>
      <c r="D1504" s="13" t="s">
        <v>2207</v>
      </c>
      <c r="E1504" s="13" t="s">
        <v>2212</v>
      </c>
      <c r="F1504" s="13" t="s">
        <v>2223</v>
      </c>
      <c r="G1504" s="13">
        <v>100.08</v>
      </c>
      <c r="H1504" s="13">
        <v>0</v>
      </c>
      <c r="I1504" s="13">
        <v>100.08</v>
      </c>
      <c r="J1504" s="24">
        <v>45875</v>
      </c>
      <c r="K1504" s="13">
        <v>23</v>
      </c>
      <c r="L1504" s="44">
        <v>4.8</v>
      </c>
      <c r="M1504" s="13" t="b">
        <v>0</v>
      </c>
      <c r="O1504" s="25">
        <f t="shared" si="92"/>
        <v>27</v>
      </c>
      <c r="P1504" s="13">
        <f t="shared" si="93"/>
        <v>0</v>
      </c>
      <c r="Q1504" s="13" t="str">
        <f t="shared" si="94"/>
        <v/>
      </c>
      <c r="R1504" s="13" t="str">
        <f t="shared" si="95"/>
        <v>Non diskon</v>
      </c>
    </row>
    <row r="1505" spans="1:18" x14ac:dyDescent="0.25">
      <c r="A1505" s="13" t="s">
        <v>1517</v>
      </c>
      <c r="B1505" s="13" t="s">
        <v>2195</v>
      </c>
      <c r="C1505" s="13" t="s">
        <v>2197</v>
      </c>
      <c r="D1505" s="13" t="s">
        <v>2206</v>
      </c>
      <c r="E1505" s="13" t="s">
        <v>2209</v>
      </c>
      <c r="F1505" s="13" t="s">
        <v>2217</v>
      </c>
      <c r="G1505" s="13">
        <v>161.79</v>
      </c>
      <c r="H1505" s="13">
        <v>0</v>
      </c>
      <c r="I1505" s="13">
        <v>161.79</v>
      </c>
      <c r="J1505" s="24">
        <v>45875</v>
      </c>
      <c r="K1505" s="13">
        <v>44</v>
      </c>
      <c r="L1505" s="44">
        <v>3.9</v>
      </c>
      <c r="M1505" s="13" t="b">
        <v>0</v>
      </c>
      <c r="O1505" s="25">
        <f t="shared" si="92"/>
        <v>27</v>
      </c>
      <c r="P1505" s="13">
        <f t="shared" si="93"/>
        <v>0</v>
      </c>
      <c r="Q1505" s="13" t="str">
        <f t="shared" si="94"/>
        <v/>
      </c>
      <c r="R1505" s="13" t="str">
        <f t="shared" si="95"/>
        <v>Non diskon</v>
      </c>
    </row>
    <row r="1506" spans="1:18" x14ac:dyDescent="0.25">
      <c r="A1506" s="13" t="s">
        <v>1518</v>
      </c>
      <c r="B1506" s="13" t="s">
        <v>2194</v>
      </c>
      <c r="C1506" s="13" t="s">
        <v>2201</v>
      </c>
      <c r="D1506" s="13" t="s">
        <v>2206</v>
      </c>
      <c r="E1506" s="13" t="s">
        <v>2208</v>
      </c>
      <c r="F1506" s="13" t="s">
        <v>2216</v>
      </c>
      <c r="G1506" s="13">
        <v>46.42</v>
      </c>
      <c r="H1506" s="13">
        <v>0</v>
      </c>
      <c r="I1506" s="13">
        <v>46.42</v>
      </c>
      <c r="J1506" s="24">
        <v>45875</v>
      </c>
      <c r="K1506" s="13">
        <v>2</v>
      </c>
      <c r="L1506" s="44">
        <v>3.7</v>
      </c>
      <c r="M1506" s="13" t="b">
        <v>1</v>
      </c>
      <c r="N1506" s="13" t="s">
        <v>2229</v>
      </c>
      <c r="O1506" s="25">
        <f t="shared" si="92"/>
        <v>27</v>
      </c>
      <c r="P1506" s="13">
        <f t="shared" si="93"/>
        <v>0</v>
      </c>
      <c r="Q1506" s="13">
        <f t="shared" si="94"/>
        <v>1</v>
      </c>
      <c r="R1506" s="13" t="str">
        <f t="shared" si="95"/>
        <v>Non diskon</v>
      </c>
    </row>
    <row r="1507" spans="1:18" x14ac:dyDescent="0.25">
      <c r="A1507" s="13" t="s">
        <v>1519</v>
      </c>
      <c r="B1507" s="13" t="s">
        <v>2193</v>
      </c>
      <c r="C1507" s="13" t="s">
        <v>2197</v>
      </c>
      <c r="D1507" s="13" t="s">
        <v>2204</v>
      </c>
      <c r="E1507" s="13" t="s">
        <v>2209</v>
      </c>
      <c r="F1507" s="13" t="s">
        <v>2224</v>
      </c>
      <c r="G1507" s="13">
        <v>199.33</v>
      </c>
      <c r="H1507" s="13">
        <v>44.3</v>
      </c>
      <c r="I1507" s="13">
        <v>111.03</v>
      </c>
      <c r="J1507" s="24">
        <v>45616</v>
      </c>
      <c r="K1507" s="13">
        <v>19</v>
      </c>
      <c r="L1507" s="44">
        <v>1.8</v>
      </c>
      <c r="M1507" s="13" t="b">
        <v>0</v>
      </c>
      <c r="O1507" s="25">
        <f t="shared" si="92"/>
        <v>286</v>
      </c>
      <c r="P1507" s="13">
        <f t="shared" si="93"/>
        <v>841.69999999999993</v>
      </c>
      <c r="Q1507" s="13" t="str">
        <f t="shared" si="94"/>
        <v/>
      </c>
      <c r="R1507" s="13" t="str">
        <f t="shared" si="95"/>
        <v>Diskon</v>
      </c>
    </row>
    <row r="1508" spans="1:18" x14ac:dyDescent="0.25">
      <c r="A1508" s="13" t="s">
        <v>1520</v>
      </c>
      <c r="B1508" s="13" t="s">
        <v>2194</v>
      </c>
      <c r="C1508" s="13" t="s">
        <v>2203</v>
      </c>
      <c r="D1508" s="13" t="s">
        <v>2207</v>
      </c>
      <c r="E1508" s="13" t="s">
        <v>2211</v>
      </c>
      <c r="F1508" s="13" t="s">
        <v>2216</v>
      </c>
      <c r="G1508" s="13">
        <v>25.77</v>
      </c>
      <c r="H1508" s="13">
        <v>0</v>
      </c>
      <c r="I1508" s="13">
        <v>25.77</v>
      </c>
      <c r="J1508" s="24">
        <v>45875</v>
      </c>
      <c r="K1508" s="13">
        <v>5</v>
      </c>
      <c r="L1508" s="44">
        <v>3.1</v>
      </c>
      <c r="M1508" s="13" t="b">
        <v>0</v>
      </c>
      <c r="O1508" s="25">
        <f t="shared" si="92"/>
        <v>27</v>
      </c>
      <c r="P1508" s="13">
        <f t="shared" si="93"/>
        <v>0</v>
      </c>
      <c r="Q1508" s="13" t="str">
        <f t="shared" si="94"/>
        <v/>
      </c>
      <c r="R1508" s="13" t="str">
        <f t="shared" si="95"/>
        <v>Non diskon</v>
      </c>
    </row>
    <row r="1509" spans="1:18" x14ac:dyDescent="0.25">
      <c r="A1509" s="13" t="s">
        <v>1521</v>
      </c>
      <c r="B1509" s="13" t="s">
        <v>2193</v>
      </c>
      <c r="C1509" s="13" t="s">
        <v>2203</v>
      </c>
      <c r="D1509" s="13" t="s">
        <v>2205</v>
      </c>
      <c r="E1509" s="13" t="s">
        <v>2213</v>
      </c>
      <c r="F1509" s="13" t="s">
        <v>2222</v>
      </c>
      <c r="G1509" s="13">
        <v>180.67</v>
      </c>
      <c r="H1509" s="13">
        <v>0</v>
      </c>
      <c r="I1509" s="13">
        <v>180.67</v>
      </c>
      <c r="J1509" s="24">
        <v>45875</v>
      </c>
      <c r="K1509" s="13">
        <v>31</v>
      </c>
      <c r="L1509" s="44">
        <v>4.4000000000000004</v>
      </c>
      <c r="M1509" s="13" t="b">
        <v>0</v>
      </c>
      <c r="O1509" s="25">
        <f t="shared" si="92"/>
        <v>27</v>
      </c>
      <c r="P1509" s="13">
        <f t="shared" si="93"/>
        <v>0</v>
      </c>
      <c r="Q1509" s="13" t="str">
        <f t="shared" si="94"/>
        <v/>
      </c>
      <c r="R1509" s="13" t="str">
        <f t="shared" si="95"/>
        <v>Non diskon</v>
      </c>
    </row>
    <row r="1510" spans="1:18" x14ac:dyDescent="0.25">
      <c r="A1510" s="13" t="s">
        <v>1522</v>
      </c>
      <c r="B1510" s="13" t="s">
        <v>2193</v>
      </c>
      <c r="C1510" s="13" t="s">
        <v>2203</v>
      </c>
      <c r="D1510" s="13" t="s">
        <v>2204</v>
      </c>
      <c r="E1510" s="13" t="s">
        <v>2209</v>
      </c>
      <c r="F1510" s="13" t="s">
        <v>2220</v>
      </c>
      <c r="G1510" s="13">
        <v>198.13</v>
      </c>
      <c r="H1510" s="13">
        <v>46.1</v>
      </c>
      <c r="I1510" s="13">
        <v>106.79</v>
      </c>
      <c r="J1510" s="24">
        <v>45796</v>
      </c>
      <c r="K1510" s="13">
        <v>8</v>
      </c>
      <c r="L1510" s="44">
        <v>3.2</v>
      </c>
      <c r="M1510" s="13" t="b">
        <v>0</v>
      </c>
      <c r="O1510" s="25">
        <f t="shared" si="92"/>
        <v>106</v>
      </c>
      <c r="P1510" s="13">
        <f t="shared" si="93"/>
        <v>368.8</v>
      </c>
      <c r="Q1510" s="13" t="str">
        <f t="shared" si="94"/>
        <v/>
      </c>
      <c r="R1510" s="13" t="str">
        <f t="shared" si="95"/>
        <v>Diskon</v>
      </c>
    </row>
    <row r="1511" spans="1:18" x14ac:dyDescent="0.25">
      <c r="A1511" s="13" t="s">
        <v>1523</v>
      </c>
      <c r="B1511" s="13" t="s">
        <v>2195</v>
      </c>
      <c r="C1511" s="13" t="s">
        <v>2197</v>
      </c>
      <c r="D1511" s="13" t="s">
        <v>2207</v>
      </c>
      <c r="F1511" s="13" t="s">
        <v>2222</v>
      </c>
      <c r="G1511" s="13">
        <v>161.53</v>
      </c>
      <c r="H1511" s="13">
        <v>5.3</v>
      </c>
      <c r="I1511" s="13">
        <v>152.97</v>
      </c>
      <c r="J1511" s="24">
        <v>45875</v>
      </c>
      <c r="K1511" s="13">
        <v>33</v>
      </c>
      <c r="L1511" s="44">
        <v>3.7</v>
      </c>
      <c r="M1511" s="13" t="b">
        <v>0</v>
      </c>
      <c r="O1511" s="25">
        <f t="shared" si="92"/>
        <v>27</v>
      </c>
      <c r="P1511" s="13">
        <f t="shared" si="93"/>
        <v>174.9</v>
      </c>
      <c r="Q1511" s="13" t="str">
        <f t="shared" si="94"/>
        <v/>
      </c>
      <c r="R1511" s="13" t="str">
        <f t="shared" si="95"/>
        <v>Diskon</v>
      </c>
    </row>
    <row r="1512" spans="1:18" x14ac:dyDescent="0.25">
      <c r="A1512" s="13" t="s">
        <v>1524</v>
      </c>
      <c r="B1512" s="13" t="s">
        <v>2194</v>
      </c>
      <c r="C1512" s="13" t="s">
        <v>2196</v>
      </c>
      <c r="D1512" s="13" t="s">
        <v>2204</v>
      </c>
      <c r="E1512" s="13" t="s">
        <v>2213</v>
      </c>
      <c r="F1512" s="13" t="s">
        <v>2218</v>
      </c>
      <c r="G1512" s="13">
        <v>25.97</v>
      </c>
      <c r="H1512" s="13">
        <v>0</v>
      </c>
      <c r="I1512" s="13">
        <v>25.97</v>
      </c>
      <c r="J1512" s="24">
        <v>45624</v>
      </c>
      <c r="K1512" s="13">
        <v>31</v>
      </c>
      <c r="L1512" s="44">
        <v>1.2</v>
      </c>
      <c r="M1512" s="13" t="b">
        <v>0</v>
      </c>
      <c r="O1512" s="25">
        <f t="shared" si="92"/>
        <v>278</v>
      </c>
      <c r="P1512" s="13">
        <f t="shared" si="93"/>
        <v>0</v>
      </c>
      <c r="Q1512" s="13" t="str">
        <f t="shared" si="94"/>
        <v/>
      </c>
      <c r="R1512" s="13" t="str">
        <f t="shared" si="95"/>
        <v>Non diskon</v>
      </c>
    </row>
    <row r="1513" spans="1:18" x14ac:dyDescent="0.25">
      <c r="A1513" s="13" t="s">
        <v>1525</v>
      </c>
      <c r="B1513" s="13" t="s">
        <v>2191</v>
      </c>
      <c r="C1513" s="13" t="s">
        <v>2203</v>
      </c>
      <c r="D1513" s="13" t="s">
        <v>2207</v>
      </c>
      <c r="E1513" s="13" t="s">
        <v>2209</v>
      </c>
      <c r="F1513" s="13" t="s">
        <v>2221</v>
      </c>
      <c r="G1513" s="13">
        <v>85</v>
      </c>
      <c r="H1513" s="13">
        <v>39.9</v>
      </c>
      <c r="I1513" s="13">
        <v>51.09</v>
      </c>
      <c r="J1513" s="24">
        <v>45875</v>
      </c>
      <c r="K1513" s="13">
        <v>44</v>
      </c>
      <c r="L1513" s="44">
        <v>3</v>
      </c>
      <c r="M1513" s="13" t="b">
        <v>0</v>
      </c>
      <c r="O1513" s="25">
        <f t="shared" si="92"/>
        <v>27</v>
      </c>
      <c r="P1513" s="13">
        <f t="shared" si="93"/>
        <v>1755.6</v>
      </c>
      <c r="Q1513" s="13" t="str">
        <f t="shared" si="94"/>
        <v/>
      </c>
      <c r="R1513" s="13" t="str">
        <f t="shared" si="95"/>
        <v>Diskon</v>
      </c>
    </row>
    <row r="1514" spans="1:18" x14ac:dyDescent="0.25">
      <c r="A1514" s="13" t="s">
        <v>1526</v>
      </c>
      <c r="B1514" s="13" t="s">
        <v>2192</v>
      </c>
      <c r="C1514" s="13" t="s">
        <v>2197</v>
      </c>
      <c r="D1514" s="13" t="s">
        <v>2207</v>
      </c>
      <c r="F1514" s="13" t="s">
        <v>2215</v>
      </c>
      <c r="G1514" s="13">
        <v>75.03</v>
      </c>
      <c r="H1514" s="13">
        <v>10.9</v>
      </c>
      <c r="I1514" s="13">
        <v>66.849999999999994</v>
      </c>
      <c r="J1514" s="24">
        <v>45875</v>
      </c>
      <c r="K1514" s="13">
        <v>12</v>
      </c>
      <c r="L1514" s="44">
        <v>1.2</v>
      </c>
      <c r="M1514" s="13" t="b">
        <v>0</v>
      </c>
      <c r="O1514" s="25">
        <f t="shared" si="92"/>
        <v>27</v>
      </c>
      <c r="P1514" s="13">
        <f t="shared" si="93"/>
        <v>130.80000000000001</v>
      </c>
      <c r="Q1514" s="13" t="str">
        <f t="shared" si="94"/>
        <v/>
      </c>
      <c r="R1514" s="13" t="str">
        <f t="shared" si="95"/>
        <v>Diskon</v>
      </c>
    </row>
    <row r="1515" spans="1:18" x14ac:dyDescent="0.25">
      <c r="A1515" s="13" t="s">
        <v>1527</v>
      </c>
      <c r="B1515" s="13" t="s">
        <v>2192</v>
      </c>
      <c r="C1515" s="13" t="s">
        <v>2201</v>
      </c>
      <c r="D1515" s="13" t="s">
        <v>2205</v>
      </c>
      <c r="F1515" s="13" t="s">
        <v>2221</v>
      </c>
      <c r="G1515" s="13">
        <v>33.880000000000003</v>
      </c>
      <c r="H1515" s="13">
        <v>0</v>
      </c>
      <c r="I1515" s="13">
        <v>33.880000000000003</v>
      </c>
      <c r="J1515" s="24">
        <v>45875</v>
      </c>
      <c r="K1515" s="13">
        <v>9</v>
      </c>
      <c r="L1515" s="44">
        <v>3.2731707317073173</v>
      </c>
      <c r="M1515" s="13" t="b">
        <v>0</v>
      </c>
      <c r="O1515" s="25">
        <f t="shared" si="92"/>
        <v>27</v>
      </c>
      <c r="P1515" s="13">
        <f t="shared" si="93"/>
        <v>0</v>
      </c>
      <c r="Q1515" s="13" t="str">
        <f t="shared" si="94"/>
        <v/>
      </c>
      <c r="R1515" s="13" t="str">
        <f t="shared" si="95"/>
        <v>Non diskon</v>
      </c>
    </row>
    <row r="1516" spans="1:18" x14ac:dyDescent="0.25">
      <c r="A1516" s="13" t="s">
        <v>1528</v>
      </c>
      <c r="B1516" s="13" t="s">
        <v>2193</v>
      </c>
      <c r="C1516" s="13" t="s">
        <v>2198</v>
      </c>
      <c r="D1516" s="13" t="s">
        <v>2207</v>
      </c>
      <c r="E1516" s="13" t="s">
        <v>2212</v>
      </c>
      <c r="F1516" s="13" t="s">
        <v>2223</v>
      </c>
      <c r="G1516" s="13">
        <v>142</v>
      </c>
      <c r="H1516" s="13">
        <v>12.3</v>
      </c>
      <c r="I1516" s="13">
        <v>124.53</v>
      </c>
      <c r="J1516" s="24">
        <v>45875</v>
      </c>
      <c r="K1516" s="13">
        <v>39</v>
      </c>
      <c r="L1516" s="44">
        <v>3.3</v>
      </c>
      <c r="M1516" s="13" t="b">
        <v>0</v>
      </c>
      <c r="O1516" s="25">
        <f t="shared" si="92"/>
        <v>27</v>
      </c>
      <c r="P1516" s="13">
        <f t="shared" si="93"/>
        <v>479.70000000000005</v>
      </c>
      <c r="Q1516" s="13" t="str">
        <f t="shared" si="94"/>
        <v/>
      </c>
      <c r="R1516" s="13" t="str">
        <f t="shared" si="95"/>
        <v>Diskon</v>
      </c>
    </row>
    <row r="1517" spans="1:18" x14ac:dyDescent="0.25">
      <c r="A1517" s="13" t="s">
        <v>1529</v>
      </c>
      <c r="B1517" s="13" t="s">
        <v>2195</v>
      </c>
      <c r="C1517" s="13" t="s">
        <v>2200</v>
      </c>
      <c r="D1517" s="13" t="s">
        <v>2206</v>
      </c>
      <c r="E1517" s="13" t="s">
        <v>2208</v>
      </c>
      <c r="F1517" s="13" t="s">
        <v>2220</v>
      </c>
      <c r="G1517" s="13">
        <v>125.46</v>
      </c>
      <c r="H1517" s="13">
        <v>0</v>
      </c>
      <c r="I1517" s="13">
        <v>125.46</v>
      </c>
      <c r="J1517" s="24">
        <v>45875</v>
      </c>
      <c r="K1517" s="13">
        <v>26</v>
      </c>
      <c r="L1517" s="44">
        <v>1.1000000000000001</v>
      </c>
      <c r="M1517" s="13" t="b">
        <v>0</v>
      </c>
      <c r="O1517" s="25">
        <f t="shared" si="92"/>
        <v>27</v>
      </c>
      <c r="P1517" s="13">
        <f t="shared" si="93"/>
        <v>0</v>
      </c>
      <c r="Q1517" s="13" t="str">
        <f t="shared" si="94"/>
        <v/>
      </c>
      <c r="R1517" s="13" t="str">
        <f t="shared" si="95"/>
        <v>Non diskon</v>
      </c>
    </row>
    <row r="1518" spans="1:18" x14ac:dyDescent="0.25">
      <c r="A1518" s="13" t="s">
        <v>1530</v>
      </c>
      <c r="B1518" s="13" t="s">
        <v>2193</v>
      </c>
      <c r="C1518" s="13" t="s">
        <v>2200</v>
      </c>
      <c r="D1518" s="13" t="s">
        <v>2205</v>
      </c>
      <c r="E1518" s="13" t="s">
        <v>2209</v>
      </c>
      <c r="F1518" s="13" t="s">
        <v>2219</v>
      </c>
      <c r="G1518" s="13">
        <v>138.79</v>
      </c>
      <c r="H1518" s="13">
        <v>0</v>
      </c>
      <c r="I1518" s="13">
        <v>138.79</v>
      </c>
      <c r="J1518" s="24">
        <v>45875</v>
      </c>
      <c r="K1518" s="13">
        <v>16</v>
      </c>
      <c r="L1518" s="44">
        <v>3.3021276595744684</v>
      </c>
      <c r="M1518" s="13" t="b">
        <v>1</v>
      </c>
      <c r="N1518" s="13" t="s">
        <v>2226</v>
      </c>
      <c r="O1518" s="25">
        <f t="shared" si="92"/>
        <v>27</v>
      </c>
      <c r="P1518" s="13">
        <f t="shared" si="93"/>
        <v>0</v>
      </c>
      <c r="Q1518" s="13">
        <f t="shared" si="94"/>
        <v>1</v>
      </c>
      <c r="R1518" s="13" t="str">
        <f t="shared" si="95"/>
        <v>Non diskon</v>
      </c>
    </row>
    <row r="1519" spans="1:18" x14ac:dyDescent="0.25">
      <c r="A1519" s="13" t="s">
        <v>1531</v>
      </c>
      <c r="B1519" s="13" t="s">
        <v>2194</v>
      </c>
      <c r="C1519" s="13" t="s">
        <v>2201</v>
      </c>
      <c r="D1519" s="13" t="s">
        <v>2204</v>
      </c>
      <c r="E1519" s="13" t="s">
        <v>2208</v>
      </c>
      <c r="F1519" s="13" t="s">
        <v>2215</v>
      </c>
      <c r="G1519" s="13">
        <v>81.81</v>
      </c>
      <c r="H1519" s="13">
        <v>37.9</v>
      </c>
      <c r="I1519" s="13">
        <v>50.8</v>
      </c>
      <c r="J1519" s="24">
        <v>45704</v>
      </c>
      <c r="K1519" s="13">
        <v>44</v>
      </c>
      <c r="L1519" s="44">
        <v>3.0575757575757576</v>
      </c>
      <c r="M1519" s="13" t="b">
        <v>0</v>
      </c>
      <c r="O1519" s="25">
        <f t="shared" si="92"/>
        <v>198</v>
      </c>
      <c r="P1519" s="13">
        <f t="shared" si="93"/>
        <v>1667.6</v>
      </c>
      <c r="Q1519" s="13" t="str">
        <f t="shared" si="94"/>
        <v/>
      </c>
      <c r="R1519" s="13" t="str">
        <f t="shared" si="95"/>
        <v>Diskon</v>
      </c>
    </row>
    <row r="1520" spans="1:18" x14ac:dyDescent="0.25">
      <c r="A1520" s="13" t="s">
        <v>1532</v>
      </c>
      <c r="B1520" s="13" t="s">
        <v>2192</v>
      </c>
      <c r="C1520" s="13" t="s">
        <v>2197</v>
      </c>
      <c r="D1520" s="13" t="s">
        <v>2206</v>
      </c>
      <c r="F1520" s="13" t="s">
        <v>2224</v>
      </c>
      <c r="G1520" s="13">
        <v>78.260000000000005</v>
      </c>
      <c r="H1520" s="13">
        <v>47.3</v>
      </c>
      <c r="I1520" s="13">
        <v>41.24</v>
      </c>
      <c r="J1520" s="24">
        <v>45875</v>
      </c>
      <c r="K1520" s="13">
        <v>20</v>
      </c>
      <c r="L1520" s="44">
        <v>4</v>
      </c>
      <c r="M1520" s="13" t="b">
        <v>0</v>
      </c>
      <c r="O1520" s="25">
        <f t="shared" si="92"/>
        <v>27</v>
      </c>
      <c r="P1520" s="13">
        <f t="shared" si="93"/>
        <v>946</v>
      </c>
      <c r="Q1520" s="13" t="str">
        <f t="shared" si="94"/>
        <v/>
      </c>
      <c r="R1520" s="13" t="str">
        <f t="shared" si="95"/>
        <v>Diskon</v>
      </c>
    </row>
    <row r="1521" spans="1:18" x14ac:dyDescent="0.25">
      <c r="A1521" s="13" t="s">
        <v>1533</v>
      </c>
      <c r="B1521" s="13" t="s">
        <v>2194</v>
      </c>
      <c r="C1521" s="13" t="s">
        <v>2198</v>
      </c>
      <c r="D1521" s="13" t="s">
        <v>2204</v>
      </c>
      <c r="E1521" s="13" t="s">
        <v>2208</v>
      </c>
      <c r="F1521" s="13" t="s">
        <v>2222</v>
      </c>
      <c r="G1521" s="13">
        <v>119.33</v>
      </c>
      <c r="H1521" s="13">
        <v>16</v>
      </c>
      <c r="I1521" s="13">
        <v>100.24</v>
      </c>
      <c r="J1521" s="24">
        <v>45520</v>
      </c>
      <c r="K1521" s="13">
        <v>35</v>
      </c>
      <c r="L1521" s="44">
        <v>3.0384615384615379</v>
      </c>
      <c r="M1521" s="13" t="b">
        <v>0</v>
      </c>
      <c r="O1521" s="25">
        <f t="shared" si="92"/>
        <v>382</v>
      </c>
      <c r="P1521" s="13">
        <f t="shared" si="93"/>
        <v>560</v>
      </c>
      <c r="Q1521" s="13" t="str">
        <f t="shared" si="94"/>
        <v/>
      </c>
      <c r="R1521" s="13" t="str">
        <f t="shared" si="95"/>
        <v>Diskon</v>
      </c>
    </row>
    <row r="1522" spans="1:18" x14ac:dyDescent="0.25">
      <c r="A1522" s="13" t="s">
        <v>1534</v>
      </c>
      <c r="B1522" s="13" t="s">
        <v>2192</v>
      </c>
      <c r="C1522" s="13" t="s">
        <v>2201</v>
      </c>
      <c r="D1522" s="13" t="s">
        <v>2204</v>
      </c>
      <c r="F1522" s="13" t="s">
        <v>2216</v>
      </c>
      <c r="G1522" s="13">
        <v>52.97</v>
      </c>
      <c r="H1522" s="13">
        <v>0</v>
      </c>
      <c r="I1522" s="13">
        <v>52.97</v>
      </c>
      <c r="J1522" s="24">
        <v>45864</v>
      </c>
      <c r="K1522" s="13">
        <v>36</v>
      </c>
      <c r="L1522" s="44">
        <v>4.5999999999999996</v>
      </c>
      <c r="M1522" s="13" t="b">
        <v>0</v>
      </c>
      <c r="O1522" s="25">
        <f t="shared" si="92"/>
        <v>38</v>
      </c>
      <c r="P1522" s="13">
        <f t="shared" si="93"/>
        <v>0</v>
      </c>
      <c r="Q1522" s="13" t="str">
        <f t="shared" si="94"/>
        <v/>
      </c>
      <c r="R1522" s="13" t="str">
        <f t="shared" si="95"/>
        <v>Non diskon</v>
      </c>
    </row>
    <row r="1523" spans="1:18" x14ac:dyDescent="0.25">
      <c r="A1523" s="13" t="s">
        <v>1535</v>
      </c>
      <c r="B1523" s="13" t="s">
        <v>2192</v>
      </c>
      <c r="C1523" s="13" t="s">
        <v>2199</v>
      </c>
      <c r="D1523" s="13" t="s">
        <v>2205</v>
      </c>
      <c r="F1523" s="13" t="s">
        <v>2219</v>
      </c>
      <c r="G1523" s="13">
        <v>69.48</v>
      </c>
      <c r="H1523" s="13">
        <v>0</v>
      </c>
      <c r="I1523" s="13">
        <v>69.48</v>
      </c>
      <c r="J1523" s="24">
        <v>45875</v>
      </c>
      <c r="K1523" s="13">
        <v>17</v>
      </c>
      <c r="L1523" s="44">
        <v>3.4</v>
      </c>
      <c r="M1523" s="13" t="b">
        <v>0</v>
      </c>
      <c r="O1523" s="25">
        <f t="shared" si="92"/>
        <v>27</v>
      </c>
      <c r="P1523" s="13">
        <f t="shared" si="93"/>
        <v>0</v>
      </c>
      <c r="Q1523" s="13" t="str">
        <f t="shared" si="94"/>
        <v/>
      </c>
      <c r="R1523" s="13" t="str">
        <f t="shared" si="95"/>
        <v>Non diskon</v>
      </c>
    </row>
    <row r="1524" spans="1:18" x14ac:dyDescent="0.25">
      <c r="A1524" s="13" t="s">
        <v>1536</v>
      </c>
      <c r="B1524" s="13" t="s">
        <v>2190</v>
      </c>
      <c r="C1524" s="13" t="s">
        <v>2198</v>
      </c>
      <c r="D1524" s="13" t="s">
        <v>2207</v>
      </c>
      <c r="E1524" s="13" t="s">
        <v>2209</v>
      </c>
      <c r="F1524" s="13" t="s">
        <v>2218</v>
      </c>
      <c r="G1524" s="13">
        <v>177.82</v>
      </c>
      <c r="H1524" s="13">
        <v>0</v>
      </c>
      <c r="I1524" s="13">
        <v>177.82</v>
      </c>
      <c r="J1524" s="24">
        <v>45875</v>
      </c>
      <c r="K1524" s="13">
        <v>9</v>
      </c>
      <c r="L1524" s="44">
        <v>1.1000000000000001</v>
      </c>
      <c r="M1524" s="13" t="b">
        <v>0</v>
      </c>
      <c r="O1524" s="25">
        <f t="shared" si="92"/>
        <v>27</v>
      </c>
      <c r="P1524" s="13">
        <f t="shared" si="93"/>
        <v>0</v>
      </c>
      <c r="Q1524" s="13" t="str">
        <f t="shared" si="94"/>
        <v/>
      </c>
      <c r="R1524" s="13" t="str">
        <f t="shared" si="95"/>
        <v>Non diskon</v>
      </c>
    </row>
    <row r="1525" spans="1:18" x14ac:dyDescent="0.25">
      <c r="A1525" s="13" t="s">
        <v>1537</v>
      </c>
      <c r="B1525" s="13" t="s">
        <v>2193</v>
      </c>
      <c r="C1525" s="13" t="s">
        <v>2198</v>
      </c>
      <c r="D1525" s="13" t="s">
        <v>2205</v>
      </c>
      <c r="E1525" s="13" t="s">
        <v>2209</v>
      </c>
      <c r="F1525" s="13" t="s">
        <v>2215</v>
      </c>
      <c r="G1525" s="13">
        <v>142.71</v>
      </c>
      <c r="H1525" s="13">
        <v>0</v>
      </c>
      <c r="I1525" s="13">
        <v>142.71</v>
      </c>
      <c r="J1525" s="24">
        <v>45875</v>
      </c>
      <c r="K1525" s="13">
        <v>28</v>
      </c>
      <c r="L1525" s="44">
        <v>1</v>
      </c>
      <c r="M1525" s="13" t="b">
        <v>0</v>
      </c>
      <c r="O1525" s="25">
        <f t="shared" si="92"/>
        <v>27</v>
      </c>
      <c r="P1525" s="13">
        <f t="shared" si="93"/>
        <v>0</v>
      </c>
      <c r="Q1525" s="13" t="str">
        <f t="shared" si="94"/>
        <v/>
      </c>
      <c r="R1525" s="13" t="str">
        <f t="shared" si="95"/>
        <v>Non diskon</v>
      </c>
    </row>
    <row r="1526" spans="1:18" x14ac:dyDescent="0.25">
      <c r="A1526" s="13" t="s">
        <v>1538</v>
      </c>
      <c r="B1526" s="13" t="s">
        <v>2194</v>
      </c>
      <c r="C1526" s="13" t="s">
        <v>2196</v>
      </c>
      <c r="D1526" s="13" t="s">
        <v>2204</v>
      </c>
      <c r="E1526" s="13" t="s">
        <v>2212</v>
      </c>
      <c r="F1526" s="13" t="s">
        <v>2219</v>
      </c>
      <c r="G1526" s="13">
        <v>105.21</v>
      </c>
      <c r="H1526" s="13">
        <v>0</v>
      </c>
      <c r="I1526" s="13">
        <v>105.21</v>
      </c>
      <c r="J1526" s="24">
        <v>45598</v>
      </c>
      <c r="K1526" s="13">
        <v>41</v>
      </c>
      <c r="L1526" s="44">
        <v>4.9000000000000004</v>
      </c>
      <c r="M1526" s="13" t="b">
        <v>0</v>
      </c>
      <c r="O1526" s="25">
        <f t="shared" si="92"/>
        <v>304</v>
      </c>
      <c r="P1526" s="13">
        <f t="shared" si="93"/>
        <v>0</v>
      </c>
      <c r="Q1526" s="13" t="str">
        <f t="shared" si="94"/>
        <v/>
      </c>
      <c r="R1526" s="13" t="str">
        <f t="shared" si="95"/>
        <v>Non diskon</v>
      </c>
    </row>
    <row r="1527" spans="1:18" x14ac:dyDescent="0.25">
      <c r="A1527" s="13" t="s">
        <v>1539</v>
      </c>
      <c r="B1527" s="13" t="s">
        <v>2192</v>
      </c>
      <c r="C1527" s="13" t="s">
        <v>2203</v>
      </c>
      <c r="D1527" s="13" t="s">
        <v>2206</v>
      </c>
      <c r="F1527" s="13" t="s">
        <v>2218</v>
      </c>
      <c r="G1527" s="13">
        <v>65.09</v>
      </c>
      <c r="H1527" s="13">
        <v>49.8</v>
      </c>
      <c r="I1527" s="13">
        <v>32.68</v>
      </c>
      <c r="J1527" s="24">
        <v>45875</v>
      </c>
      <c r="K1527" s="13">
        <v>32</v>
      </c>
      <c r="L1527" s="44">
        <v>4.9000000000000004</v>
      </c>
      <c r="M1527" s="13" t="b">
        <v>0</v>
      </c>
      <c r="O1527" s="25">
        <f t="shared" si="92"/>
        <v>27</v>
      </c>
      <c r="P1527" s="13">
        <f t="shared" si="93"/>
        <v>1593.6</v>
      </c>
      <c r="Q1527" s="13" t="str">
        <f t="shared" si="94"/>
        <v/>
      </c>
      <c r="R1527" s="13" t="str">
        <f t="shared" si="95"/>
        <v>Diskon</v>
      </c>
    </row>
    <row r="1528" spans="1:18" x14ac:dyDescent="0.25">
      <c r="A1528" s="13" t="s">
        <v>1540</v>
      </c>
      <c r="B1528" s="13" t="s">
        <v>2190</v>
      </c>
      <c r="C1528" s="13" t="s">
        <v>2197</v>
      </c>
      <c r="D1528" s="13" t="s">
        <v>2205</v>
      </c>
      <c r="E1528" s="13" t="s">
        <v>2213</v>
      </c>
      <c r="F1528" s="13" t="s">
        <v>2222</v>
      </c>
      <c r="G1528" s="13">
        <v>167.39</v>
      </c>
      <c r="H1528" s="13">
        <v>0</v>
      </c>
      <c r="I1528" s="13">
        <v>167.39</v>
      </c>
      <c r="J1528" s="24">
        <v>45875</v>
      </c>
      <c r="K1528" s="13">
        <v>43</v>
      </c>
      <c r="L1528" s="44">
        <v>1.8</v>
      </c>
      <c r="M1528" s="13" t="b">
        <v>0</v>
      </c>
      <c r="O1528" s="25">
        <f t="shared" si="92"/>
        <v>27</v>
      </c>
      <c r="P1528" s="13">
        <f t="shared" si="93"/>
        <v>0</v>
      </c>
      <c r="Q1528" s="13" t="str">
        <f t="shared" si="94"/>
        <v/>
      </c>
      <c r="R1528" s="13" t="str">
        <f t="shared" si="95"/>
        <v>Non diskon</v>
      </c>
    </row>
    <row r="1529" spans="1:18" x14ac:dyDescent="0.25">
      <c r="A1529" s="13" t="s">
        <v>1541</v>
      </c>
      <c r="B1529" s="13" t="s">
        <v>2192</v>
      </c>
      <c r="C1529" s="13" t="s">
        <v>2197</v>
      </c>
      <c r="D1529" s="13" t="s">
        <v>2205</v>
      </c>
      <c r="F1529" s="13" t="s">
        <v>2214</v>
      </c>
      <c r="G1529" s="13">
        <v>49.89</v>
      </c>
      <c r="H1529" s="13">
        <v>0</v>
      </c>
      <c r="I1529" s="13">
        <v>49.89</v>
      </c>
      <c r="J1529" s="24">
        <v>45875</v>
      </c>
      <c r="K1529" s="13">
        <v>32</v>
      </c>
      <c r="L1529" s="44">
        <v>2.4</v>
      </c>
      <c r="M1529" s="13" t="b">
        <v>0</v>
      </c>
      <c r="O1529" s="25">
        <f t="shared" si="92"/>
        <v>27</v>
      </c>
      <c r="P1529" s="13">
        <f t="shared" si="93"/>
        <v>0</v>
      </c>
      <c r="Q1529" s="13" t="str">
        <f t="shared" si="94"/>
        <v/>
      </c>
      <c r="R1529" s="13" t="str">
        <f t="shared" si="95"/>
        <v>Non diskon</v>
      </c>
    </row>
    <row r="1530" spans="1:18" x14ac:dyDescent="0.25">
      <c r="A1530" s="13" t="s">
        <v>1542</v>
      </c>
      <c r="B1530" s="13" t="s">
        <v>2190</v>
      </c>
      <c r="C1530" s="13" t="s">
        <v>2198</v>
      </c>
      <c r="D1530" s="13" t="s">
        <v>2206</v>
      </c>
      <c r="E1530" s="13" t="s">
        <v>2210</v>
      </c>
      <c r="F1530" s="13" t="s">
        <v>2217</v>
      </c>
      <c r="G1530" s="13">
        <v>218.06</v>
      </c>
      <c r="H1530" s="13">
        <v>0</v>
      </c>
      <c r="I1530" s="13">
        <v>218.06</v>
      </c>
      <c r="J1530" s="24">
        <v>45875</v>
      </c>
      <c r="K1530" s="13">
        <v>32</v>
      </c>
      <c r="L1530" s="44">
        <v>4</v>
      </c>
      <c r="M1530" s="13" t="b">
        <v>0</v>
      </c>
      <c r="O1530" s="25">
        <f t="shared" si="92"/>
        <v>27</v>
      </c>
      <c r="P1530" s="13">
        <f t="shared" si="93"/>
        <v>0</v>
      </c>
      <c r="Q1530" s="13" t="str">
        <f t="shared" si="94"/>
        <v/>
      </c>
      <c r="R1530" s="13" t="str">
        <f t="shared" si="95"/>
        <v>Non diskon</v>
      </c>
    </row>
    <row r="1531" spans="1:18" x14ac:dyDescent="0.25">
      <c r="A1531" s="13" t="s">
        <v>1543</v>
      </c>
      <c r="B1531" s="13" t="s">
        <v>2194</v>
      </c>
      <c r="C1531" s="13" t="s">
        <v>2202</v>
      </c>
      <c r="D1531" s="13" t="s">
        <v>2207</v>
      </c>
      <c r="E1531" s="13" t="s">
        <v>2212</v>
      </c>
      <c r="F1531" s="13" t="s">
        <v>2217</v>
      </c>
      <c r="G1531" s="13">
        <v>66.64</v>
      </c>
      <c r="H1531" s="13">
        <v>21.8</v>
      </c>
      <c r="I1531" s="13">
        <v>52.11</v>
      </c>
      <c r="J1531" s="24">
        <v>45875</v>
      </c>
      <c r="K1531" s="13">
        <v>25</v>
      </c>
      <c r="L1531" s="44">
        <v>3.5</v>
      </c>
      <c r="M1531" s="13" t="b">
        <v>1</v>
      </c>
      <c r="N1531" s="13" t="s">
        <v>2229</v>
      </c>
      <c r="O1531" s="25">
        <f t="shared" si="92"/>
        <v>27</v>
      </c>
      <c r="P1531" s="13">
        <f t="shared" si="93"/>
        <v>545</v>
      </c>
      <c r="Q1531" s="13">
        <f t="shared" si="94"/>
        <v>1</v>
      </c>
      <c r="R1531" s="13" t="str">
        <f t="shared" si="95"/>
        <v>Diskon</v>
      </c>
    </row>
    <row r="1532" spans="1:18" x14ac:dyDescent="0.25">
      <c r="A1532" s="13" t="s">
        <v>1544</v>
      </c>
      <c r="B1532" s="13" t="s">
        <v>2190</v>
      </c>
      <c r="C1532" s="13" t="s">
        <v>2201</v>
      </c>
      <c r="D1532" s="13" t="s">
        <v>2206</v>
      </c>
      <c r="E1532" s="13" t="s">
        <v>2210</v>
      </c>
      <c r="F1532" s="13" t="s">
        <v>2218</v>
      </c>
      <c r="G1532" s="13">
        <v>124.69</v>
      </c>
      <c r="H1532" s="13">
        <v>40.9</v>
      </c>
      <c r="I1532" s="13">
        <v>73.69</v>
      </c>
      <c r="J1532" s="24">
        <v>45875</v>
      </c>
      <c r="K1532" s="13">
        <v>9</v>
      </c>
      <c r="L1532" s="44">
        <v>4.0999999999999996</v>
      </c>
      <c r="M1532" s="13" t="b">
        <v>0</v>
      </c>
      <c r="O1532" s="25">
        <f t="shared" si="92"/>
        <v>27</v>
      </c>
      <c r="P1532" s="13">
        <f t="shared" si="93"/>
        <v>368.09999999999997</v>
      </c>
      <c r="Q1532" s="13" t="str">
        <f t="shared" si="94"/>
        <v/>
      </c>
      <c r="R1532" s="13" t="str">
        <f t="shared" si="95"/>
        <v>Diskon</v>
      </c>
    </row>
    <row r="1533" spans="1:18" x14ac:dyDescent="0.25">
      <c r="A1533" s="13" t="s">
        <v>1545</v>
      </c>
      <c r="B1533" s="13" t="s">
        <v>2191</v>
      </c>
      <c r="C1533" s="13" t="s">
        <v>2199</v>
      </c>
      <c r="D1533" s="13" t="s">
        <v>2207</v>
      </c>
      <c r="E1533" s="13" t="s">
        <v>2210</v>
      </c>
      <c r="F1533" s="13" t="s">
        <v>2215</v>
      </c>
      <c r="G1533" s="13">
        <v>28.24</v>
      </c>
      <c r="H1533" s="13">
        <v>48.2</v>
      </c>
      <c r="I1533" s="13">
        <v>14.63</v>
      </c>
      <c r="J1533" s="24">
        <v>45875</v>
      </c>
      <c r="K1533" s="13">
        <v>20</v>
      </c>
      <c r="L1533" s="44">
        <v>4.5</v>
      </c>
      <c r="M1533" s="13" t="b">
        <v>0</v>
      </c>
      <c r="O1533" s="25">
        <f t="shared" si="92"/>
        <v>27</v>
      </c>
      <c r="P1533" s="13">
        <f t="shared" si="93"/>
        <v>964</v>
      </c>
      <c r="Q1533" s="13" t="str">
        <f t="shared" si="94"/>
        <v/>
      </c>
      <c r="R1533" s="13" t="str">
        <f t="shared" si="95"/>
        <v>Diskon</v>
      </c>
    </row>
    <row r="1534" spans="1:18" x14ac:dyDescent="0.25">
      <c r="A1534" s="13" t="s">
        <v>1546</v>
      </c>
      <c r="B1534" s="13" t="s">
        <v>2192</v>
      </c>
      <c r="C1534" s="13" t="s">
        <v>2196</v>
      </c>
      <c r="D1534" s="13" t="s">
        <v>2207</v>
      </c>
      <c r="F1534" s="13" t="s">
        <v>2223</v>
      </c>
      <c r="G1534" s="13">
        <v>76.39</v>
      </c>
      <c r="H1534" s="13">
        <v>53.9</v>
      </c>
      <c r="I1534" s="13">
        <v>35.22</v>
      </c>
      <c r="J1534" s="24">
        <v>45875</v>
      </c>
      <c r="K1534" s="13">
        <v>15</v>
      </c>
      <c r="L1534" s="44">
        <v>1.5</v>
      </c>
      <c r="M1534" s="13" t="b">
        <v>0</v>
      </c>
      <c r="O1534" s="25">
        <f t="shared" si="92"/>
        <v>27</v>
      </c>
      <c r="P1534" s="13">
        <f t="shared" si="93"/>
        <v>808.5</v>
      </c>
      <c r="Q1534" s="13" t="str">
        <f t="shared" si="94"/>
        <v/>
      </c>
      <c r="R1534" s="13" t="str">
        <f t="shared" si="95"/>
        <v>Diskon</v>
      </c>
    </row>
    <row r="1535" spans="1:18" x14ac:dyDescent="0.25">
      <c r="A1535" s="13" t="s">
        <v>1547</v>
      </c>
      <c r="B1535" s="13" t="s">
        <v>2194</v>
      </c>
      <c r="C1535" s="13" t="s">
        <v>2196</v>
      </c>
      <c r="D1535" s="13" t="s">
        <v>2205</v>
      </c>
      <c r="E1535" s="13" t="s">
        <v>2213</v>
      </c>
      <c r="F1535" s="13" t="s">
        <v>2219</v>
      </c>
      <c r="G1535" s="13">
        <v>96.82</v>
      </c>
      <c r="H1535" s="13">
        <v>0</v>
      </c>
      <c r="I1535" s="13">
        <v>96.82</v>
      </c>
      <c r="J1535" s="24">
        <v>45875</v>
      </c>
      <c r="K1535" s="13">
        <v>0</v>
      </c>
      <c r="L1535" s="44">
        <v>1.1000000000000001</v>
      </c>
      <c r="M1535" s="13" t="b">
        <v>0</v>
      </c>
      <c r="O1535" s="25">
        <f t="shared" si="92"/>
        <v>27</v>
      </c>
      <c r="P1535" s="13">
        <f t="shared" si="93"/>
        <v>0</v>
      </c>
      <c r="Q1535" s="13" t="str">
        <f t="shared" si="94"/>
        <v/>
      </c>
      <c r="R1535" s="13" t="str">
        <f t="shared" si="95"/>
        <v>Non diskon</v>
      </c>
    </row>
    <row r="1536" spans="1:18" x14ac:dyDescent="0.25">
      <c r="A1536" s="13" t="s">
        <v>1548</v>
      </c>
      <c r="B1536" s="13" t="s">
        <v>2193</v>
      </c>
      <c r="C1536" s="13" t="s">
        <v>2198</v>
      </c>
      <c r="D1536" s="13" t="s">
        <v>2206</v>
      </c>
      <c r="E1536" s="13" t="s">
        <v>2212</v>
      </c>
      <c r="F1536" s="13" t="s">
        <v>2222</v>
      </c>
      <c r="G1536" s="13">
        <v>159.25</v>
      </c>
      <c r="H1536" s="13">
        <v>28.2</v>
      </c>
      <c r="I1536" s="13">
        <v>114.34</v>
      </c>
      <c r="J1536" s="24">
        <v>45875</v>
      </c>
      <c r="K1536" s="13">
        <v>1</v>
      </c>
      <c r="L1536" s="44">
        <v>3.1936170212765949</v>
      </c>
      <c r="M1536" s="13" t="b">
        <v>1</v>
      </c>
      <c r="N1536" s="13" t="s">
        <v>2230</v>
      </c>
      <c r="O1536" s="25">
        <f t="shared" si="92"/>
        <v>27</v>
      </c>
      <c r="P1536" s="13">
        <f t="shared" si="93"/>
        <v>28.2</v>
      </c>
      <c r="Q1536" s="13">
        <f t="shared" si="94"/>
        <v>1</v>
      </c>
      <c r="R1536" s="13" t="str">
        <f t="shared" si="95"/>
        <v>Diskon</v>
      </c>
    </row>
    <row r="1537" spans="1:18" x14ac:dyDescent="0.25">
      <c r="A1537" s="13" t="s">
        <v>1549</v>
      </c>
      <c r="B1537" s="13" t="s">
        <v>2195</v>
      </c>
      <c r="C1537" s="13" t="s">
        <v>2196</v>
      </c>
      <c r="D1537" s="13" t="s">
        <v>2207</v>
      </c>
      <c r="E1537" s="13" t="s">
        <v>2211</v>
      </c>
      <c r="F1537" s="13" t="s">
        <v>2222</v>
      </c>
      <c r="G1537" s="13">
        <v>171.93</v>
      </c>
      <c r="H1537" s="13">
        <v>52.3</v>
      </c>
      <c r="I1537" s="13">
        <v>82.01</v>
      </c>
      <c r="J1537" s="24">
        <v>45875</v>
      </c>
      <c r="K1537" s="13">
        <v>28</v>
      </c>
      <c r="L1537" s="44">
        <v>2.2000000000000002</v>
      </c>
      <c r="M1537" s="13" t="b">
        <v>0</v>
      </c>
      <c r="O1537" s="25">
        <f t="shared" si="92"/>
        <v>27</v>
      </c>
      <c r="P1537" s="13">
        <f t="shared" si="93"/>
        <v>1464.3999999999999</v>
      </c>
      <c r="Q1537" s="13" t="str">
        <f t="shared" si="94"/>
        <v/>
      </c>
      <c r="R1537" s="13" t="str">
        <f t="shared" si="95"/>
        <v>Diskon</v>
      </c>
    </row>
    <row r="1538" spans="1:18" x14ac:dyDescent="0.25">
      <c r="A1538" s="13" t="s">
        <v>1550</v>
      </c>
      <c r="B1538" s="13" t="s">
        <v>2191</v>
      </c>
      <c r="C1538" s="13" t="s">
        <v>2196</v>
      </c>
      <c r="D1538" s="13" t="s">
        <v>2207</v>
      </c>
      <c r="E1538" s="13" t="s">
        <v>2212</v>
      </c>
      <c r="F1538" s="13" t="s">
        <v>2224</v>
      </c>
      <c r="G1538" s="13">
        <v>85.25</v>
      </c>
      <c r="H1538" s="13">
        <v>0</v>
      </c>
      <c r="I1538" s="13">
        <v>85.25</v>
      </c>
      <c r="J1538" s="24">
        <v>45875</v>
      </c>
      <c r="K1538" s="13">
        <v>11</v>
      </c>
      <c r="L1538" s="44">
        <v>2.9181818181818175</v>
      </c>
      <c r="M1538" s="13" t="b">
        <v>0</v>
      </c>
      <c r="O1538" s="25">
        <f t="shared" si="92"/>
        <v>27</v>
      </c>
      <c r="P1538" s="13">
        <f t="shared" si="93"/>
        <v>0</v>
      </c>
      <c r="Q1538" s="13" t="str">
        <f t="shared" si="94"/>
        <v/>
      </c>
      <c r="R1538" s="13" t="str">
        <f t="shared" si="95"/>
        <v>Non diskon</v>
      </c>
    </row>
    <row r="1539" spans="1:18" x14ac:dyDescent="0.25">
      <c r="A1539" s="13" t="s">
        <v>1551</v>
      </c>
      <c r="B1539" s="13" t="s">
        <v>2191</v>
      </c>
      <c r="C1539" s="13" t="s">
        <v>2198</v>
      </c>
      <c r="D1539" s="13" t="s">
        <v>2204</v>
      </c>
      <c r="E1539" s="13" t="s">
        <v>2211</v>
      </c>
      <c r="F1539" s="13" t="s">
        <v>2215</v>
      </c>
      <c r="G1539" s="13">
        <v>70.48</v>
      </c>
      <c r="H1539" s="13">
        <v>0</v>
      </c>
      <c r="I1539" s="13">
        <v>70.48</v>
      </c>
      <c r="J1539" s="24">
        <v>45623</v>
      </c>
      <c r="K1539" s="13">
        <v>22</v>
      </c>
      <c r="L1539" s="44">
        <v>1.2</v>
      </c>
      <c r="M1539" s="13" t="b">
        <v>0</v>
      </c>
      <c r="O1539" s="25">
        <f t="shared" ref="O1539:O1602" si="96">DATE(2025,9,2)-J1539</f>
        <v>279</v>
      </c>
      <c r="P1539" s="13">
        <f t="shared" ref="P1539:P1602" si="97">H1539*K1539</f>
        <v>0</v>
      </c>
      <c r="Q1539" s="13" t="str">
        <f t="shared" ref="Q1539:Q1602" si="98">IF(M1539=FALSE,"",1)</f>
        <v/>
      </c>
      <c r="R1539" s="13" t="str">
        <f t="shared" ref="R1539:R1602" si="99">IF(H1539=0,"Non diskon","Diskon")</f>
        <v>Non diskon</v>
      </c>
    </row>
    <row r="1540" spans="1:18" x14ac:dyDescent="0.25">
      <c r="A1540" s="13" t="s">
        <v>1552</v>
      </c>
      <c r="B1540" s="13" t="s">
        <v>2190</v>
      </c>
      <c r="C1540" s="13" t="s">
        <v>2198</v>
      </c>
      <c r="D1540" s="13" t="s">
        <v>2204</v>
      </c>
      <c r="E1540" s="13" t="s">
        <v>2210</v>
      </c>
      <c r="F1540" s="13" t="s">
        <v>2224</v>
      </c>
      <c r="G1540" s="13">
        <v>203.02</v>
      </c>
      <c r="H1540" s="13">
        <v>0</v>
      </c>
      <c r="I1540" s="13">
        <v>203.02</v>
      </c>
      <c r="J1540" s="24">
        <v>45794</v>
      </c>
      <c r="K1540" s="13">
        <v>23</v>
      </c>
      <c r="L1540" s="44">
        <v>3.5</v>
      </c>
      <c r="M1540" s="13" t="b">
        <v>1</v>
      </c>
      <c r="N1540" s="13" t="s">
        <v>2228</v>
      </c>
      <c r="O1540" s="25">
        <f t="shared" si="96"/>
        <v>108</v>
      </c>
      <c r="P1540" s="13">
        <f t="shared" si="97"/>
        <v>0</v>
      </c>
      <c r="Q1540" s="13">
        <f t="shared" si="98"/>
        <v>1</v>
      </c>
      <c r="R1540" s="13" t="str">
        <f t="shared" si="99"/>
        <v>Non diskon</v>
      </c>
    </row>
    <row r="1541" spans="1:18" x14ac:dyDescent="0.25">
      <c r="A1541" s="13" t="s">
        <v>1553</v>
      </c>
      <c r="B1541" s="13" t="s">
        <v>2195</v>
      </c>
      <c r="C1541" s="13" t="s">
        <v>2201</v>
      </c>
      <c r="D1541" s="13" t="s">
        <v>2206</v>
      </c>
      <c r="E1541" s="13" t="s">
        <v>2211</v>
      </c>
      <c r="F1541" s="13" t="s">
        <v>2215</v>
      </c>
      <c r="G1541" s="13">
        <v>115.39</v>
      </c>
      <c r="H1541" s="13">
        <v>11.2</v>
      </c>
      <c r="I1541" s="13">
        <v>102.47</v>
      </c>
      <c r="J1541" s="24">
        <v>45875</v>
      </c>
      <c r="K1541" s="13">
        <v>4</v>
      </c>
      <c r="L1541" s="44">
        <v>3.8</v>
      </c>
      <c r="M1541" s="13" t="b">
        <v>0</v>
      </c>
      <c r="O1541" s="25">
        <f t="shared" si="96"/>
        <v>27</v>
      </c>
      <c r="P1541" s="13">
        <f t="shared" si="97"/>
        <v>44.8</v>
      </c>
      <c r="Q1541" s="13" t="str">
        <f t="shared" si="98"/>
        <v/>
      </c>
      <c r="R1541" s="13" t="str">
        <f t="shared" si="99"/>
        <v>Diskon</v>
      </c>
    </row>
    <row r="1542" spans="1:18" x14ac:dyDescent="0.25">
      <c r="A1542" s="13" t="s">
        <v>1554</v>
      </c>
      <c r="B1542" s="13" t="s">
        <v>2192</v>
      </c>
      <c r="C1542" s="13" t="s">
        <v>2199</v>
      </c>
      <c r="D1542" s="13" t="s">
        <v>2204</v>
      </c>
      <c r="F1542" s="13" t="s">
        <v>2215</v>
      </c>
      <c r="G1542" s="13">
        <v>27.91</v>
      </c>
      <c r="H1542" s="13">
        <v>49.8</v>
      </c>
      <c r="I1542" s="13">
        <v>14.01</v>
      </c>
      <c r="J1542" s="24">
        <v>45701</v>
      </c>
      <c r="K1542" s="13">
        <v>12</v>
      </c>
      <c r="L1542" s="44">
        <v>2.6</v>
      </c>
      <c r="M1542" s="13" t="b">
        <v>0</v>
      </c>
      <c r="O1542" s="25">
        <f t="shared" si="96"/>
        <v>201</v>
      </c>
      <c r="P1542" s="13">
        <f t="shared" si="97"/>
        <v>597.59999999999991</v>
      </c>
      <c r="Q1542" s="13" t="str">
        <f t="shared" si="98"/>
        <v/>
      </c>
      <c r="R1542" s="13" t="str">
        <f t="shared" si="99"/>
        <v>Diskon</v>
      </c>
    </row>
    <row r="1543" spans="1:18" x14ac:dyDescent="0.25">
      <c r="A1543" s="13" t="s">
        <v>1555</v>
      </c>
      <c r="B1543" s="13" t="s">
        <v>2192</v>
      </c>
      <c r="C1543" s="13" t="s">
        <v>2200</v>
      </c>
      <c r="D1543" s="13" t="s">
        <v>2205</v>
      </c>
      <c r="F1543" s="13" t="s">
        <v>2222</v>
      </c>
      <c r="G1543" s="13">
        <v>79.69</v>
      </c>
      <c r="H1543" s="13">
        <v>0</v>
      </c>
      <c r="I1543" s="13">
        <v>79.69</v>
      </c>
      <c r="J1543" s="24">
        <v>45875</v>
      </c>
      <c r="K1543" s="13">
        <v>44</v>
      </c>
      <c r="L1543" s="44">
        <v>1.6</v>
      </c>
      <c r="M1543" s="13" t="b">
        <v>0</v>
      </c>
      <c r="O1543" s="25">
        <f t="shared" si="96"/>
        <v>27</v>
      </c>
      <c r="P1543" s="13">
        <f t="shared" si="97"/>
        <v>0</v>
      </c>
      <c r="Q1543" s="13" t="str">
        <f t="shared" si="98"/>
        <v/>
      </c>
      <c r="R1543" s="13" t="str">
        <f t="shared" si="99"/>
        <v>Non diskon</v>
      </c>
    </row>
    <row r="1544" spans="1:18" x14ac:dyDescent="0.25">
      <c r="A1544" s="13" t="s">
        <v>1556</v>
      </c>
      <c r="B1544" s="13" t="s">
        <v>2194</v>
      </c>
      <c r="C1544" s="13" t="s">
        <v>2203</v>
      </c>
      <c r="D1544" s="13" t="s">
        <v>2206</v>
      </c>
      <c r="E1544" s="13" t="s">
        <v>2210</v>
      </c>
      <c r="F1544" s="13" t="s">
        <v>2224</v>
      </c>
      <c r="G1544" s="13">
        <v>47.22</v>
      </c>
      <c r="H1544" s="13">
        <v>0</v>
      </c>
      <c r="I1544" s="13">
        <v>47.22</v>
      </c>
      <c r="J1544" s="24">
        <v>45875</v>
      </c>
      <c r="K1544" s="13">
        <v>19</v>
      </c>
      <c r="L1544" s="44">
        <v>1.9</v>
      </c>
      <c r="M1544" s="13" t="b">
        <v>0</v>
      </c>
      <c r="O1544" s="25">
        <f t="shared" si="96"/>
        <v>27</v>
      </c>
      <c r="P1544" s="13">
        <f t="shared" si="97"/>
        <v>0</v>
      </c>
      <c r="Q1544" s="13" t="str">
        <f t="shared" si="98"/>
        <v/>
      </c>
      <c r="R1544" s="13" t="str">
        <f t="shared" si="99"/>
        <v>Non diskon</v>
      </c>
    </row>
    <row r="1545" spans="1:18" x14ac:dyDescent="0.25">
      <c r="A1545" s="13" t="s">
        <v>1557</v>
      </c>
      <c r="B1545" s="13" t="s">
        <v>2193</v>
      </c>
      <c r="C1545" s="13" t="s">
        <v>2200</v>
      </c>
      <c r="D1545" s="13" t="s">
        <v>2206</v>
      </c>
      <c r="F1545" s="13" t="s">
        <v>2224</v>
      </c>
      <c r="G1545" s="13">
        <v>172.27</v>
      </c>
      <c r="H1545" s="13">
        <v>14.9</v>
      </c>
      <c r="I1545" s="13">
        <v>146.6</v>
      </c>
      <c r="J1545" s="24">
        <v>45875</v>
      </c>
      <c r="K1545" s="13">
        <v>8</v>
      </c>
      <c r="L1545" s="44">
        <v>3.7</v>
      </c>
      <c r="M1545" s="13" t="b">
        <v>0</v>
      </c>
      <c r="O1545" s="25">
        <f t="shared" si="96"/>
        <v>27</v>
      </c>
      <c r="P1545" s="13">
        <f t="shared" si="97"/>
        <v>119.2</v>
      </c>
      <c r="Q1545" s="13" t="str">
        <f t="shared" si="98"/>
        <v/>
      </c>
      <c r="R1545" s="13" t="str">
        <f t="shared" si="99"/>
        <v>Diskon</v>
      </c>
    </row>
    <row r="1546" spans="1:18" x14ac:dyDescent="0.25">
      <c r="A1546" s="13" t="s">
        <v>1558</v>
      </c>
      <c r="B1546" s="13" t="s">
        <v>2192</v>
      </c>
      <c r="C1546" s="13" t="s">
        <v>2196</v>
      </c>
      <c r="D1546" s="13" t="s">
        <v>2205</v>
      </c>
      <c r="F1546" s="13" t="s">
        <v>2216</v>
      </c>
      <c r="G1546" s="13">
        <v>27.9</v>
      </c>
      <c r="H1546" s="13">
        <v>0</v>
      </c>
      <c r="I1546" s="13">
        <v>27.9</v>
      </c>
      <c r="J1546" s="24">
        <v>45875</v>
      </c>
      <c r="K1546" s="13">
        <v>27</v>
      </c>
      <c r="L1546" s="44">
        <v>3</v>
      </c>
      <c r="M1546" s="13" t="b">
        <v>1</v>
      </c>
      <c r="N1546" s="13" t="s">
        <v>2229</v>
      </c>
      <c r="O1546" s="25">
        <f t="shared" si="96"/>
        <v>27</v>
      </c>
      <c r="P1546" s="13">
        <f t="shared" si="97"/>
        <v>0</v>
      </c>
      <c r="Q1546" s="13">
        <f t="shared" si="98"/>
        <v>1</v>
      </c>
      <c r="R1546" s="13" t="str">
        <f t="shared" si="99"/>
        <v>Non diskon</v>
      </c>
    </row>
    <row r="1547" spans="1:18" x14ac:dyDescent="0.25">
      <c r="A1547" s="13" t="s">
        <v>1559</v>
      </c>
      <c r="B1547" s="13" t="s">
        <v>2195</v>
      </c>
      <c r="C1547" s="13" t="s">
        <v>2196</v>
      </c>
      <c r="D1547" s="13" t="s">
        <v>2204</v>
      </c>
      <c r="E1547" s="13" t="s">
        <v>2210</v>
      </c>
      <c r="F1547" s="13" t="s">
        <v>2221</v>
      </c>
      <c r="G1547" s="13">
        <v>139.26</v>
      </c>
      <c r="H1547" s="13">
        <v>0</v>
      </c>
      <c r="I1547" s="13">
        <v>139.26</v>
      </c>
      <c r="J1547" s="24">
        <v>45659</v>
      </c>
      <c r="K1547" s="13">
        <v>32</v>
      </c>
      <c r="L1547" s="44">
        <v>3.4</v>
      </c>
      <c r="M1547" s="13" t="b">
        <v>0</v>
      </c>
      <c r="O1547" s="25">
        <f t="shared" si="96"/>
        <v>243</v>
      </c>
      <c r="P1547" s="13">
        <f t="shared" si="97"/>
        <v>0</v>
      </c>
      <c r="Q1547" s="13" t="str">
        <f t="shared" si="98"/>
        <v/>
      </c>
      <c r="R1547" s="13" t="str">
        <f t="shared" si="99"/>
        <v>Non diskon</v>
      </c>
    </row>
    <row r="1548" spans="1:18" x14ac:dyDescent="0.25">
      <c r="A1548" s="13" t="s">
        <v>1560</v>
      </c>
      <c r="B1548" s="13" t="s">
        <v>2192</v>
      </c>
      <c r="C1548" s="13" t="s">
        <v>2201</v>
      </c>
      <c r="D1548" s="13" t="s">
        <v>2207</v>
      </c>
      <c r="F1548" s="13" t="s">
        <v>2218</v>
      </c>
      <c r="G1548" s="13">
        <v>30.47</v>
      </c>
      <c r="H1548" s="13">
        <v>0</v>
      </c>
      <c r="I1548" s="13">
        <v>30.47</v>
      </c>
      <c r="J1548" s="24">
        <v>45875</v>
      </c>
      <c r="K1548" s="13">
        <v>34</v>
      </c>
      <c r="L1548" s="44">
        <v>4.2</v>
      </c>
      <c r="M1548" s="13" t="b">
        <v>0</v>
      </c>
      <c r="O1548" s="25">
        <f t="shared" si="96"/>
        <v>27</v>
      </c>
      <c r="P1548" s="13">
        <f t="shared" si="97"/>
        <v>0</v>
      </c>
      <c r="Q1548" s="13" t="str">
        <f t="shared" si="98"/>
        <v/>
      </c>
      <c r="R1548" s="13" t="str">
        <f t="shared" si="99"/>
        <v>Non diskon</v>
      </c>
    </row>
    <row r="1549" spans="1:18" x14ac:dyDescent="0.25">
      <c r="A1549" s="13" t="s">
        <v>1561</v>
      </c>
      <c r="B1549" s="13" t="s">
        <v>2190</v>
      </c>
      <c r="C1549" s="13" t="s">
        <v>2202</v>
      </c>
      <c r="D1549" s="13" t="s">
        <v>2206</v>
      </c>
      <c r="E1549" s="13" t="s">
        <v>2213</v>
      </c>
      <c r="F1549" s="13" t="s">
        <v>2223</v>
      </c>
      <c r="G1549" s="13">
        <v>141.53</v>
      </c>
      <c r="H1549" s="13">
        <v>39.799999999999997</v>
      </c>
      <c r="I1549" s="13">
        <v>85.2</v>
      </c>
      <c r="J1549" s="24">
        <v>45875</v>
      </c>
      <c r="K1549" s="13">
        <v>47</v>
      </c>
      <c r="L1549" s="44">
        <v>3.5</v>
      </c>
      <c r="M1549" s="13" t="b">
        <v>0</v>
      </c>
      <c r="O1549" s="25">
        <f t="shared" si="96"/>
        <v>27</v>
      </c>
      <c r="P1549" s="13">
        <f t="shared" si="97"/>
        <v>1870.6</v>
      </c>
      <c r="Q1549" s="13" t="str">
        <f t="shared" si="98"/>
        <v/>
      </c>
      <c r="R1549" s="13" t="str">
        <f t="shared" si="99"/>
        <v>Diskon</v>
      </c>
    </row>
    <row r="1550" spans="1:18" x14ac:dyDescent="0.25">
      <c r="A1550" s="13" t="s">
        <v>1562</v>
      </c>
      <c r="B1550" s="13" t="s">
        <v>2195</v>
      </c>
      <c r="C1550" s="13" t="s">
        <v>2202</v>
      </c>
      <c r="D1550" s="13" t="s">
        <v>2204</v>
      </c>
      <c r="E1550" s="13" t="s">
        <v>2208</v>
      </c>
      <c r="F1550" s="13" t="s">
        <v>2218</v>
      </c>
      <c r="G1550" s="13">
        <v>47.45</v>
      </c>
      <c r="H1550" s="13">
        <v>24.4</v>
      </c>
      <c r="I1550" s="13">
        <v>35.869999999999997</v>
      </c>
      <c r="J1550" s="24">
        <v>45823</v>
      </c>
      <c r="K1550" s="13">
        <v>42</v>
      </c>
      <c r="L1550" s="44">
        <v>2.8</v>
      </c>
      <c r="M1550" s="13" t="b">
        <v>0</v>
      </c>
      <c r="O1550" s="25">
        <f t="shared" si="96"/>
        <v>79</v>
      </c>
      <c r="P1550" s="13">
        <f t="shared" si="97"/>
        <v>1024.8</v>
      </c>
      <c r="Q1550" s="13" t="str">
        <f t="shared" si="98"/>
        <v/>
      </c>
      <c r="R1550" s="13" t="str">
        <f t="shared" si="99"/>
        <v>Diskon</v>
      </c>
    </row>
    <row r="1551" spans="1:18" x14ac:dyDescent="0.25">
      <c r="A1551" s="13" t="s">
        <v>1563</v>
      </c>
      <c r="B1551" s="13" t="s">
        <v>2194</v>
      </c>
      <c r="C1551" s="13" t="s">
        <v>2202</v>
      </c>
      <c r="D1551" s="13" t="s">
        <v>2205</v>
      </c>
      <c r="E1551" s="13" t="s">
        <v>2212</v>
      </c>
      <c r="F1551" s="13" t="s">
        <v>2222</v>
      </c>
      <c r="G1551" s="13">
        <v>51.39</v>
      </c>
      <c r="H1551" s="13">
        <v>6.3</v>
      </c>
      <c r="I1551" s="13">
        <v>48.15</v>
      </c>
      <c r="J1551" s="24">
        <v>45875</v>
      </c>
      <c r="K1551" s="13">
        <v>46</v>
      </c>
      <c r="L1551" s="44">
        <v>3.1799999999999997</v>
      </c>
      <c r="M1551" s="13" t="b">
        <v>0</v>
      </c>
      <c r="O1551" s="25">
        <f t="shared" si="96"/>
        <v>27</v>
      </c>
      <c r="P1551" s="13">
        <f t="shared" si="97"/>
        <v>289.8</v>
      </c>
      <c r="Q1551" s="13" t="str">
        <f t="shared" si="98"/>
        <v/>
      </c>
      <c r="R1551" s="13" t="str">
        <f t="shared" si="99"/>
        <v>Diskon</v>
      </c>
    </row>
    <row r="1552" spans="1:18" x14ac:dyDescent="0.25">
      <c r="A1552" s="13" t="s">
        <v>1564</v>
      </c>
      <c r="B1552" s="13" t="s">
        <v>2191</v>
      </c>
      <c r="C1552" s="13" t="s">
        <v>2202</v>
      </c>
      <c r="D1552" s="13" t="s">
        <v>2204</v>
      </c>
      <c r="F1552" s="13" t="s">
        <v>2217</v>
      </c>
      <c r="G1552" s="13">
        <v>74.13</v>
      </c>
      <c r="H1552" s="13">
        <v>0</v>
      </c>
      <c r="I1552" s="13">
        <v>74.13</v>
      </c>
      <c r="J1552" s="24">
        <v>45609</v>
      </c>
      <c r="K1552" s="13">
        <v>23</v>
      </c>
      <c r="L1552" s="44">
        <v>2.9074999999999998</v>
      </c>
      <c r="M1552" s="13" t="b">
        <v>0</v>
      </c>
      <c r="O1552" s="25">
        <f t="shared" si="96"/>
        <v>293</v>
      </c>
      <c r="P1552" s="13">
        <f t="shared" si="97"/>
        <v>0</v>
      </c>
      <c r="Q1552" s="13" t="str">
        <f t="shared" si="98"/>
        <v/>
      </c>
      <c r="R1552" s="13" t="str">
        <f t="shared" si="99"/>
        <v>Non diskon</v>
      </c>
    </row>
    <row r="1553" spans="1:18" x14ac:dyDescent="0.25">
      <c r="A1553" s="13" t="s">
        <v>1565</v>
      </c>
      <c r="B1553" s="13" t="s">
        <v>2195</v>
      </c>
      <c r="C1553" s="13" t="s">
        <v>2196</v>
      </c>
      <c r="D1553" s="13" t="s">
        <v>2206</v>
      </c>
      <c r="E1553" s="13" t="s">
        <v>2208</v>
      </c>
      <c r="F1553" s="13" t="s">
        <v>2223</v>
      </c>
      <c r="G1553" s="13">
        <v>156.13999999999999</v>
      </c>
      <c r="H1553" s="13">
        <v>5</v>
      </c>
      <c r="I1553" s="13">
        <v>148.33000000000001</v>
      </c>
      <c r="J1553" s="24">
        <v>45875</v>
      </c>
      <c r="K1553" s="13">
        <v>39</v>
      </c>
      <c r="L1553" s="44">
        <v>3.0424242424242425</v>
      </c>
      <c r="M1553" s="13" t="b">
        <v>0</v>
      </c>
      <c r="O1553" s="25">
        <f t="shared" si="96"/>
        <v>27</v>
      </c>
      <c r="P1553" s="13">
        <f t="shared" si="97"/>
        <v>195</v>
      </c>
      <c r="Q1553" s="13" t="str">
        <f t="shared" si="98"/>
        <v/>
      </c>
      <c r="R1553" s="13" t="str">
        <f t="shared" si="99"/>
        <v>Diskon</v>
      </c>
    </row>
    <row r="1554" spans="1:18" x14ac:dyDescent="0.25">
      <c r="A1554" s="13" t="s">
        <v>1566</v>
      </c>
      <c r="B1554" s="13" t="s">
        <v>2190</v>
      </c>
      <c r="C1554" s="13" t="s">
        <v>2198</v>
      </c>
      <c r="D1554" s="13" t="s">
        <v>2207</v>
      </c>
      <c r="E1554" s="13" t="s">
        <v>2212</v>
      </c>
      <c r="F1554" s="13" t="s">
        <v>2220</v>
      </c>
      <c r="G1554" s="13">
        <v>105.3</v>
      </c>
      <c r="H1554" s="13">
        <v>0</v>
      </c>
      <c r="I1554" s="13">
        <v>105.3</v>
      </c>
      <c r="J1554" s="24">
        <v>45875</v>
      </c>
      <c r="K1554" s="13">
        <v>1</v>
      </c>
      <c r="L1554" s="44">
        <v>3</v>
      </c>
      <c r="M1554" s="13" t="b">
        <v>0</v>
      </c>
      <c r="O1554" s="25">
        <f t="shared" si="96"/>
        <v>27</v>
      </c>
      <c r="P1554" s="13">
        <f t="shared" si="97"/>
        <v>0</v>
      </c>
      <c r="Q1554" s="13" t="str">
        <f t="shared" si="98"/>
        <v/>
      </c>
      <c r="R1554" s="13" t="str">
        <f t="shared" si="99"/>
        <v>Non diskon</v>
      </c>
    </row>
    <row r="1555" spans="1:18" x14ac:dyDescent="0.25">
      <c r="A1555" s="13" t="s">
        <v>1567</v>
      </c>
      <c r="B1555" s="13" t="s">
        <v>2195</v>
      </c>
      <c r="C1555" s="13" t="s">
        <v>2200</v>
      </c>
      <c r="D1555" s="13" t="s">
        <v>2205</v>
      </c>
      <c r="E1555" s="13" t="s">
        <v>2210</v>
      </c>
      <c r="F1555" s="13" t="s">
        <v>2222</v>
      </c>
      <c r="G1555" s="13">
        <v>126.76</v>
      </c>
      <c r="H1555" s="13">
        <v>0</v>
      </c>
      <c r="I1555" s="13">
        <v>126.76</v>
      </c>
      <c r="J1555" s="24">
        <v>45875</v>
      </c>
      <c r="K1555" s="13">
        <v>24</v>
      </c>
      <c r="L1555" s="44">
        <v>2.2000000000000002</v>
      </c>
      <c r="M1555" s="13" t="b">
        <v>0</v>
      </c>
      <c r="O1555" s="25">
        <f t="shared" si="96"/>
        <v>27</v>
      </c>
      <c r="P1555" s="13">
        <f t="shared" si="97"/>
        <v>0</v>
      </c>
      <c r="Q1555" s="13" t="str">
        <f t="shared" si="98"/>
        <v/>
      </c>
      <c r="R1555" s="13" t="str">
        <f t="shared" si="99"/>
        <v>Non diskon</v>
      </c>
    </row>
    <row r="1556" spans="1:18" x14ac:dyDescent="0.25">
      <c r="A1556" s="13" t="s">
        <v>1568</v>
      </c>
      <c r="B1556" s="13" t="s">
        <v>2191</v>
      </c>
      <c r="C1556" s="13" t="s">
        <v>2202</v>
      </c>
      <c r="D1556" s="13" t="s">
        <v>2205</v>
      </c>
      <c r="E1556" s="13" t="s">
        <v>2209</v>
      </c>
      <c r="F1556" s="13" t="s">
        <v>2222</v>
      </c>
      <c r="G1556" s="13">
        <v>35.409999999999997</v>
      </c>
      <c r="H1556" s="13">
        <v>0</v>
      </c>
      <c r="I1556" s="13">
        <v>35.409999999999997</v>
      </c>
      <c r="J1556" s="24">
        <v>45875</v>
      </c>
      <c r="K1556" s="13">
        <v>48</v>
      </c>
      <c r="L1556" s="44">
        <v>4.3</v>
      </c>
      <c r="M1556" s="13" t="b">
        <v>1</v>
      </c>
      <c r="N1556" s="13" t="s">
        <v>2227</v>
      </c>
      <c r="O1556" s="25">
        <f t="shared" si="96"/>
        <v>27</v>
      </c>
      <c r="P1556" s="13">
        <f t="shared" si="97"/>
        <v>0</v>
      </c>
      <c r="Q1556" s="13">
        <f t="shared" si="98"/>
        <v>1</v>
      </c>
      <c r="R1556" s="13" t="str">
        <f t="shared" si="99"/>
        <v>Non diskon</v>
      </c>
    </row>
    <row r="1557" spans="1:18" x14ac:dyDescent="0.25">
      <c r="A1557" s="13" t="s">
        <v>1569</v>
      </c>
      <c r="B1557" s="13" t="s">
        <v>2190</v>
      </c>
      <c r="C1557" s="13" t="s">
        <v>2201</v>
      </c>
      <c r="D1557" s="13" t="s">
        <v>2205</v>
      </c>
      <c r="E1557" s="13" t="s">
        <v>2213</v>
      </c>
      <c r="F1557" s="13" t="s">
        <v>2217</v>
      </c>
      <c r="G1557" s="13">
        <v>80.040000000000006</v>
      </c>
      <c r="H1557" s="13">
        <v>0</v>
      </c>
      <c r="I1557" s="13">
        <v>80.040000000000006</v>
      </c>
      <c r="J1557" s="24">
        <v>45875</v>
      </c>
      <c r="K1557" s="13">
        <v>13</v>
      </c>
      <c r="L1557" s="44">
        <v>2.2999999999999998</v>
      </c>
      <c r="M1557" s="13" t="b">
        <v>0</v>
      </c>
      <c r="O1557" s="25">
        <f t="shared" si="96"/>
        <v>27</v>
      </c>
      <c r="P1557" s="13">
        <f t="shared" si="97"/>
        <v>0</v>
      </c>
      <c r="Q1557" s="13" t="str">
        <f t="shared" si="98"/>
        <v/>
      </c>
      <c r="R1557" s="13" t="str">
        <f t="shared" si="99"/>
        <v>Non diskon</v>
      </c>
    </row>
    <row r="1558" spans="1:18" x14ac:dyDescent="0.25">
      <c r="A1558" s="13" t="s">
        <v>1570</v>
      </c>
      <c r="B1558" s="13" t="s">
        <v>2194</v>
      </c>
      <c r="C1558" s="13" t="s">
        <v>2202</v>
      </c>
      <c r="D1558" s="13" t="s">
        <v>2206</v>
      </c>
      <c r="F1558" s="13" t="s">
        <v>2222</v>
      </c>
      <c r="G1558" s="13">
        <v>68.16</v>
      </c>
      <c r="H1558" s="13">
        <v>0</v>
      </c>
      <c r="I1558" s="13">
        <v>68.16</v>
      </c>
      <c r="J1558" s="24">
        <v>45875</v>
      </c>
      <c r="K1558" s="13">
        <v>34</v>
      </c>
      <c r="L1558" s="44">
        <v>2.7</v>
      </c>
      <c r="M1558" s="13" t="b">
        <v>0</v>
      </c>
      <c r="O1558" s="25">
        <f t="shared" si="96"/>
        <v>27</v>
      </c>
      <c r="P1558" s="13">
        <f t="shared" si="97"/>
        <v>0</v>
      </c>
      <c r="Q1558" s="13" t="str">
        <f t="shared" si="98"/>
        <v/>
      </c>
      <c r="R1558" s="13" t="str">
        <f t="shared" si="99"/>
        <v>Non diskon</v>
      </c>
    </row>
    <row r="1559" spans="1:18" x14ac:dyDescent="0.25">
      <c r="A1559" s="13" t="s">
        <v>1571</v>
      </c>
      <c r="B1559" s="13" t="s">
        <v>2195</v>
      </c>
      <c r="C1559" s="13" t="s">
        <v>2201</v>
      </c>
      <c r="D1559" s="13" t="s">
        <v>2206</v>
      </c>
      <c r="E1559" s="13" t="s">
        <v>2208</v>
      </c>
      <c r="F1559" s="13" t="s">
        <v>2217</v>
      </c>
      <c r="G1559" s="13">
        <v>60.87</v>
      </c>
      <c r="H1559" s="13">
        <v>0</v>
      </c>
      <c r="I1559" s="13">
        <v>60.87</v>
      </c>
      <c r="J1559" s="24">
        <v>45875</v>
      </c>
      <c r="K1559" s="13">
        <v>35</v>
      </c>
      <c r="L1559" s="44">
        <v>3.1874999999999991</v>
      </c>
      <c r="M1559" s="13" t="b">
        <v>0</v>
      </c>
      <c r="O1559" s="25">
        <f t="shared" si="96"/>
        <v>27</v>
      </c>
      <c r="P1559" s="13">
        <f t="shared" si="97"/>
        <v>0</v>
      </c>
      <c r="Q1559" s="13" t="str">
        <f t="shared" si="98"/>
        <v/>
      </c>
      <c r="R1559" s="13" t="str">
        <f t="shared" si="99"/>
        <v>Non diskon</v>
      </c>
    </row>
    <row r="1560" spans="1:18" x14ac:dyDescent="0.25">
      <c r="A1560" s="13" t="s">
        <v>1572</v>
      </c>
      <c r="B1560" s="13" t="s">
        <v>2191</v>
      </c>
      <c r="C1560" s="13" t="s">
        <v>2200</v>
      </c>
      <c r="D1560" s="13" t="s">
        <v>2204</v>
      </c>
      <c r="E1560" s="13" t="s">
        <v>2209</v>
      </c>
      <c r="F1560" s="13" t="s">
        <v>2224</v>
      </c>
      <c r="G1560" s="13">
        <v>59.8</v>
      </c>
      <c r="H1560" s="13">
        <v>0</v>
      </c>
      <c r="I1560" s="13">
        <v>59.8</v>
      </c>
      <c r="J1560" s="24">
        <v>45753</v>
      </c>
      <c r="K1560" s="13">
        <v>50</v>
      </c>
      <c r="L1560" s="44">
        <v>2.2000000000000002</v>
      </c>
      <c r="M1560" s="13" t="b">
        <v>1</v>
      </c>
      <c r="N1560" s="13" t="s">
        <v>2226</v>
      </c>
      <c r="O1560" s="25">
        <f t="shared" si="96"/>
        <v>149</v>
      </c>
      <c r="P1560" s="13">
        <f t="shared" si="97"/>
        <v>0</v>
      </c>
      <c r="Q1560" s="13">
        <f t="shared" si="98"/>
        <v>1</v>
      </c>
      <c r="R1560" s="13" t="str">
        <f t="shared" si="99"/>
        <v>Non diskon</v>
      </c>
    </row>
    <row r="1561" spans="1:18" x14ac:dyDescent="0.25">
      <c r="A1561" s="13" t="s">
        <v>1573</v>
      </c>
      <c r="B1561" s="13" t="s">
        <v>2192</v>
      </c>
      <c r="C1561" s="13" t="s">
        <v>2202</v>
      </c>
      <c r="D1561" s="13" t="s">
        <v>2206</v>
      </c>
      <c r="F1561" s="13" t="s">
        <v>2216</v>
      </c>
      <c r="G1561" s="13">
        <v>75.83</v>
      </c>
      <c r="H1561" s="13">
        <v>0</v>
      </c>
      <c r="I1561" s="13">
        <v>75.83</v>
      </c>
      <c r="J1561" s="24">
        <v>45875</v>
      </c>
      <c r="K1561" s="13">
        <v>8</v>
      </c>
      <c r="L1561" s="44">
        <v>2</v>
      </c>
      <c r="M1561" s="13" t="b">
        <v>0</v>
      </c>
      <c r="O1561" s="25">
        <f t="shared" si="96"/>
        <v>27</v>
      </c>
      <c r="P1561" s="13">
        <f t="shared" si="97"/>
        <v>0</v>
      </c>
      <c r="Q1561" s="13" t="str">
        <f t="shared" si="98"/>
        <v/>
      </c>
      <c r="R1561" s="13" t="str">
        <f t="shared" si="99"/>
        <v>Non diskon</v>
      </c>
    </row>
    <row r="1562" spans="1:18" x14ac:dyDescent="0.25">
      <c r="A1562" s="13" t="s">
        <v>1574</v>
      </c>
      <c r="B1562" s="13" t="s">
        <v>2191</v>
      </c>
      <c r="C1562" s="13" t="s">
        <v>2200</v>
      </c>
      <c r="D1562" s="13" t="s">
        <v>2207</v>
      </c>
      <c r="E1562" s="13" t="s">
        <v>2209</v>
      </c>
      <c r="F1562" s="13" t="s">
        <v>2221</v>
      </c>
      <c r="G1562" s="13">
        <v>55.97</v>
      </c>
      <c r="H1562" s="13">
        <v>0</v>
      </c>
      <c r="I1562" s="13">
        <v>55.97</v>
      </c>
      <c r="J1562" s="24">
        <v>45875</v>
      </c>
      <c r="K1562" s="13">
        <v>30</v>
      </c>
      <c r="L1562" s="44">
        <v>2.9657142857142857</v>
      </c>
      <c r="M1562" s="13" t="b">
        <v>0</v>
      </c>
      <c r="O1562" s="25">
        <f t="shared" si="96"/>
        <v>27</v>
      </c>
      <c r="P1562" s="13">
        <f t="shared" si="97"/>
        <v>0</v>
      </c>
      <c r="Q1562" s="13" t="str">
        <f t="shared" si="98"/>
        <v/>
      </c>
      <c r="R1562" s="13" t="str">
        <f t="shared" si="99"/>
        <v>Non diskon</v>
      </c>
    </row>
    <row r="1563" spans="1:18" x14ac:dyDescent="0.25">
      <c r="A1563" s="13" t="s">
        <v>1575</v>
      </c>
      <c r="B1563" s="13" t="s">
        <v>2193</v>
      </c>
      <c r="C1563" s="13" t="s">
        <v>2202</v>
      </c>
      <c r="D1563" s="13" t="s">
        <v>2205</v>
      </c>
      <c r="E1563" s="13" t="s">
        <v>2208</v>
      </c>
      <c r="F1563" s="13" t="s">
        <v>2221</v>
      </c>
      <c r="G1563" s="13">
        <v>190.52</v>
      </c>
      <c r="H1563" s="13">
        <v>45.2</v>
      </c>
      <c r="I1563" s="13">
        <v>104.4</v>
      </c>
      <c r="J1563" s="24">
        <v>45875</v>
      </c>
      <c r="K1563" s="13">
        <v>2</v>
      </c>
      <c r="L1563" s="44">
        <v>1.1000000000000001</v>
      </c>
      <c r="M1563" s="13" t="b">
        <v>0</v>
      </c>
      <c r="O1563" s="25">
        <f t="shared" si="96"/>
        <v>27</v>
      </c>
      <c r="P1563" s="13">
        <f t="shared" si="97"/>
        <v>90.4</v>
      </c>
      <c r="Q1563" s="13" t="str">
        <f t="shared" si="98"/>
        <v/>
      </c>
      <c r="R1563" s="13" t="str">
        <f t="shared" si="99"/>
        <v>Diskon</v>
      </c>
    </row>
    <row r="1564" spans="1:18" x14ac:dyDescent="0.25">
      <c r="A1564" s="13" t="s">
        <v>1576</v>
      </c>
      <c r="B1564" s="13" t="s">
        <v>2194</v>
      </c>
      <c r="C1564" s="13" t="s">
        <v>2196</v>
      </c>
      <c r="D1564" s="13" t="s">
        <v>2207</v>
      </c>
      <c r="E1564" s="13" t="s">
        <v>2213</v>
      </c>
      <c r="F1564" s="13" t="s">
        <v>2215</v>
      </c>
      <c r="G1564" s="13">
        <v>89.19</v>
      </c>
      <c r="H1564" s="13">
        <v>10.3</v>
      </c>
      <c r="I1564" s="13">
        <v>80</v>
      </c>
      <c r="J1564" s="24">
        <v>45875</v>
      </c>
      <c r="K1564" s="13">
        <v>4</v>
      </c>
      <c r="L1564" s="44">
        <v>2.9210526315789478</v>
      </c>
      <c r="M1564" s="13" t="b">
        <v>0</v>
      </c>
      <c r="O1564" s="25">
        <f t="shared" si="96"/>
        <v>27</v>
      </c>
      <c r="P1564" s="13">
        <f t="shared" si="97"/>
        <v>41.2</v>
      </c>
      <c r="Q1564" s="13" t="str">
        <f t="shared" si="98"/>
        <v/>
      </c>
      <c r="R1564" s="13" t="str">
        <f t="shared" si="99"/>
        <v>Diskon</v>
      </c>
    </row>
    <row r="1565" spans="1:18" x14ac:dyDescent="0.25">
      <c r="A1565" s="13" t="s">
        <v>1577</v>
      </c>
      <c r="B1565" s="13" t="s">
        <v>2193</v>
      </c>
      <c r="C1565" s="13" t="s">
        <v>2198</v>
      </c>
      <c r="D1565" s="13" t="s">
        <v>2207</v>
      </c>
      <c r="F1565" s="13" t="s">
        <v>2217</v>
      </c>
      <c r="G1565" s="13">
        <v>79.59</v>
      </c>
      <c r="H1565" s="13">
        <v>8.9</v>
      </c>
      <c r="I1565" s="13">
        <v>72.510000000000005</v>
      </c>
      <c r="J1565" s="24">
        <v>45875</v>
      </c>
      <c r="K1565" s="13">
        <v>16</v>
      </c>
      <c r="L1565" s="44">
        <v>4.5999999999999996</v>
      </c>
      <c r="M1565" s="13" t="b">
        <v>1</v>
      </c>
      <c r="N1565" s="13" t="s">
        <v>2230</v>
      </c>
      <c r="O1565" s="25">
        <f t="shared" si="96"/>
        <v>27</v>
      </c>
      <c r="P1565" s="13">
        <f t="shared" si="97"/>
        <v>142.4</v>
      </c>
      <c r="Q1565" s="13">
        <f t="shared" si="98"/>
        <v>1</v>
      </c>
      <c r="R1565" s="13" t="str">
        <f t="shared" si="99"/>
        <v>Diskon</v>
      </c>
    </row>
    <row r="1566" spans="1:18" x14ac:dyDescent="0.25">
      <c r="A1566" s="13" t="s">
        <v>1578</v>
      </c>
      <c r="B1566" s="13" t="s">
        <v>2194</v>
      </c>
      <c r="C1566" s="13" t="s">
        <v>2199</v>
      </c>
      <c r="D1566" s="13" t="s">
        <v>2204</v>
      </c>
      <c r="E1566" s="13" t="s">
        <v>2211</v>
      </c>
      <c r="F1566" s="13" t="s">
        <v>2218</v>
      </c>
      <c r="G1566" s="13">
        <v>84.8</v>
      </c>
      <c r="H1566" s="13">
        <v>0</v>
      </c>
      <c r="I1566" s="13">
        <v>84.8</v>
      </c>
      <c r="J1566" s="24">
        <v>45846</v>
      </c>
      <c r="K1566" s="13">
        <v>46</v>
      </c>
      <c r="L1566" s="44">
        <v>4.5999999999999996</v>
      </c>
      <c r="M1566" s="13" t="b">
        <v>0</v>
      </c>
      <c r="O1566" s="25">
        <f t="shared" si="96"/>
        <v>56</v>
      </c>
      <c r="P1566" s="13">
        <f t="shared" si="97"/>
        <v>0</v>
      </c>
      <c r="Q1566" s="13" t="str">
        <f t="shared" si="98"/>
        <v/>
      </c>
      <c r="R1566" s="13" t="str">
        <f t="shared" si="99"/>
        <v>Non diskon</v>
      </c>
    </row>
    <row r="1567" spans="1:18" x14ac:dyDescent="0.25">
      <c r="A1567" s="13" t="s">
        <v>1579</v>
      </c>
      <c r="B1567" s="13" t="s">
        <v>2194</v>
      </c>
      <c r="C1567" s="13" t="s">
        <v>2203</v>
      </c>
      <c r="D1567" s="13" t="s">
        <v>2206</v>
      </c>
      <c r="E1567" s="13" t="s">
        <v>2213</v>
      </c>
      <c r="F1567" s="13" t="s">
        <v>2216</v>
      </c>
      <c r="G1567" s="13">
        <v>69.209999999999994</v>
      </c>
      <c r="H1567" s="13">
        <v>0</v>
      </c>
      <c r="I1567" s="13">
        <v>69.209999999999994</v>
      </c>
      <c r="J1567" s="24">
        <v>45875</v>
      </c>
      <c r="K1567" s="13">
        <v>41</v>
      </c>
      <c r="L1567" s="44">
        <v>3.1021739130434773</v>
      </c>
      <c r="M1567" s="13" t="b">
        <v>0</v>
      </c>
      <c r="O1567" s="25">
        <f t="shared" si="96"/>
        <v>27</v>
      </c>
      <c r="P1567" s="13">
        <f t="shared" si="97"/>
        <v>0</v>
      </c>
      <c r="Q1567" s="13" t="str">
        <f t="shared" si="98"/>
        <v/>
      </c>
      <c r="R1567" s="13" t="str">
        <f t="shared" si="99"/>
        <v>Non diskon</v>
      </c>
    </row>
    <row r="1568" spans="1:18" x14ac:dyDescent="0.25">
      <c r="A1568" s="13" t="s">
        <v>1580</v>
      </c>
      <c r="B1568" s="13" t="s">
        <v>2190</v>
      </c>
      <c r="C1568" s="13" t="s">
        <v>2198</v>
      </c>
      <c r="D1568" s="13" t="s">
        <v>2204</v>
      </c>
      <c r="E1568" s="13" t="s">
        <v>2212</v>
      </c>
      <c r="F1568" s="13" t="s">
        <v>2222</v>
      </c>
      <c r="G1568" s="13">
        <v>229.17</v>
      </c>
      <c r="H1568" s="13">
        <v>0</v>
      </c>
      <c r="I1568" s="13">
        <v>229.17</v>
      </c>
      <c r="J1568" s="24">
        <v>45855</v>
      </c>
      <c r="K1568" s="13">
        <v>37</v>
      </c>
      <c r="L1568" s="44">
        <v>2</v>
      </c>
      <c r="M1568" s="13" t="b">
        <v>0</v>
      </c>
      <c r="O1568" s="25">
        <f t="shared" si="96"/>
        <v>47</v>
      </c>
      <c r="P1568" s="13">
        <f t="shared" si="97"/>
        <v>0</v>
      </c>
      <c r="Q1568" s="13" t="str">
        <f t="shared" si="98"/>
        <v/>
      </c>
      <c r="R1568" s="13" t="str">
        <f t="shared" si="99"/>
        <v>Non diskon</v>
      </c>
    </row>
    <row r="1569" spans="1:18" x14ac:dyDescent="0.25">
      <c r="A1569" s="13" t="s">
        <v>1581</v>
      </c>
      <c r="B1569" s="13" t="s">
        <v>2195</v>
      </c>
      <c r="C1569" s="13" t="s">
        <v>2198</v>
      </c>
      <c r="D1569" s="13" t="s">
        <v>2205</v>
      </c>
      <c r="E1569" s="13" t="s">
        <v>2209</v>
      </c>
      <c r="F1569" s="13" t="s">
        <v>2217</v>
      </c>
      <c r="G1569" s="13">
        <v>103.9</v>
      </c>
      <c r="H1569" s="13">
        <v>0</v>
      </c>
      <c r="I1569" s="13">
        <v>103.9</v>
      </c>
      <c r="J1569" s="24">
        <v>45875</v>
      </c>
      <c r="K1569" s="13">
        <v>40</v>
      </c>
      <c r="L1569" s="44">
        <v>4.4000000000000004</v>
      </c>
      <c r="M1569" s="13" t="b">
        <v>0</v>
      </c>
      <c r="O1569" s="25">
        <f t="shared" si="96"/>
        <v>27</v>
      </c>
      <c r="P1569" s="13">
        <f t="shared" si="97"/>
        <v>0</v>
      </c>
      <c r="Q1569" s="13" t="str">
        <f t="shared" si="98"/>
        <v/>
      </c>
      <c r="R1569" s="13" t="str">
        <f t="shared" si="99"/>
        <v>Non diskon</v>
      </c>
    </row>
    <row r="1570" spans="1:18" x14ac:dyDescent="0.25">
      <c r="A1570" s="13" t="s">
        <v>1582</v>
      </c>
      <c r="B1570" s="13" t="s">
        <v>2190</v>
      </c>
      <c r="C1570" s="13" t="s">
        <v>2196</v>
      </c>
      <c r="D1570" s="13" t="s">
        <v>2204</v>
      </c>
      <c r="E1570" s="13" t="s">
        <v>2212</v>
      </c>
      <c r="F1570" s="13" t="s">
        <v>2221</v>
      </c>
      <c r="G1570" s="13">
        <v>228.46</v>
      </c>
      <c r="H1570" s="13">
        <v>0</v>
      </c>
      <c r="I1570" s="13">
        <v>228.46</v>
      </c>
      <c r="J1570" s="24">
        <v>45695</v>
      </c>
      <c r="K1570" s="13">
        <v>7</v>
      </c>
      <c r="L1570" s="44">
        <v>2.5</v>
      </c>
      <c r="M1570" s="13" t="b">
        <v>1</v>
      </c>
      <c r="N1570" s="13" t="s">
        <v>2228</v>
      </c>
      <c r="O1570" s="25">
        <f t="shared" si="96"/>
        <v>207</v>
      </c>
      <c r="P1570" s="13">
        <f t="shared" si="97"/>
        <v>0</v>
      </c>
      <c r="Q1570" s="13">
        <f t="shared" si="98"/>
        <v>1</v>
      </c>
      <c r="R1570" s="13" t="str">
        <f t="shared" si="99"/>
        <v>Non diskon</v>
      </c>
    </row>
    <row r="1571" spans="1:18" x14ac:dyDescent="0.25">
      <c r="A1571" s="13" t="s">
        <v>1583</v>
      </c>
      <c r="B1571" s="13" t="s">
        <v>2192</v>
      </c>
      <c r="C1571" s="13" t="s">
        <v>2196</v>
      </c>
      <c r="D1571" s="13" t="s">
        <v>2207</v>
      </c>
      <c r="F1571" s="13" t="s">
        <v>2217</v>
      </c>
      <c r="G1571" s="13">
        <v>44.35</v>
      </c>
      <c r="H1571" s="13">
        <v>29.2</v>
      </c>
      <c r="I1571" s="13">
        <v>31.4</v>
      </c>
      <c r="J1571" s="24">
        <v>45875</v>
      </c>
      <c r="K1571" s="13">
        <v>20</v>
      </c>
      <c r="L1571" s="44">
        <v>4.9000000000000004</v>
      </c>
      <c r="M1571" s="13" t="b">
        <v>0</v>
      </c>
      <c r="O1571" s="25">
        <f t="shared" si="96"/>
        <v>27</v>
      </c>
      <c r="P1571" s="13">
        <f t="shared" si="97"/>
        <v>584</v>
      </c>
      <c r="Q1571" s="13" t="str">
        <f t="shared" si="98"/>
        <v/>
      </c>
      <c r="R1571" s="13" t="str">
        <f t="shared" si="99"/>
        <v>Diskon</v>
      </c>
    </row>
    <row r="1572" spans="1:18" x14ac:dyDescent="0.25">
      <c r="A1572" s="13" t="s">
        <v>1584</v>
      </c>
      <c r="B1572" s="13" t="s">
        <v>2194</v>
      </c>
      <c r="C1572" s="13" t="s">
        <v>2197</v>
      </c>
      <c r="D1572" s="13" t="s">
        <v>2204</v>
      </c>
      <c r="F1572" s="13" t="s">
        <v>2218</v>
      </c>
      <c r="G1572" s="13">
        <v>28.76</v>
      </c>
      <c r="H1572" s="13">
        <v>54.7</v>
      </c>
      <c r="I1572" s="13">
        <v>13.03</v>
      </c>
      <c r="J1572" s="24">
        <v>45791</v>
      </c>
      <c r="K1572" s="13">
        <v>2</v>
      </c>
      <c r="L1572" s="44">
        <v>4.4000000000000004</v>
      </c>
      <c r="M1572" s="13" t="b">
        <v>1</v>
      </c>
      <c r="N1572" s="13" t="s">
        <v>2225</v>
      </c>
      <c r="O1572" s="25">
        <f t="shared" si="96"/>
        <v>111</v>
      </c>
      <c r="P1572" s="13">
        <f t="shared" si="97"/>
        <v>109.4</v>
      </c>
      <c r="Q1572" s="13">
        <f t="shared" si="98"/>
        <v>1</v>
      </c>
      <c r="R1572" s="13" t="str">
        <f t="shared" si="99"/>
        <v>Diskon</v>
      </c>
    </row>
    <row r="1573" spans="1:18" x14ac:dyDescent="0.25">
      <c r="A1573" s="13" t="s">
        <v>1585</v>
      </c>
      <c r="B1573" s="13" t="s">
        <v>2190</v>
      </c>
      <c r="C1573" s="13" t="s">
        <v>2199</v>
      </c>
      <c r="D1573" s="13" t="s">
        <v>2204</v>
      </c>
      <c r="E1573" s="13" t="s">
        <v>2211</v>
      </c>
      <c r="F1573" s="13" t="s">
        <v>2214</v>
      </c>
      <c r="G1573" s="13">
        <v>158.34</v>
      </c>
      <c r="H1573" s="13">
        <v>36.6</v>
      </c>
      <c r="I1573" s="13">
        <v>100.39</v>
      </c>
      <c r="J1573" s="24">
        <v>45684</v>
      </c>
      <c r="K1573" s="13">
        <v>11</v>
      </c>
      <c r="L1573" s="44">
        <v>4.5</v>
      </c>
      <c r="M1573" s="13" t="b">
        <v>0</v>
      </c>
      <c r="O1573" s="25">
        <f t="shared" si="96"/>
        <v>218</v>
      </c>
      <c r="P1573" s="13">
        <f t="shared" si="97"/>
        <v>402.6</v>
      </c>
      <c r="Q1573" s="13" t="str">
        <f t="shared" si="98"/>
        <v/>
      </c>
      <c r="R1573" s="13" t="str">
        <f t="shared" si="99"/>
        <v>Diskon</v>
      </c>
    </row>
    <row r="1574" spans="1:18" x14ac:dyDescent="0.25">
      <c r="A1574" s="13" t="s">
        <v>1586</v>
      </c>
      <c r="B1574" s="13" t="s">
        <v>2192</v>
      </c>
      <c r="C1574" s="13" t="s">
        <v>2196</v>
      </c>
      <c r="D1574" s="13" t="s">
        <v>2204</v>
      </c>
      <c r="F1574" s="13" t="s">
        <v>2224</v>
      </c>
      <c r="G1574" s="13">
        <v>39.049999999999997</v>
      </c>
      <c r="H1574" s="13">
        <v>12</v>
      </c>
      <c r="I1574" s="13">
        <v>34.36</v>
      </c>
      <c r="J1574" s="24">
        <v>45565</v>
      </c>
      <c r="K1574" s="13">
        <v>0</v>
      </c>
      <c r="L1574" s="44">
        <v>3.1</v>
      </c>
      <c r="M1574" s="13" t="b">
        <v>0</v>
      </c>
      <c r="O1574" s="25">
        <f t="shared" si="96"/>
        <v>337</v>
      </c>
      <c r="P1574" s="13">
        <f t="shared" si="97"/>
        <v>0</v>
      </c>
      <c r="Q1574" s="13" t="str">
        <f t="shared" si="98"/>
        <v/>
      </c>
      <c r="R1574" s="13" t="str">
        <f t="shared" si="99"/>
        <v>Diskon</v>
      </c>
    </row>
    <row r="1575" spans="1:18" x14ac:dyDescent="0.25">
      <c r="A1575" s="13" t="s">
        <v>1587</v>
      </c>
      <c r="B1575" s="13" t="s">
        <v>2191</v>
      </c>
      <c r="C1575" s="13" t="s">
        <v>2201</v>
      </c>
      <c r="D1575" s="13" t="s">
        <v>2204</v>
      </c>
      <c r="E1575" s="13" t="s">
        <v>2210</v>
      </c>
      <c r="F1575" s="13" t="s">
        <v>2219</v>
      </c>
      <c r="G1575" s="13">
        <v>52.46</v>
      </c>
      <c r="H1575" s="13">
        <v>12.2</v>
      </c>
      <c r="I1575" s="13">
        <v>46.06</v>
      </c>
      <c r="J1575" s="24">
        <v>45645</v>
      </c>
      <c r="K1575" s="13">
        <v>39</v>
      </c>
      <c r="L1575" s="44">
        <v>2.2999999999999998</v>
      </c>
      <c r="M1575" s="13" t="b">
        <v>0</v>
      </c>
      <c r="O1575" s="25">
        <f t="shared" si="96"/>
        <v>257</v>
      </c>
      <c r="P1575" s="13">
        <f t="shared" si="97"/>
        <v>475.79999999999995</v>
      </c>
      <c r="Q1575" s="13" t="str">
        <f t="shared" si="98"/>
        <v/>
      </c>
      <c r="R1575" s="13" t="str">
        <f t="shared" si="99"/>
        <v>Diskon</v>
      </c>
    </row>
    <row r="1576" spans="1:18" x14ac:dyDescent="0.25">
      <c r="A1576" s="13" t="s">
        <v>1588</v>
      </c>
      <c r="B1576" s="13" t="s">
        <v>2194</v>
      </c>
      <c r="C1576" s="13" t="s">
        <v>2202</v>
      </c>
      <c r="D1576" s="13" t="s">
        <v>2204</v>
      </c>
      <c r="E1576" s="13" t="s">
        <v>2210</v>
      </c>
      <c r="F1576" s="13" t="s">
        <v>2214</v>
      </c>
      <c r="G1576" s="13">
        <v>70.31</v>
      </c>
      <c r="H1576" s="13">
        <v>34.4</v>
      </c>
      <c r="I1576" s="13">
        <v>46.12</v>
      </c>
      <c r="J1576" s="24">
        <v>45681</v>
      </c>
      <c r="K1576" s="13">
        <v>28</v>
      </c>
      <c r="L1576" s="44">
        <v>3.1</v>
      </c>
      <c r="M1576" s="13" t="b">
        <v>0</v>
      </c>
      <c r="O1576" s="25">
        <f t="shared" si="96"/>
        <v>221</v>
      </c>
      <c r="P1576" s="13">
        <f t="shared" si="97"/>
        <v>963.19999999999993</v>
      </c>
      <c r="Q1576" s="13" t="str">
        <f t="shared" si="98"/>
        <v/>
      </c>
      <c r="R1576" s="13" t="str">
        <f t="shared" si="99"/>
        <v>Diskon</v>
      </c>
    </row>
    <row r="1577" spans="1:18" x14ac:dyDescent="0.25">
      <c r="A1577" s="13" t="s">
        <v>1589</v>
      </c>
      <c r="B1577" s="13" t="s">
        <v>2190</v>
      </c>
      <c r="C1577" s="13" t="s">
        <v>2203</v>
      </c>
      <c r="D1577" s="13" t="s">
        <v>2207</v>
      </c>
      <c r="E1577" s="13" t="s">
        <v>2210</v>
      </c>
      <c r="F1577" s="13" t="s">
        <v>2221</v>
      </c>
      <c r="G1577" s="13">
        <v>123.27</v>
      </c>
      <c r="H1577" s="13">
        <v>0</v>
      </c>
      <c r="I1577" s="13">
        <v>123.27</v>
      </c>
      <c r="J1577" s="24">
        <v>45875</v>
      </c>
      <c r="K1577" s="13">
        <v>13</v>
      </c>
      <c r="L1577" s="44">
        <v>2.8</v>
      </c>
      <c r="M1577" s="13" t="b">
        <v>0</v>
      </c>
      <c r="O1577" s="25">
        <f t="shared" si="96"/>
        <v>27</v>
      </c>
      <c r="P1577" s="13">
        <f t="shared" si="97"/>
        <v>0</v>
      </c>
      <c r="Q1577" s="13" t="str">
        <f t="shared" si="98"/>
        <v/>
      </c>
      <c r="R1577" s="13" t="str">
        <f t="shared" si="99"/>
        <v>Non diskon</v>
      </c>
    </row>
    <row r="1578" spans="1:18" x14ac:dyDescent="0.25">
      <c r="A1578" s="13" t="s">
        <v>1590</v>
      </c>
      <c r="B1578" s="13" t="s">
        <v>2190</v>
      </c>
      <c r="C1578" s="13" t="s">
        <v>2199</v>
      </c>
      <c r="D1578" s="13" t="s">
        <v>2207</v>
      </c>
      <c r="E1578" s="13" t="s">
        <v>2209</v>
      </c>
      <c r="F1578" s="13" t="s">
        <v>2222</v>
      </c>
      <c r="G1578" s="13">
        <v>215.82</v>
      </c>
      <c r="H1578" s="13">
        <v>16.5</v>
      </c>
      <c r="I1578" s="13">
        <v>180.21</v>
      </c>
      <c r="J1578" s="24">
        <v>45875</v>
      </c>
      <c r="K1578" s="13">
        <v>9</v>
      </c>
      <c r="L1578" s="44">
        <v>2.4</v>
      </c>
      <c r="M1578" s="13" t="b">
        <v>0</v>
      </c>
      <c r="O1578" s="25">
        <f t="shared" si="96"/>
        <v>27</v>
      </c>
      <c r="P1578" s="13">
        <f t="shared" si="97"/>
        <v>148.5</v>
      </c>
      <c r="Q1578" s="13" t="str">
        <f t="shared" si="98"/>
        <v/>
      </c>
      <c r="R1578" s="13" t="str">
        <f t="shared" si="99"/>
        <v>Diskon</v>
      </c>
    </row>
    <row r="1579" spans="1:18" x14ac:dyDescent="0.25">
      <c r="A1579" s="13" t="s">
        <v>1591</v>
      </c>
      <c r="B1579" s="13" t="s">
        <v>2190</v>
      </c>
      <c r="C1579" s="13" t="s">
        <v>2202</v>
      </c>
      <c r="D1579" s="13" t="s">
        <v>2207</v>
      </c>
      <c r="E1579" s="13" t="s">
        <v>2212</v>
      </c>
      <c r="F1579" s="13" t="s">
        <v>2219</v>
      </c>
      <c r="G1579" s="13">
        <v>82.91</v>
      </c>
      <c r="H1579" s="13">
        <v>0.7</v>
      </c>
      <c r="I1579" s="13">
        <v>82.33</v>
      </c>
      <c r="J1579" s="24">
        <v>45875</v>
      </c>
      <c r="K1579" s="13">
        <v>24</v>
      </c>
      <c r="L1579" s="44">
        <v>2.9034482758620692</v>
      </c>
      <c r="M1579" s="13" t="b">
        <v>1</v>
      </c>
      <c r="N1579" s="13" t="s">
        <v>2227</v>
      </c>
      <c r="O1579" s="25">
        <f t="shared" si="96"/>
        <v>27</v>
      </c>
      <c r="P1579" s="13">
        <f t="shared" si="97"/>
        <v>16.799999999999997</v>
      </c>
      <c r="Q1579" s="13">
        <f t="shared" si="98"/>
        <v>1</v>
      </c>
      <c r="R1579" s="13" t="str">
        <f t="shared" si="99"/>
        <v>Diskon</v>
      </c>
    </row>
    <row r="1580" spans="1:18" x14ac:dyDescent="0.25">
      <c r="A1580" s="13" t="s">
        <v>1592</v>
      </c>
      <c r="B1580" s="13" t="s">
        <v>2191</v>
      </c>
      <c r="C1580" s="13" t="s">
        <v>2202</v>
      </c>
      <c r="D1580" s="13" t="s">
        <v>2205</v>
      </c>
      <c r="E1580" s="13" t="s">
        <v>2208</v>
      </c>
      <c r="F1580" s="13" t="s">
        <v>2223</v>
      </c>
      <c r="G1580" s="13">
        <v>33.46</v>
      </c>
      <c r="H1580" s="13">
        <v>0</v>
      </c>
      <c r="I1580" s="13">
        <v>33.46</v>
      </c>
      <c r="J1580" s="24">
        <v>45875</v>
      </c>
      <c r="K1580" s="13">
        <v>36</v>
      </c>
      <c r="L1580" s="44">
        <v>3.6</v>
      </c>
      <c r="M1580" s="13" t="b">
        <v>0</v>
      </c>
      <c r="O1580" s="25">
        <f t="shared" si="96"/>
        <v>27</v>
      </c>
      <c r="P1580" s="13">
        <f t="shared" si="97"/>
        <v>0</v>
      </c>
      <c r="Q1580" s="13" t="str">
        <f t="shared" si="98"/>
        <v/>
      </c>
      <c r="R1580" s="13" t="str">
        <f t="shared" si="99"/>
        <v>Non diskon</v>
      </c>
    </row>
    <row r="1581" spans="1:18" x14ac:dyDescent="0.25">
      <c r="A1581" s="13" t="s">
        <v>1593</v>
      </c>
      <c r="B1581" s="13" t="s">
        <v>2194</v>
      </c>
      <c r="C1581" s="13" t="s">
        <v>2198</v>
      </c>
      <c r="D1581" s="13" t="s">
        <v>2204</v>
      </c>
      <c r="E1581" s="13" t="s">
        <v>2209</v>
      </c>
      <c r="F1581" s="13" t="s">
        <v>2218</v>
      </c>
      <c r="G1581" s="13">
        <v>37.21</v>
      </c>
      <c r="H1581" s="13">
        <v>53.9</v>
      </c>
      <c r="I1581" s="13">
        <v>17.149999999999999</v>
      </c>
      <c r="J1581" s="24">
        <v>45835</v>
      </c>
      <c r="K1581" s="13">
        <v>48</v>
      </c>
      <c r="L1581" s="44">
        <v>3.8</v>
      </c>
      <c r="M1581" s="13" t="b">
        <v>0</v>
      </c>
      <c r="O1581" s="25">
        <f t="shared" si="96"/>
        <v>67</v>
      </c>
      <c r="P1581" s="13">
        <f t="shared" si="97"/>
        <v>2587.1999999999998</v>
      </c>
      <c r="Q1581" s="13" t="str">
        <f t="shared" si="98"/>
        <v/>
      </c>
      <c r="R1581" s="13" t="str">
        <f t="shared" si="99"/>
        <v>Diskon</v>
      </c>
    </row>
    <row r="1582" spans="1:18" x14ac:dyDescent="0.25">
      <c r="A1582" s="13" t="s">
        <v>1594</v>
      </c>
      <c r="B1582" s="13" t="s">
        <v>2194</v>
      </c>
      <c r="C1582" s="13" t="s">
        <v>2199</v>
      </c>
      <c r="D1582" s="13" t="s">
        <v>2205</v>
      </c>
      <c r="F1582" s="13" t="s">
        <v>2214</v>
      </c>
      <c r="G1582" s="13">
        <v>76.86</v>
      </c>
      <c r="H1582" s="13">
        <v>48.9</v>
      </c>
      <c r="I1582" s="13">
        <v>39.28</v>
      </c>
      <c r="J1582" s="24">
        <v>45875</v>
      </c>
      <c r="K1582" s="13">
        <v>5</v>
      </c>
      <c r="L1582" s="44">
        <v>1.2</v>
      </c>
      <c r="M1582" s="13" t="b">
        <v>0</v>
      </c>
      <c r="O1582" s="25">
        <f t="shared" si="96"/>
        <v>27</v>
      </c>
      <c r="P1582" s="13">
        <f t="shared" si="97"/>
        <v>244.5</v>
      </c>
      <c r="Q1582" s="13" t="str">
        <f t="shared" si="98"/>
        <v/>
      </c>
      <c r="R1582" s="13" t="str">
        <f t="shared" si="99"/>
        <v>Diskon</v>
      </c>
    </row>
    <row r="1583" spans="1:18" x14ac:dyDescent="0.25">
      <c r="A1583" s="13" t="s">
        <v>1595</v>
      </c>
      <c r="B1583" s="13" t="s">
        <v>2190</v>
      </c>
      <c r="C1583" s="13" t="s">
        <v>2200</v>
      </c>
      <c r="D1583" s="13" t="s">
        <v>2205</v>
      </c>
      <c r="E1583" s="13" t="s">
        <v>2210</v>
      </c>
      <c r="F1583" s="13" t="s">
        <v>2221</v>
      </c>
      <c r="G1583" s="13">
        <v>208.57</v>
      </c>
      <c r="H1583" s="13">
        <v>0</v>
      </c>
      <c r="I1583" s="13">
        <v>208.57</v>
      </c>
      <c r="J1583" s="24">
        <v>45875</v>
      </c>
      <c r="K1583" s="13">
        <v>24</v>
      </c>
      <c r="L1583" s="44">
        <v>3.6</v>
      </c>
      <c r="M1583" s="13" t="b">
        <v>0</v>
      </c>
      <c r="O1583" s="25">
        <f t="shared" si="96"/>
        <v>27</v>
      </c>
      <c r="P1583" s="13">
        <f t="shared" si="97"/>
        <v>0</v>
      </c>
      <c r="Q1583" s="13" t="str">
        <f t="shared" si="98"/>
        <v/>
      </c>
      <c r="R1583" s="13" t="str">
        <f t="shared" si="99"/>
        <v>Non diskon</v>
      </c>
    </row>
    <row r="1584" spans="1:18" x14ac:dyDescent="0.25">
      <c r="A1584" s="13" t="s">
        <v>1596</v>
      </c>
      <c r="B1584" s="13" t="s">
        <v>2195</v>
      </c>
      <c r="C1584" s="13" t="s">
        <v>2202</v>
      </c>
      <c r="D1584" s="13" t="s">
        <v>2204</v>
      </c>
      <c r="E1584" s="13" t="s">
        <v>2208</v>
      </c>
      <c r="F1584" s="13" t="s">
        <v>2214</v>
      </c>
      <c r="G1584" s="13">
        <v>131.69999999999999</v>
      </c>
      <c r="H1584" s="13">
        <v>15.8</v>
      </c>
      <c r="I1584" s="13">
        <v>110.89</v>
      </c>
      <c r="J1584" s="24">
        <v>45516</v>
      </c>
      <c r="K1584" s="13">
        <v>49</v>
      </c>
      <c r="L1584" s="44">
        <v>1.4</v>
      </c>
      <c r="M1584" s="13" t="b">
        <v>1</v>
      </c>
      <c r="N1584" s="13" t="s">
        <v>2227</v>
      </c>
      <c r="O1584" s="25">
        <f t="shared" si="96"/>
        <v>386</v>
      </c>
      <c r="P1584" s="13">
        <f t="shared" si="97"/>
        <v>774.2</v>
      </c>
      <c r="Q1584" s="13">
        <f t="shared" si="98"/>
        <v>1</v>
      </c>
      <c r="R1584" s="13" t="str">
        <f t="shared" si="99"/>
        <v>Diskon</v>
      </c>
    </row>
    <row r="1585" spans="1:18" x14ac:dyDescent="0.25">
      <c r="A1585" s="13" t="s">
        <v>1597</v>
      </c>
      <c r="B1585" s="13" t="s">
        <v>2194</v>
      </c>
      <c r="C1585" s="13" t="s">
        <v>2199</v>
      </c>
      <c r="D1585" s="13" t="s">
        <v>2207</v>
      </c>
      <c r="E1585" s="13" t="s">
        <v>2211</v>
      </c>
      <c r="F1585" s="13" t="s">
        <v>2219</v>
      </c>
      <c r="G1585" s="13">
        <v>117.21</v>
      </c>
      <c r="H1585" s="13">
        <v>0</v>
      </c>
      <c r="I1585" s="13">
        <v>117.21</v>
      </c>
      <c r="J1585" s="24">
        <v>45875</v>
      </c>
      <c r="K1585" s="13">
        <v>14</v>
      </c>
      <c r="L1585" s="44">
        <v>3.2</v>
      </c>
      <c r="M1585" s="13" t="b">
        <v>0</v>
      </c>
      <c r="O1585" s="25">
        <f t="shared" si="96"/>
        <v>27</v>
      </c>
      <c r="P1585" s="13">
        <f t="shared" si="97"/>
        <v>0</v>
      </c>
      <c r="Q1585" s="13" t="str">
        <f t="shared" si="98"/>
        <v/>
      </c>
      <c r="R1585" s="13" t="str">
        <f t="shared" si="99"/>
        <v>Non diskon</v>
      </c>
    </row>
    <row r="1586" spans="1:18" x14ac:dyDescent="0.25">
      <c r="A1586" s="13" t="s">
        <v>1598</v>
      </c>
      <c r="B1586" s="13" t="s">
        <v>2192</v>
      </c>
      <c r="C1586" s="13" t="s">
        <v>2199</v>
      </c>
      <c r="D1586" s="13" t="s">
        <v>2207</v>
      </c>
      <c r="F1586" s="13" t="s">
        <v>2220</v>
      </c>
      <c r="G1586" s="13">
        <v>23.01</v>
      </c>
      <c r="H1586" s="13">
        <v>48.8</v>
      </c>
      <c r="I1586" s="13">
        <v>11.78</v>
      </c>
      <c r="J1586" s="24">
        <v>45875</v>
      </c>
      <c r="K1586" s="13">
        <v>13</v>
      </c>
      <c r="L1586" s="44">
        <v>3.6</v>
      </c>
      <c r="M1586" s="13" t="b">
        <v>0</v>
      </c>
      <c r="O1586" s="25">
        <f t="shared" si="96"/>
        <v>27</v>
      </c>
      <c r="P1586" s="13">
        <f t="shared" si="97"/>
        <v>634.4</v>
      </c>
      <c r="Q1586" s="13" t="str">
        <f t="shared" si="98"/>
        <v/>
      </c>
      <c r="R1586" s="13" t="str">
        <f t="shared" si="99"/>
        <v>Diskon</v>
      </c>
    </row>
    <row r="1587" spans="1:18" x14ac:dyDescent="0.25">
      <c r="A1587" s="13" t="s">
        <v>1599</v>
      </c>
      <c r="B1587" s="13" t="s">
        <v>2192</v>
      </c>
      <c r="C1587" s="13" t="s">
        <v>2203</v>
      </c>
      <c r="D1587" s="13" t="s">
        <v>2207</v>
      </c>
      <c r="F1587" s="13" t="s">
        <v>2214</v>
      </c>
      <c r="G1587" s="13">
        <v>47.6</v>
      </c>
      <c r="H1587" s="13">
        <v>0</v>
      </c>
      <c r="I1587" s="13">
        <v>47.6</v>
      </c>
      <c r="J1587" s="24">
        <v>45875</v>
      </c>
      <c r="K1587" s="13">
        <v>24</v>
      </c>
      <c r="L1587" s="44">
        <v>4.4000000000000004</v>
      </c>
      <c r="M1587" s="13" t="b">
        <v>1</v>
      </c>
      <c r="N1587" s="13" t="s">
        <v>2230</v>
      </c>
      <c r="O1587" s="25">
        <f t="shared" si="96"/>
        <v>27</v>
      </c>
      <c r="P1587" s="13">
        <f t="shared" si="97"/>
        <v>0</v>
      </c>
      <c r="Q1587" s="13">
        <f t="shared" si="98"/>
        <v>1</v>
      </c>
      <c r="R1587" s="13" t="str">
        <f t="shared" si="99"/>
        <v>Non diskon</v>
      </c>
    </row>
    <row r="1588" spans="1:18" x14ac:dyDescent="0.25">
      <c r="A1588" s="13" t="s">
        <v>1600</v>
      </c>
      <c r="B1588" s="13" t="s">
        <v>2194</v>
      </c>
      <c r="C1588" s="13" t="s">
        <v>2196</v>
      </c>
      <c r="D1588" s="13" t="s">
        <v>2206</v>
      </c>
      <c r="E1588" s="13" t="s">
        <v>2209</v>
      </c>
      <c r="F1588" s="13" t="s">
        <v>2215</v>
      </c>
      <c r="G1588" s="13">
        <v>33.22</v>
      </c>
      <c r="H1588" s="13">
        <v>38.4</v>
      </c>
      <c r="I1588" s="13">
        <v>20.46</v>
      </c>
      <c r="J1588" s="24">
        <v>45875</v>
      </c>
      <c r="K1588" s="13">
        <v>11</v>
      </c>
      <c r="L1588" s="44">
        <v>2.9</v>
      </c>
      <c r="M1588" s="13" t="b">
        <v>0</v>
      </c>
      <c r="O1588" s="25">
        <f t="shared" si="96"/>
        <v>27</v>
      </c>
      <c r="P1588" s="13">
        <f t="shared" si="97"/>
        <v>422.4</v>
      </c>
      <c r="Q1588" s="13" t="str">
        <f t="shared" si="98"/>
        <v/>
      </c>
      <c r="R1588" s="13" t="str">
        <f t="shared" si="99"/>
        <v>Diskon</v>
      </c>
    </row>
    <row r="1589" spans="1:18" x14ac:dyDescent="0.25">
      <c r="A1589" s="13" t="s">
        <v>1601</v>
      </c>
      <c r="B1589" s="13" t="s">
        <v>2192</v>
      </c>
      <c r="C1589" s="13" t="s">
        <v>2197</v>
      </c>
      <c r="D1589" s="13" t="s">
        <v>2205</v>
      </c>
      <c r="F1589" s="13" t="s">
        <v>2222</v>
      </c>
      <c r="G1589" s="13">
        <v>65.97</v>
      </c>
      <c r="H1589" s="13">
        <v>6.8</v>
      </c>
      <c r="I1589" s="13">
        <v>61.48</v>
      </c>
      <c r="J1589" s="24">
        <v>45875</v>
      </c>
      <c r="K1589" s="13">
        <v>41</v>
      </c>
      <c r="L1589" s="44">
        <v>4.3</v>
      </c>
      <c r="M1589" s="13" t="b">
        <v>0</v>
      </c>
      <c r="O1589" s="25">
        <f t="shared" si="96"/>
        <v>27</v>
      </c>
      <c r="P1589" s="13">
        <f t="shared" si="97"/>
        <v>278.8</v>
      </c>
      <c r="Q1589" s="13" t="str">
        <f t="shared" si="98"/>
        <v/>
      </c>
      <c r="R1589" s="13" t="str">
        <f t="shared" si="99"/>
        <v>Diskon</v>
      </c>
    </row>
    <row r="1590" spans="1:18" x14ac:dyDescent="0.25">
      <c r="A1590" s="13" t="s">
        <v>1602</v>
      </c>
      <c r="B1590" s="13" t="s">
        <v>2191</v>
      </c>
      <c r="C1590" s="13" t="s">
        <v>2200</v>
      </c>
      <c r="D1590" s="13" t="s">
        <v>2204</v>
      </c>
      <c r="E1590" s="13" t="s">
        <v>2209</v>
      </c>
      <c r="F1590" s="13" t="s">
        <v>2220</v>
      </c>
      <c r="G1590" s="13">
        <v>47.25</v>
      </c>
      <c r="H1590" s="13">
        <v>29</v>
      </c>
      <c r="I1590" s="13">
        <v>33.549999999999997</v>
      </c>
      <c r="J1590" s="24">
        <v>45828</v>
      </c>
      <c r="K1590" s="13">
        <v>38</v>
      </c>
      <c r="L1590" s="44">
        <v>5</v>
      </c>
      <c r="M1590" s="13" t="b">
        <v>0</v>
      </c>
      <c r="O1590" s="25">
        <f t="shared" si="96"/>
        <v>74</v>
      </c>
      <c r="P1590" s="13">
        <f t="shared" si="97"/>
        <v>1102</v>
      </c>
      <c r="Q1590" s="13" t="str">
        <f t="shared" si="98"/>
        <v/>
      </c>
      <c r="R1590" s="13" t="str">
        <f t="shared" si="99"/>
        <v>Diskon</v>
      </c>
    </row>
    <row r="1591" spans="1:18" x14ac:dyDescent="0.25">
      <c r="A1591" s="13" t="s">
        <v>1603</v>
      </c>
      <c r="B1591" s="13" t="s">
        <v>2191</v>
      </c>
      <c r="C1591" s="13" t="s">
        <v>2203</v>
      </c>
      <c r="D1591" s="13" t="s">
        <v>2204</v>
      </c>
      <c r="E1591" s="13" t="s">
        <v>2212</v>
      </c>
      <c r="F1591" s="13" t="s">
        <v>2220</v>
      </c>
      <c r="G1591" s="13">
        <v>93.74</v>
      </c>
      <c r="H1591" s="13">
        <v>0</v>
      </c>
      <c r="I1591" s="13">
        <v>93.74</v>
      </c>
      <c r="J1591" s="24">
        <v>45653</v>
      </c>
      <c r="K1591" s="13">
        <v>39</v>
      </c>
      <c r="L1591" s="44">
        <v>4</v>
      </c>
      <c r="M1591" s="13" t="b">
        <v>0</v>
      </c>
      <c r="O1591" s="25">
        <f t="shared" si="96"/>
        <v>249</v>
      </c>
      <c r="P1591" s="13">
        <f t="shared" si="97"/>
        <v>0</v>
      </c>
      <c r="Q1591" s="13" t="str">
        <f t="shared" si="98"/>
        <v/>
      </c>
      <c r="R1591" s="13" t="str">
        <f t="shared" si="99"/>
        <v>Non diskon</v>
      </c>
    </row>
    <row r="1592" spans="1:18" x14ac:dyDescent="0.25">
      <c r="A1592" s="13" t="s">
        <v>1604</v>
      </c>
      <c r="B1592" s="13" t="s">
        <v>2194</v>
      </c>
      <c r="C1592" s="13" t="s">
        <v>2203</v>
      </c>
      <c r="D1592" s="13" t="s">
        <v>2207</v>
      </c>
      <c r="E1592" s="13" t="s">
        <v>2211</v>
      </c>
      <c r="F1592" s="13" t="s">
        <v>2217</v>
      </c>
      <c r="G1592" s="13">
        <v>31.57</v>
      </c>
      <c r="H1592" s="13">
        <v>0</v>
      </c>
      <c r="I1592" s="13">
        <v>31.57</v>
      </c>
      <c r="J1592" s="24">
        <v>45875</v>
      </c>
      <c r="K1592" s="13">
        <v>2</v>
      </c>
      <c r="L1592" s="44">
        <v>3.1021739130434773</v>
      </c>
      <c r="M1592" s="13" t="b">
        <v>0</v>
      </c>
      <c r="O1592" s="25">
        <f t="shared" si="96"/>
        <v>27</v>
      </c>
      <c r="P1592" s="13">
        <f t="shared" si="97"/>
        <v>0</v>
      </c>
      <c r="Q1592" s="13" t="str">
        <f t="shared" si="98"/>
        <v/>
      </c>
      <c r="R1592" s="13" t="str">
        <f t="shared" si="99"/>
        <v>Non diskon</v>
      </c>
    </row>
    <row r="1593" spans="1:18" x14ac:dyDescent="0.25">
      <c r="A1593" s="13" t="s">
        <v>1605</v>
      </c>
      <c r="B1593" s="13" t="s">
        <v>2194</v>
      </c>
      <c r="C1593" s="13" t="s">
        <v>2198</v>
      </c>
      <c r="D1593" s="13" t="s">
        <v>2205</v>
      </c>
      <c r="E1593" s="13" t="s">
        <v>2211</v>
      </c>
      <c r="F1593" s="13" t="s">
        <v>2224</v>
      </c>
      <c r="G1593" s="13">
        <v>64.209999999999994</v>
      </c>
      <c r="H1593" s="13">
        <v>0</v>
      </c>
      <c r="I1593" s="13">
        <v>64.209999999999994</v>
      </c>
      <c r="J1593" s="24">
        <v>45875</v>
      </c>
      <c r="K1593" s="13">
        <v>3</v>
      </c>
      <c r="L1593" s="44">
        <v>2.8</v>
      </c>
      <c r="M1593" s="13" t="b">
        <v>0</v>
      </c>
      <c r="O1593" s="25">
        <f t="shared" si="96"/>
        <v>27</v>
      </c>
      <c r="P1593" s="13">
        <f t="shared" si="97"/>
        <v>0</v>
      </c>
      <c r="Q1593" s="13" t="str">
        <f t="shared" si="98"/>
        <v/>
      </c>
      <c r="R1593" s="13" t="str">
        <f t="shared" si="99"/>
        <v>Non diskon</v>
      </c>
    </row>
    <row r="1594" spans="1:18" x14ac:dyDescent="0.25">
      <c r="A1594" s="13" t="s">
        <v>1606</v>
      </c>
      <c r="B1594" s="13" t="s">
        <v>2192</v>
      </c>
      <c r="C1594" s="13" t="s">
        <v>2198</v>
      </c>
      <c r="D1594" s="13" t="s">
        <v>2205</v>
      </c>
      <c r="F1594" s="13" t="s">
        <v>2220</v>
      </c>
      <c r="G1594" s="13">
        <v>56.13</v>
      </c>
      <c r="H1594" s="13">
        <v>8.1</v>
      </c>
      <c r="I1594" s="13">
        <v>51.58</v>
      </c>
      <c r="J1594" s="24">
        <v>45875</v>
      </c>
      <c r="K1594" s="13">
        <v>12</v>
      </c>
      <c r="L1594" s="44">
        <v>3.8</v>
      </c>
      <c r="M1594" s="13" t="b">
        <v>0</v>
      </c>
      <c r="O1594" s="25">
        <f t="shared" si="96"/>
        <v>27</v>
      </c>
      <c r="P1594" s="13">
        <f t="shared" si="97"/>
        <v>97.199999999999989</v>
      </c>
      <c r="Q1594" s="13" t="str">
        <f t="shared" si="98"/>
        <v/>
      </c>
      <c r="R1594" s="13" t="str">
        <f t="shared" si="99"/>
        <v>Diskon</v>
      </c>
    </row>
    <row r="1595" spans="1:18" x14ac:dyDescent="0.25">
      <c r="A1595" s="13" t="s">
        <v>1607</v>
      </c>
      <c r="B1595" s="13" t="s">
        <v>2191</v>
      </c>
      <c r="C1595" s="13" t="s">
        <v>2197</v>
      </c>
      <c r="D1595" s="13" t="s">
        <v>2207</v>
      </c>
      <c r="E1595" s="13" t="s">
        <v>2211</v>
      </c>
      <c r="F1595" s="13" t="s">
        <v>2221</v>
      </c>
      <c r="G1595" s="13">
        <v>70.89</v>
      </c>
      <c r="H1595" s="13">
        <v>0</v>
      </c>
      <c r="I1595" s="13">
        <v>70.89</v>
      </c>
      <c r="J1595" s="24">
        <v>45875</v>
      </c>
      <c r="K1595" s="13">
        <v>14</v>
      </c>
      <c r="L1595" s="44">
        <v>4.7</v>
      </c>
      <c r="M1595" s="13" t="b">
        <v>1</v>
      </c>
      <c r="N1595" s="13" t="s">
        <v>2226</v>
      </c>
      <c r="O1595" s="25">
        <f t="shared" si="96"/>
        <v>27</v>
      </c>
      <c r="P1595" s="13">
        <f t="shared" si="97"/>
        <v>0</v>
      </c>
      <c r="Q1595" s="13">
        <f t="shared" si="98"/>
        <v>1</v>
      </c>
      <c r="R1595" s="13" t="str">
        <f t="shared" si="99"/>
        <v>Non diskon</v>
      </c>
    </row>
    <row r="1596" spans="1:18" x14ac:dyDescent="0.25">
      <c r="A1596" s="13" t="s">
        <v>1608</v>
      </c>
      <c r="B1596" s="13" t="s">
        <v>2193</v>
      </c>
      <c r="C1596" s="13" t="s">
        <v>2198</v>
      </c>
      <c r="D1596" s="13" t="s">
        <v>2205</v>
      </c>
      <c r="E1596" s="13" t="s">
        <v>2213</v>
      </c>
      <c r="F1596" s="13" t="s">
        <v>2223</v>
      </c>
      <c r="G1596" s="13">
        <v>149.65</v>
      </c>
      <c r="H1596" s="13">
        <v>0</v>
      </c>
      <c r="I1596" s="13">
        <v>149.65</v>
      </c>
      <c r="J1596" s="24">
        <v>45875</v>
      </c>
      <c r="K1596" s="13">
        <v>26</v>
      </c>
      <c r="L1596" s="44">
        <v>3.8</v>
      </c>
      <c r="M1596" s="13" t="b">
        <v>0</v>
      </c>
      <c r="O1596" s="25">
        <f t="shared" si="96"/>
        <v>27</v>
      </c>
      <c r="P1596" s="13">
        <f t="shared" si="97"/>
        <v>0</v>
      </c>
      <c r="Q1596" s="13" t="str">
        <f t="shared" si="98"/>
        <v/>
      </c>
      <c r="R1596" s="13" t="str">
        <f t="shared" si="99"/>
        <v>Non diskon</v>
      </c>
    </row>
    <row r="1597" spans="1:18" x14ac:dyDescent="0.25">
      <c r="A1597" s="13" t="s">
        <v>1609</v>
      </c>
      <c r="B1597" s="13" t="s">
        <v>2193</v>
      </c>
      <c r="C1597" s="13" t="s">
        <v>2196</v>
      </c>
      <c r="D1597" s="13" t="s">
        <v>2204</v>
      </c>
      <c r="E1597" s="13" t="s">
        <v>2210</v>
      </c>
      <c r="F1597" s="13" t="s">
        <v>2217</v>
      </c>
      <c r="G1597" s="13">
        <v>83.17</v>
      </c>
      <c r="H1597" s="13">
        <v>0</v>
      </c>
      <c r="I1597" s="13">
        <v>83.17</v>
      </c>
      <c r="J1597" s="24">
        <v>45538</v>
      </c>
      <c r="K1597" s="13">
        <v>48</v>
      </c>
      <c r="L1597" s="44">
        <v>3.2</v>
      </c>
      <c r="M1597" s="13" t="b">
        <v>0</v>
      </c>
      <c r="O1597" s="25">
        <f t="shared" si="96"/>
        <v>364</v>
      </c>
      <c r="P1597" s="13">
        <f t="shared" si="97"/>
        <v>0</v>
      </c>
      <c r="Q1597" s="13" t="str">
        <f t="shared" si="98"/>
        <v/>
      </c>
      <c r="R1597" s="13" t="str">
        <f t="shared" si="99"/>
        <v>Non diskon</v>
      </c>
    </row>
    <row r="1598" spans="1:18" x14ac:dyDescent="0.25">
      <c r="A1598" s="13" t="s">
        <v>1610</v>
      </c>
      <c r="B1598" s="13" t="s">
        <v>2190</v>
      </c>
      <c r="C1598" s="13" t="s">
        <v>2200</v>
      </c>
      <c r="D1598" s="13" t="s">
        <v>2206</v>
      </c>
      <c r="E1598" s="13" t="s">
        <v>2208</v>
      </c>
      <c r="F1598" s="13" t="s">
        <v>2219</v>
      </c>
      <c r="G1598" s="13">
        <v>121.56</v>
      </c>
      <c r="H1598" s="13">
        <v>0</v>
      </c>
      <c r="I1598" s="13">
        <v>121.56</v>
      </c>
      <c r="J1598" s="24">
        <v>45875</v>
      </c>
      <c r="K1598" s="13">
        <v>18</v>
      </c>
      <c r="L1598" s="44">
        <v>3.3</v>
      </c>
      <c r="M1598" s="13" t="b">
        <v>0</v>
      </c>
      <c r="O1598" s="25">
        <f t="shared" si="96"/>
        <v>27</v>
      </c>
      <c r="P1598" s="13">
        <f t="shared" si="97"/>
        <v>0</v>
      </c>
      <c r="Q1598" s="13" t="str">
        <f t="shared" si="98"/>
        <v/>
      </c>
      <c r="R1598" s="13" t="str">
        <f t="shared" si="99"/>
        <v>Non diskon</v>
      </c>
    </row>
    <row r="1599" spans="1:18" x14ac:dyDescent="0.25">
      <c r="A1599" s="13" t="s">
        <v>1611</v>
      </c>
      <c r="B1599" s="13" t="s">
        <v>2194</v>
      </c>
      <c r="C1599" s="13" t="s">
        <v>2196</v>
      </c>
      <c r="D1599" s="13" t="s">
        <v>2205</v>
      </c>
      <c r="E1599" s="13" t="s">
        <v>2213</v>
      </c>
      <c r="F1599" s="13" t="s">
        <v>2223</v>
      </c>
      <c r="G1599" s="13">
        <v>48.62</v>
      </c>
      <c r="H1599" s="13">
        <v>0</v>
      </c>
      <c r="I1599" s="13">
        <v>48.62</v>
      </c>
      <c r="J1599" s="24">
        <v>45875</v>
      </c>
      <c r="K1599" s="13">
        <v>3</v>
      </c>
      <c r="L1599" s="44">
        <v>2.9210526315789478</v>
      </c>
      <c r="M1599" s="13" t="b">
        <v>1</v>
      </c>
      <c r="N1599" s="13" t="s">
        <v>2227</v>
      </c>
      <c r="O1599" s="25">
        <f t="shared" si="96"/>
        <v>27</v>
      </c>
      <c r="P1599" s="13">
        <f t="shared" si="97"/>
        <v>0</v>
      </c>
      <c r="Q1599" s="13">
        <f t="shared" si="98"/>
        <v>1</v>
      </c>
      <c r="R1599" s="13" t="str">
        <f t="shared" si="99"/>
        <v>Non diskon</v>
      </c>
    </row>
    <row r="1600" spans="1:18" x14ac:dyDescent="0.25">
      <c r="A1600" s="13" t="s">
        <v>1612</v>
      </c>
      <c r="B1600" s="13" t="s">
        <v>2195</v>
      </c>
      <c r="C1600" s="13" t="s">
        <v>2201</v>
      </c>
      <c r="D1600" s="13" t="s">
        <v>2205</v>
      </c>
      <c r="E1600" s="13" t="s">
        <v>2213</v>
      </c>
      <c r="F1600" s="13" t="s">
        <v>2219</v>
      </c>
      <c r="G1600" s="13">
        <v>79.040000000000006</v>
      </c>
      <c r="H1600" s="13">
        <v>0</v>
      </c>
      <c r="I1600" s="13">
        <v>79.040000000000006</v>
      </c>
      <c r="J1600" s="24">
        <v>45875</v>
      </c>
      <c r="K1600" s="13">
        <v>4</v>
      </c>
      <c r="L1600" s="44">
        <v>4.0999999999999996</v>
      </c>
      <c r="M1600" s="13" t="b">
        <v>0</v>
      </c>
      <c r="O1600" s="25">
        <f t="shared" si="96"/>
        <v>27</v>
      </c>
      <c r="P1600" s="13">
        <f t="shared" si="97"/>
        <v>0</v>
      </c>
      <c r="Q1600" s="13" t="str">
        <f t="shared" si="98"/>
        <v/>
      </c>
      <c r="R1600" s="13" t="str">
        <f t="shared" si="99"/>
        <v>Non diskon</v>
      </c>
    </row>
    <row r="1601" spans="1:18" x14ac:dyDescent="0.25">
      <c r="A1601" s="13" t="s">
        <v>1613</v>
      </c>
      <c r="B1601" s="13" t="s">
        <v>2190</v>
      </c>
      <c r="C1601" s="13" t="s">
        <v>2199</v>
      </c>
      <c r="D1601" s="13" t="s">
        <v>2204</v>
      </c>
      <c r="E1601" s="13" t="s">
        <v>2212</v>
      </c>
      <c r="F1601" s="13" t="s">
        <v>2218</v>
      </c>
      <c r="G1601" s="13">
        <v>198.58</v>
      </c>
      <c r="H1601" s="13">
        <v>0</v>
      </c>
      <c r="I1601" s="13">
        <v>198.58</v>
      </c>
      <c r="J1601" s="24">
        <v>45681</v>
      </c>
      <c r="K1601" s="13">
        <v>46</v>
      </c>
      <c r="L1601" s="44">
        <v>2.4137931034482762</v>
      </c>
      <c r="M1601" s="13" t="b">
        <v>0</v>
      </c>
      <c r="O1601" s="25">
        <f t="shared" si="96"/>
        <v>221</v>
      </c>
      <c r="P1601" s="13">
        <f t="shared" si="97"/>
        <v>0</v>
      </c>
      <c r="Q1601" s="13" t="str">
        <f t="shared" si="98"/>
        <v/>
      </c>
      <c r="R1601" s="13" t="str">
        <f t="shared" si="99"/>
        <v>Non diskon</v>
      </c>
    </row>
    <row r="1602" spans="1:18" x14ac:dyDescent="0.25">
      <c r="A1602" s="13" t="s">
        <v>1614</v>
      </c>
      <c r="B1602" s="13" t="s">
        <v>2190</v>
      </c>
      <c r="C1602" s="13" t="s">
        <v>2198</v>
      </c>
      <c r="D1602" s="13" t="s">
        <v>2207</v>
      </c>
      <c r="E1602" s="13" t="s">
        <v>2213</v>
      </c>
      <c r="F1602" s="13" t="s">
        <v>2220</v>
      </c>
      <c r="G1602" s="13">
        <v>109.82</v>
      </c>
      <c r="H1602" s="13">
        <v>0</v>
      </c>
      <c r="I1602" s="13">
        <v>109.82</v>
      </c>
      <c r="J1602" s="24">
        <v>45875</v>
      </c>
      <c r="K1602" s="13">
        <v>32</v>
      </c>
      <c r="L1602" s="44">
        <v>2.2999999999999998</v>
      </c>
      <c r="M1602" s="13" t="b">
        <v>0</v>
      </c>
      <c r="O1602" s="25">
        <f t="shared" si="96"/>
        <v>27</v>
      </c>
      <c r="P1602" s="13">
        <f t="shared" si="97"/>
        <v>0</v>
      </c>
      <c r="Q1602" s="13" t="str">
        <f t="shared" si="98"/>
        <v/>
      </c>
      <c r="R1602" s="13" t="str">
        <f t="shared" si="99"/>
        <v>Non diskon</v>
      </c>
    </row>
    <row r="1603" spans="1:18" x14ac:dyDescent="0.25">
      <c r="A1603" s="13" t="s">
        <v>1615</v>
      </c>
      <c r="B1603" s="13" t="s">
        <v>2192</v>
      </c>
      <c r="C1603" s="13" t="s">
        <v>2198</v>
      </c>
      <c r="D1603" s="13" t="s">
        <v>2207</v>
      </c>
      <c r="F1603" s="13" t="s">
        <v>2214</v>
      </c>
      <c r="G1603" s="13">
        <v>34.42</v>
      </c>
      <c r="H1603" s="13">
        <v>49.5</v>
      </c>
      <c r="I1603" s="13">
        <v>17.38</v>
      </c>
      <c r="J1603" s="24">
        <v>45875</v>
      </c>
      <c r="K1603" s="13">
        <v>26</v>
      </c>
      <c r="L1603" s="44">
        <v>2.2000000000000002</v>
      </c>
      <c r="M1603" s="13" t="b">
        <v>0</v>
      </c>
      <c r="O1603" s="25">
        <f t="shared" ref="O1603:O1666" si="100">DATE(2025,9,2)-J1603</f>
        <v>27</v>
      </c>
      <c r="P1603" s="13">
        <f t="shared" ref="P1603:P1666" si="101">H1603*K1603</f>
        <v>1287</v>
      </c>
      <c r="Q1603" s="13" t="str">
        <f t="shared" ref="Q1603:Q1666" si="102">IF(M1603=FALSE,"",1)</f>
        <v/>
      </c>
      <c r="R1603" s="13" t="str">
        <f t="shared" ref="R1603:R1666" si="103">IF(H1603=0,"Non diskon","Diskon")</f>
        <v>Diskon</v>
      </c>
    </row>
    <row r="1604" spans="1:18" x14ac:dyDescent="0.25">
      <c r="A1604" s="13" t="s">
        <v>1616</v>
      </c>
      <c r="B1604" s="13" t="s">
        <v>2193</v>
      </c>
      <c r="C1604" s="13" t="s">
        <v>2196</v>
      </c>
      <c r="D1604" s="13" t="s">
        <v>2205</v>
      </c>
      <c r="F1604" s="13" t="s">
        <v>2218</v>
      </c>
      <c r="G1604" s="13">
        <v>112.1</v>
      </c>
      <c r="H1604" s="13">
        <v>0</v>
      </c>
      <c r="I1604" s="13">
        <v>112.1</v>
      </c>
      <c r="J1604" s="24">
        <v>45875</v>
      </c>
      <c r="K1604" s="13">
        <v>5</v>
      </c>
      <c r="L1604" s="44">
        <v>2</v>
      </c>
      <c r="M1604" s="13" t="b">
        <v>1</v>
      </c>
      <c r="N1604" s="13" t="s">
        <v>2225</v>
      </c>
      <c r="O1604" s="25">
        <f t="shared" si="100"/>
        <v>27</v>
      </c>
      <c r="P1604" s="13">
        <f t="shared" si="101"/>
        <v>0</v>
      </c>
      <c r="Q1604" s="13">
        <f t="shared" si="102"/>
        <v>1</v>
      </c>
      <c r="R1604" s="13" t="str">
        <f t="shared" si="103"/>
        <v>Non diskon</v>
      </c>
    </row>
    <row r="1605" spans="1:18" x14ac:dyDescent="0.25">
      <c r="A1605" s="13" t="s">
        <v>1617</v>
      </c>
      <c r="B1605" s="13" t="s">
        <v>2194</v>
      </c>
      <c r="C1605" s="13" t="s">
        <v>2202</v>
      </c>
      <c r="D1605" s="13" t="s">
        <v>2206</v>
      </c>
      <c r="E1605" s="13" t="s">
        <v>2212</v>
      </c>
      <c r="F1605" s="13" t="s">
        <v>2217</v>
      </c>
      <c r="G1605" s="13">
        <v>25.07</v>
      </c>
      <c r="H1605" s="13">
        <v>0</v>
      </c>
      <c r="I1605" s="13">
        <v>25.07</v>
      </c>
      <c r="J1605" s="24">
        <v>45875</v>
      </c>
      <c r="K1605" s="13">
        <v>9</v>
      </c>
      <c r="L1605" s="44">
        <v>2.5</v>
      </c>
      <c r="M1605" s="13" t="b">
        <v>0</v>
      </c>
      <c r="O1605" s="25">
        <f t="shared" si="100"/>
        <v>27</v>
      </c>
      <c r="P1605" s="13">
        <f t="shared" si="101"/>
        <v>0</v>
      </c>
      <c r="Q1605" s="13" t="str">
        <f t="shared" si="102"/>
        <v/>
      </c>
      <c r="R1605" s="13" t="str">
        <f t="shared" si="103"/>
        <v>Non diskon</v>
      </c>
    </row>
    <row r="1606" spans="1:18" x14ac:dyDescent="0.25">
      <c r="A1606" s="13" t="s">
        <v>1618</v>
      </c>
      <c r="B1606" s="13" t="s">
        <v>2195</v>
      </c>
      <c r="C1606" s="13" t="s">
        <v>2197</v>
      </c>
      <c r="D1606" s="13" t="s">
        <v>2204</v>
      </c>
      <c r="E1606" s="13" t="s">
        <v>2208</v>
      </c>
      <c r="F1606" s="13" t="s">
        <v>2220</v>
      </c>
      <c r="G1606" s="13">
        <v>170.38</v>
      </c>
      <c r="H1606" s="13">
        <v>0</v>
      </c>
      <c r="I1606" s="13">
        <v>170.38</v>
      </c>
      <c r="J1606" s="24">
        <v>45540</v>
      </c>
      <c r="K1606" s="13">
        <v>23</v>
      </c>
      <c r="L1606" s="44">
        <v>4.3</v>
      </c>
      <c r="M1606" s="13" t="b">
        <v>0</v>
      </c>
      <c r="O1606" s="25">
        <f t="shared" si="100"/>
        <v>362</v>
      </c>
      <c r="P1606" s="13">
        <f t="shared" si="101"/>
        <v>0</v>
      </c>
      <c r="Q1606" s="13" t="str">
        <f t="shared" si="102"/>
        <v/>
      </c>
      <c r="R1606" s="13" t="str">
        <f t="shared" si="103"/>
        <v>Non diskon</v>
      </c>
    </row>
    <row r="1607" spans="1:18" x14ac:dyDescent="0.25">
      <c r="A1607" s="13" t="s">
        <v>1619</v>
      </c>
      <c r="B1607" s="13" t="s">
        <v>2195</v>
      </c>
      <c r="C1607" s="13" t="s">
        <v>2199</v>
      </c>
      <c r="D1607" s="13" t="s">
        <v>2205</v>
      </c>
      <c r="E1607" s="13" t="s">
        <v>2211</v>
      </c>
      <c r="F1607" s="13" t="s">
        <v>2220</v>
      </c>
      <c r="G1607" s="13">
        <v>77.319999999999993</v>
      </c>
      <c r="H1607" s="13">
        <v>0</v>
      </c>
      <c r="I1607" s="13">
        <v>77.319999999999993</v>
      </c>
      <c r="J1607" s="24">
        <v>45875</v>
      </c>
      <c r="K1607" s="13">
        <v>30</v>
      </c>
      <c r="L1607" s="44">
        <v>2.2000000000000002</v>
      </c>
      <c r="M1607" s="13" t="b">
        <v>1</v>
      </c>
      <c r="N1607" s="13" t="s">
        <v>2225</v>
      </c>
      <c r="O1607" s="25">
        <f t="shared" si="100"/>
        <v>27</v>
      </c>
      <c r="P1607" s="13">
        <f t="shared" si="101"/>
        <v>0</v>
      </c>
      <c r="Q1607" s="13">
        <f t="shared" si="102"/>
        <v>1</v>
      </c>
      <c r="R1607" s="13" t="str">
        <f t="shared" si="103"/>
        <v>Non diskon</v>
      </c>
    </row>
    <row r="1608" spans="1:18" x14ac:dyDescent="0.25">
      <c r="A1608" s="13" t="s">
        <v>1620</v>
      </c>
      <c r="B1608" s="13" t="s">
        <v>2193</v>
      </c>
      <c r="C1608" s="13" t="s">
        <v>2199</v>
      </c>
      <c r="D1608" s="13" t="s">
        <v>2205</v>
      </c>
      <c r="E1608" s="13" t="s">
        <v>2212</v>
      </c>
      <c r="F1608" s="13" t="s">
        <v>2216</v>
      </c>
      <c r="G1608" s="13">
        <v>111.88</v>
      </c>
      <c r="H1608" s="13">
        <v>0</v>
      </c>
      <c r="I1608" s="13">
        <v>111.88</v>
      </c>
      <c r="J1608" s="24">
        <v>45875</v>
      </c>
      <c r="K1608" s="13">
        <v>17</v>
      </c>
      <c r="L1608" s="44">
        <v>4.5999999999999996</v>
      </c>
      <c r="M1608" s="13" t="b">
        <v>0</v>
      </c>
      <c r="O1608" s="25">
        <f t="shared" si="100"/>
        <v>27</v>
      </c>
      <c r="P1608" s="13">
        <f t="shared" si="101"/>
        <v>0</v>
      </c>
      <c r="Q1608" s="13" t="str">
        <f t="shared" si="102"/>
        <v/>
      </c>
      <c r="R1608" s="13" t="str">
        <f t="shared" si="103"/>
        <v>Non diskon</v>
      </c>
    </row>
    <row r="1609" spans="1:18" x14ac:dyDescent="0.25">
      <c r="A1609" s="13" t="s">
        <v>1621</v>
      </c>
      <c r="B1609" s="13" t="s">
        <v>2192</v>
      </c>
      <c r="C1609" s="13" t="s">
        <v>2203</v>
      </c>
      <c r="D1609" s="13" t="s">
        <v>2206</v>
      </c>
      <c r="F1609" s="13" t="s">
        <v>2216</v>
      </c>
      <c r="G1609" s="13">
        <v>24.71</v>
      </c>
      <c r="H1609" s="13">
        <v>0</v>
      </c>
      <c r="I1609" s="13">
        <v>24.71</v>
      </c>
      <c r="J1609" s="24">
        <v>45875</v>
      </c>
      <c r="K1609" s="13">
        <v>37</v>
      </c>
      <c r="L1609" s="44">
        <v>2.8636363636363633</v>
      </c>
      <c r="M1609" s="13" t="b">
        <v>0</v>
      </c>
      <c r="O1609" s="25">
        <f t="shared" si="100"/>
        <v>27</v>
      </c>
      <c r="P1609" s="13">
        <f t="shared" si="101"/>
        <v>0</v>
      </c>
      <c r="Q1609" s="13" t="str">
        <f t="shared" si="102"/>
        <v/>
      </c>
      <c r="R1609" s="13" t="str">
        <f t="shared" si="103"/>
        <v>Non diskon</v>
      </c>
    </row>
    <row r="1610" spans="1:18" x14ac:dyDescent="0.25">
      <c r="A1610" s="13" t="s">
        <v>1622</v>
      </c>
      <c r="B1610" s="13" t="s">
        <v>2191</v>
      </c>
      <c r="C1610" s="13" t="s">
        <v>2197</v>
      </c>
      <c r="D1610" s="13" t="s">
        <v>2204</v>
      </c>
      <c r="E1610" s="13" t="s">
        <v>2208</v>
      </c>
      <c r="F1610" s="13" t="s">
        <v>2214</v>
      </c>
      <c r="G1610" s="13">
        <v>61.42</v>
      </c>
      <c r="H1610" s="13">
        <v>0</v>
      </c>
      <c r="I1610" s="13">
        <v>61.42</v>
      </c>
      <c r="J1610" s="24">
        <v>45526</v>
      </c>
      <c r="K1610" s="13">
        <v>41</v>
      </c>
      <c r="L1610" s="44">
        <v>3.5</v>
      </c>
      <c r="M1610" s="13" t="b">
        <v>0</v>
      </c>
      <c r="O1610" s="25">
        <f t="shared" si="100"/>
        <v>376</v>
      </c>
      <c r="P1610" s="13">
        <f t="shared" si="101"/>
        <v>0</v>
      </c>
      <c r="Q1610" s="13" t="str">
        <f t="shared" si="102"/>
        <v/>
      </c>
      <c r="R1610" s="13" t="str">
        <f t="shared" si="103"/>
        <v>Non diskon</v>
      </c>
    </row>
    <row r="1611" spans="1:18" x14ac:dyDescent="0.25">
      <c r="A1611" s="13" t="s">
        <v>1623</v>
      </c>
      <c r="B1611" s="13" t="s">
        <v>2192</v>
      </c>
      <c r="C1611" s="13" t="s">
        <v>2202</v>
      </c>
      <c r="D1611" s="13" t="s">
        <v>2206</v>
      </c>
      <c r="F1611" s="13" t="s">
        <v>2219</v>
      </c>
      <c r="G1611" s="13">
        <v>60.48</v>
      </c>
      <c r="H1611" s="13">
        <v>7.3</v>
      </c>
      <c r="I1611" s="13">
        <v>56.06</v>
      </c>
      <c r="J1611" s="24">
        <v>45875</v>
      </c>
      <c r="K1611" s="13">
        <v>46</v>
      </c>
      <c r="L1611" s="44">
        <v>3.6</v>
      </c>
      <c r="M1611" s="13" t="b">
        <v>0</v>
      </c>
      <c r="O1611" s="25">
        <f t="shared" si="100"/>
        <v>27</v>
      </c>
      <c r="P1611" s="13">
        <f t="shared" si="101"/>
        <v>335.8</v>
      </c>
      <c r="Q1611" s="13" t="str">
        <f t="shared" si="102"/>
        <v/>
      </c>
      <c r="R1611" s="13" t="str">
        <f t="shared" si="103"/>
        <v>Diskon</v>
      </c>
    </row>
    <row r="1612" spans="1:18" x14ac:dyDescent="0.25">
      <c r="A1612" s="13" t="s">
        <v>1624</v>
      </c>
      <c r="B1612" s="13" t="s">
        <v>2192</v>
      </c>
      <c r="C1612" s="13" t="s">
        <v>2199</v>
      </c>
      <c r="D1612" s="13" t="s">
        <v>2206</v>
      </c>
      <c r="F1612" s="13" t="s">
        <v>2223</v>
      </c>
      <c r="G1612" s="13">
        <v>34.94</v>
      </c>
      <c r="H1612" s="13">
        <v>5.2</v>
      </c>
      <c r="I1612" s="13">
        <v>33.119999999999997</v>
      </c>
      <c r="J1612" s="24">
        <v>45875</v>
      </c>
      <c r="K1612" s="13">
        <v>18</v>
      </c>
      <c r="L1612" s="44">
        <v>2.5131578947368416</v>
      </c>
      <c r="M1612" s="13" t="b">
        <v>0</v>
      </c>
      <c r="O1612" s="25">
        <f t="shared" si="100"/>
        <v>27</v>
      </c>
      <c r="P1612" s="13">
        <f t="shared" si="101"/>
        <v>93.600000000000009</v>
      </c>
      <c r="Q1612" s="13" t="str">
        <f t="shared" si="102"/>
        <v/>
      </c>
      <c r="R1612" s="13" t="str">
        <f t="shared" si="103"/>
        <v>Diskon</v>
      </c>
    </row>
    <row r="1613" spans="1:18" x14ac:dyDescent="0.25">
      <c r="A1613" s="13" t="s">
        <v>1625</v>
      </c>
      <c r="B1613" s="13" t="s">
        <v>2194</v>
      </c>
      <c r="C1613" s="13" t="s">
        <v>2198</v>
      </c>
      <c r="D1613" s="13" t="s">
        <v>2204</v>
      </c>
      <c r="E1613" s="13" t="s">
        <v>2208</v>
      </c>
      <c r="F1613" s="13" t="s">
        <v>2214</v>
      </c>
      <c r="G1613" s="13">
        <v>30.51</v>
      </c>
      <c r="H1613" s="13">
        <v>0</v>
      </c>
      <c r="I1613" s="13">
        <v>30.51</v>
      </c>
      <c r="J1613" s="24">
        <v>45671</v>
      </c>
      <c r="K1613" s="13">
        <v>17</v>
      </c>
      <c r="L1613" s="44">
        <v>1.2</v>
      </c>
      <c r="M1613" s="13" t="b">
        <v>0</v>
      </c>
      <c r="O1613" s="25">
        <f t="shared" si="100"/>
        <v>231</v>
      </c>
      <c r="P1613" s="13">
        <f t="shared" si="101"/>
        <v>0</v>
      </c>
      <c r="Q1613" s="13" t="str">
        <f t="shared" si="102"/>
        <v/>
      </c>
      <c r="R1613" s="13" t="str">
        <f t="shared" si="103"/>
        <v>Non diskon</v>
      </c>
    </row>
    <row r="1614" spans="1:18" x14ac:dyDescent="0.25">
      <c r="A1614" s="13" t="s">
        <v>1626</v>
      </c>
      <c r="B1614" s="13" t="s">
        <v>2195</v>
      </c>
      <c r="C1614" s="13" t="s">
        <v>2198</v>
      </c>
      <c r="D1614" s="13" t="s">
        <v>2205</v>
      </c>
      <c r="E1614" s="13" t="s">
        <v>2211</v>
      </c>
      <c r="F1614" s="13" t="s">
        <v>2222</v>
      </c>
      <c r="G1614" s="13">
        <v>65.540000000000006</v>
      </c>
      <c r="H1614" s="13">
        <v>40.299999999999997</v>
      </c>
      <c r="I1614" s="13">
        <v>39.130000000000003</v>
      </c>
      <c r="J1614" s="24">
        <v>45875</v>
      </c>
      <c r="K1614" s="13">
        <v>27</v>
      </c>
      <c r="L1614" s="44">
        <v>1.2</v>
      </c>
      <c r="M1614" s="13" t="b">
        <v>0</v>
      </c>
      <c r="O1614" s="25">
        <f t="shared" si="100"/>
        <v>27</v>
      </c>
      <c r="P1614" s="13">
        <f t="shared" si="101"/>
        <v>1088.0999999999999</v>
      </c>
      <c r="Q1614" s="13" t="str">
        <f t="shared" si="102"/>
        <v/>
      </c>
      <c r="R1614" s="13" t="str">
        <f t="shared" si="103"/>
        <v>Diskon</v>
      </c>
    </row>
    <row r="1615" spans="1:18" x14ac:dyDescent="0.25">
      <c r="A1615" s="13" t="s">
        <v>1627</v>
      </c>
      <c r="B1615" s="13" t="s">
        <v>2193</v>
      </c>
      <c r="C1615" s="13" t="s">
        <v>2203</v>
      </c>
      <c r="D1615" s="13" t="s">
        <v>2207</v>
      </c>
      <c r="E1615" s="13" t="s">
        <v>2210</v>
      </c>
      <c r="F1615" s="13" t="s">
        <v>2221</v>
      </c>
      <c r="G1615" s="13">
        <v>114.37</v>
      </c>
      <c r="H1615" s="13">
        <v>43.2</v>
      </c>
      <c r="I1615" s="13">
        <v>64.959999999999994</v>
      </c>
      <c r="J1615" s="24">
        <v>45875</v>
      </c>
      <c r="K1615" s="13">
        <v>16</v>
      </c>
      <c r="L1615" s="44">
        <v>1.4</v>
      </c>
      <c r="M1615" s="13" t="b">
        <v>0</v>
      </c>
      <c r="O1615" s="25">
        <f t="shared" si="100"/>
        <v>27</v>
      </c>
      <c r="P1615" s="13">
        <f t="shared" si="101"/>
        <v>691.2</v>
      </c>
      <c r="Q1615" s="13" t="str">
        <f t="shared" si="102"/>
        <v/>
      </c>
      <c r="R1615" s="13" t="str">
        <f t="shared" si="103"/>
        <v>Diskon</v>
      </c>
    </row>
    <row r="1616" spans="1:18" x14ac:dyDescent="0.25">
      <c r="A1616" s="13" t="s">
        <v>1628</v>
      </c>
      <c r="B1616" s="13" t="s">
        <v>2195</v>
      </c>
      <c r="C1616" s="13" t="s">
        <v>2199</v>
      </c>
      <c r="D1616" s="13" t="s">
        <v>2204</v>
      </c>
      <c r="E1616" s="13" t="s">
        <v>2210</v>
      </c>
      <c r="F1616" s="13" t="s">
        <v>2217</v>
      </c>
      <c r="G1616" s="13">
        <v>145.80000000000001</v>
      </c>
      <c r="H1616" s="13">
        <v>0</v>
      </c>
      <c r="I1616" s="13">
        <v>145.80000000000001</v>
      </c>
      <c r="J1616" s="24">
        <v>45562</v>
      </c>
      <c r="K1616" s="13">
        <v>13</v>
      </c>
      <c r="L1616" s="44">
        <v>4</v>
      </c>
      <c r="M1616" s="13" t="b">
        <v>0</v>
      </c>
      <c r="O1616" s="25">
        <f t="shared" si="100"/>
        <v>340</v>
      </c>
      <c r="P1616" s="13">
        <f t="shared" si="101"/>
        <v>0</v>
      </c>
      <c r="Q1616" s="13" t="str">
        <f t="shared" si="102"/>
        <v/>
      </c>
      <c r="R1616" s="13" t="str">
        <f t="shared" si="103"/>
        <v>Non diskon</v>
      </c>
    </row>
    <row r="1617" spans="1:18" x14ac:dyDescent="0.25">
      <c r="A1617" s="13" t="s">
        <v>1629</v>
      </c>
      <c r="B1617" s="13" t="s">
        <v>2193</v>
      </c>
      <c r="C1617" s="13" t="s">
        <v>2196</v>
      </c>
      <c r="D1617" s="13" t="s">
        <v>2207</v>
      </c>
      <c r="E1617" s="13" t="s">
        <v>2210</v>
      </c>
      <c r="F1617" s="13" t="s">
        <v>2214</v>
      </c>
      <c r="G1617" s="13">
        <v>121.43</v>
      </c>
      <c r="H1617" s="13">
        <v>44.1</v>
      </c>
      <c r="I1617" s="13">
        <v>67.88</v>
      </c>
      <c r="J1617" s="24">
        <v>45875</v>
      </c>
      <c r="K1617" s="13">
        <v>2</v>
      </c>
      <c r="L1617" s="44">
        <v>4.4000000000000004</v>
      </c>
      <c r="M1617" s="13" t="b">
        <v>0</v>
      </c>
      <c r="O1617" s="25">
        <f t="shared" si="100"/>
        <v>27</v>
      </c>
      <c r="P1617" s="13">
        <f t="shared" si="101"/>
        <v>88.2</v>
      </c>
      <c r="Q1617" s="13" t="str">
        <f t="shared" si="102"/>
        <v/>
      </c>
      <c r="R1617" s="13" t="str">
        <f t="shared" si="103"/>
        <v>Diskon</v>
      </c>
    </row>
    <row r="1618" spans="1:18" x14ac:dyDescent="0.25">
      <c r="A1618" s="13" t="s">
        <v>1630</v>
      </c>
      <c r="B1618" s="13" t="s">
        <v>2193</v>
      </c>
      <c r="C1618" s="13" t="s">
        <v>2203</v>
      </c>
      <c r="D1618" s="13" t="s">
        <v>2207</v>
      </c>
      <c r="E1618" s="13" t="s">
        <v>2211</v>
      </c>
      <c r="F1618" s="13" t="s">
        <v>2220</v>
      </c>
      <c r="G1618" s="13">
        <v>94.49</v>
      </c>
      <c r="H1618" s="13">
        <v>0</v>
      </c>
      <c r="I1618" s="13">
        <v>94.49</v>
      </c>
      <c r="J1618" s="24">
        <v>45875</v>
      </c>
      <c r="K1618" s="13">
        <v>30</v>
      </c>
      <c r="L1618" s="44">
        <v>1.5</v>
      </c>
      <c r="M1618" s="13" t="b">
        <v>0</v>
      </c>
      <c r="O1618" s="25">
        <f t="shared" si="100"/>
        <v>27</v>
      </c>
      <c r="P1618" s="13">
        <f t="shared" si="101"/>
        <v>0</v>
      </c>
      <c r="Q1618" s="13" t="str">
        <f t="shared" si="102"/>
        <v/>
      </c>
      <c r="R1618" s="13" t="str">
        <f t="shared" si="103"/>
        <v>Non diskon</v>
      </c>
    </row>
    <row r="1619" spans="1:18" x14ac:dyDescent="0.25">
      <c r="A1619" s="13" t="s">
        <v>1631</v>
      </c>
      <c r="B1619" s="13" t="s">
        <v>2190</v>
      </c>
      <c r="C1619" s="13" t="s">
        <v>2203</v>
      </c>
      <c r="D1619" s="13" t="s">
        <v>2206</v>
      </c>
      <c r="E1619" s="13" t="s">
        <v>2213</v>
      </c>
      <c r="F1619" s="13" t="s">
        <v>2223</v>
      </c>
      <c r="G1619" s="13">
        <v>218.64</v>
      </c>
      <c r="H1619" s="13">
        <v>0</v>
      </c>
      <c r="I1619" s="13">
        <v>218.64</v>
      </c>
      <c r="J1619" s="24">
        <v>45875</v>
      </c>
      <c r="K1619" s="13">
        <v>5</v>
      </c>
      <c r="L1619" s="44">
        <v>2.9718749999999998</v>
      </c>
      <c r="M1619" s="13" t="b">
        <v>0</v>
      </c>
      <c r="O1619" s="25">
        <f t="shared" si="100"/>
        <v>27</v>
      </c>
      <c r="P1619" s="13">
        <f t="shared" si="101"/>
        <v>0</v>
      </c>
      <c r="Q1619" s="13" t="str">
        <f t="shared" si="102"/>
        <v/>
      </c>
      <c r="R1619" s="13" t="str">
        <f t="shared" si="103"/>
        <v>Non diskon</v>
      </c>
    </row>
    <row r="1620" spans="1:18" x14ac:dyDescent="0.25">
      <c r="A1620" s="13" t="s">
        <v>1632</v>
      </c>
      <c r="B1620" s="13" t="s">
        <v>2190</v>
      </c>
      <c r="C1620" s="13" t="s">
        <v>2197</v>
      </c>
      <c r="D1620" s="13" t="s">
        <v>2206</v>
      </c>
      <c r="E1620" s="13" t="s">
        <v>2210</v>
      </c>
      <c r="F1620" s="13" t="s">
        <v>2216</v>
      </c>
      <c r="G1620" s="13">
        <v>80.41</v>
      </c>
      <c r="H1620" s="13">
        <v>11.9</v>
      </c>
      <c r="I1620" s="13">
        <v>70.84</v>
      </c>
      <c r="J1620" s="24">
        <v>45875</v>
      </c>
      <c r="K1620" s="13">
        <v>35</v>
      </c>
      <c r="L1620" s="44">
        <v>1.5</v>
      </c>
      <c r="M1620" s="13" t="b">
        <v>0</v>
      </c>
      <c r="O1620" s="25">
        <f t="shared" si="100"/>
        <v>27</v>
      </c>
      <c r="P1620" s="13">
        <f t="shared" si="101"/>
        <v>416.5</v>
      </c>
      <c r="Q1620" s="13" t="str">
        <f t="shared" si="102"/>
        <v/>
      </c>
      <c r="R1620" s="13" t="str">
        <f t="shared" si="103"/>
        <v>Diskon</v>
      </c>
    </row>
    <row r="1621" spans="1:18" x14ac:dyDescent="0.25">
      <c r="A1621" s="13" t="s">
        <v>1633</v>
      </c>
      <c r="B1621" s="13" t="s">
        <v>2193</v>
      </c>
      <c r="C1621" s="13" t="s">
        <v>2202</v>
      </c>
      <c r="D1621" s="13" t="s">
        <v>2205</v>
      </c>
      <c r="E1621" s="13" t="s">
        <v>2208</v>
      </c>
      <c r="F1621" s="13" t="s">
        <v>2221</v>
      </c>
      <c r="G1621" s="13">
        <v>183.3</v>
      </c>
      <c r="H1621" s="13">
        <v>0</v>
      </c>
      <c r="I1621" s="13">
        <v>183.3</v>
      </c>
      <c r="J1621" s="24">
        <v>45875</v>
      </c>
      <c r="K1621" s="13">
        <v>7</v>
      </c>
      <c r="L1621" s="44">
        <v>2</v>
      </c>
      <c r="M1621" s="13" t="b">
        <v>0</v>
      </c>
      <c r="O1621" s="25">
        <f t="shared" si="100"/>
        <v>27</v>
      </c>
      <c r="P1621" s="13">
        <f t="shared" si="101"/>
        <v>0</v>
      </c>
      <c r="Q1621" s="13" t="str">
        <f t="shared" si="102"/>
        <v/>
      </c>
      <c r="R1621" s="13" t="str">
        <f t="shared" si="103"/>
        <v>Non diskon</v>
      </c>
    </row>
    <row r="1622" spans="1:18" x14ac:dyDescent="0.25">
      <c r="A1622" s="13" t="s">
        <v>1634</v>
      </c>
      <c r="B1622" s="13" t="s">
        <v>2190</v>
      </c>
      <c r="C1622" s="13" t="s">
        <v>2197</v>
      </c>
      <c r="D1622" s="13" t="s">
        <v>2206</v>
      </c>
      <c r="E1622" s="13" t="s">
        <v>2212</v>
      </c>
      <c r="F1622" s="13" t="s">
        <v>2217</v>
      </c>
      <c r="G1622" s="13">
        <v>241.81</v>
      </c>
      <c r="H1622" s="13">
        <v>0</v>
      </c>
      <c r="I1622" s="13">
        <v>241.81</v>
      </c>
      <c r="J1622" s="24">
        <v>45875</v>
      </c>
      <c r="K1622" s="13">
        <v>38</v>
      </c>
      <c r="L1622" s="44">
        <v>3.5</v>
      </c>
      <c r="M1622" s="13" t="b">
        <v>0</v>
      </c>
      <c r="O1622" s="25">
        <f t="shared" si="100"/>
        <v>27</v>
      </c>
      <c r="P1622" s="13">
        <f t="shared" si="101"/>
        <v>0</v>
      </c>
      <c r="Q1622" s="13" t="str">
        <f t="shared" si="102"/>
        <v/>
      </c>
      <c r="R1622" s="13" t="str">
        <f t="shared" si="103"/>
        <v>Non diskon</v>
      </c>
    </row>
    <row r="1623" spans="1:18" x14ac:dyDescent="0.25">
      <c r="A1623" s="13" t="s">
        <v>1635</v>
      </c>
      <c r="B1623" s="13" t="s">
        <v>2190</v>
      </c>
      <c r="C1623" s="13" t="s">
        <v>2199</v>
      </c>
      <c r="D1623" s="13" t="s">
        <v>2204</v>
      </c>
      <c r="E1623" s="13" t="s">
        <v>2212</v>
      </c>
      <c r="F1623" s="13" t="s">
        <v>2217</v>
      </c>
      <c r="G1623" s="13">
        <v>216.46</v>
      </c>
      <c r="H1623" s="13">
        <v>28.8</v>
      </c>
      <c r="I1623" s="13">
        <v>154.12</v>
      </c>
      <c r="J1623" s="24">
        <v>45516</v>
      </c>
      <c r="K1623" s="13">
        <v>43</v>
      </c>
      <c r="L1623" s="44">
        <v>1.3</v>
      </c>
      <c r="M1623" s="13" t="b">
        <v>0</v>
      </c>
      <c r="O1623" s="25">
        <f t="shared" si="100"/>
        <v>386</v>
      </c>
      <c r="P1623" s="13">
        <f t="shared" si="101"/>
        <v>1238.4000000000001</v>
      </c>
      <c r="Q1623" s="13" t="str">
        <f t="shared" si="102"/>
        <v/>
      </c>
      <c r="R1623" s="13" t="str">
        <f t="shared" si="103"/>
        <v>Diskon</v>
      </c>
    </row>
    <row r="1624" spans="1:18" x14ac:dyDescent="0.25">
      <c r="A1624" s="13" t="s">
        <v>1636</v>
      </c>
      <c r="B1624" s="13" t="s">
        <v>2195</v>
      </c>
      <c r="C1624" s="13" t="s">
        <v>2197</v>
      </c>
      <c r="D1624" s="13" t="s">
        <v>2204</v>
      </c>
      <c r="E1624" s="13" t="s">
        <v>2210</v>
      </c>
      <c r="F1624" s="13" t="s">
        <v>2215</v>
      </c>
      <c r="G1624" s="13">
        <v>63.07</v>
      </c>
      <c r="H1624" s="13">
        <v>53.6</v>
      </c>
      <c r="I1624" s="13">
        <v>29.26</v>
      </c>
      <c r="J1624" s="24">
        <v>45797</v>
      </c>
      <c r="K1624" s="13">
        <v>4</v>
      </c>
      <c r="L1624" s="44">
        <v>1.5</v>
      </c>
      <c r="M1624" s="13" t="b">
        <v>1</v>
      </c>
      <c r="N1624" s="13" t="s">
        <v>2225</v>
      </c>
      <c r="O1624" s="25">
        <f t="shared" si="100"/>
        <v>105</v>
      </c>
      <c r="P1624" s="13">
        <f t="shared" si="101"/>
        <v>214.4</v>
      </c>
      <c r="Q1624" s="13">
        <f t="shared" si="102"/>
        <v>1</v>
      </c>
      <c r="R1624" s="13" t="str">
        <f t="shared" si="103"/>
        <v>Diskon</v>
      </c>
    </row>
    <row r="1625" spans="1:18" x14ac:dyDescent="0.25">
      <c r="A1625" s="13" t="s">
        <v>1637</v>
      </c>
      <c r="B1625" s="13" t="s">
        <v>2192</v>
      </c>
      <c r="C1625" s="13" t="s">
        <v>2198</v>
      </c>
      <c r="D1625" s="13" t="s">
        <v>2204</v>
      </c>
      <c r="F1625" s="13" t="s">
        <v>2220</v>
      </c>
      <c r="G1625" s="13">
        <v>44.7</v>
      </c>
      <c r="H1625" s="13">
        <v>0</v>
      </c>
      <c r="I1625" s="13">
        <v>44.7</v>
      </c>
      <c r="J1625" s="24">
        <v>45733</v>
      </c>
      <c r="K1625" s="13">
        <v>29</v>
      </c>
      <c r="L1625" s="44">
        <v>3.2</v>
      </c>
      <c r="M1625" s="13" t="b">
        <v>0</v>
      </c>
      <c r="O1625" s="25">
        <f t="shared" si="100"/>
        <v>169</v>
      </c>
      <c r="P1625" s="13">
        <f t="shared" si="101"/>
        <v>0</v>
      </c>
      <c r="Q1625" s="13" t="str">
        <f t="shared" si="102"/>
        <v/>
      </c>
      <c r="R1625" s="13" t="str">
        <f t="shared" si="103"/>
        <v>Non diskon</v>
      </c>
    </row>
    <row r="1626" spans="1:18" x14ac:dyDescent="0.25">
      <c r="A1626" s="13" t="s">
        <v>1638</v>
      </c>
      <c r="B1626" s="13" t="s">
        <v>2191</v>
      </c>
      <c r="C1626" s="13" t="s">
        <v>2196</v>
      </c>
      <c r="D1626" s="13" t="s">
        <v>2206</v>
      </c>
      <c r="E1626" s="13" t="s">
        <v>2211</v>
      </c>
      <c r="F1626" s="13" t="s">
        <v>2217</v>
      </c>
      <c r="G1626" s="13">
        <v>28.23</v>
      </c>
      <c r="H1626" s="13">
        <v>40.299999999999997</v>
      </c>
      <c r="I1626" s="13">
        <v>16.850000000000001</v>
      </c>
      <c r="J1626" s="24">
        <v>45875</v>
      </c>
      <c r="K1626" s="13">
        <v>21</v>
      </c>
      <c r="L1626" s="44">
        <v>2.7</v>
      </c>
      <c r="M1626" s="13" t="b">
        <v>0</v>
      </c>
      <c r="O1626" s="25">
        <f t="shared" si="100"/>
        <v>27</v>
      </c>
      <c r="P1626" s="13">
        <f t="shared" si="101"/>
        <v>846.3</v>
      </c>
      <c r="Q1626" s="13" t="str">
        <f t="shared" si="102"/>
        <v/>
      </c>
      <c r="R1626" s="13" t="str">
        <f t="shared" si="103"/>
        <v>Diskon</v>
      </c>
    </row>
    <row r="1627" spans="1:18" x14ac:dyDescent="0.25">
      <c r="A1627" s="13" t="s">
        <v>1639</v>
      </c>
      <c r="B1627" s="13" t="s">
        <v>2193</v>
      </c>
      <c r="C1627" s="13" t="s">
        <v>2201</v>
      </c>
      <c r="D1627" s="13" t="s">
        <v>2206</v>
      </c>
      <c r="E1627" s="13" t="s">
        <v>2211</v>
      </c>
      <c r="F1627" s="13" t="s">
        <v>2220</v>
      </c>
      <c r="G1627" s="13">
        <v>131.94</v>
      </c>
      <c r="H1627" s="13">
        <v>27.3</v>
      </c>
      <c r="I1627" s="13">
        <v>95.92</v>
      </c>
      <c r="J1627" s="24">
        <v>45875</v>
      </c>
      <c r="K1627" s="13">
        <v>6</v>
      </c>
      <c r="L1627" s="44">
        <v>2.8</v>
      </c>
      <c r="M1627" s="13" t="b">
        <v>1</v>
      </c>
      <c r="N1627" s="13" t="s">
        <v>2227</v>
      </c>
      <c r="O1627" s="25">
        <f t="shared" si="100"/>
        <v>27</v>
      </c>
      <c r="P1627" s="13">
        <f t="shared" si="101"/>
        <v>163.80000000000001</v>
      </c>
      <c r="Q1627" s="13">
        <f t="shared" si="102"/>
        <v>1</v>
      </c>
      <c r="R1627" s="13" t="str">
        <f t="shared" si="103"/>
        <v>Diskon</v>
      </c>
    </row>
    <row r="1628" spans="1:18" x14ac:dyDescent="0.25">
      <c r="A1628" s="13" t="s">
        <v>1640</v>
      </c>
      <c r="B1628" s="13" t="s">
        <v>2190</v>
      </c>
      <c r="C1628" s="13" t="s">
        <v>2203</v>
      </c>
      <c r="D1628" s="13" t="s">
        <v>2206</v>
      </c>
      <c r="E1628" s="13" t="s">
        <v>2213</v>
      </c>
      <c r="F1628" s="13" t="s">
        <v>2219</v>
      </c>
      <c r="G1628" s="13">
        <v>166.85</v>
      </c>
      <c r="H1628" s="13">
        <v>30.9</v>
      </c>
      <c r="I1628" s="13">
        <v>115.29</v>
      </c>
      <c r="J1628" s="24">
        <v>45875</v>
      </c>
      <c r="K1628" s="13">
        <v>14</v>
      </c>
      <c r="L1628" s="44">
        <v>4.2</v>
      </c>
      <c r="M1628" s="13" t="b">
        <v>1</v>
      </c>
      <c r="N1628" s="13" t="s">
        <v>2229</v>
      </c>
      <c r="O1628" s="25">
        <f t="shared" si="100"/>
        <v>27</v>
      </c>
      <c r="P1628" s="13">
        <f t="shared" si="101"/>
        <v>432.59999999999997</v>
      </c>
      <c r="Q1628" s="13">
        <f t="shared" si="102"/>
        <v>1</v>
      </c>
      <c r="R1628" s="13" t="str">
        <f t="shared" si="103"/>
        <v>Diskon</v>
      </c>
    </row>
    <row r="1629" spans="1:18" x14ac:dyDescent="0.25">
      <c r="A1629" s="13" t="s">
        <v>1641</v>
      </c>
      <c r="B1629" s="13" t="s">
        <v>2191</v>
      </c>
      <c r="C1629" s="13" t="s">
        <v>2198</v>
      </c>
      <c r="D1629" s="13" t="s">
        <v>2205</v>
      </c>
      <c r="E1629" s="13" t="s">
        <v>2210</v>
      </c>
      <c r="F1629" s="13" t="s">
        <v>2222</v>
      </c>
      <c r="G1629" s="13">
        <v>39.58</v>
      </c>
      <c r="H1629" s="13">
        <v>30.9</v>
      </c>
      <c r="I1629" s="13">
        <v>27.35</v>
      </c>
      <c r="J1629" s="24">
        <v>45875</v>
      </c>
      <c r="K1629" s="13">
        <v>17</v>
      </c>
      <c r="L1629" s="44">
        <v>2.5</v>
      </c>
      <c r="M1629" s="13" t="b">
        <v>0</v>
      </c>
      <c r="O1629" s="25">
        <f t="shared" si="100"/>
        <v>27</v>
      </c>
      <c r="P1629" s="13">
        <f t="shared" si="101"/>
        <v>525.29999999999995</v>
      </c>
      <c r="Q1629" s="13" t="str">
        <f t="shared" si="102"/>
        <v/>
      </c>
      <c r="R1629" s="13" t="str">
        <f t="shared" si="103"/>
        <v>Diskon</v>
      </c>
    </row>
    <row r="1630" spans="1:18" x14ac:dyDescent="0.25">
      <c r="A1630" s="13" t="s">
        <v>1642</v>
      </c>
      <c r="B1630" s="13" t="s">
        <v>2190</v>
      </c>
      <c r="C1630" s="13" t="s">
        <v>2197</v>
      </c>
      <c r="D1630" s="13" t="s">
        <v>2207</v>
      </c>
      <c r="E1630" s="13" t="s">
        <v>2213</v>
      </c>
      <c r="F1630" s="13" t="s">
        <v>2219</v>
      </c>
      <c r="G1630" s="13">
        <v>89.55</v>
      </c>
      <c r="H1630" s="13">
        <v>58</v>
      </c>
      <c r="I1630" s="13">
        <v>37.61</v>
      </c>
      <c r="J1630" s="24">
        <v>45875</v>
      </c>
      <c r="K1630" s="13">
        <v>21</v>
      </c>
      <c r="L1630" s="44">
        <v>2.6</v>
      </c>
      <c r="M1630" s="13" t="b">
        <v>0</v>
      </c>
      <c r="O1630" s="25">
        <f t="shared" si="100"/>
        <v>27</v>
      </c>
      <c r="P1630" s="13">
        <f t="shared" si="101"/>
        <v>1218</v>
      </c>
      <c r="Q1630" s="13" t="str">
        <f t="shared" si="102"/>
        <v/>
      </c>
      <c r="R1630" s="13" t="str">
        <f t="shared" si="103"/>
        <v>Diskon</v>
      </c>
    </row>
    <row r="1631" spans="1:18" x14ac:dyDescent="0.25">
      <c r="A1631" s="13" t="s">
        <v>1643</v>
      </c>
      <c r="B1631" s="13" t="s">
        <v>2190</v>
      </c>
      <c r="C1631" s="13" t="s">
        <v>2199</v>
      </c>
      <c r="D1631" s="13" t="s">
        <v>2206</v>
      </c>
      <c r="E1631" s="13" t="s">
        <v>2213</v>
      </c>
      <c r="F1631" s="13" t="s">
        <v>2223</v>
      </c>
      <c r="G1631" s="13">
        <v>138.55000000000001</v>
      </c>
      <c r="H1631" s="13">
        <v>0</v>
      </c>
      <c r="I1631" s="13">
        <v>138.55000000000001</v>
      </c>
      <c r="J1631" s="24">
        <v>45875</v>
      </c>
      <c r="K1631" s="13">
        <v>25</v>
      </c>
      <c r="L1631" s="44">
        <v>2</v>
      </c>
      <c r="M1631" s="13" t="b">
        <v>0</v>
      </c>
      <c r="O1631" s="25">
        <f t="shared" si="100"/>
        <v>27</v>
      </c>
      <c r="P1631" s="13">
        <f t="shared" si="101"/>
        <v>0</v>
      </c>
      <c r="Q1631" s="13" t="str">
        <f t="shared" si="102"/>
        <v/>
      </c>
      <c r="R1631" s="13" t="str">
        <f t="shared" si="103"/>
        <v>Non diskon</v>
      </c>
    </row>
    <row r="1632" spans="1:18" x14ac:dyDescent="0.25">
      <c r="A1632" s="13" t="s">
        <v>1644</v>
      </c>
      <c r="B1632" s="13" t="s">
        <v>2192</v>
      </c>
      <c r="C1632" s="13" t="s">
        <v>2197</v>
      </c>
      <c r="D1632" s="13" t="s">
        <v>2206</v>
      </c>
      <c r="F1632" s="13" t="s">
        <v>2221</v>
      </c>
      <c r="G1632" s="13">
        <v>43.84</v>
      </c>
      <c r="H1632" s="13">
        <v>0</v>
      </c>
      <c r="I1632" s="13">
        <v>43.84</v>
      </c>
      <c r="J1632" s="24">
        <v>45875</v>
      </c>
      <c r="K1632" s="13">
        <v>28</v>
      </c>
      <c r="L1632" s="44">
        <v>2.8</v>
      </c>
      <c r="M1632" s="13" t="b">
        <v>0</v>
      </c>
      <c r="O1632" s="25">
        <f t="shared" si="100"/>
        <v>27</v>
      </c>
      <c r="P1632" s="13">
        <f t="shared" si="101"/>
        <v>0</v>
      </c>
      <c r="Q1632" s="13" t="str">
        <f t="shared" si="102"/>
        <v/>
      </c>
      <c r="R1632" s="13" t="str">
        <f t="shared" si="103"/>
        <v>Non diskon</v>
      </c>
    </row>
    <row r="1633" spans="1:18" x14ac:dyDescent="0.25">
      <c r="A1633" s="13" t="s">
        <v>1645</v>
      </c>
      <c r="B1633" s="13" t="s">
        <v>2191</v>
      </c>
      <c r="C1633" s="13" t="s">
        <v>2203</v>
      </c>
      <c r="D1633" s="13" t="s">
        <v>2206</v>
      </c>
      <c r="E1633" s="13" t="s">
        <v>2208</v>
      </c>
      <c r="F1633" s="13" t="s">
        <v>2224</v>
      </c>
      <c r="G1633" s="13">
        <v>63.72</v>
      </c>
      <c r="H1633" s="13">
        <v>17.8</v>
      </c>
      <c r="I1633" s="13">
        <v>52.38</v>
      </c>
      <c r="J1633" s="24">
        <v>45875</v>
      </c>
      <c r="K1633" s="13">
        <v>45</v>
      </c>
      <c r="L1633" s="44">
        <v>2.4</v>
      </c>
      <c r="M1633" s="13" t="b">
        <v>0</v>
      </c>
      <c r="O1633" s="25">
        <f t="shared" si="100"/>
        <v>27</v>
      </c>
      <c r="P1633" s="13">
        <f t="shared" si="101"/>
        <v>801</v>
      </c>
      <c r="Q1633" s="13" t="str">
        <f t="shared" si="102"/>
        <v/>
      </c>
      <c r="R1633" s="13" t="str">
        <f t="shared" si="103"/>
        <v>Diskon</v>
      </c>
    </row>
    <row r="1634" spans="1:18" x14ac:dyDescent="0.25">
      <c r="A1634" s="13" t="s">
        <v>1646</v>
      </c>
      <c r="B1634" s="13" t="s">
        <v>2192</v>
      </c>
      <c r="C1634" s="13" t="s">
        <v>2196</v>
      </c>
      <c r="D1634" s="13" t="s">
        <v>2204</v>
      </c>
      <c r="F1634" s="13" t="s">
        <v>2214</v>
      </c>
      <c r="G1634" s="13">
        <v>74.61</v>
      </c>
      <c r="H1634" s="13">
        <v>0</v>
      </c>
      <c r="I1634" s="13">
        <v>74.61</v>
      </c>
      <c r="J1634" s="24">
        <v>45775</v>
      </c>
      <c r="K1634" s="13">
        <v>38</v>
      </c>
      <c r="L1634" s="44">
        <v>2.8</v>
      </c>
      <c r="M1634" s="13" t="b">
        <v>0</v>
      </c>
      <c r="O1634" s="25">
        <f t="shared" si="100"/>
        <v>127</v>
      </c>
      <c r="P1634" s="13">
        <f t="shared" si="101"/>
        <v>0</v>
      </c>
      <c r="Q1634" s="13" t="str">
        <f t="shared" si="102"/>
        <v/>
      </c>
      <c r="R1634" s="13" t="str">
        <f t="shared" si="103"/>
        <v>Non diskon</v>
      </c>
    </row>
    <row r="1635" spans="1:18" x14ac:dyDescent="0.25">
      <c r="A1635" s="13" t="s">
        <v>1647</v>
      </c>
      <c r="B1635" s="13" t="s">
        <v>2193</v>
      </c>
      <c r="C1635" s="13" t="s">
        <v>2197</v>
      </c>
      <c r="D1635" s="13" t="s">
        <v>2204</v>
      </c>
      <c r="E1635" s="13" t="s">
        <v>2210</v>
      </c>
      <c r="F1635" s="13" t="s">
        <v>2218</v>
      </c>
      <c r="G1635" s="13">
        <v>148.24</v>
      </c>
      <c r="H1635" s="13">
        <v>10.9</v>
      </c>
      <c r="I1635" s="13">
        <v>132.08000000000001</v>
      </c>
      <c r="J1635" s="24">
        <v>45531</v>
      </c>
      <c r="K1635" s="13">
        <v>44</v>
      </c>
      <c r="L1635" s="44">
        <v>1.3</v>
      </c>
      <c r="M1635" s="13" t="b">
        <v>0</v>
      </c>
      <c r="O1635" s="25">
        <f t="shared" si="100"/>
        <v>371</v>
      </c>
      <c r="P1635" s="13">
        <f t="shared" si="101"/>
        <v>479.6</v>
      </c>
      <c r="Q1635" s="13" t="str">
        <f t="shared" si="102"/>
        <v/>
      </c>
      <c r="R1635" s="13" t="str">
        <f t="shared" si="103"/>
        <v>Diskon</v>
      </c>
    </row>
    <row r="1636" spans="1:18" x14ac:dyDescent="0.25">
      <c r="A1636" s="13" t="s">
        <v>1648</v>
      </c>
      <c r="B1636" s="13" t="s">
        <v>2191</v>
      </c>
      <c r="C1636" s="13" t="s">
        <v>2202</v>
      </c>
      <c r="D1636" s="13" t="s">
        <v>2204</v>
      </c>
      <c r="E1636" s="13" t="s">
        <v>2208</v>
      </c>
      <c r="F1636" s="13" t="s">
        <v>2218</v>
      </c>
      <c r="G1636" s="13">
        <v>93.46</v>
      </c>
      <c r="H1636" s="13">
        <v>0</v>
      </c>
      <c r="I1636" s="13">
        <v>93.46</v>
      </c>
      <c r="J1636" s="24">
        <v>45700</v>
      </c>
      <c r="K1636" s="13">
        <v>20</v>
      </c>
      <c r="L1636" s="44">
        <v>2.2000000000000002</v>
      </c>
      <c r="M1636" s="13" t="b">
        <v>0</v>
      </c>
      <c r="O1636" s="25">
        <f t="shared" si="100"/>
        <v>202</v>
      </c>
      <c r="P1636" s="13">
        <f t="shared" si="101"/>
        <v>0</v>
      </c>
      <c r="Q1636" s="13" t="str">
        <f t="shared" si="102"/>
        <v/>
      </c>
      <c r="R1636" s="13" t="str">
        <f t="shared" si="103"/>
        <v>Non diskon</v>
      </c>
    </row>
    <row r="1637" spans="1:18" x14ac:dyDescent="0.25">
      <c r="A1637" s="13" t="s">
        <v>1649</v>
      </c>
      <c r="B1637" s="13" t="s">
        <v>2190</v>
      </c>
      <c r="C1637" s="13" t="s">
        <v>2197</v>
      </c>
      <c r="D1637" s="13" t="s">
        <v>2207</v>
      </c>
      <c r="E1637" s="13" t="s">
        <v>2211</v>
      </c>
      <c r="F1637" s="13" t="s">
        <v>2214</v>
      </c>
      <c r="G1637" s="13">
        <v>245.31</v>
      </c>
      <c r="H1637" s="13">
        <v>44.1</v>
      </c>
      <c r="I1637" s="13">
        <v>137.13</v>
      </c>
      <c r="J1637" s="24">
        <v>45875</v>
      </c>
      <c r="K1637" s="13">
        <v>44</v>
      </c>
      <c r="L1637" s="44">
        <v>3.15</v>
      </c>
      <c r="M1637" s="13" t="b">
        <v>0</v>
      </c>
      <c r="O1637" s="25">
        <f t="shared" si="100"/>
        <v>27</v>
      </c>
      <c r="P1637" s="13">
        <f t="shared" si="101"/>
        <v>1940.4</v>
      </c>
      <c r="Q1637" s="13" t="str">
        <f t="shared" si="102"/>
        <v/>
      </c>
      <c r="R1637" s="13" t="str">
        <f t="shared" si="103"/>
        <v>Diskon</v>
      </c>
    </row>
    <row r="1638" spans="1:18" x14ac:dyDescent="0.25">
      <c r="A1638" s="13" t="s">
        <v>1650</v>
      </c>
      <c r="B1638" s="13" t="s">
        <v>2191</v>
      </c>
      <c r="C1638" s="13" t="s">
        <v>2198</v>
      </c>
      <c r="D1638" s="13" t="s">
        <v>2204</v>
      </c>
      <c r="E1638" s="13" t="s">
        <v>2211</v>
      </c>
      <c r="F1638" s="13" t="s">
        <v>2214</v>
      </c>
      <c r="G1638" s="13">
        <v>43.38</v>
      </c>
      <c r="H1638" s="13">
        <v>45.9</v>
      </c>
      <c r="I1638" s="13">
        <v>23.47</v>
      </c>
      <c r="J1638" s="24">
        <v>45629</v>
      </c>
      <c r="K1638" s="13">
        <v>47</v>
      </c>
      <c r="L1638" s="44">
        <v>3.7</v>
      </c>
      <c r="M1638" s="13" t="b">
        <v>1</v>
      </c>
      <c r="N1638" s="13" t="s">
        <v>2229</v>
      </c>
      <c r="O1638" s="25">
        <f t="shared" si="100"/>
        <v>273</v>
      </c>
      <c r="P1638" s="13">
        <f t="shared" si="101"/>
        <v>2157.2999999999997</v>
      </c>
      <c r="Q1638" s="13">
        <f t="shared" si="102"/>
        <v>1</v>
      </c>
      <c r="R1638" s="13" t="str">
        <f t="shared" si="103"/>
        <v>Diskon</v>
      </c>
    </row>
    <row r="1639" spans="1:18" x14ac:dyDescent="0.25">
      <c r="A1639" s="13" t="s">
        <v>1651</v>
      </c>
      <c r="B1639" s="13" t="s">
        <v>2192</v>
      </c>
      <c r="C1639" s="13" t="s">
        <v>2201</v>
      </c>
      <c r="D1639" s="13" t="s">
        <v>2206</v>
      </c>
      <c r="F1639" s="13" t="s">
        <v>2216</v>
      </c>
      <c r="G1639" s="13">
        <v>40.04</v>
      </c>
      <c r="H1639" s="13">
        <v>45.5</v>
      </c>
      <c r="I1639" s="13">
        <v>21.82</v>
      </c>
      <c r="J1639" s="24">
        <v>45875</v>
      </c>
      <c r="K1639" s="13">
        <v>50</v>
      </c>
      <c r="L1639" s="44">
        <v>2.2000000000000002</v>
      </c>
      <c r="M1639" s="13" t="b">
        <v>0</v>
      </c>
      <c r="O1639" s="25">
        <f t="shared" si="100"/>
        <v>27</v>
      </c>
      <c r="P1639" s="13">
        <f t="shared" si="101"/>
        <v>2275</v>
      </c>
      <c r="Q1639" s="13" t="str">
        <f t="shared" si="102"/>
        <v/>
      </c>
      <c r="R1639" s="13" t="str">
        <f t="shared" si="103"/>
        <v>Diskon</v>
      </c>
    </row>
    <row r="1640" spans="1:18" x14ac:dyDescent="0.25">
      <c r="A1640" s="13" t="s">
        <v>1652</v>
      </c>
      <c r="B1640" s="13" t="s">
        <v>2190</v>
      </c>
      <c r="C1640" s="13" t="s">
        <v>2200</v>
      </c>
      <c r="D1640" s="13" t="s">
        <v>2206</v>
      </c>
      <c r="E1640" s="13" t="s">
        <v>2213</v>
      </c>
      <c r="F1640" s="13" t="s">
        <v>2221</v>
      </c>
      <c r="G1640" s="13">
        <v>209.68</v>
      </c>
      <c r="H1640" s="13">
        <v>3.6</v>
      </c>
      <c r="I1640" s="13">
        <v>202.13</v>
      </c>
      <c r="J1640" s="24">
        <v>45875</v>
      </c>
      <c r="K1640" s="13">
        <v>18</v>
      </c>
      <c r="L1640" s="44">
        <v>4.0999999999999996</v>
      </c>
      <c r="M1640" s="13" t="b">
        <v>0</v>
      </c>
      <c r="O1640" s="25">
        <f t="shared" si="100"/>
        <v>27</v>
      </c>
      <c r="P1640" s="13">
        <f t="shared" si="101"/>
        <v>64.8</v>
      </c>
      <c r="Q1640" s="13" t="str">
        <f t="shared" si="102"/>
        <v/>
      </c>
      <c r="R1640" s="13" t="str">
        <f t="shared" si="103"/>
        <v>Diskon</v>
      </c>
    </row>
    <row r="1641" spans="1:18" x14ac:dyDescent="0.25">
      <c r="A1641" s="13" t="s">
        <v>1653</v>
      </c>
      <c r="B1641" s="13" t="s">
        <v>2192</v>
      </c>
      <c r="C1641" s="13" t="s">
        <v>2199</v>
      </c>
      <c r="D1641" s="13" t="s">
        <v>2205</v>
      </c>
      <c r="F1641" s="13" t="s">
        <v>2224</v>
      </c>
      <c r="G1641" s="13">
        <v>38.08</v>
      </c>
      <c r="H1641" s="13">
        <v>0</v>
      </c>
      <c r="I1641" s="13">
        <v>38.08</v>
      </c>
      <c r="J1641" s="24">
        <v>45875</v>
      </c>
      <c r="K1641" s="13">
        <v>0</v>
      </c>
      <c r="L1641" s="44">
        <v>1.6</v>
      </c>
      <c r="M1641" s="13" t="b">
        <v>0</v>
      </c>
      <c r="O1641" s="25">
        <f t="shared" si="100"/>
        <v>27</v>
      </c>
      <c r="P1641" s="13">
        <f t="shared" si="101"/>
        <v>0</v>
      </c>
      <c r="Q1641" s="13" t="str">
        <f t="shared" si="102"/>
        <v/>
      </c>
      <c r="R1641" s="13" t="str">
        <f t="shared" si="103"/>
        <v>Non diskon</v>
      </c>
    </row>
    <row r="1642" spans="1:18" x14ac:dyDescent="0.25">
      <c r="A1642" s="13" t="s">
        <v>1654</v>
      </c>
      <c r="B1642" s="13" t="s">
        <v>2190</v>
      </c>
      <c r="C1642" s="13" t="s">
        <v>2201</v>
      </c>
      <c r="D1642" s="13" t="s">
        <v>2204</v>
      </c>
      <c r="E1642" s="13" t="s">
        <v>2211</v>
      </c>
      <c r="F1642" s="13" t="s">
        <v>2221</v>
      </c>
      <c r="G1642" s="13">
        <v>123.04</v>
      </c>
      <c r="H1642" s="13">
        <v>0</v>
      </c>
      <c r="I1642" s="13">
        <v>123.04</v>
      </c>
      <c r="J1642" s="24">
        <v>45752</v>
      </c>
      <c r="K1642" s="13">
        <v>13</v>
      </c>
      <c r="L1642" s="44">
        <v>1.2</v>
      </c>
      <c r="M1642" s="13" t="b">
        <v>0</v>
      </c>
      <c r="O1642" s="25">
        <f t="shared" si="100"/>
        <v>150</v>
      </c>
      <c r="P1642" s="13">
        <f t="shared" si="101"/>
        <v>0</v>
      </c>
      <c r="Q1642" s="13" t="str">
        <f t="shared" si="102"/>
        <v/>
      </c>
      <c r="R1642" s="13" t="str">
        <f t="shared" si="103"/>
        <v>Non diskon</v>
      </c>
    </row>
    <row r="1643" spans="1:18" x14ac:dyDescent="0.25">
      <c r="A1643" s="13" t="s">
        <v>1655</v>
      </c>
      <c r="B1643" s="13" t="s">
        <v>2192</v>
      </c>
      <c r="C1643" s="13" t="s">
        <v>2197</v>
      </c>
      <c r="D1643" s="13" t="s">
        <v>2207</v>
      </c>
      <c r="F1643" s="13" t="s">
        <v>2215</v>
      </c>
      <c r="G1643" s="13">
        <v>39.94</v>
      </c>
      <c r="H1643" s="13">
        <v>0</v>
      </c>
      <c r="I1643" s="13">
        <v>39.94</v>
      </c>
      <c r="J1643" s="24">
        <v>45875</v>
      </c>
      <c r="K1643" s="13">
        <v>32</v>
      </c>
      <c r="L1643" s="44">
        <v>3.1</v>
      </c>
      <c r="M1643" s="13" t="b">
        <v>0</v>
      </c>
      <c r="O1643" s="25">
        <f t="shared" si="100"/>
        <v>27</v>
      </c>
      <c r="P1643" s="13">
        <f t="shared" si="101"/>
        <v>0</v>
      </c>
      <c r="Q1643" s="13" t="str">
        <f t="shared" si="102"/>
        <v/>
      </c>
      <c r="R1643" s="13" t="str">
        <f t="shared" si="103"/>
        <v>Non diskon</v>
      </c>
    </row>
    <row r="1644" spans="1:18" x14ac:dyDescent="0.25">
      <c r="A1644" s="13" t="s">
        <v>1656</v>
      </c>
      <c r="B1644" s="13" t="s">
        <v>2195</v>
      </c>
      <c r="C1644" s="13" t="s">
        <v>2200</v>
      </c>
      <c r="D1644" s="13" t="s">
        <v>2207</v>
      </c>
      <c r="E1644" s="13" t="s">
        <v>2213</v>
      </c>
      <c r="F1644" s="13" t="s">
        <v>2218</v>
      </c>
      <c r="G1644" s="13">
        <v>80.19</v>
      </c>
      <c r="H1644" s="13">
        <v>0</v>
      </c>
      <c r="I1644" s="13">
        <v>80.19</v>
      </c>
      <c r="J1644" s="24">
        <v>45875</v>
      </c>
      <c r="K1644" s="13">
        <v>43</v>
      </c>
      <c r="L1644" s="44">
        <v>3.8</v>
      </c>
      <c r="M1644" s="13" t="b">
        <v>0</v>
      </c>
      <c r="O1644" s="25">
        <f t="shared" si="100"/>
        <v>27</v>
      </c>
      <c r="P1644" s="13">
        <f t="shared" si="101"/>
        <v>0</v>
      </c>
      <c r="Q1644" s="13" t="str">
        <f t="shared" si="102"/>
        <v/>
      </c>
      <c r="R1644" s="13" t="str">
        <f t="shared" si="103"/>
        <v>Non diskon</v>
      </c>
    </row>
    <row r="1645" spans="1:18" x14ac:dyDescent="0.25">
      <c r="A1645" s="13" t="s">
        <v>1657</v>
      </c>
      <c r="B1645" s="13" t="s">
        <v>2191</v>
      </c>
      <c r="C1645" s="13" t="s">
        <v>2197</v>
      </c>
      <c r="D1645" s="13" t="s">
        <v>2204</v>
      </c>
      <c r="E1645" s="13" t="s">
        <v>2211</v>
      </c>
      <c r="F1645" s="13" t="s">
        <v>2223</v>
      </c>
      <c r="G1645" s="13">
        <v>35.03</v>
      </c>
      <c r="H1645" s="13">
        <v>10.1</v>
      </c>
      <c r="I1645" s="13">
        <v>31.49</v>
      </c>
      <c r="J1645" s="24">
        <v>45807</v>
      </c>
      <c r="K1645" s="13">
        <v>5</v>
      </c>
      <c r="L1645" s="44">
        <v>3.8</v>
      </c>
      <c r="M1645" s="13" t="b">
        <v>0</v>
      </c>
      <c r="O1645" s="25">
        <f t="shared" si="100"/>
        <v>95</v>
      </c>
      <c r="P1645" s="13">
        <f t="shared" si="101"/>
        <v>50.5</v>
      </c>
      <c r="Q1645" s="13" t="str">
        <f t="shared" si="102"/>
        <v/>
      </c>
      <c r="R1645" s="13" t="str">
        <f t="shared" si="103"/>
        <v>Diskon</v>
      </c>
    </row>
    <row r="1646" spans="1:18" x14ac:dyDescent="0.25">
      <c r="A1646" s="13" t="s">
        <v>1658</v>
      </c>
      <c r="B1646" s="13" t="s">
        <v>2191</v>
      </c>
      <c r="C1646" s="13" t="s">
        <v>2200</v>
      </c>
      <c r="D1646" s="13" t="s">
        <v>2207</v>
      </c>
      <c r="E1646" s="13" t="s">
        <v>2213</v>
      </c>
      <c r="F1646" s="13" t="s">
        <v>2216</v>
      </c>
      <c r="G1646" s="13">
        <v>27.64</v>
      </c>
      <c r="H1646" s="13">
        <v>29</v>
      </c>
      <c r="I1646" s="13">
        <v>19.62</v>
      </c>
      <c r="J1646" s="24">
        <v>45875</v>
      </c>
      <c r="K1646" s="13">
        <v>19</v>
      </c>
      <c r="L1646" s="44">
        <v>1</v>
      </c>
      <c r="M1646" s="13" t="b">
        <v>0</v>
      </c>
      <c r="O1646" s="25">
        <f t="shared" si="100"/>
        <v>27</v>
      </c>
      <c r="P1646" s="13">
        <f t="shared" si="101"/>
        <v>551</v>
      </c>
      <c r="Q1646" s="13" t="str">
        <f t="shared" si="102"/>
        <v/>
      </c>
      <c r="R1646" s="13" t="str">
        <f t="shared" si="103"/>
        <v>Diskon</v>
      </c>
    </row>
    <row r="1647" spans="1:18" x14ac:dyDescent="0.25">
      <c r="A1647" s="13" t="s">
        <v>1659</v>
      </c>
      <c r="B1647" s="13" t="s">
        <v>2190</v>
      </c>
      <c r="C1647" s="13" t="s">
        <v>2199</v>
      </c>
      <c r="D1647" s="13" t="s">
        <v>2204</v>
      </c>
      <c r="E1647" s="13" t="s">
        <v>2213</v>
      </c>
      <c r="F1647" s="13" t="s">
        <v>2222</v>
      </c>
      <c r="G1647" s="13">
        <v>187.63</v>
      </c>
      <c r="H1647" s="13">
        <v>0</v>
      </c>
      <c r="I1647" s="13">
        <v>187.63</v>
      </c>
      <c r="J1647" s="24">
        <v>45772</v>
      </c>
      <c r="K1647" s="13">
        <v>25</v>
      </c>
      <c r="L1647" s="44">
        <v>1.8</v>
      </c>
      <c r="M1647" s="13" t="b">
        <v>0</v>
      </c>
      <c r="O1647" s="25">
        <f t="shared" si="100"/>
        <v>130</v>
      </c>
      <c r="P1647" s="13">
        <f t="shared" si="101"/>
        <v>0</v>
      </c>
      <c r="Q1647" s="13" t="str">
        <f t="shared" si="102"/>
        <v/>
      </c>
      <c r="R1647" s="13" t="str">
        <f t="shared" si="103"/>
        <v>Non diskon</v>
      </c>
    </row>
    <row r="1648" spans="1:18" x14ac:dyDescent="0.25">
      <c r="A1648" s="13" t="s">
        <v>1660</v>
      </c>
      <c r="B1648" s="13" t="s">
        <v>2190</v>
      </c>
      <c r="C1648" s="13" t="s">
        <v>2200</v>
      </c>
      <c r="D1648" s="13" t="s">
        <v>2205</v>
      </c>
      <c r="E1648" s="13" t="s">
        <v>2211</v>
      </c>
      <c r="F1648" s="13" t="s">
        <v>2216</v>
      </c>
      <c r="G1648" s="13">
        <v>193.17</v>
      </c>
      <c r="H1648" s="13">
        <v>34.6</v>
      </c>
      <c r="I1648" s="13">
        <v>126.33</v>
      </c>
      <c r="J1648" s="24">
        <v>45875</v>
      </c>
      <c r="K1648" s="13">
        <v>26</v>
      </c>
      <c r="L1648" s="44">
        <v>2.9228571428571426</v>
      </c>
      <c r="M1648" s="13" t="b">
        <v>0</v>
      </c>
      <c r="O1648" s="25">
        <f t="shared" si="100"/>
        <v>27</v>
      </c>
      <c r="P1648" s="13">
        <f t="shared" si="101"/>
        <v>899.6</v>
      </c>
      <c r="Q1648" s="13" t="str">
        <f t="shared" si="102"/>
        <v/>
      </c>
      <c r="R1648" s="13" t="str">
        <f t="shared" si="103"/>
        <v>Diskon</v>
      </c>
    </row>
    <row r="1649" spans="1:18" x14ac:dyDescent="0.25">
      <c r="A1649" s="13" t="s">
        <v>1661</v>
      </c>
      <c r="B1649" s="13" t="s">
        <v>2193</v>
      </c>
      <c r="C1649" s="13" t="s">
        <v>2198</v>
      </c>
      <c r="D1649" s="13" t="s">
        <v>2204</v>
      </c>
      <c r="E1649" s="13" t="s">
        <v>2213</v>
      </c>
      <c r="F1649" s="13" t="s">
        <v>2216</v>
      </c>
      <c r="G1649" s="13">
        <v>157.78</v>
      </c>
      <c r="H1649" s="13">
        <v>40.200000000000003</v>
      </c>
      <c r="I1649" s="13">
        <v>94.35</v>
      </c>
      <c r="J1649" s="24">
        <v>45871</v>
      </c>
      <c r="K1649" s="13">
        <v>23</v>
      </c>
      <c r="L1649" s="44">
        <v>3.1</v>
      </c>
      <c r="M1649" s="13" t="b">
        <v>0</v>
      </c>
      <c r="O1649" s="25">
        <f t="shared" si="100"/>
        <v>31</v>
      </c>
      <c r="P1649" s="13">
        <f t="shared" si="101"/>
        <v>924.6</v>
      </c>
      <c r="Q1649" s="13" t="str">
        <f t="shared" si="102"/>
        <v/>
      </c>
      <c r="R1649" s="13" t="str">
        <f t="shared" si="103"/>
        <v>Diskon</v>
      </c>
    </row>
    <row r="1650" spans="1:18" x14ac:dyDescent="0.25">
      <c r="A1650" s="13" t="s">
        <v>1662</v>
      </c>
      <c r="B1650" s="13" t="s">
        <v>2193</v>
      </c>
      <c r="C1650" s="13" t="s">
        <v>2196</v>
      </c>
      <c r="D1650" s="13" t="s">
        <v>2205</v>
      </c>
      <c r="E1650" s="13" t="s">
        <v>2209</v>
      </c>
      <c r="F1650" s="13" t="s">
        <v>2216</v>
      </c>
      <c r="G1650" s="13">
        <v>119.14</v>
      </c>
      <c r="H1650" s="13">
        <v>7.8</v>
      </c>
      <c r="I1650" s="13">
        <v>109.85</v>
      </c>
      <c r="J1650" s="24">
        <v>45875</v>
      </c>
      <c r="K1650" s="13">
        <v>20</v>
      </c>
      <c r="L1650" s="44">
        <v>3.1</v>
      </c>
      <c r="M1650" s="13" t="b">
        <v>0</v>
      </c>
      <c r="O1650" s="25">
        <f t="shared" si="100"/>
        <v>27</v>
      </c>
      <c r="P1650" s="13">
        <f t="shared" si="101"/>
        <v>156</v>
      </c>
      <c r="Q1650" s="13" t="str">
        <f t="shared" si="102"/>
        <v/>
      </c>
      <c r="R1650" s="13" t="str">
        <f t="shared" si="103"/>
        <v>Diskon</v>
      </c>
    </row>
    <row r="1651" spans="1:18" x14ac:dyDescent="0.25">
      <c r="A1651" s="13" t="s">
        <v>1663</v>
      </c>
      <c r="B1651" s="13" t="s">
        <v>2195</v>
      </c>
      <c r="C1651" s="13" t="s">
        <v>2203</v>
      </c>
      <c r="D1651" s="13" t="s">
        <v>2205</v>
      </c>
      <c r="E1651" s="13" t="s">
        <v>2213</v>
      </c>
      <c r="F1651" s="13" t="s">
        <v>2217</v>
      </c>
      <c r="G1651" s="13">
        <v>150.08000000000001</v>
      </c>
      <c r="H1651" s="13">
        <v>4.8</v>
      </c>
      <c r="I1651" s="13">
        <v>142.88</v>
      </c>
      <c r="J1651" s="24">
        <v>45875</v>
      </c>
      <c r="K1651" s="13">
        <v>24</v>
      </c>
      <c r="L1651" s="44">
        <v>1.7</v>
      </c>
      <c r="M1651" s="13" t="b">
        <v>0</v>
      </c>
      <c r="O1651" s="25">
        <f t="shared" si="100"/>
        <v>27</v>
      </c>
      <c r="P1651" s="13">
        <f t="shared" si="101"/>
        <v>115.19999999999999</v>
      </c>
      <c r="Q1651" s="13" t="str">
        <f t="shared" si="102"/>
        <v/>
      </c>
      <c r="R1651" s="13" t="str">
        <f t="shared" si="103"/>
        <v>Diskon</v>
      </c>
    </row>
    <row r="1652" spans="1:18" x14ac:dyDescent="0.25">
      <c r="A1652" s="13" t="s">
        <v>1664</v>
      </c>
      <c r="B1652" s="13" t="s">
        <v>2195</v>
      </c>
      <c r="C1652" s="13" t="s">
        <v>2197</v>
      </c>
      <c r="D1652" s="13" t="s">
        <v>2207</v>
      </c>
      <c r="E1652" s="13" t="s">
        <v>2209</v>
      </c>
      <c r="F1652" s="13" t="s">
        <v>2219</v>
      </c>
      <c r="G1652" s="13">
        <v>153.18</v>
      </c>
      <c r="H1652" s="13">
        <v>0</v>
      </c>
      <c r="I1652" s="13">
        <v>153.18</v>
      </c>
      <c r="J1652" s="24">
        <v>45875</v>
      </c>
      <c r="K1652" s="13">
        <v>26</v>
      </c>
      <c r="L1652" s="44">
        <v>1.1000000000000001</v>
      </c>
      <c r="M1652" s="13" t="b">
        <v>0</v>
      </c>
      <c r="O1652" s="25">
        <f t="shared" si="100"/>
        <v>27</v>
      </c>
      <c r="P1652" s="13">
        <f t="shared" si="101"/>
        <v>0</v>
      </c>
      <c r="Q1652" s="13" t="str">
        <f t="shared" si="102"/>
        <v/>
      </c>
      <c r="R1652" s="13" t="str">
        <f t="shared" si="103"/>
        <v>Non diskon</v>
      </c>
    </row>
    <row r="1653" spans="1:18" x14ac:dyDescent="0.25">
      <c r="A1653" s="13" t="s">
        <v>1665</v>
      </c>
      <c r="B1653" s="13" t="s">
        <v>2191</v>
      </c>
      <c r="C1653" s="13" t="s">
        <v>2198</v>
      </c>
      <c r="D1653" s="13" t="s">
        <v>2205</v>
      </c>
      <c r="E1653" s="13" t="s">
        <v>2210</v>
      </c>
      <c r="F1653" s="13" t="s">
        <v>2215</v>
      </c>
      <c r="G1653" s="13">
        <v>118.69</v>
      </c>
      <c r="H1653" s="13">
        <v>47.7</v>
      </c>
      <c r="I1653" s="13">
        <v>62.07</v>
      </c>
      <c r="J1653" s="24">
        <v>45875</v>
      </c>
      <c r="K1653" s="13">
        <v>11</v>
      </c>
      <c r="L1653" s="44">
        <v>2.8</v>
      </c>
      <c r="M1653" s="13" t="b">
        <v>0</v>
      </c>
      <c r="O1653" s="25">
        <f t="shared" si="100"/>
        <v>27</v>
      </c>
      <c r="P1653" s="13">
        <f t="shared" si="101"/>
        <v>524.70000000000005</v>
      </c>
      <c r="Q1653" s="13" t="str">
        <f t="shared" si="102"/>
        <v/>
      </c>
      <c r="R1653" s="13" t="str">
        <f t="shared" si="103"/>
        <v>Diskon</v>
      </c>
    </row>
    <row r="1654" spans="1:18" x14ac:dyDescent="0.25">
      <c r="A1654" s="13" t="s">
        <v>1666</v>
      </c>
      <c r="B1654" s="13" t="s">
        <v>2192</v>
      </c>
      <c r="C1654" s="13" t="s">
        <v>2200</v>
      </c>
      <c r="D1654" s="13" t="s">
        <v>2204</v>
      </c>
      <c r="F1654" s="13" t="s">
        <v>2222</v>
      </c>
      <c r="G1654" s="13">
        <v>50.12</v>
      </c>
      <c r="H1654" s="13">
        <v>0</v>
      </c>
      <c r="I1654" s="13">
        <v>50.12</v>
      </c>
      <c r="J1654" s="24">
        <v>45725</v>
      </c>
      <c r="K1654" s="13">
        <v>27</v>
      </c>
      <c r="L1654" s="44">
        <v>2.4</v>
      </c>
      <c r="M1654" s="13" t="b">
        <v>0</v>
      </c>
      <c r="O1654" s="25">
        <f t="shared" si="100"/>
        <v>177</v>
      </c>
      <c r="P1654" s="13">
        <f t="shared" si="101"/>
        <v>0</v>
      </c>
      <c r="Q1654" s="13" t="str">
        <f t="shared" si="102"/>
        <v/>
      </c>
      <c r="R1654" s="13" t="str">
        <f t="shared" si="103"/>
        <v>Non diskon</v>
      </c>
    </row>
    <row r="1655" spans="1:18" x14ac:dyDescent="0.25">
      <c r="A1655" s="13" t="s">
        <v>1667</v>
      </c>
      <c r="B1655" s="13" t="s">
        <v>2195</v>
      </c>
      <c r="C1655" s="13" t="s">
        <v>2202</v>
      </c>
      <c r="D1655" s="13" t="s">
        <v>2204</v>
      </c>
      <c r="E1655" s="13" t="s">
        <v>2212</v>
      </c>
      <c r="F1655" s="13" t="s">
        <v>2219</v>
      </c>
      <c r="G1655" s="13">
        <v>93.68</v>
      </c>
      <c r="H1655" s="13">
        <v>59.5</v>
      </c>
      <c r="I1655" s="13">
        <v>37.94</v>
      </c>
      <c r="J1655" s="24">
        <v>45771</v>
      </c>
      <c r="K1655" s="13">
        <v>21</v>
      </c>
      <c r="L1655" s="44">
        <v>2.980952380952381</v>
      </c>
      <c r="M1655" s="13" t="b">
        <v>0</v>
      </c>
      <c r="O1655" s="25">
        <f t="shared" si="100"/>
        <v>131</v>
      </c>
      <c r="P1655" s="13">
        <f t="shared" si="101"/>
        <v>1249.5</v>
      </c>
      <c r="Q1655" s="13" t="str">
        <f t="shared" si="102"/>
        <v/>
      </c>
      <c r="R1655" s="13" t="str">
        <f t="shared" si="103"/>
        <v>Diskon</v>
      </c>
    </row>
    <row r="1656" spans="1:18" x14ac:dyDescent="0.25">
      <c r="A1656" s="13" t="s">
        <v>1668</v>
      </c>
      <c r="B1656" s="13" t="s">
        <v>2191</v>
      </c>
      <c r="C1656" s="13" t="s">
        <v>2197</v>
      </c>
      <c r="D1656" s="13" t="s">
        <v>2207</v>
      </c>
      <c r="E1656" s="13" t="s">
        <v>2210</v>
      </c>
      <c r="F1656" s="13" t="s">
        <v>2214</v>
      </c>
      <c r="G1656" s="13">
        <v>50.49</v>
      </c>
      <c r="H1656" s="13">
        <v>0</v>
      </c>
      <c r="I1656" s="13">
        <v>50.49</v>
      </c>
      <c r="J1656" s="24">
        <v>45875</v>
      </c>
      <c r="K1656" s="13">
        <v>30</v>
      </c>
      <c r="L1656" s="44">
        <v>4.0999999999999996</v>
      </c>
      <c r="M1656" s="13" t="b">
        <v>0</v>
      </c>
      <c r="O1656" s="25">
        <f t="shared" si="100"/>
        <v>27</v>
      </c>
      <c r="P1656" s="13">
        <f t="shared" si="101"/>
        <v>0</v>
      </c>
      <c r="Q1656" s="13" t="str">
        <f t="shared" si="102"/>
        <v/>
      </c>
      <c r="R1656" s="13" t="str">
        <f t="shared" si="103"/>
        <v>Non diskon</v>
      </c>
    </row>
    <row r="1657" spans="1:18" x14ac:dyDescent="0.25">
      <c r="A1657" s="13" t="s">
        <v>1669</v>
      </c>
      <c r="B1657" s="13" t="s">
        <v>2193</v>
      </c>
      <c r="C1657" s="13" t="s">
        <v>2199</v>
      </c>
      <c r="D1657" s="13" t="s">
        <v>2207</v>
      </c>
      <c r="E1657" s="13" t="s">
        <v>2212</v>
      </c>
      <c r="F1657" s="13" t="s">
        <v>2217</v>
      </c>
      <c r="G1657" s="13">
        <v>97.9</v>
      </c>
      <c r="H1657" s="13">
        <v>0</v>
      </c>
      <c r="I1657" s="13">
        <v>97.9</v>
      </c>
      <c r="J1657" s="24">
        <v>45875</v>
      </c>
      <c r="K1657" s="13">
        <v>29</v>
      </c>
      <c r="L1657" s="44">
        <v>1.3</v>
      </c>
      <c r="M1657" s="13" t="b">
        <v>0</v>
      </c>
      <c r="O1657" s="25">
        <f t="shared" si="100"/>
        <v>27</v>
      </c>
      <c r="P1657" s="13">
        <f t="shared" si="101"/>
        <v>0</v>
      </c>
      <c r="Q1657" s="13" t="str">
        <f t="shared" si="102"/>
        <v/>
      </c>
      <c r="R1657" s="13" t="str">
        <f t="shared" si="103"/>
        <v>Non diskon</v>
      </c>
    </row>
    <row r="1658" spans="1:18" x14ac:dyDescent="0.25">
      <c r="A1658" s="13" t="s">
        <v>1670</v>
      </c>
      <c r="B1658" s="13" t="s">
        <v>2191</v>
      </c>
      <c r="C1658" s="13" t="s">
        <v>2197</v>
      </c>
      <c r="D1658" s="13" t="s">
        <v>2207</v>
      </c>
      <c r="E1658" s="13" t="s">
        <v>2210</v>
      </c>
      <c r="F1658" s="13" t="s">
        <v>2218</v>
      </c>
      <c r="G1658" s="13">
        <v>69</v>
      </c>
      <c r="H1658" s="13">
        <v>0</v>
      </c>
      <c r="I1658" s="13">
        <v>69</v>
      </c>
      <c r="J1658" s="24">
        <v>45875</v>
      </c>
      <c r="K1658" s="13">
        <v>32</v>
      </c>
      <c r="L1658" s="44">
        <v>4.5</v>
      </c>
      <c r="M1658" s="13" t="b">
        <v>0</v>
      </c>
      <c r="O1658" s="25">
        <f t="shared" si="100"/>
        <v>27</v>
      </c>
      <c r="P1658" s="13">
        <f t="shared" si="101"/>
        <v>0</v>
      </c>
      <c r="Q1658" s="13" t="str">
        <f t="shared" si="102"/>
        <v/>
      </c>
      <c r="R1658" s="13" t="str">
        <f t="shared" si="103"/>
        <v>Non diskon</v>
      </c>
    </row>
    <row r="1659" spans="1:18" x14ac:dyDescent="0.25">
      <c r="A1659" s="13" t="s">
        <v>1671</v>
      </c>
      <c r="B1659" s="13" t="s">
        <v>2192</v>
      </c>
      <c r="C1659" s="13" t="s">
        <v>2199</v>
      </c>
      <c r="D1659" s="13" t="s">
        <v>2206</v>
      </c>
      <c r="F1659" s="13" t="s">
        <v>2223</v>
      </c>
      <c r="G1659" s="13">
        <v>30.2</v>
      </c>
      <c r="H1659" s="13">
        <v>27.1</v>
      </c>
      <c r="I1659" s="13">
        <v>22.02</v>
      </c>
      <c r="J1659" s="24">
        <v>45875</v>
      </c>
      <c r="K1659" s="13">
        <v>15</v>
      </c>
      <c r="L1659" s="44">
        <v>2.5131578947368416</v>
      </c>
      <c r="M1659" s="13" t="b">
        <v>0</v>
      </c>
      <c r="O1659" s="25">
        <f t="shared" si="100"/>
        <v>27</v>
      </c>
      <c r="P1659" s="13">
        <f t="shared" si="101"/>
        <v>406.5</v>
      </c>
      <c r="Q1659" s="13" t="str">
        <f t="shared" si="102"/>
        <v/>
      </c>
      <c r="R1659" s="13" t="str">
        <f t="shared" si="103"/>
        <v>Diskon</v>
      </c>
    </row>
    <row r="1660" spans="1:18" x14ac:dyDescent="0.25">
      <c r="A1660" s="13" t="s">
        <v>1672</v>
      </c>
      <c r="B1660" s="13" t="s">
        <v>2191</v>
      </c>
      <c r="C1660" s="13" t="s">
        <v>2198</v>
      </c>
      <c r="D1660" s="13" t="s">
        <v>2205</v>
      </c>
      <c r="E1660" s="13" t="s">
        <v>2209</v>
      </c>
      <c r="F1660" s="13" t="s">
        <v>2221</v>
      </c>
      <c r="G1660" s="13">
        <v>84.92</v>
      </c>
      <c r="H1660" s="13">
        <v>59.1</v>
      </c>
      <c r="I1660" s="13">
        <v>34.729999999999997</v>
      </c>
      <c r="J1660" s="24">
        <v>45875</v>
      </c>
      <c r="K1660" s="13">
        <v>42</v>
      </c>
      <c r="L1660" s="44">
        <v>2.953125</v>
      </c>
      <c r="M1660" s="13" t="b">
        <v>0</v>
      </c>
      <c r="O1660" s="25">
        <f t="shared" si="100"/>
        <v>27</v>
      </c>
      <c r="P1660" s="13">
        <f t="shared" si="101"/>
        <v>2482.2000000000003</v>
      </c>
      <c r="Q1660" s="13" t="str">
        <f t="shared" si="102"/>
        <v/>
      </c>
      <c r="R1660" s="13" t="str">
        <f t="shared" si="103"/>
        <v>Diskon</v>
      </c>
    </row>
    <row r="1661" spans="1:18" x14ac:dyDescent="0.25">
      <c r="A1661" s="13" t="s">
        <v>1673</v>
      </c>
      <c r="B1661" s="13" t="s">
        <v>2191</v>
      </c>
      <c r="C1661" s="13" t="s">
        <v>2203</v>
      </c>
      <c r="D1661" s="13" t="s">
        <v>2206</v>
      </c>
      <c r="E1661" s="13" t="s">
        <v>2212</v>
      </c>
      <c r="F1661" s="13" t="s">
        <v>2217</v>
      </c>
      <c r="G1661" s="13">
        <v>116.48</v>
      </c>
      <c r="H1661" s="13">
        <v>0</v>
      </c>
      <c r="I1661" s="13">
        <v>116.48</v>
      </c>
      <c r="J1661" s="24">
        <v>45875</v>
      </c>
      <c r="K1661" s="13">
        <v>3</v>
      </c>
      <c r="L1661" s="44">
        <v>1.5</v>
      </c>
      <c r="M1661" s="13" t="b">
        <v>0</v>
      </c>
      <c r="O1661" s="25">
        <f t="shared" si="100"/>
        <v>27</v>
      </c>
      <c r="P1661" s="13">
        <f t="shared" si="101"/>
        <v>0</v>
      </c>
      <c r="Q1661" s="13" t="str">
        <f t="shared" si="102"/>
        <v/>
      </c>
      <c r="R1661" s="13" t="str">
        <f t="shared" si="103"/>
        <v>Non diskon</v>
      </c>
    </row>
    <row r="1662" spans="1:18" x14ac:dyDescent="0.25">
      <c r="A1662" s="13" t="s">
        <v>1674</v>
      </c>
      <c r="B1662" s="13" t="s">
        <v>2191</v>
      </c>
      <c r="C1662" s="13" t="s">
        <v>2200</v>
      </c>
      <c r="D1662" s="13" t="s">
        <v>2207</v>
      </c>
      <c r="E1662" s="13" t="s">
        <v>2208</v>
      </c>
      <c r="F1662" s="13" t="s">
        <v>2222</v>
      </c>
      <c r="G1662" s="13">
        <v>40.68</v>
      </c>
      <c r="H1662" s="13">
        <v>0</v>
      </c>
      <c r="I1662" s="13">
        <v>40.68</v>
      </c>
      <c r="J1662" s="24">
        <v>45875</v>
      </c>
      <c r="K1662" s="13">
        <v>41</v>
      </c>
      <c r="L1662" s="44">
        <v>1.1000000000000001</v>
      </c>
      <c r="M1662" s="13" t="b">
        <v>1</v>
      </c>
      <c r="N1662" s="13" t="s">
        <v>2229</v>
      </c>
      <c r="O1662" s="25">
        <f t="shared" si="100"/>
        <v>27</v>
      </c>
      <c r="P1662" s="13">
        <f t="shared" si="101"/>
        <v>0</v>
      </c>
      <c r="Q1662" s="13">
        <f t="shared" si="102"/>
        <v>1</v>
      </c>
      <c r="R1662" s="13" t="str">
        <f t="shared" si="103"/>
        <v>Non diskon</v>
      </c>
    </row>
    <row r="1663" spans="1:18" x14ac:dyDescent="0.25">
      <c r="A1663" s="13" t="s">
        <v>1675</v>
      </c>
      <c r="B1663" s="13" t="s">
        <v>2190</v>
      </c>
      <c r="C1663" s="13" t="s">
        <v>2201</v>
      </c>
      <c r="D1663" s="13" t="s">
        <v>2207</v>
      </c>
      <c r="E1663" s="13" t="s">
        <v>2208</v>
      </c>
      <c r="F1663" s="13" t="s">
        <v>2216</v>
      </c>
      <c r="G1663" s="13">
        <v>118.92</v>
      </c>
      <c r="H1663" s="13">
        <v>0</v>
      </c>
      <c r="I1663" s="13">
        <v>118.92</v>
      </c>
      <c r="J1663" s="24">
        <v>45875</v>
      </c>
      <c r="K1663" s="13">
        <v>36</v>
      </c>
      <c r="L1663" s="44">
        <v>1.8</v>
      </c>
      <c r="M1663" s="13" t="b">
        <v>1</v>
      </c>
      <c r="N1663" s="13" t="s">
        <v>2230</v>
      </c>
      <c r="O1663" s="25">
        <f t="shared" si="100"/>
        <v>27</v>
      </c>
      <c r="P1663" s="13">
        <f t="shared" si="101"/>
        <v>0</v>
      </c>
      <c r="Q1663" s="13">
        <f t="shared" si="102"/>
        <v>1</v>
      </c>
      <c r="R1663" s="13" t="str">
        <f t="shared" si="103"/>
        <v>Non diskon</v>
      </c>
    </row>
    <row r="1664" spans="1:18" x14ac:dyDescent="0.25">
      <c r="A1664" s="13" t="s">
        <v>1676</v>
      </c>
      <c r="B1664" s="13" t="s">
        <v>2194</v>
      </c>
      <c r="C1664" s="13" t="s">
        <v>2201</v>
      </c>
      <c r="D1664" s="13" t="s">
        <v>2207</v>
      </c>
      <c r="E1664" s="13" t="s">
        <v>2211</v>
      </c>
      <c r="F1664" s="13" t="s">
        <v>2216</v>
      </c>
      <c r="G1664" s="13">
        <v>26.86</v>
      </c>
      <c r="H1664" s="13">
        <v>0</v>
      </c>
      <c r="I1664" s="13">
        <v>26.86</v>
      </c>
      <c r="J1664" s="24">
        <v>45875</v>
      </c>
      <c r="K1664" s="13">
        <v>18</v>
      </c>
      <c r="L1664" s="44">
        <v>3.2</v>
      </c>
      <c r="M1664" s="13" t="b">
        <v>0</v>
      </c>
      <c r="O1664" s="25">
        <f t="shared" si="100"/>
        <v>27</v>
      </c>
      <c r="P1664" s="13">
        <f t="shared" si="101"/>
        <v>0</v>
      </c>
      <c r="Q1664" s="13" t="str">
        <f t="shared" si="102"/>
        <v/>
      </c>
      <c r="R1664" s="13" t="str">
        <f t="shared" si="103"/>
        <v>Non diskon</v>
      </c>
    </row>
    <row r="1665" spans="1:18" x14ac:dyDescent="0.25">
      <c r="A1665" s="13" t="s">
        <v>1677</v>
      </c>
      <c r="B1665" s="13" t="s">
        <v>2195</v>
      </c>
      <c r="C1665" s="13" t="s">
        <v>2198</v>
      </c>
      <c r="D1665" s="13" t="s">
        <v>2206</v>
      </c>
      <c r="E1665" s="13" t="s">
        <v>2210</v>
      </c>
      <c r="F1665" s="13" t="s">
        <v>2220</v>
      </c>
      <c r="G1665" s="13">
        <v>113.34</v>
      </c>
      <c r="H1665" s="13">
        <v>0</v>
      </c>
      <c r="I1665" s="13">
        <v>113.34</v>
      </c>
      <c r="J1665" s="24">
        <v>45875</v>
      </c>
      <c r="K1665" s="13">
        <v>13</v>
      </c>
      <c r="L1665" s="44">
        <v>2.9000000000000008</v>
      </c>
      <c r="M1665" s="13" t="b">
        <v>0</v>
      </c>
      <c r="O1665" s="25">
        <f t="shared" si="100"/>
        <v>27</v>
      </c>
      <c r="P1665" s="13">
        <f t="shared" si="101"/>
        <v>0</v>
      </c>
      <c r="Q1665" s="13" t="str">
        <f t="shared" si="102"/>
        <v/>
      </c>
      <c r="R1665" s="13" t="str">
        <f t="shared" si="103"/>
        <v>Non diskon</v>
      </c>
    </row>
    <row r="1666" spans="1:18" x14ac:dyDescent="0.25">
      <c r="A1666" s="13" t="s">
        <v>1678</v>
      </c>
      <c r="B1666" s="13" t="s">
        <v>2191</v>
      </c>
      <c r="C1666" s="13" t="s">
        <v>2202</v>
      </c>
      <c r="D1666" s="13" t="s">
        <v>2207</v>
      </c>
      <c r="E1666" s="13" t="s">
        <v>2209</v>
      </c>
      <c r="F1666" s="13" t="s">
        <v>2216</v>
      </c>
      <c r="G1666" s="13">
        <v>40.520000000000003</v>
      </c>
      <c r="H1666" s="13">
        <v>8.9</v>
      </c>
      <c r="I1666" s="13">
        <v>36.909999999999997</v>
      </c>
      <c r="J1666" s="24">
        <v>45875</v>
      </c>
      <c r="K1666" s="13">
        <v>13</v>
      </c>
      <c r="L1666" s="44">
        <v>2.5</v>
      </c>
      <c r="M1666" s="13" t="b">
        <v>0</v>
      </c>
      <c r="O1666" s="25">
        <f t="shared" si="100"/>
        <v>27</v>
      </c>
      <c r="P1666" s="13">
        <f t="shared" si="101"/>
        <v>115.7</v>
      </c>
      <c r="Q1666" s="13" t="str">
        <f t="shared" si="102"/>
        <v/>
      </c>
      <c r="R1666" s="13" t="str">
        <f t="shared" si="103"/>
        <v>Diskon</v>
      </c>
    </row>
    <row r="1667" spans="1:18" x14ac:dyDescent="0.25">
      <c r="A1667" s="13" t="s">
        <v>1679</v>
      </c>
      <c r="B1667" s="13" t="s">
        <v>2194</v>
      </c>
      <c r="C1667" s="13" t="s">
        <v>2203</v>
      </c>
      <c r="D1667" s="13" t="s">
        <v>2207</v>
      </c>
      <c r="E1667" s="13" t="s">
        <v>2209</v>
      </c>
      <c r="F1667" s="13" t="s">
        <v>2215</v>
      </c>
      <c r="G1667" s="13">
        <v>98.41</v>
      </c>
      <c r="H1667" s="13">
        <v>0</v>
      </c>
      <c r="I1667" s="13">
        <v>98.41</v>
      </c>
      <c r="J1667" s="24">
        <v>45875</v>
      </c>
      <c r="K1667" s="13">
        <v>7</v>
      </c>
      <c r="L1667" s="44">
        <v>4.5999999999999996</v>
      </c>
      <c r="M1667" s="13" t="b">
        <v>0</v>
      </c>
      <c r="O1667" s="25">
        <f t="shared" ref="O1667:O1730" si="104">DATE(2025,9,2)-J1667</f>
        <v>27</v>
      </c>
      <c r="P1667" s="13">
        <f t="shared" ref="P1667:P1730" si="105">H1667*K1667</f>
        <v>0</v>
      </c>
      <c r="Q1667" s="13" t="str">
        <f t="shared" ref="Q1667:Q1730" si="106">IF(M1667=FALSE,"",1)</f>
        <v/>
      </c>
      <c r="R1667" s="13" t="str">
        <f t="shared" ref="R1667:R1730" si="107">IF(H1667=0,"Non diskon","Diskon")</f>
        <v>Non diskon</v>
      </c>
    </row>
    <row r="1668" spans="1:18" x14ac:dyDescent="0.25">
      <c r="A1668" s="13" t="s">
        <v>1680</v>
      </c>
      <c r="B1668" s="13" t="s">
        <v>2194</v>
      </c>
      <c r="C1668" s="13" t="s">
        <v>2203</v>
      </c>
      <c r="D1668" s="13" t="s">
        <v>2205</v>
      </c>
      <c r="E1668" s="13" t="s">
        <v>2212</v>
      </c>
      <c r="F1668" s="13" t="s">
        <v>2214</v>
      </c>
      <c r="G1668" s="13">
        <v>83.18</v>
      </c>
      <c r="H1668" s="13">
        <v>0</v>
      </c>
      <c r="I1668" s="13">
        <v>83.18</v>
      </c>
      <c r="J1668" s="24">
        <v>45875</v>
      </c>
      <c r="K1668" s="13">
        <v>17</v>
      </c>
      <c r="L1668" s="44">
        <v>1.7</v>
      </c>
      <c r="M1668" s="13" t="b">
        <v>1</v>
      </c>
      <c r="N1668" s="13" t="s">
        <v>2226</v>
      </c>
      <c r="O1668" s="25">
        <f t="shared" si="104"/>
        <v>27</v>
      </c>
      <c r="P1668" s="13">
        <f t="shared" si="105"/>
        <v>0</v>
      </c>
      <c r="Q1668" s="13">
        <f t="shared" si="106"/>
        <v>1</v>
      </c>
      <c r="R1668" s="13" t="str">
        <f t="shared" si="107"/>
        <v>Non diskon</v>
      </c>
    </row>
    <row r="1669" spans="1:18" x14ac:dyDescent="0.25">
      <c r="A1669" s="13" t="s">
        <v>1681</v>
      </c>
      <c r="B1669" s="13" t="s">
        <v>2193</v>
      </c>
      <c r="C1669" s="13" t="s">
        <v>2200</v>
      </c>
      <c r="D1669" s="13" t="s">
        <v>2204</v>
      </c>
      <c r="E1669" s="13" t="s">
        <v>2211</v>
      </c>
      <c r="F1669" s="13" t="s">
        <v>2223</v>
      </c>
      <c r="G1669" s="13">
        <v>179.31</v>
      </c>
      <c r="H1669" s="13">
        <v>24.1</v>
      </c>
      <c r="I1669" s="13">
        <v>136.1</v>
      </c>
      <c r="J1669" s="24">
        <v>45851</v>
      </c>
      <c r="K1669" s="13">
        <v>0</v>
      </c>
      <c r="L1669" s="44">
        <v>3.1</v>
      </c>
      <c r="M1669" s="13" t="b">
        <v>0</v>
      </c>
      <c r="O1669" s="25">
        <f t="shared" si="104"/>
        <v>51</v>
      </c>
      <c r="P1669" s="13">
        <f t="shared" si="105"/>
        <v>0</v>
      </c>
      <c r="Q1669" s="13" t="str">
        <f t="shared" si="106"/>
        <v/>
      </c>
      <c r="R1669" s="13" t="str">
        <f t="shared" si="107"/>
        <v>Diskon</v>
      </c>
    </row>
    <row r="1670" spans="1:18" x14ac:dyDescent="0.25">
      <c r="A1670" s="13" t="s">
        <v>1682</v>
      </c>
      <c r="B1670" s="13" t="s">
        <v>2191</v>
      </c>
      <c r="C1670" s="13" t="s">
        <v>2196</v>
      </c>
      <c r="D1670" s="13" t="s">
        <v>2204</v>
      </c>
      <c r="E1670" s="13" t="s">
        <v>2211</v>
      </c>
      <c r="F1670" s="13" t="s">
        <v>2220</v>
      </c>
      <c r="G1670" s="13">
        <v>47.88</v>
      </c>
      <c r="H1670" s="13">
        <v>0</v>
      </c>
      <c r="I1670" s="13">
        <v>47.88</v>
      </c>
      <c r="J1670" s="24">
        <v>45647</v>
      </c>
      <c r="K1670" s="13">
        <v>44</v>
      </c>
      <c r="L1670" s="44">
        <v>1.9</v>
      </c>
      <c r="M1670" s="13" t="b">
        <v>0</v>
      </c>
      <c r="O1670" s="25">
        <f t="shared" si="104"/>
        <v>255</v>
      </c>
      <c r="P1670" s="13">
        <f t="shared" si="105"/>
        <v>0</v>
      </c>
      <c r="Q1670" s="13" t="str">
        <f t="shared" si="106"/>
        <v/>
      </c>
      <c r="R1670" s="13" t="str">
        <f t="shared" si="107"/>
        <v>Non diskon</v>
      </c>
    </row>
    <row r="1671" spans="1:18" x14ac:dyDescent="0.25">
      <c r="A1671" s="13" t="s">
        <v>1683</v>
      </c>
      <c r="B1671" s="13" t="s">
        <v>2190</v>
      </c>
      <c r="C1671" s="13" t="s">
        <v>2199</v>
      </c>
      <c r="D1671" s="13" t="s">
        <v>2205</v>
      </c>
      <c r="E1671" s="13" t="s">
        <v>2208</v>
      </c>
      <c r="F1671" s="13" t="s">
        <v>2222</v>
      </c>
      <c r="G1671" s="13">
        <v>89.26</v>
      </c>
      <c r="H1671" s="13">
        <v>0</v>
      </c>
      <c r="I1671" s="13">
        <v>89.26</v>
      </c>
      <c r="J1671" s="24">
        <v>45875</v>
      </c>
      <c r="K1671" s="13">
        <v>43</v>
      </c>
      <c r="L1671" s="44">
        <v>3.8</v>
      </c>
      <c r="M1671" s="13" t="b">
        <v>0</v>
      </c>
      <c r="O1671" s="25">
        <f t="shared" si="104"/>
        <v>27</v>
      </c>
      <c r="P1671" s="13">
        <f t="shared" si="105"/>
        <v>0</v>
      </c>
      <c r="Q1671" s="13" t="str">
        <f t="shared" si="106"/>
        <v/>
      </c>
      <c r="R1671" s="13" t="str">
        <f t="shared" si="107"/>
        <v>Non diskon</v>
      </c>
    </row>
    <row r="1672" spans="1:18" x14ac:dyDescent="0.25">
      <c r="A1672" s="13" t="s">
        <v>1684</v>
      </c>
      <c r="B1672" s="13" t="s">
        <v>2195</v>
      </c>
      <c r="C1672" s="13" t="s">
        <v>2202</v>
      </c>
      <c r="D1672" s="13" t="s">
        <v>2207</v>
      </c>
      <c r="E1672" s="13" t="s">
        <v>2211</v>
      </c>
      <c r="F1672" s="13" t="s">
        <v>2216</v>
      </c>
      <c r="G1672" s="13">
        <v>114.2</v>
      </c>
      <c r="H1672" s="13">
        <v>0</v>
      </c>
      <c r="I1672" s="13">
        <v>114.2</v>
      </c>
      <c r="J1672" s="24">
        <v>45875</v>
      </c>
      <c r="K1672" s="13">
        <v>15</v>
      </c>
      <c r="L1672" s="44">
        <v>2.980952380952381</v>
      </c>
      <c r="M1672" s="13" t="b">
        <v>0</v>
      </c>
      <c r="O1672" s="25">
        <f t="shared" si="104"/>
        <v>27</v>
      </c>
      <c r="P1672" s="13">
        <f t="shared" si="105"/>
        <v>0</v>
      </c>
      <c r="Q1672" s="13" t="str">
        <f t="shared" si="106"/>
        <v/>
      </c>
      <c r="R1672" s="13" t="str">
        <f t="shared" si="107"/>
        <v>Non diskon</v>
      </c>
    </row>
    <row r="1673" spans="1:18" x14ac:dyDescent="0.25">
      <c r="A1673" s="13" t="s">
        <v>1685</v>
      </c>
      <c r="B1673" s="13" t="s">
        <v>2193</v>
      </c>
      <c r="C1673" s="13" t="s">
        <v>2202</v>
      </c>
      <c r="D1673" s="13" t="s">
        <v>2207</v>
      </c>
      <c r="E1673" s="13" t="s">
        <v>2209</v>
      </c>
      <c r="F1673" s="13" t="s">
        <v>2220</v>
      </c>
      <c r="G1673" s="13">
        <v>169.5</v>
      </c>
      <c r="H1673" s="13">
        <v>59.7</v>
      </c>
      <c r="I1673" s="13">
        <v>68.31</v>
      </c>
      <c r="J1673" s="24">
        <v>45875</v>
      </c>
      <c r="K1673" s="13">
        <v>16</v>
      </c>
      <c r="L1673" s="44">
        <v>1.8</v>
      </c>
      <c r="M1673" s="13" t="b">
        <v>0</v>
      </c>
      <c r="O1673" s="25">
        <f t="shared" si="104"/>
        <v>27</v>
      </c>
      <c r="P1673" s="13">
        <f t="shared" si="105"/>
        <v>955.2</v>
      </c>
      <c r="Q1673" s="13" t="str">
        <f t="shared" si="106"/>
        <v/>
      </c>
      <c r="R1673" s="13" t="str">
        <f t="shared" si="107"/>
        <v>Diskon</v>
      </c>
    </row>
    <row r="1674" spans="1:18" x14ac:dyDescent="0.25">
      <c r="A1674" s="13" t="s">
        <v>1686</v>
      </c>
      <c r="B1674" s="13" t="s">
        <v>2191</v>
      </c>
      <c r="C1674" s="13" t="s">
        <v>2200</v>
      </c>
      <c r="D1674" s="13" t="s">
        <v>2206</v>
      </c>
      <c r="E1674" s="13" t="s">
        <v>2212</v>
      </c>
      <c r="F1674" s="13" t="s">
        <v>2217</v>
      </c>
      <c r="G1674" s="13">
        <v>77.989999999999995</v>
      </c>
      <c r="H1674" s="13">
        <v>0</v>
      </c>
      <c r="I1674" s="13">
        <v>77.989999999999995</v>
      </c>
      <c r="J1674" s="24">
        <v>45875</v>
      </c>
      <c r="K1674" s="13">
        <v>42</v>
      </c>
      <c r="L1674" s="44">
        <v>2.9657142857142857</v>
      </c>
      <c r="M1674" s="13" t="b">
        <v>0</v>
      </c>
      <c r="O1674" s="25">
        <f t="shared" si="104"/>
        <v>27</v>
      </c>
      <c r="P1674" s="13">
        <f t="shared" si="105"/>
        <v>0</v>
      </c>
      <c r="Q1674" s="13" t="str">
        <f t="shared" si="106"/>
        <v/>
      </c>
      <c r="R1674" s="13" t="str">
        <f t="shared" si="107"/>
        <v>Non diskon</v>
      </c>
    </row>
    <row r="1675" spans="1:18" x14ac:dyDescent="0.25">
      <c r="A1675" s="13" t="s">
        <v>1687</v>
      </c>
      <c r="B1675" s="13" t="s">
        <v>2194</v>
      </c>
      <c r="C1675" s="13" t="s">
        <v>2201</v>
      </c>
      <c r="D1675" s="13" t="s">
        <v>2206</v>
      </c>
      <c r="F1675" s="13" t="s">
        <v>2215</v>
      </c>
      <c r="G1675" s="13">
        <v>103.77</v>
      </c>
      <c r="H1675" s="13">
        <v>0</v>
      </c>
      <c r="I1675" s="13">
        <v>103.77</v>
      </c>
      <c r="J1675" s="24">
        <v>45875</v>
      </c>
      <c r="K1675" s="13">
        <v>12</v>
      </c>
      <c r="L1675" s="44">
        <v>4.4000000000000004</v>
      </c>
      <c r="M1675" s="13" t="b">
        <v>0</v>
      </c>
      <c r="O1675" s="25">
        <f t="shared" si="104"/>
        <v>27</v>
      </c>
      <c r="P1675" s="13">
        <f t="shared" si="105"/>
        <v>0</v>
      </c>
      <c r="Q1675" s="13" t="str">
        <f t="shared" si="106"/>
        <v/>
      </c>
      <c r="R1675" s="13" t="str">
        <f t="shared" si="107"/>
        <v>Non diskon</v>
      </c>
    </row>
    <row r="1676" spans="1:18" x14ac:dyDescent="0.25">
      <c r="A1676" s="13" t="s">
        <v>1688</v>
      </c>
      <c r="B1676" s="13" t="s">
        <v>2192</v>
      </c>
      <c r="C1676" s="13" t="s">
        <v>2203</v>
      </c>
      <c r="D1676" s="13" t="s">
        <v>2206</v>
      </c>
      <c r="F1676" s="13" t="s">
        <v>2216</v>
      </c>
      <c r="G1676" s="13">
        <v>42.96</v>
      </c>
      <c r="H1676" s="13">
        <v>0</v>
      </c>
      <c r="I1676" s="13">
        <v>42.96</v>
      </c>
      <c r="J1676" s="24">
        <v>45875</v>
      </c>
      <c r="K1676" s="13">
        <v>36</v>
      </c>
      <c r="L1676" s="44">
        <v>1.1000000000000001</v>
      </c>
      <c r="M1676" s="13" t="b">
        <v>0</v>
      </c>
      <c r="O1676" s="25">
        <f t="shared" si="104"/>
        <v>27</v>
      </c>
      <c r="P1676" s="13">
        <f t="shared" si="105"/>
        <v>0</v>
      </c>
      <c r="Q1676" s="13" t="str">
        <f t="shared" si="106"/>
        <v/>
      </c>
      <c r="R1676" s="13" t="str">
        <f t="shared" si="107"/>
        <v>Non diskon</v>
      </c>
    </row>
    <row r="1677" spans="1:18" x14ac:dyDescent="0.25">
      <c r="A1677" s="13" t="s">
        <v>1689</v>
      </c>
      <c r="B1677" s="13" t="s">
        <v>2195</v>
      </c>
      <c r="C1677" s="13" t="s">
        <v>2198</v>
      </c>
      <c r="D1677" s="13" t="s">
        <v>2206</v>
      </c>
      <c r="F1677" s="13" t="s">
        <v>2224</v>
      </c>
      <c r="G1677" s="13">
        <v>126.11</v>
      </c>
      <c r="H1677" s="13">
        <v>0</v>
      </c>
      <c r="I1677" s="13">
        <v>126.11</v>
      </c>
      <c r="J1677" s="24">
        <v>45875</v>
      </c>
      <c r="K1677" s="13">
        <v>16</v>
      </c>
      <c r="L1677" s="44">
        <v>3.5</v>
      </c>
      <c r="M1677" s="13" t="b">
        <v>0</v>
      </c>
      <c r="O1677" s="25">
        <f t="shared" si="104"/>
        <v>27</v>
      </c>
      <c r="P1677" s="13">
        <f t="shared" si="105"/>
        <v>0</v>
      </c>
      <c r="Q1677" s="13" t="str">
        <f t="shared" si="106"/>
        <v/>
      </c>
      <c r="R1677" s="13" t="str">
        <f t="shared" si="107"/>
        <v>Non diskon</v>
      </c>
    </row>
    <row r="1678" spans="1:18" x14ac:dyDescent="0.25">
      <c r="A1678" s="13" t="s">
        <v>1690</v>
      </c>
      <c r="B1678" s="13" t="s">
        <v>2192</v>
      </c>
      <c r="C1678" s="13" t="s">
        <v>2198</v>
      </c>
      <c r="D1678" s="13" t="s">
        <v>2207</v>
      </c>
      <c r="F1678" s="13" t="s">
        <v>2221</v>
      </c>
      <c r="G1678" s="13">
        <v>43.83</v>
      </c>
      <c r="H1678" s="13">
        <v>0</v>
      </c>
      <c r="I1678" s="13">
        <v>43.83</v>
      </c>
      <c r="J1678" s="24">
        <v>45875</v>
      </c>
      <c r="K1678" s="13">
        <v>31</v>
      </c>
      <c r="L1678" s="44">
        <v>2.5</v>
      </c>
      <c r="M1678" s="13" t="b">
        <v>0</v>
      </c>
      <c r="O1678" s="25">
        <f t="shared" si="104"/>
        <v>27</v>
      </c>
      <c r="P1678" s="13">
        <f t="shared" si="105"/>
        <v>0</v>
      </c>
      <c r="Q1678" s="13" t="str">
        <f t="shared" si="106"/>
        <v/>
      </c>
      <c r="R1678" s="13" t="str">
        <f t="shared" si="107"/>
        <v>Non diskon</v>
      </c>
    </row>
    <row r="1679" spans="1:18" x14ac:dyDescent="0.25">
      <c r="A1679" s="13" t="s">
        <v>1691</v>
      </c>
      <c r="B1679" s="13" t="s">
        <v>2193</v>
      </c>
      <c r="C1679" s="13" t="s">
        <v>2198</v>
      </c>
      <c r="D1679" s="13" t="s">
        <v>2206</v>
      </c>
      <c r="E1679" s="13" t="s">
        <v>2210</v>
      </c>
      <c r="F1679" s="13" t="s">
        <v>2221</v>
      </c>
      <c r="G1679" s="13">
        <v>94.1</v>
      </c>
      <c r="H1679" s="13">
        <v>0</v>
      </c>
      <c r="I1679" s="13">
        <v>94.1</v>
      </c>
      <c r="J1679" s="24">
        <v>45875</v>
      </c>
      <c r="K1679" s="13">
        <v>24</v>
      </c>
      <c r="L1679" s="44">
        <v>1.4</v>
      </c>
      <c r="M1679" s="13" t="b">
        <v>0</v>
      </c>
      <c r="O1679" s="25">
        <f t="shared" si="104"/>
        <v>27</v>
      </c>
      <c r="P1679" s="13">
        <f t="shared" si="105"/>
        <v>0</v>
      </c>
      <c r="Q1679" s="13" t="str">
        <f t="shared" si="106"/>
        <v/>
      </c>
      <c r="R1679" s="13" t="str">
        <f t="shared" si="107"/>
        <v>Non diskon</v>
      </c>
    </row>
    <row r="1680" spans="1:18" x14ac:dyDescent="0.25">
      <c r="A1680" s="13" t="s">
        <v>1692</v>
      </c>
      <c r="B1680" s="13" t="s">
        <v>2193</v>
      </c>
      <c r="C1680" s="13" t="s">
        <v>2196</v>
      </c>
      <c r="D1680" s="13" t="s">
        <v>2206</v>
      </c>
      <c r="E1680" s="13" t="s">
        <v>2213</v>
      </c>
      <c r="F1680" s="13" t="s">
        <v>2214</v>
      </c>
      <c r="G1680" s="13">
        <v>151.27000000000001</v>
      </c>
      <c r="H1680" s="13">
        <v>0</v>
      </c>
      <c r="I1680" s="13">
        <v>151.27000000000001</v>
      </c>
      <c r="J1680" s="24">
        <v>45875</v>
      </c>
      <c r="K1680" s="13">
        <v>39</v>
      </c>
      <c r="L1680" s="44">
        <v>4</v>
      </c>
      <c r="M1680" s="13" t="b">
        <v>1</v>
      </c>
      <c r="N1680" s="13" t="s">
        <v>2227</v>
      </c>
      <c r="O1680" s="25">
        <f t="shared" si="104"/>
        <v>27</v>
      </c>
      <c r="P1680" s="13">
        <f t="shared" si="105"/>
        <v>0</v>
      </c>
      <c r="Q1680" s="13">
        <f t="shared" si="106"/>
        <v>1</v>
      </c>
      <c r="R1680" s="13" t="str">
        <f t="shared" si="107"/>
        <v>Non diskon</v>
      </c>
    </row>
    <row r="1681" spans="1:18" x14ac:dyDescent="0.25">
      <c r="A1681" s="13" t="s">
        <v>1693</v>
      </c>
      <c r="B1681" s="13" t="s">
        <v>2192</v>
      </c>
      <c r="C1681" s="13" t="s">
        <v>2202</v>
      </c>
      <c r="D1681" s="13" t="s">
        <v>2204</v>
      </c>
      <c r="F1681" s="13" t="s">
        <v>2222</v>
      </c>
      <c r="G1681" s="13">
        <v>61.47</v>
      </c>
      <c r="H1681" s="13">
        <v>0</v>
      </c>
      <c r="I1681" s="13">
        <v>61.47</v>
      </c>
      <c r="J1681" s="24">
        <v>45529</v>
      </c>
      <c r="K1681" s="13">
        <v>44</v>
      </c>
      <c r="L1681" s="44">
        <v>3.2720930232558145</v>
      </c>
      <c r="M1681" s="13" t="b">
        <v>0</v>
      </c>
      <c r="O1681" s="25">
        <f t="shared" si="104"/>
        <v>373</v>
      </c>
      <c r="P1681" s="13">
        <f t="shared" si="105"/>
        <v>0</v>
      </c>
      <c r="Q1681" s="13" t="str">
        <f t="shared" si="106"/>
        <v/>
      </c>
      <c r="R1681" s="13" t="str">
        <f t="shared" si="107"/>
        <v>Non diskon</v>
      </c>
    </row>
    <row r="1682" spans="1:18" x14ac:dyDescent="0.25">
      <c r="A1682" s="13" t="s">
        <v>1694</v>
      </c>
      <c r="B1682" s="13" t="s">
        <v>2193</v>
      </c>
      <c r="C1682" s="13" t="s">
        <v>2199</v>
      </c>
      <c r="D1682" s="13" t="s">
        <v>2207</v>
      </c>
      <c r="E1682" s="13" t="s">
        <v>2213</v>
      </c>
      <c r="F1682" s="13" t="s">
        <v>2222</v>
      </c>
      <c r="G1682" s="13">
        <v>185.96</v>
      </c>
      <c r="H1682" s="13">
        <v>0</v>
      </c>
      <c r="I1682" s="13">
        <v>185.96</v>
      </c>
      <c r="J1682" s="24">
        <v>45875</v>
      </c>
      <c r="K1682" s="13">
        <v>35</v>
      </c>
      <c r="L1682" s="44">
        <v>1.3</v>
      </c>
      <c r="M1682" s="13" t="b">
        <v>0</v>
      </c>
      <c r="O1682" s="25">
        <f t="shared" si="104"/>
        <v>27</v>
      </c>
      <c r="P1682" s="13">
        <f t="shared" si="105"/>
        <v>0</v>
      </c>
      <c r="Q1682" s="13" t="str">
        <f t="shared" si="106"/>
        <v/>
      </c>
      <c r="R1682" s="13" t="str">
        <f t="shared" si="107"/>
        <v>Non diskon</v>
      </c>
    </row>
    <row r="1683" spans="1:18" x14ac:dyDescent="0.25">
      <c r="A1683" s="13" t="s">
        <v>1695</v>
      </c>
      <c r="B1683" s="13" t="s">
        <v>2195</v>
      </c>
      <c r="C1683" s="13" t="s">
        <v>2202</v>
      </c>
      <c r="D1683" s="13" t="s">
        <v>2206</v>
      </c>
      <c r="E1683" s="13" t="s">
        <v>2213</v>
      </c>
      <c r="F1683" s="13" t="s">
        <v>2214</v>
      </c>
      <c r="G1683" s="13">
        <v>113.05</v>
      </c>
      <c r="H1683" s="13">
        <v>0</v>
      </c>
      <c r="I1683" s="13">
        <v>113.05</v>
      </c>
      <c r="J1683" s="24">
        <v>45875</v>
      </c>
      <c r="K1683" s="13">
        <v>47</v>
      </c>
      <c r="L1683" s="44">
        <v>2</v>
      </c>
      <c r="M1683" s="13" t="b">
        <v>0</v>
      </c>
      <c r="O1683" s="25">
        <f t="shared" si="104"/>
        <v>27</v>
      </c>
      <c r="P1683" s="13">
        <f t="shared" si="105"/>
        <v>0</v>
      </c>
      <c r="Q1683" s="13" t="str">
        <f t="shared" si="106"/>
        <v/>
      </c>
      <c r="R1683" s="13" t="str">
        <f t="shared" si="107"/>
        <v>Non diskon</v>
      </c>
    </row>
    <row r="1684" spans="1:18" x14ac:dyDescent="0.25">
      <c r="A1684" s="13" t="s">
        <v>1696</v>
      </c>
      <c r="B1684" s="13" t="s">
        <v>2191</v>
      </c>
      <c r="C1684" s="13" t="s">
        <v>2198</v>
      </c>
      <c r="D1684" s="13" t="s">
        <v>2207</v>
      </c>
      <c r="E1684" s="13" t="s">
        <v>2209</v>
      </c>
      <c r="F1684" s="13" t="s">
        <v>2224</v>
      </c>
      <c r="G1684" s="13">
        <v>110.9</v>
      </c>
      <c r="H1684" s="13">
        <v>34.700000000000003</v>
      </c>
      <c r="I1684" s="13">
        <v>72.42</v>
      </c>
      <c r="J1684" s="24">
        <v>45875</v>
      </c>
      <c r="K1684" s="13">
        <v>2</v>
      </c>
      <c r="L1684" s="44">
        <v>2.5</v>
      </c>
      <c r="M1684" s="13" t="b">
        <v>0</v>
      </c>
      <c r="O1684" s="25">
        <f t="shared" si="104"/>
        <v>27</v>
      </c>
      <c r="P1684" s="13">
        <f t="shared" si="105"/>
        <v>69.400000000000006</v>
      </c>
      <c r="Q1684" s="13" t="str">
        <f t="shared" si="106"/>
        <v/>
      </c>
      <c r="R1684" s="13" t="str">
        <f t="shared" si="107"/>
        <v>Diskon</v>
      </c>
    </row>
    <row r="1685" spans="1:18" x14ac:dyDescent="0.25">
      <c r="A1685" s="13" t="s">
        <v>1697</v>
      </c>
      <c r="B1685" s="13" t="s">
        <v>2191</v>
      </c>
      <c r="C1685" s="13" t="s">
        <v>2197</v>
      </c>
      <c r="D1685" s="13" t="s">
        <v>2207</v>
      </c>
      <c r="E1685" s="13" t="s">
        <v>2211</v>
      </c>
      <c r="F1685" s="13" t="s">
        <v>2217</v>
      </c>
      <c r="G1685" s="13">
        <v>29.04</v>
      </c>
      <c r="H1685" s="13">
        <v>0</v>
      </c>
      <c r="I1685" s="13">
        <v>29.04</v>
      </c>
      <c r="J1685" s="24">
        <v>45875</v>
      </c>
      <c r="K1685" s="13">
        <v>4</v>
      </c>
      <c r="L1685" s="44">
        <v>5</v>
      </c>
      <c r="M1685" s="13" t="b">
        <v>0</v>
      </c>
      <c r="O1685" s="25">
        <f t="shared" si="104"/>
        <v>27</v>
      </c>
      <c r="P1685" s="13">
        <f t="shared" si="105"/>
        <v>0</v>
      </c>
      <c r="Q1685" s="13" t="str">
        <f t="shared" si="106"/>
        <v/>
      </c>
      <c r="R1685" s="13" t="str">
        <f t="shared" si="107"/>
        <v>Non diskon</v>
      </c>
    </row>
    <row r="1686" spans="1:18" x14ac:dyDescent="0.25">
      <c r="A1686" s="13" t="s">
        <v>1698</v>
      </c>
      <c r="B1686" s="13" t="s">
        <v>2193</v>
      </c>
      <c r="C1686" s="13" t="s">
        <v>2203</v>
      </c>
      <c r="D1686" s="13" t="s">
        <v>2204</v>
      </c>
      <c r="E1686" s="13" t="s">
        <v>2208</v>
      </c>
      <c r="F1686" s="13" t="s">
        <v>2218</v>
      </c>
      <c r="G1686" s="13">
        <v>164.48</v>
      </c>
      <c r="H1686" s="13">
        <v>51.5</v>
      </c>
      <c r="I1686" s="13">
        <v>79.77</v>
      </c>
      <c r="J1686" s="24">
        <v>45542</v>
      </c>
      <c r="K1686" s="13">
        <v>27</v>
      </c>
      <c r="L1686" s="44">
        <v>3.4</v>
      </c>
      <c r="M1686" s="13" t="b">
        <v>0</v>
      </c>
      <c r="O1686" s="25">
        <f t="shared" si="104"/>
        <v>360</v>
      </c>
      <c r="P1686" s="13">
        <f t="shared" si="105"/>
        <v>1390.5</v>
      </c>
      <c r="Q1686" s="13" t="str">
        <f t="shared" si="106"/>
        <v/>
      </c>
      <c r="R1686" s="13" t="str">
        <f t="shared" si="107"/>
        <v>Diskon</v>
      </c>
    </row>
    <row r="1687" spans="1:18" x14ac:dyDescent="0.25">
      <c r="A1687" s="13" t="s">
        <v>1699</v>
      </c>
      <c r="B1687" s="13" t="s">
        <v>2194</v>
      </c>
      <c r="C1687" s="13" t="s">
        <v>2198</v>
      </c>
      <c r="D1687" s="13" t="s">
        <v>2205</v>
      </c>
      <c r="E1687" s="13" t="s">
        <v>2209</v>
      </c>
      <c r="F1687" s="13" t="s">
        <v>2217</v>
      </c>
      <c r="G1687" s="13">
        <v>52.51</v>
      </c>
      <c r="H1687" s="13">
        <v>49.4</v>
      </c>
      <c r="I1687" s="13">
        <v>26.57</v>
      </c>
      <c r="J1687" s="24">
        <v>45875</v>
      </c>
      <c r="K1687" s="13">
        <v>37</v>
      </c>
      <c r="L1687" s="44">
        <v>3.5</v>
      </c>
      <c r="M1687" s="13" t="b">
        <v>1</v>
      </c>
      <c r="N1687" s="13" t="s">
        <v>2229</v>
      </c>
      <c r="O1687" s="25">
        <f t="shared" si="104"/>
        <v>27</v>
      </c>
      <c r="P1687" s="13">
        <f t="shared" si="105"/>
        <v>1827.8</v>
      </c>
      <c r="Q1687" s="13">
        <f t="shared" si="106"/>
        <v>1</v>
      </c>
      <c r="R1687" s="13" t="str">
        <f t="shared" si="107"/>
        <v>Diskon</v>
      </c>
    </row>
    <row r="1688" spans="1:18" x14ac:dyDescent="0.25">
      <c r="A1688" s="13" t="s">
        <v>1700</v>
      </c>
      <c r="B1688" s="13" t="s">
        <v>2195</v>
      </c>
      <c r="C1688" s="13" t="s">
        <v>2201</v>
      </c>
      <c r="D1688" s="13" t="s">
        <v>2205</v>
      </c>
      <c r="E1688" s="13" t="s">
        <v>2211</v>
      </c>
      <c r="F1688" s="13" t="s">
        <v>2218</v>
      </c>
      <c r="G1688" s="13">
        <v>175.74</v>
      </c>
      <c r="H1688" s="13">
        <v>42.9</v>
      </c>
      <c r="I1688" s="13">
        <v>100.35</v>
      </c>
      <c r="J1688" s="24">
        <v>45875</v>
      </c>
      <c r="K1688" s="13">
        <v>48</v>
      </c>
      <c r="L1688" s="44">
        <v>3.1874999999999991</v>
      </c>
      <c r="M1688" s="13" t="b">
        <v>1</v>
      </c>
      <c r="N1688" s="13" t="s">
        <v>2229</v>
      </c>
      <c r="O1688" s="25">
        <f t="shared" si="104"/>
        <v>27</v>
      </c>
      <c r="P1688" s="13">
        <f t="shared" si="105"/>
        <v>2059.1999999999998</v>
      </c>
      <c r="Q1688" s="13">
        <f t="shared" si="106"/>
        <v>1</v>
      </c>
      <c r="R1688" s="13" t="str">
        <f t="shared" si="107"/>
        <v>Diskon</v>
      </c>
    </row>
    <row r="1689" spans="1:18" x14ac:dyDescent="0.25">
      <c r="A1689" s="13" t="s">
        <v>1701</v>
      </c>
      <c r="B1689" s="13" t="s">
        <v>2191</v>
      </c>
      <c r="C1689" s="13" t="s">
        <v>2201</v>
      </c>
      <c r="D1689" s="13" t="s">
        <v>2204</v>
      </c>
      <c r="E1689" s="13" t="s">
        <v>2212</v>
      </c>
      <c r="F1689" s="13" t="s">
        <v>2221</v>
      </c>
      <c r="G1689" s="13">
        <v>57.06</v>
      </c>
      <c r="H1689" s="13">
        <v>27.5</v>
      </c>
      <c r="I1689" s="13">
        <v>41.37</v>
      </c>
      <c r="J1689" s="24">
        <v>45651</v>
      </c>
      <c r="K1689" s="13">
        <v>43</v>
      </c>
      <c r="L1689" s="44">
        <v>1.8</v>
      </c>
      <c r="M1689" s="13" t="b">
        <v>0</v>
      </c>
      <c r="O1689" s="25">
        <f t="shared" si="104"/>
        <v>251</v>
      </c>
      <c r="P1689" s="13">
        <f t="shared" si="105"/>
        <v>1182.5</v>
      </c>
      <c r="Q1689" s="13" t="str">
        <f t="shared" si="106"/>
        <v/>
      </c>
      <c r="R1689" s="13" t="str">
        <f t="shared" si="107"/>
        <v>Diskon</v>
      </c>
    </row>
    <row r="1690" spans="1:18" x14ac:dyDescent="0.25">
      <c r="A1690" s="13" t="s">
        <v>1702</v>
      </c>
      <c r="B1690" s="13" t="s">
        <v>2195</v>
      </c>
      <c r="C1690" s="13" t="s">
        <v>2201</v>
      </c>
      <c r="D1690" s="13" t="s">
        <v>2205</v>
      </c>
      <c r="E1690" s="13" t="s">
        <v>2209</v>
      </c>
      <c r="F1690" s="13" t="s">
        <v>2216</v>
      </c>
      <c r="G1690" s="13">
        <v>158.24</v>
      </c>
      <c r="H1690" s="13">
        <v>0</v>
      </c>
      <c r="I1690" s="13">
        <v>158.24</v>
      </c>
      <c r="J1690" s="24">
        <v>45875</v>
      </c>
      <c r="K1690" s="13">
        <v>41</v>
      </c>
      <c r="L1690" s="44">
        <v>3.1</v>
      </c>
      <c r="M1690" s="13" t="b">
        <v>0</v>
      </c>
      <c r="O1690" s="25">
        <f t="shared" si="104"/>
        <v>27</v>
      </c>
      <c r="P1690" s="13">
        <f t="shared" si="105"/>
        <v>0</v>
      </c>
      <c r="Q1690" s="13" t="str">
        <f t="shared" si="106"/>
        <v/>
      </c>
      <c r="R1690" s="13" t="str">
        <f t="shared" si="107"/>
        <v>Non diskon</v>
      </c>
    </row>
    <row r="1691" spans="1:18" x14ac:dyDescent="0.25">
      <c r="A1691" s="13" t="s">
        <v>1703</v>
      </c>
      <c r="B1691" s="13" t="s">
        <v>2190</v>
      </c>
      <c r="C1691" s="13" t="s">
        <v>2199</v>
      </c>
      <c r="D1691" s="13" t="s">
        <v>2206</v>
      </c>
      <c r="F1691" s="13" t="s">
        <v>2215</v>
      </c>
      <c r="G1691" s="13">
        <v>153.46</v>
      </c>
      <c r="H1691" s="13">
        <v>0</v>
      </c>
      <c r="I1691" s="13">
        <v>153.46</v>
      </c>
      <c r="J1691" s="24">
        <v>45875</v>
      </c>
      <c r="K1691" s="13">
        <v>27</v>
      </c>
      <c r="L1691" s="44">
        <v>1.7</v>
      </c>
      <c r="M1691" s="13" t="b">
        <v>0</v>
      </c>
      <c r="O1691" s="25">
        <f t="shared" si="104"/>
        <v>27</v>
      </c>
      <c r="P1691" s="13">
        <f t="shared" si="105"/>
        <v>0</v>
      </c>
      <c r="Q1691" s="13" t="str">
        <f t="shared" si="106"/>
        <v/>
      </c>
      <c r="R1691" s="13" t="str">
        <f t="shared" si="107"/>
        <v>Non diskon</v>
      </c>
    </row>
    <row r="1692" spans="1:18" x14ac:dyDescent="0.25">
      <c r="A1692" s="13" t="s">
        <v>1704</v>
      </c>
      <c r="B1692" s="13" t="s">
        <v>2192</v>
      </c>
      <c r="C1692" s="13" t="s">
        <v>2196</v>
      </c>
      <c r="D1692" s="13" t="s">
        <v>2204</v>
      </c>
      <c r="F1692" s="13" t="s">
        <v>2224</v>
      </c>
      <c r="G1692" s="13">
        <v>54.92</v>
      </c>
      <c r="H1692" s="13">
        <v>0</v>
      </c>
      <c r="I1692" s="13">
        <v>54.92</v>
      </c>
      <c r="J1692" s="24">
        <v>45759</v>
      </c>
      <c r="K1692" s="13">
        <v>44</v>
      </c>
      <c r="L1692" s="44">
        <v>3.1</v>
      </c>
      <c r="M1692" s="13" t="b">
        <v>0</v>
      </c>
      <c r="O1692" s="25">
        <f t="shared" si="104"/>
        <v>143</v>
      </c>
      <c r="P1692" s="13">
        <f t="shared" si="105"/>
        <v>0</v>
      </c>
      <c r="Q1692" s="13" t="str">
        <f t="shared" si="106"/>
        <v/>
      </c>
      <c r="R1692" s="13" t="str">
        <f t="shared" si="107"/>
        <v>Non diskon</v>
      </c>
    </row>
    <row r="1693" spans="1:18" x14ac:dyDescent="0.25">
      <c r="A1693" s="13" t="s">
        <v>1705</v>
      </c>
      <c r="B1693" s="13" t="s">
        <v>2192</v>
      </c>
      <c r="C1693" s="13" t="s">
        <v>2197</v>
      </c>
      <c r="D1693" s="13" t="s">
        <v>2204</v>
      </c>
      <c r="F1693" s="13" t="s">
        <v>2223</v>
      </c>
      <c r="G1693" s="13">
        <v>32.200000000000003</v>
      </c>
      <c r="H1693" s="13">
        <v>19.2</v>
      </c>
      <c r="I1693" s="13">
        <v>26.02</v>
      </c>
      <c r="J1693" s="24">
        <v>45865</v>
      </c>
      <c r="K1693" s="13">
        <v>8</v>
      </c>
      <c r="L1693" s="44">
        <v>4.3</v>
      </c>
      <c r="M1693" s="13" t="b">
        <v>0</v>
      </c>
      <c r="O1693" s="25">
        <f t="shared" si="104"/>
        <v>37</v>
      </c>
      <c r="P1693" s="13">
        <f t="shared" si="105"/>
        <v>153.6</v>
      </c>
      <c r="Q1693" s="13" t="str">
        <f t="shared" si="106"/>
        <v/>
      </c>
      <c r="R1693" s="13" t="str">
        <f t="shared" si="107"/>
        <v>Diskon</v>
      </c>
    </row>
    <row r="1694" spans="1:18" x14ac:dyDescent="0.25">
      <c r="A1694" s="13" t="s">
        <v>1706</v>
      </c>
      <c r="B1694" s="13" t="s">
        <v>2192</v>
      </c>
      <c r="C1694" s="13" t="s">
        <v>2199</v>
      </c>
      <c r="D1694" s="13" t="s">
        <v>2206</v>
      </c>
      <c r="F1694" s="13" t="s">
        <v>2224</v>
      </c>
      <c r="G1694" s="13">
        <v>66.489999999999995</v>
      </c>
      <c r="H1694" s="13">
        <v>29.1</v>
      </c>
      <c r="I1694" s="13">
        <v>47.14</v>
      </c>
      <c r="J1694" s="24">
        <v>45875</v>
      </c>
      <c r="K1694" s="13">
        <v>37</v>
      </c>
      <c r="L1694" s="44">
        <v>1.3</v>
      </c>
      <c r="M1694" s="13" t="b">
        <v>0</v>
      </c>
      <c r="O1694" s="25">
        <f t="shared" si="104"/>
        <v>27</v>
      </c>
      <c r="P1694" s="13">
        <f t="shared" si="105"/>
        <v>1076.7</v>
      </c>
      <c r="Q1694" s="13" t="str">
        <f t="shared" si="106"/>
        <v/>
      </c>
      <c r="R1694" s="13" t="str">
        <f t="shared" si="107"/>
        <v>Diskon</v>
      </c>
    </row>
    <row r="1695" spans="1:18" x14ac:dyDescent="0.25">
      <c r="A1695" s="13" t="s">
        <v>1707</v>
      </c>
      <c r="B1695" s="13" t="s">
        <v>2192</v>
      </c>
      <c r="C1695" s="13" t="s">
        <v>2199</v>
      </c>
      <c r="D1695" s="13" t="s">
        <v>2205</v>
      </c>
      <c r="F1695" s="13" t="s">
        <v>2219</v>
      </c>
      <c r="G1695" s="13">
        <v>32.950000000000003</v>
      </c>
      <c r="H1695" s="13">
        <v>50.2</v>
      </c>
      <c r="I1695" s="13">
        <v>16.41</v>
      </c>
      <c r="J1695" s="24">
        <v>45875</v>
      </c>
      <c r="K1695" s="13">
        <v>46</v>
      </c>
      <c r="L1695" s="44">
        <v>2.5131578947368416</v>
      </c>
      <c r="M1695" s="13" t="b">
        <v>0</v>
      </c>
      <c r="O1695" s="25">
        <f t="shared" si="104"/>
        <v>27</v>
      </c>
      <c r="P1695" s="13">
        <f t="shared" si="105"/>
        <v>2309.2000000000003</v>
      </c>
      <c r="Q1695" s="13" t="str">
        <f t="shared" si="106"/>
        <v/>
      </c>
      <c r="R1695" s="13" t="str">
        <f t="shared" si="107"/>
        <v>Diskon</v>
      </c>
    </row>
    <row r="1696" spans="1:18" x14ac:dyDescent="0.25">
      <c r="A1696" s="13" t="s">
        <v>1708</v>
      </c>
      <c r="B1696" s="13" t="s">
        <v>2192</v>
      </c>
      <c r="C1696" s="13" t="s">
        <v>2200</v>
      </c>
      <c r="D1696" s="13" t="s">
        <v>2206</v>
      </c>
      <c r="F1696" s="13" t="s">
        <v>2218</v>
      </c>
      <c r="G1696" s="13">
        <v>54.31</v>
      </c>
      <c r="H1696" s="13">
        <v>19.2</v>
      </c>
      <c r="I1696" s="13">
        <v>43.88</v>
      </c>
      <c r="J1696" s="24">
        <v>45875</v>
      </c>
      <c r="K1696" s="13">
        <v>19</v>
      </c>
      <c r="L1696" s="44">
        <v>1.8</v>
      </c>
      <c r="M1696" s="13" t="b">
        <v>0</v>
      </c>
      <c r="O1696" s="25">
        <f t="shared" si="104"/>
        <v>27</v>
      </c>
      <c r="P1696" s="13">
        <f t="shared" si="105"/>
        <v>364.8</v>
      </c>
      <c r="Q1696" s="13" t="str">
        <f t="shared" si="106"/>
        <v/>
      </c>
      <c r="R1696" s="13" t="str">
        <f t="shared" si="107"/>
        <v>Diskon</v>
      </c>
    </row>
    <row r="1697" spans="1:18" x14ac:dyDescent="0.25">
      <c r="A1697" s="13" t="s">
        <v>1709</v>
      </c>
      <c r="B1697" s="13" t="s">
        <v>2192</v>
      </c>
      <c r="C1697" s="13" t="s">
        <v>2198</v>
      </c>
      <c r="D1697" s="13" t="s">
        <v>2207</v>
      </c>
      <c r="F1697" s="13" t="s">
        <v>2222</v>
      </c>
      <c r="G1697" s="13">
        <v>19.68</v>
      </c>
      <c r="H1697" s="13">
        <v>0</v>
      </c>
      <c r="I1697" s="13">
        <v>19.68</v>
      </c>
      <c r="J1697" s="24">
        <v>45875</v>
      </c>
      <c r="K1697" s="13">
        <v>29</v>
      </c>
      <c r="L1697" s="44">
        <v>1.5</v>
      </c>
      <c r="M1697" s="13" t="b">
        <v>1</v>
      </c>
      <c r="N1697" s="13" t="s">
        <v>2226</v>
      </c>
      <c r="O1697" s="25">
        <f t="shared" si="104"/>
        <v>27</v>
      </c>
      <c r="P1697" s="13">
        <f t="shared" si="105"/>
        <v>0</v>
      </c>
      <c r="Q1697" s="13">
        <f t="shared" si="106"/>
        <v>1</v>
      </c>
      <c r="R1697" s="13" t="str">
        <f t="shared" si="107"/>
        <v>Non diskon</v>
      </c>
    </row>
    <row r="1698" spans="1:18" x14ac:dyDescent="0.25">
      <c r="A1698" s="13" t="s">
        <v>1710</v>
      </c>
      <c r="B1698" s="13" t="s">
        <v>2191</v>
      </c>
      <c r="C1698" s="13" t="s">
        <v>2196</v>
      </c>
      <c r="D1698" s="13" t="s">
        <v>2204</v>
      </c>
      <c r="E1698" s="13" t="s">
        <v>2212</v>
      </c>
      <c r="F1698" s="13" t="s">
        <v>2218</v>
      </c>
      <c r="G1698" s="13">
        <v>105.19</v>
      </c>
      <c r="H1698" s="13">
        <v>24.3</v>
      </c>
      <c r="I1698" s="13">
        <v>79.63</v>
      </c>
      <c r="J1698" s="24">
        <v>45822</v>
      </c>
      <c r="K1698" s="13">
        <v>47</v>
      </c>
      <c r="L1698" s="44">
        <v>5</v>
      </c>
      <c r="M1698" s="13" t="b">
        <v>0</v>
      </c>
      <c r="O1698" s="25">
        <f t="shared" si="104"/>
        <v>80</v>
      </c>
      <c r="P1698" s="13">
        <f t="shared" si="105"/>
        <v>1142.1000000000001</v>
      </c>
      <c r="Q1698" s="13" t="str">
        <f t="shared" si="106"/>
        <v/>
      </c>
      <c r="R1698" s="13" t="str">
        <f t="shared" si="107"/>
        <v>Diskon</v>
      </c>
    </row>
    <row r="1699" spans="1:18" x14ac:dyDescent="0.25">
      <c r="A1699" s="13" t="s">
        <v>1711</v>
      </c>
      <c r="B1699" s="13" t="s">
        <v>2192</v>
      </c>
      <c r="C1699" s="13" t="s">
        <v>2198</v>
      </c>
      <c r="D1699" s="13" t="s">
        <v>2207</v>
      </c>
      <c r="F1699" s="13" t="s">
        <v>2220</v>
      </c>
      <c r="G1699" s="13">
        <v>20.3</v>
      </c>
      <c r="H1699" s="13">
        <v>19.600000000000001</v>
      </c>
      <c r="I1699" s="13">
        <v>16.32</v>
      </c>
      <c r="J1699" s="24">
        <v>45875</v>
      </c>
      <c r="K1699" s="13">
        <v>47</v>
      </c>
      <c r="L1699" s="44">
        <v>2.9</v>
      </c>
      <c r="M1699" s="13" t="b">
        <v>1</v>
      </c>
      <c r="N1699" s="13" t="s">
        <v>2229</v>
      </c>
      <c r="O1699" s="25">
        <f t="shared" si="104"/>
        <v>27</v>
      </c>
      <c r="P1699" s="13">
        <f t="shared" si="105"/>
        <v>921.2</v>
      </c>
      <c r="Q1699" s="13">
        <f t="shared" si="106"/>
        <v>1</v>
      </c>
      <c r="R1699" s="13" t="str">
        <f t="shared" si="107"/>
        <v>Diskon</v>
      </c>
    </row>
    <row r="1700" spans="1:18" x14ac:dyDescent="0.25">
      <c r="A1700" s="13" t="s">
        <v>1712</v>
      </c>
      <c r="B1700" s="13" t="s">
        <v>2194</v>
      </c>
      <c r="C1700" s="13" t="s">
        <v>2199</v>
      </c>
      <c r="D1700" s="13" t="s">
        <v>2207</v>
      </c>
      <c r="E1700" s="13" t="s">
        <v>2210</v>
      </c>
      <c r="F1700" s="13" t="s">
        <v>2224</v>
      </c>
      <c r="G1700" s="13">
        <v>105.37</v>
      </c>
      <c r="H1700" s="13">
        <v>19.600000000000001</v>
      </c>
      <c r="I1700" s="13">
        <v>84.72</v>
      </c>
      <c r="J1700" s="24">
        <v>45875</v>
      </c>
      <c r="K1700" s="13">
        <v>39</v>
      </c>
      <c r="L1700" s="44">
        <v>4.3</v>
      </c>
      <c r="M1700" s="13" t="b">
        <v>0</v>
      </c>
      <c r="O1700" s="25">
        <f t="shared" si="104"/>
        <v>27</v>
      </c>
      <c r="P1700" s="13">
        <f t="shared" si="105"/>
        <v>764.40000000000009</v>
      </c>
      <c r="Q1700" s="13" t="str">
        <f t="shared" si="106"/>
        <v/>
      </c>
      <c r="R1700" s="13" t="str">
        <f t="shared" si="107"/>
        <v>Diskon</v>
      </c>
    </row>
    <row r="1701" spans="1:18" x14ac:dyDescent="0.25">
      <c r="A1701" s="13" t="s">
        <v>1713</v>
      </c>
      <c r="B1701" s="13" t="s">
        <v>2195</v>
      </c>
      <c r="C1701" s="13" t="s">
        <v>2201</v>
      </c>
      <c r="D1701" s="13" t="s">
        <v>2205</v>
      </c>
      <c r="E1701" s="13" t="s">
        <v>2212</v>
      </c>
      <c r="F1701" s="13" t="s">
        <v>2220</v>
      </c>
      <c r="G1701" s="13">
        <v>156.24</v>
      </c>
      <c r="H1701" s="13">
        <v>0</v>
      </c>
      <c r="I1701" s="13">
        <v>156.24</v>
      </c>
      <c r="J1701" s="24">
        <v>45875</v>
      </c>
      <c r="K1701" s="13">
        <v>15</v>
      </c>
      <c r="L1701" s="44">
        <v>5</v>
      </c>
      <c r="M1701" s="13" t="b">
        <v>0</v>
      </c>
      <c r="O1701" s="25">
        <f t="shared" si="104"/>
        <v>27</v>
      </c>
      <c r="P1701" s="13">
        <f t="shared" si="105"/>
        <v>0</v>
      </c>
      <c r="Q1701" s="13" t="str">
        <f t="shared" si="106"/>
        <v/>
      </c>
      <c r="R1701" s="13" t="str">
        <f t="shared" si="107"/>
        <v>Non diskon</v>
      </c>
    </row>
    <row r="1702" spans="1:18" x14ac:dyDescent="0.25">
      <c r="A1702" s="13" t="s">
        <v>1714</v>
      </c>
      <c r="B1702" s="13" t="s">
        <v>2193</v>
      </c>
      <c r="C1702" s="13" t="s">
        <v>2199</v>
      </c>
      <c r="D1702" s="13" t="s">
        <v>2205</v>
      </c>
      <c r="E1702" s="13" t="s">
        <v>2212</v>
      </c>
      <c r="F1702" s="13" t="s">
        <v>2224</v>
      </c>
      <c r="G1702" s="13">
        <v>162.19</v>
      </c>
      <c r="H1702" s="13">
        <v>5.7</v>
      </c>
      <c r="I1702" s="13">
        <v>152.94999999999999</v>
      </c>
      <c r="J1702" s="24">
        <v>45875</v>
      </c>
      <c r="K1702" s="13">
        <v>39</v>
      </c>
      <c r="L1702" s="44">
        <v>1.4</v>
      </c>
      <c r="M1702" s="13" t="b">
        <v>0</v>
      </c>
      <c r="O1702" s="25">
        <f t="shared" si="104"/>
        <v>27</v>
      </c>
      <c r="P1702" s="13">
        <f t="shared" si="105"/>
        <v>222.3</v>
      </c>
      <c r="Q1702" s="13" t="str">
        <f t="shared" si="106"/>
        <v/>
      </c>
      <c r="R1702" s="13" t="str">
        <f t="shared" si="107"/>
        <v>Diskon</v>
      </c>
    </row>
    <row r="1703" spans="1:18" x14ac:dyDescent="0.25">
      <c r="A1703" s="13" t="s">
        <v>1715</v>
      </c>
      <c r="B1703" s="13" t="s">
        <v>2191</v>
      </c>
      <c r="C1703" s="13" t="s">
        <v>2200</v>
      </c>
      <c r="D1703" s="13" t="s">
        <v>2204</v>
      </c>
      <c r="E1703" s="13" t="s">
        <v>2213</v>
      </c>
      <c r="F1703" s="13" t="s">
        <v>2221</v>
      </c>
      <c r="G1703" s="13">
        <v>75.790000000000006</v>
      </c>
      <c r="H1703" s="13">
        <v>7.1</v>
      </c>
      <c r="I1703" s="13">
        <v>70.41</v>
      </c>
      <c r="J1703" s="24">
        <v>45745</v>
      </c>
      <c r="K1703" s="13">
        <v>13</v>
      </c>
      <c r="L1703" s="44">
        <v>3.3</v>
      </c>
      <c r="M1703" s="13" t="b">
        <v>0</v>
      </c>
      <c r="O1703" s="25">
        <f t="shared" si="104"/>
        <v>157</v>
      </c>
      <c r="P1703" s="13">
        <f t="shared" si="105"/>
        <v>92.3</v>
      </c>
      <c r="Q1703" s="13" t="str">
        <f t="shared" si="106"/>
        <v/>
      </c>
      <c r="R1703" s="13" t="str">
        <f t="shared" si="107"/>
        <v>Diskon</v>
      </c>
    </row>
    <row r="1704" spans="1:18" x14ac:dyDescent="0.25">
      <c r="A1704" s="13" t="s">
        <v>1716</v>
      </c>
      <c r="B1704" s="13" t="s">
        <v>2192</v>
      </c>
      <c r="C1704" s="13" t="s">
        <v>2203</v>
      </c>
      <c r="D1704" s="13" t="s">
        <v>2207</v>
      </c>
      <c r="F1704" s="13" t="s">
        <v>2215</v>
      </c>
      <c r="G1704" s="13">
        <v>32.04</v>
      </c>
      <c r="H1704" s="13">
        <v>0</v>
      </c>
      <c r="I1704" s="13">
        <v>32.04</v>
      </c>
      <c r="J1704" s="24">
        <v>45875</v>
      </c>
      <c r="K1704" s="13">
        <v>41</v>
      </c>
      <c r="L1704" s="44">
        <v>1.8</v>
      </c>
      <c r="M1704" s="13" t="b">
        <v>0</v>
      </c>
      <c r="O1704" s="25">
        <f t="shared" si="104"/>
        <v>27</v>
      </c>
      <c r="P1704" s="13">
        <f t="shared" si="105"/>
        <v>0</v>
      </c>
      <c r="Q1704" s="13" t="str">
        <f t="shared" si="106"/>
        <v/>
      </c>
      <c r="R1704" s="13" t="str">
        <f t="shared" si="107"/>
        <v>Non diskon</v>
      </c>
    </row>
    <row r="1705" spans="1:18" x14ac:dyDescent="0.25">
      <c r="A1705" s="13" t="s">
        <v>1717</v>
      </c>
      <c r="B1705" s="13" t="s">
        <v>2191</v>
      </c>
      <c r="C1705" s="13" t="s">
        <v>2202</v>
      </c>
      <c r="D1705" s="13" t="s">
        <v>2206</v>
      </c>
      <c r="E1705" s="13" t="s">
        <v>2213</v>
      </c>
      <c r="F1705" s="13" t="s">
        <v>2216</v>
      </c>
      <c r="G1705" s="13">
        <v>27.65</v>
      </c>
      <c r="H1705" s="13">
        <v>31.8</v>
      </c>
      <c r="I1705" s="13">
        <v>18.86</v>
      </c>
      <c r="J1705" s="24">
        <v>45875</v>
      </c>
      <c r="K1705" s="13">
        <v>2</v>
      </c>
      <c r="L1705" s="44">
        <v>3.7</v>
      </c>
      <c r="M1705" s="13" t="b">
        <v>1</v>
      </c>
      <c r="N1705" s="13" t="s">
        <v>2226</v>
      </c>
      <c r="O1705" s="25">
        <f t="shared" si="104"/>
        <v>27</v>
      </c>
      <c r="P1705" s="13">
        <f t="shared" si="105"/>
        <v>63.6</v>
      </c>
      <c r="Q1705" s="13">
        <f t="shared" si="106"/>
        <v>1</v>
      </c>
      <c r="R1705" s="13" t="str">
        <f t="shared" si="107"/>
        <v>Diskon</v>
      </c>
    </row>
    <row r="1706" spans="1:18" x14ac:dyDescent="0.25">
      <c r="A1706" s="13" t="s">
        <v>1718</v>
      </c>
      <c r="B1706" s="13" t="s">
        <v>2194</v>
      </c>
      <c r="C1706" s="13" t="s">
        <v>2198</v>
      </c>
      <c r="D1706" s="13" t="s">
        <v>2204</v>
      </c>
      <c r="E1706" s="13" t="s">
        <v>2213</v>
      </c>
      <c r="F1706" s="13" t="s">
        <v>2223</v>
      </c>
      <c r="G1706" s="13">
        <v>31.54</v>
      </c>
      <c r="H1706" s="13">
        <v>0</v>
      </c>
      <c r="I1706" s="13">
        <v>31.54</v>
      </c>
      <c r="J1706" s="24">
        <v>45872</v>
      </c>
      <c r="K1706" s="13">
        <v>45</v>
      </c>
      <c r="L1706" s="44">
        <v>1.3</v>
      </c>
      <c r="M1706" s="13" t="b">
        <v>0</v>
      </c>
      <c r="O1706" s="25">
        <f t="shared" si="104"/>
        <v>30</v>
      </c>
      <c r="P1706" s="13">
        <f t="shared" si="105"/>
        <v>0</v>
      </c>
      <c r="Q1706" s="13" t="str">
        <f t="shared" si="106"/>
        <v/>
      </c>
      <c r="R1706" s="13" t="str">
        <f t="shared" si="107"/>
        <v>Non diskon</v>
      </c>
    </row>
    <row r="1707" spans="1:18" x14ac:dyDescent="0.25">
      <c r="A1707" s="13" t="s">
        <v>1719</v>
      </c>
      <c r="B1707" s="13" t="s">
        <v>2194</v>
      </c>
      <c r="C1707" s="13" t="s">
        <v>2196</v>
      </c>
      <c r="D1707" s="13" t="s">
        <v>2207</v>
      </c>
      <c r="E1707" s="13" t="s">
        <v>2211</v>
      </c>
      <c r="F1707" s="13" t="s">
        <v>2221</v>
      </c>
      <c r="G1707" s="13">
        <v>77.64</v>
      </c>
      <c r="H1707" s="13">
        <v>39.1</v>
      </c>
      <c r="I1707" s="13">
        <v>47.28</v>
      </c>
      <c r="J1707" s="24">
        <v>45875</v>
      </c>
      <c r="K1707" s="13">
        <v>19</v>
      </c>
      <c r="L1707" s="44">
        <v>2.6</v>
      </c>
      <c r="M1707" s="13" t="b">
        <v>0</v>
      </c>
      <c r="O1707" s="25">
        <f t="shared" si="104"/>
        <v>27</v>
      </c>
      <c r="P1707" s="13">
        <f t="shared" si="105"/>
        <v>742.9</v>
      </c>
      <c r="Q1707" s="13" t="str">
        <f t="shared" si="106"/>
        <v/>
      </c>
      <c r="R1707" s="13" t="str">
        <f t="shared" si="107"/>
        <v>Diskon</v>
      </c>
    </row>
    <row r="1708" spans="1:18" x14ac:dyDescent="0.25">
      <c r="A1708" s="13" t="s">
        <v>1720</v>
      </c>
      <c r="B1708" s="13" t="s">
        <v>2195</v>
      </c>
      <c r="C1708" s="13" t="s">
        <v>2200</v>
      </c>
      <c r="D1708" s="13" t="s">
        <v>2205</v>
      </c>
      <c r="E1708" s="13" t="s">
        <v>2208</v>
      </c>
      <c r="F1708" s="13" t="s">
        <v>2215</v>
      </c>
      <c r="G1708" s="13">
        <v>51.48</v>
      </c>
      <c r="H1708" s="13">
        <v>0</v>
      </c>
      <c r="I1708" s="13">
        <v>51.48</v>
      </c>
      <c r="J1708" s="24">
        <v>45875</v>
      </c>
      <c r="K1708" s="13">
        <v>10</v>
      </c>
      <c r="L1708" s="44">
        <v>1</v>
      </c>
      <c r="M1708" s="13" t="b">
        <v>0</v>
      </c>
      <c r="O1708" s="25">
        <f t="shared" si="104"/>
        <v>27</v>
      </c>
      <c r="P1708" s="13">
        <f t="shared" si="105"/>
        <v>0</v>
      </c>
      <c r="Q1708" s="13" t="str">
        <f t="shared" si="106"/>
        <v/>
      </c>
      <c r="R1708" s="13" t="str">
        <f t="shared" si="107"/>
        <v>Non diskon</v>
      </c>
    </row>
    <row r="1709" spans="1:18" x14ac:dyDescent="0.25">
      <c r="A1709" s="13" t="s">
        <v>1721</v>
      </c>
      <c r="B1709" s="13" t="s">
        <v>2190</v>
      </c>
      <c r="C1709" s="13" t="s">
        <v>2196</v>
      </c>
      <c r="D1709" s="13" t="s">
        <v>2206</v>
      </c>
      <c r="E1709" s="13" t="s">
        <v>2213</v>
      </c>
      <c r="F1709" s="13" t="s">
        <v>2215</v>
      </c>
      <c r="G1709" s="13">
        <v>108.58</v>
      </c>
      <c r="H1709" s="13">
        <v>0</v>
      </c>
      <c r="I1709" s="13">
        <v>108.58</v>
      </c>
      <c r="J1709" s="24">
        <v>45875</v>
      </c>
      <c r="K1709" s="13">
        <v>44</v>
      </c>
      <c r="L1709" s="44">
        <v>2.4</v>
      </c>
      <c r="M1709" s="13" t="b">
        <v>0</v>
      </c>
      <c r="O1709" s="25">
        <f t="shared" si="104"/>
        <v>27</v>
      </c>
      <c r="P1709" s="13">
        <f t="shared" si="105"/>
        <v>0</v>
      </c>
      <c r="Q1709" s="13" t="str">
        <f t="shared" si="106"/>
        <v/>
      </c>
      <c r="R1709" s="13" t="str">
        <f t="shared" si="107"/>
        <v>Non diskon</v>
      </c>
    </row>
    <row r="1710" spans="1:18" x14ac:dyDescent="0.25">
      <c r="A1710" s="13" t="s">
        <v>1722</v>
      </c>
      <c r="B1710" s="13" t="s">
        <v>2191</v>
      </c>
      <c r="C1710" s="13" t="s">
        <v>2203</v>
      </c>
      <c r="D1710" s="13" t="s">
        <v>2205</v>
      </c>
      <c r="E1710" s="13" t="s">
        <v>2211</v>
      </c>
      <c r="F1710" s="13" t="s">
        <v>2216</v>
      </c>
      <c r="G1710" s="13">
        <v>84.17</v>
      </c>
      <c r="H1710" s="13">
        <v>0</v>
      </c>
      <c r="I1710" s="13">
        <v>84.17</v>
      </c>
      <c r="J1710" s="24">
        <v>45875</v>
      </c>
      <c r="K1710" s="13">
        <v>20</v>
      </c>
      <c r="L1710" s="44">
        <v>3.7</v>
      </c>
      <c r="M1710" s="13" t="b">
        <v>0</v>
      </c>
      <c r="O1710" s="25">
        <f t="shared" si="104"/>
        <v>27</v>
      </c>
      <c r="P1710" s="13">
        <f t="shared" si="105"/>
        <v>0</v>
      </c>
      <c r="Q1710" s="13" t="str">
        <f t="shared" si="106"/>
        <v/>
      </c>
      <c r="R1710" s="13" t="str">
        <f t="shared" si="107"/>
        <v>Non diskon</v>
      </c>
    </row>
    <row r="1711" spans="1:18" x14ac:dyDescent="0.25">
      <c r="A1711" s="13" t="s">
        <v>1723</v>
      </c>
      <c r="B1711" s="13" t="s">
        <v>2194</v>
      </c>
      <c r="C1711" s="13" t="s">
        <v>2199</v>
      </c>
      <c r="D1711" s="13" t="s">
        <v>2204</v>
      </c>
      <c r="E1711" s="13" t="s">
        <v>2209</v>
      </c>
      <c r="F1711" s="13" t="s">
        <v>2215</v>
      </c>
      <c r="G1711" s="13">
        <v>76.45</v>
      </c>
      <c r="H1711" s="13">
        <v>0</v>
      </c>
      <c r="I1711" s="13">
        <v>76.45</v>
      </c>
      <c r="J1711" s="24">
        <v>45818</v>
      </c>
      <c r="K1711" s="13">
        <v>16</v>
      </c>
      <c r="L1711" s="44">
        <v>1</v>
      </c>
      <c r="M1711" s="13" t="b">
        <v>1</v>
      </c>
      <c r="N1711" s="13" t="s">
        <v>2225</v>
      </c>
      <c r="O1711" s="25">
        <f t="shared" si="104"/>
        <v>84</v>
      </c>
      <c r="P1711" s="13">
        <f t="shared" si="105"/>
        <v>0</v>
      </c>
      <c r="Q1711" s="13">
        <f t="shared" si="106"/>
        <v>1</v>
      </c>
      <c r="R1711" s="13" t="str">
        <f t="shared" si="107"/>
        <v>Non diskon</v>
      </c>
    </row>
    <row r="1712" spans="1:18" x14ac:dyDescent="0.25">
      <c r="A1712" s="13" t="s">
        <v>1724</v>
      </c>
      <c r="B1712" s="13" t="s">
        <v>2192</v>
      </c>
      <c r="C1712" s="13" t="s">
        <v>2197</v>
      </c>
      <c r="D1712" s="13" t="s">
        <v>2204</v>
      </c>
      <c r="F1712" s="13" t="s">
        <v>2218</v>
      </c>
      <c r="G1712" s="13">
        <v>50.31</v>
      </c>
      <c r="H1712" s="13">
        <v>0</v>
      </c>
      <c r="I1712" s="13">
        <v>50.31</v>
      </c>
      <c r="J1712" s="24">
        <v>45771</v>
      </c>
      <c r="K1712" s="13">
        <v>36</v>
      </c>
      <c r="L1712" s="44">
        <v>3.1288461538461547</v>
      </c>
      <c r="M1712" s="13" t="b">
        <v>0</v>
      </c>
      <c r="O1712" s="25">
        <f t="shared" si="104"/>
        <v>131</v>
      </c>
      <c r="P1712" s="13">
        <f t="shared" si="105"/>
        <v>0</v>
      </c>
      <c r="Q1712" s="13" t="str">
        <f t="shared" si="106"/>
        <v/>
      </c>
      <c r="R1712" s="13" t="str">
        <f t="shared" si="107"/>
        <v>Non diskon</v>
      </c>
    </row>
    <row r="1713" spans="1:18" x14ac:dyDescent="0.25">
      <c r="A1713" s="13" t="s">
        <v>1725</v>
      </c>
      <c r="B1713" s="13" t="s">
        <v>2191</v>
      </c>
      <c r="C1713" s="13" t="s">
        <v>2202</v>
      </c>
      <c r="D1713" s="13" t="s">
        <v>2204</v>
      </c>
      <c r="E1713" s="13" t="s">
        <v>2210</v>
      </c>
      <c r="F1713" s="13" t="s">
        <v>2215</v>
      </c>
      <c r="G1713" s="13">
        <v>43.45</v>
      </c>
      <c r="H1713" s="13">
        <v>0</v>
      </c>
      <c r="I1713" s="13">
        <v>43.45</v>
      </c>
      <c r="J1713" s="24">
        <v>45855</v>
      </c>
      <c r="K1713" s="13">
        <v>30</v>
      </c>
      <c r="L1713" s="44">
        <v>2.2999999999999998</v>
      </c>
      <c r="M1713" s="13" t="b">
        <v>0</v>
      </c>
      <c r="O1713" s="25">
        <f t="shared" si="104"/>
        <v>47</v>
      </c>
      <c r="P1713" s="13">
        <f t="shared" si="105"/>
        <v>0</v>
      </c>
      <c r="Q1713" s="13" t="str">
        <f t="shared" si="106"/>
        <v/>
      </c>
      <c r="R1713" s="13" t="str">
        <f t="shared" si="107"/>
        <v>Non diskon</v>
      </c>
    </row>
    <row r="1714" spans="1:18" x14ac:dyDescent="0.25">
      <c r="A1714" s="13" t="s">
        <v>1726</v>
      </c>
      <c r="B1714" s="13" t="s">
        <v>2195</v>
      </c>
      <c r="C1714" s="13" t="s">
        <v>2197</v>
      </c>
      <c r="D1714" s="13" t="s">
        <v>2206</v>
      </c>
      <c r="E1714" s="13" t="s">
        <v>2208</v>
      </c>
      <c r="F1714" s="13" t="s">
        <v>2218</v>
      </c>
      <c r="G1714" s="13">
        <v>149.22</v>
      </c>
      <c r="H1714" s="13">
        <v>53.9</v>
      </c>
      <c r="I1714" s="13">
        <v>68.790000000000006</v>
      </c>
      <c r="J1714" s="24">
        <v>45875</v>
      </c>
      <c r="K1714" s="13">
        <v>41</v>
      </c>
      <c r="L1714" s="44">
        <v>2.2000000000000002</v>
      </c>
      <c r="M1714" s="13" t="b">
        <v>0</v>
      </c>
      <c r="O1714" s="25">
        <f t="shared" si="104"/>
        <v>27</v>
      </c>
      <c r="P1714" s="13">
        <f t="shared" si="105"/>
        <v>2209.9</v>
      </c>
      <c r="Q1714" s="13" t="str">
        <f t="shared" si="106"/>
        <v/>
      </c>
      <c r="R1714" s="13" t="str">
        <f t="shared" si="107"/>
        <v>Diskon</v>
      </c>
    </row>
    <row r="1715" spans="1:18" x14ac:dyDescent="0.25">
      <c r="A1715" s="13" t="s">
        <v>1727</v>
      </c>
      <c r="B1715" s="13" t="s">
        <v>2194</v>
      </c>
      <c r="C1715" s="13" t="s">
        <v>2202</v>
      </c>
      <c r="D1715" s="13" t="s">
        <v>2207</v>
      </c>
      <c r="E1715" s="13" t="s">
        <v>2212</v>
      </c>
      <c r="F1715" s="13" t="s">
        <v>2218</v>
      </c>
      <c r="G1715" s="13">
        <v>48.24</v>
      </c>
      <c r="H1715" s="13">
        <v>31.7</v>
      </c>
      <c r="I1715" s="13">
        <v>32.950000000000003</v>
      </c>
      <c r="J1715" s="24">
        <v>45875</v>
      </c>
      <c r="K1715" s="13">
        <v>46</v>
      </c>
      <c r="L1715" s="44">
        <v>3.7</v>
      </c>
      <c r="M1715" s="13" t="b">
        <v>0</v>
      </c>
      <c r="O1715" s="25">
        <f t="shared" si="104"/>
        <v>27</v>
      </c>
      <c r="P1715" s="13">
        <f t="shared" si="105"/>
        <v>1458.2</v>
      </c>
      <c r="Q1715" s="13" t="str">
        <f t="shared" si="106"/>
        <v/>
      </c>
      <c r="R1715" s="13" t="str">
        <f t="shared" si="107"/>
        <v>Diskon</v>
      </c>
    </row>
    <row r="1716" spans="1:18" x14ac:dyDescent="0.25">
      <c r="A1716" s="13" t="s">
        <v>1728</v>
      </c>
      <c r="B1716" s="13" t="s">
        <v>2194</v>
      </c>
      <c r="C1716" s="13" t="s">
        <v>2200</v>
      </c>
      <c r="D1716" s="13" t="s">
        <v>2207</v>
      </c>
      <c r="E1716" s="13" t="s">
        <v>2210</v>
      </c>
      <c r="F1716" s="13" t="s">
        <v>2224</v>
      </c>
      <c r="G1716" s="13">
        <v>66.27</v>
      </c>
      <c r="H1716" s="13">
        <v>21.7</v>
      </c>
      <c r="I1716" s="13">
        <v>51.89</v>
      </c>
      <c r="J1716" s="24">
        <v>45875</v>
      </c>
      <c r="K1716" s="13">
        <v>28</v>
      </c>
      <c r="L1716" s="44">
        <v>2.5</v>
      </c>
      <c r="M1716" s="13" t="b">
        <v>1</v>
      </c>
      <c r="N1716" s="13" t="s">
        <v>2229</v>
      </c>
      <c r="O1716" s="25">
        <f t="shared" si="104"/>
        <v>27</v>
      </c>
      <c r="P1716" s="13">
        <f t="shared" si="105"/>
        <v>607.6</v>
      </c>
      <c r="Q1716" s="13">
        <f t="shared" si="106"/>
        <v>1</v>
      </c>
      <c r="R1716" s="13" t="str">
        <f t="shared" si="107"/>
        <v>Diskon</v>
      </c>
    </row>
    <row r="1717" spans="1:18" x14ac:dyDescent="0.25">
      <c r="A1717" s="13" t="s">
        <v>1729</v>
      </c>
      <c r="B1717" s="13" t="s">
        <v>2193</v>
      </c>
      <c r="C1717" s="13" t="s">
        <v>2200</v>
      </c>
      <c r="D1717" s="13" t="s">
        <v>2206</v>
      </c>
      <c r="E1717" s="13" t="s">
        <v>2211</v>
      </c>
      <c r="F1717" s="13" t="s">
        <v>2222</v>
      </c>
      <c r="G1717" s="13">
        <v>82.65</v>
      </c>
      <c r="H1717" s="13">
        <v>0</v>
      </c>
      <c r="I1717" s="13">
        <v>82.65</v>
      </c>
      <c r="J1717" s="24">
        <v>45875</v>
      </c>
      <c r="K1717" s="13">
        <v>30</v>
      </c>
      <c r="L1717" s="44">
        <v>4.0999999999999996</v>
      </c>
      <c r="M1717" s="13" t="b">
        <v>0</v>
      </c>
      <c r="O1717" s="25">
        <f t="shared" si="104"/>
        <v>27</v>
      </c>
      <c r="P1717" s="13">
        <f t="shared" si="105"/>
        <v>0</v>
      </c>
      <c r="Q1717" s="13" t="str">
        <f t="shared" si="106"/>
        <v/>
      </c>
      <c r="R1717" s="13" t="str">
        <f t="shared" si="107"/>
        <v>Non diskon</v>
      </c>
    </row>
    <row r="1718" spans="1:18" x14ac:dyDescent="0.25">
      <c r="A1718" s="13" t="s">
        <v>1730</v>
      </c>
      <c r="B1718" s="13" t="s">
        <v>2194</v>
      </c>
      <c r="C1718" s="13" t="s">
        <v>2201</v>
      </c>
      <c r="D1718" s="13" t="s">
        <v>2205</v>
      </c>
      <c r="E1718" s="13" t="s">
        <v>2211</v>
      </c>
      <c r="F1718" s="13" t="s">
        <v>2216</v>
      </c>
      <c r="G1718" s="13">
        <v>42.36</v>
      </c>
      <c r="H1718" s="13">
        <v>0</v>
      </c>
      <c r="I1718" s="13">
        <v>42.36</v>
      </c>
      <c r="J1718" s="24">
        <v>45875</v>
      </c>
      <c r="K1718" s="13">
        <v>37</v>
      </c>
      <c r="L1718" s="44">
        <v>1.4</v>
      </c>
      <c r="M1718" s="13" t="b">
        <v>0</v>
      </c>
      <c r="O1718" s="25">
        <f t="shared" si="104"/>
        <v>27</v>
      </c>
      <c r="P1718" s="13">
        <f t="shared" si="105"/>
        <v>0</v>
      </c>
      <c r="Q1718" s="13" t="str">
        <f t="shared" si="106"/>
        <v/>
      </c>
      <c r="R1718" s="13" t="str">
        <f t="shared" si="107"/>
        <v>Non diskon</v>
      </c>
    </row>
    <row r="1719" spans="1:18" x14ac:dyDescent="0.25">
      <c r="A1719" s="13" t="s">
        <v>1731</v>
      </c>
      <c r="B1719" s="13" t="s">
        <v>2194</v>
      </c>
      <c r="C1719" s="13" t="s">
        <v>2201</v>
      </c>
      <c r="D1719" s="13" t="s">
        <v>2207</v>
      </c>
      <c r="E1719" s="13" t="s">
        <v>2213</v>
      </c>
      <c r="F1719" s="13" t="s">
        <v>2214</v>
      </c>
      <c r="G1719" s="13">
        <v>109.36</v>
      </c>
      <c r="H1719" s="13">
        <v>0</v>
      </c>
      <c r="I1719" s="13">
        <v>109.36</v>
      </c>
      <c r="J1719" s="24">
        <v>45875</v>
      </c>
      <c r="K1719" s="13">
        <v>24</v>
      </c>
      <c r="L1719" s="44">
        <v>1.7</v>
      </c>
      <c r="M1719" s="13" t="b">
        <v>0</v>
      </c>
      <c r="O1719" s="25">
        <f t="shared" si="104"/>
        <v>27</v>
      </c>
      <c r="P1719" s="13">
        <f t="shared" si="105"/>
        <v>0</v>
      </c>
      <c r="Q1719" s="13" t="str">
        <f t="shared" si="106"/>
        <v/>
      </c>
      <c r="R1719" s="13" t="str">
        <f t="shared" si="107"/>
        <v>Non diskon</v>
      </c>
    </row>
    <row r="1720" spans="1:18" x14ac:dyDescent="0.25">
      <c r="A1720" s="13" t="s">
        <v>1732</v>
      </c>
      <c r="B1720" s="13" t="s">
        <v>2192</v>
      </c>
      <c r="C1720" s="13" t="s">
        <v>2201</v>
      </c>
      <c r="D1720" s="13" t="s">
        <v>2205</v>
      </c>
      <c r="F1720" s="13" t="s">
        <v>2221</v>
      </c>
      <c r="G1720" s="13">
        <v>59.98</v>
      </c>
      <c r="H1720" s="13">
        <v>0</v>
      </c>
      <c r="I1720" s="13">
        <v>59.98</v>
      </c>
      <c r="J1720" s="24">
        <v>45875</v>
      </c>
      <c r="K1720" s="13">
        <v>28</v>
      </c>
      <c r="L1720" s="44">
        <v>2.2000000000000002</v>
      </c>
      <c r="M1720" s="13" t="b">
        <v>0</v>
      </c>
      <c r="O1720" s="25">
        <f t="shared" si="104"/>
        <v>27</v>
      </c>
      <c r="P1720" s="13">
        <f t="shared" si="105"/>
        <v>0</v>
      </c>
      <c r="Q1720" s="13" t="str">
        <f t="shared" si="106"/>
        <v/>
      </c>
      <c r="R1720" s="13" t="str">
        <f t="shared" si="107"/>
        <v>Non diskon</v>
      </c>
    </row>
    <row r="1721" spans="1:18" x14ac:dyDescent="0.25">
      <c r="A1721" s="13" t="s">
        <v>1733</v>
      </c>
      <c r="B1721" s="13" t="s">
        <v>2195</v>
      </c>
      <c r="C1721" s="13" t="s">
        <v>2202</v>
      </c>
      <c r="D1721" s="13" t="s">
        <v>2204</v>
      </c>
      <c r="F1721" s="13" t="s">
        <v>2223</v>
      </c>
      <c r="G1721" s="13">
        <v>111.81</v>
      </c>
      <c r="H1721" s="13">
        <v>0</v>
      </c>
      <c r="I1721" s="13">
        <v>111.81</v>
      </c>
      <c r="J1721" s="24">
        <v>45525</v>
      </c>
      <c r="K1721" s="13">
        <v>45</v>
      </c>
      <c r="L1721" s="44">
        <v>1.1000000000000001</v>
      </c>
      <c r="M1721" s="13" t="b">
        <v>0</v>
      </c>
      <c r="O1721" s="25">
        <f t="shared" si="104"/>
        <v>377</v>
      </c>
      <c r="P1721" s="13">
        <f t="shared" si="105"/>
        <v>0</v>
      </c>
      <c r="Q1721" s="13" t="str">
        <f t="shared" si="106"/>
        <v/>
      </c>
      <c r="R1721" s="13" t="str">
        <f t="shared" si="107"/>
        <v>Non diskon</v>
      </c>
    </row>
    <row r="1722" spans="1:18" x14ac:dyDescent="0.25">
      <c r="A1722" s="13" t="s">
        <v>1734</v>
      </c>
      <c r="B1722" s="13" t="s">
        <v>2194</v>
      </c>
      <c r="C1722" s="13" t="s">
        <v>2198</v>
      </c>
      <c r="D1722" s="13" t="s">
        <v>2205</v>
      </c>
      <c r="E1722" s="13" t="s">
        <v>2211</v>
      </c>
      <c r="F1722" s="13" t="s">
        <v>2214</v>
      </c>
      <c r="G1722" s="13">
        <v>70.78</v>
      </c>
      <c r="H1722" s="13">
        <v>0</v>
      </c>
      <c r="I1722" s="13">
        <v>70.78</v>
      </c>
      <c r="J1722" s="24">
        <v>45875</v>
      </c>
      <c r="K1722" s="13">
        <v>39</v>
      </c>
      <c r="L1722" s="44">
        <v>3.4</v>
      </c>
      <c r="M1722" s="13" t="b">
        <v>1</v>
      </c>
      <c r="N1722" s="13" t="s">
        <v>2225</v>
      </c>
      <c r="O1722" s="25">
        <f t="shared" si="104"/>
        <v>27</v>
      </c>
      <c r="P1722" s="13">
        <f t="shared" si="105"/>
        <v>0</v>
      </c>
      <c r="Q1722" s="13">
        <f t="shared" si="106"/>
        <v>1</v>
      </c>
      <c r="R1722" s="13" t="str">
        <f t="shared" si="107"/>
        <v>Non diskon</v>
      </c>
    </row>
    <row r="1723" spans="1:18" x14ac:dyDescent="0.25">
      <c r="A1723" s="13" t="s">
        <v>1735</v>
      </c>
      <c r="B1723" s="13" t="s">
        <v>2192</v>
      </c>
      <c r="C1723" s="13" t="s">
        <v>2199</v>
      </c>
      <c r="D1723" s="13" t="s">
        <v>2205</v>
      </c>
      <c r="F1723" s="13" t="s">
        <v>2215</v>
      </c>
      <c r="G1723" s="13">
        <v>76.13</v>
      </c>
      <c r="H1723" s="13">
        <v>58.5</v>
      </c>
      <c r="I1723" s="13">
        <v>31.59</v>
      </c>
      <c r="J1723" s="24">
        <v>45875</v>
      </c>
      <c r="K1723" s="13">
        <v>40</v>
      </c>
      <c r="L1723" s="44">
        <v>1.6</v>
      </c>
      <c r="M1723" s="13" t="b">
        <v>0</v>
      </c>
      <c r="O1723" s="25">
        <f t="shared" si="104"/>
        <v>27</v>
      </c>
      <c r="P1723" s="13">
        <f t="shared" si="105"/>
        <v>2340</v>
      </c>
      <c r="Q1723" s="13" t="str">
        <f t="shared" si="106"/>
        <v/>
      </c>
      <c r="R1723" s="13" t="str">
        <f t="shared" si="107"/>
        <v>Diskon</v>
      </c>
    </row>
    <row r="1724" spans="1:18" x14ac:dyDescent="0.25">
      <c r="A1724" s="13" t="s">
        <v>1736</v>
      </c>
      <c r="B1724" s="13" t="s">
        <v>2194</v>
      </c>
      <c r="C1724" s="13" t="s">
        <v>2198</v>
      </c>
      <c r="D1724" s="13" t="s">
        <v>2206</v>
      </c>
      <c r="E1724" s="13" t="s">
        <v>2212</v>
      </c>
      <c r="F1724" s="13" t="s">
        <v>2215</v>
      </c>
      <c r="G1724" s="13">
        <v>71.09</v>
      </c>
      <c r="H1724" s="13">
        <v>41.5</v>
      </c>
      <c r="I1724" s="13">
        <v>41.59</v>
      </c>
      <c r="J1724" s="24">
        <v>45875</v>
      </c>
      <c r="K1724" s="13">
        <v>20</v>
      </c>
      <c r="L1724" s="44">
        <v>3.1</v>
      </c>
      <c r="M1724" s="13" t="b">
        <v>0</v>
      </c>
      <c r="O1724" s="25">
        <f t="shared" si="104"/>
        <v>27</v>
      </c>
      <c r="P1724" s="13">
        <f t="shared" si="105"/>
        <v>830</v>
      </c>
      <c r="Q1724" s="13" t="str">
        <f t="shared" si="106"/>
        <v/>
      </c>
      <c r="R1724" s="13" t="str">
        <f t="shared" si="107"/>
        <v>Diskon</v>
      </c>
    </row>
    <row r="1725" spans="1:18" x14ac:dyDescent="0.25">
      <c r="A1725" s="13" t="s">
        <v>1737</v>
      </c>
      <c r="B1725" s="13" t="s">
        <v>2194</v>
      </c>
      <c r="C1725" s="13" t="s">
        <v>2199</v>
      </c>
      <c r="D1725" s="13" t="s">
        <v>2206</v>
      </c>
      <c r="F1725" s="13" t="s">
        <v>2218</v>
      </c>
      <c r="G1725" s="13">
        <v>53.64</v>
      </c>
      <c r="H1725" s="13">
        <v>55.9</v>
      </c>
      <c r="I1725" s="13">
        <v>23.66</v>
      </c>
      <c r="J1725" s="24">
        <v>45875</v>
      </c>
      <c r="K1725" s="13">
        <v>10</v>
      </c>
      <c r="L1725" s="44">
        <v>2.5</v>
      </c>
      <c r="M1725" s="13" t="b">
        <v>0</v>
      </c>
      <c r="O1725" s="25">
        <f t="shared" si="104"/>
        <v>27</v>
      </c>
      <c r="P1725" s="13">
        <f t="shared" si="105"/>
        <v>559</v>
      </c>
      <c r="Q1725" s="13" t="str">
        <f t="shared" si="106"/>
        <v/>
      </c>
      <c r="R1725" s="13" t="str">
        <f t="shared" si="107"/>
        <v>Diskon</v>
      </c>
    </row>
    <row r="1726" spans="1:18" x14ac:dyDescent="0.25">
      <c r="A1726" s="13" t="s">
        <v>1738</v>
      </c>
      <c r="B1726" s="13" t="s">
        <v>2193</v>
      </c>
      <c r="C1726" s="13" t="s">
        <v>2201</v>
      </c>
      <c r="D1726" s="13" t="s">
        <v>2206</v>
      </c>
      <c r="F1726" s="13" t="s">
        <v>2224</v>
      </c>
      <c r="G1726" s="13">
        <v>110.2</v>
      </c>
      <c r="H1726" s="13">
        <v>59.7</v>
      </c>
      <c r="I1726" s="13">
        <v>44.41</v>
      </c>
      <c r="J1726" s="24">
        <v>45875</v>
      </c>
      <c r="K1726" s="13">
        <v>13</v>
      </c>
      <c r="L1726" s="44">
        <v>3.5</v>
      </c>
      <c r="M1726" s="13" t="b">
        <v>1</v>
      </c>
      <c r="N1726" s="13" t="s">
        <v>2225</v>
      </c>
      <c r="O1726" s="25">
        <f t="shared" si="104"/>
        <v>27</v>
      </c>
      <c r="P1726" s="13">
        <f t="shared" si="105"/>
        <v>776.1</v>
      </c>
      <c r="Q1726" s="13">
        <f t="shared" si="106"/>
        <v>1</v>
      </c>
      <c r="R1726" s="13" t="str">
        <f t="shared" si="107"/>
        <v>Diskon</v>
      </c>
    </row>
    <row r="1727" spans="1:18" x14ac:dyDescent="0.25">
      <c r="A1727" s="13" t="s">
        <v>1739</v>
      </c>
      <c r="B1727" s="13" t="s">
        <v>2193</v>
      </c>
      <c r="C1727" s="13" t="s">
        <v>2197</v>
      </c>
      <c r="D1727" s="13" t="s">
        <v>2207</v>
      </c>
      <c r="E1727" s="13" t="s">
        <v>2211</v>
      </c>
      <c r="F1727" s="13" t="s">
        <v>2220</v>
      </c>
      <c r="G1727" s="13">
        <v>80.63</v>
      </c>
      <c r="H1727" s="13">
        <v>17.399999999999999</v>
      </c>
      <c r="I1727" s="13">
        <v>66.599999999999994</v>
      </c>
      <c r="J1727" s="24">
        <v>45875</v>
      </c>
      <c r="K1727" s="13">
        <v>6</v>
      </c>
      <c r="L1727" s="44">
        <v>2.8205128205128198</v>
      </c>
      <c r="M1727" s="13" t="b">
        <v>1</v>
      </c>
      <c r="N1727" s="13" t="s">
        <v>2227</v>
      </c>
      <c r="O1727" s="25">
        <f t="shared" si="104"/>
        <v>27</v>
      </c>
      <c r="P1727" s="13">
        <f t="shared" si="105"/>
        <v>104.39999999999999</v>
      </c>
      <c r="Q1727" s="13">
        <f t="shared" si="106"/>
        <v>1</v>
      </c>
      <c r="R1727" s="13" t="str">
        <f t="shared" si="107"/>
        <v>Diskon</v>
      </c>
    </row>
    <row r="1728" spans="1:18" x14ac:dyDescent="0.25">
      <c r="A1728" s="13" t="s">
        <v>1740</v>
      </c>
      <c r="B1728" s="13" t="s">
        <v>2195</v>
      </c>
      <c r="C1728" s="13" t="s">
        <v>2199</v>
      </c>
      <c r="D1728" s="13" t="s">
        <v>2204</v>
      </c>
      <c r="E1728" s="13" t="s">
        <v>2208</v>
      </c>
      <c r="F1728" s="13" t="s">
        <v>2220</v>
      </c>
      <c r="G1728" s="13">
        <v>101.09</v>
      </c>
      <c r="H1728" s="13">
        <v>24.8</v>
      </c>
      <c r="I1728" s="13">
        <v>76.02</v>
      </c>
      <c r="J1728" s="24">
        <v>45537</v>
      </c>
      <c r="K1728" s="13">
        <v>7</v>
      </c>
      <c r="L1728" s="44">
        <v>4.5</v>
      </c>
      <c r="M1728" s="13" t="b">
        <v>1</v>
      </c>
      <c r="N1728" s="13" t="s">
        <v>2227</v>
      </c>
      <c r="O1728" s="25">
        <f t="shared" si="104"/>
        <v>365</v>
      </c>
      <c r="P1728" s="13">
        <f t="shared" si="105"/>
        <v>173.6</v>
      </c>
      <c r="Q1728" s="13">
        <f t="shared" si="106"/>
        <v>1</v>
      </c>
      <c r="R1728" s="13" t="str">
        <f t="shared" si="107"/>
        <v>Diskon</v>
      </c>
    </row>
    <row r="1729" spans="1:18" x14ac:dyDescent="0.25">
      <c r="A1729" s="13" t="s">
        <v>1741</v>
      </c>
      <c r="B1729" s="13" t="s">
        <v>2192</v>
      </c>
      <c r="C1729" s="13" t="s">
        <v>2196</v>
      </c>
      <c r="D1729" s="13" t="s">
        <v>2204</v>
      </c>
      <c r="F1729" s="13" t="s">
        <v>2222</v>
      </c>
      <c r="G1729" s="13">
        <v>75.48</v>
      </c>
      <c r="H1729" s="13">
        <v>0</v>
      </c>
      <c r="I1729" s="13">
        <v>75.48</v>
      </c>
      <c r="J1729" s="24">
        <v>45804</v>
      </c>
      <c r="K1729" s="13">
        <v>16</v>
      </c>
      <c r="L1729" s="44">
        <v>1.4</v>
      </c>
      <c r="M1729" s="13" t="b">
        <v>0</v>
      </c>
      <c r="O1729" s="25">
        <f t="shared" si="104"/>
        <v>98</v>
      </c>
      <c r="P1729" s="13">
        <f t="shared" si="105"/>
        <v>0</v>
      </c>
      <c r="Q1729" s="13" t="str">
        <f t="shared" si="106"/>
        <v/>
      </c>
      <c r="R1729" s="13" t="str">
        <f t="shared" si="107"/>
        <v>Non diskon</v>
      </c>
    </row>
    <row r="1730" spans="1:18" x14ac:dyDescent="0.25">
      <c r="A1730" s="13" t="s">
        <v>1742</v>
      </c>
      <c r="B1730" s="13" t="s">
        <v>2193</v>
      </c>
      <c r="C1730" s="13" t="s">
        <v>2198</v>
      </c>
      <c r="D1730" s="13" t="s">
        <v>2207</v>
      </c>
      <c r="E1730" s="13" t="s">
        <v>2210</v>
      </c>
      <c r="F1730" s="13" t="s">
        <v>2224</v>
      </c>
      <c r="G1730" s="13">
        <v>159.94999999999999</v>
      </c>
      <c r="H1730" s="13">
        <v>6.4</v>
      </c>
      <c r="I1730" s="13">
        <v>149.71</v>
      </c>
      <c r="J1730" s="24">
        <v>45875</v>
      </c>
      <c r="K1730" s="13">
        <v>39</v>
      </c>
      <c r="L1730" s="44">
        <v>3</v>
      </c>
      <c r="M1730" s="13" t="b">
        <v>0</v>
      </c>
      <c r="O1730" s="25">
        <f t="shared" si="104"/>
        <v>27</v>
      </c>
      <c r="P1730" s="13">
        <f t="shared" si="105"/>
        <v>249.60000000000002</v>
      </c>
      <c r="Q1730" s="13" t="str">
        <f t="shared" si="106"/>
        <v/>
      </c>
      <c r="R1730" s="13" t="str">
        <f t="shared" si="107"/>
        <v>Diskon</v>
      </c>
    </row>
    <row r="1731" spans="1:18" x14ac:dyDescent="0.25">
      <c r="A1731" s="13" t="s">
        <v>1743</v>
      </c>
      <c r="B1731" s="13" t="s">
        <v>2195</v>
      </c>
      <c r="C1731" s="13" t="s">
        <v>2202</v>
      </c>
      <c r="D1731" s="13" t="s">
        <v>2207</v>
      </c>
      <c r="E1731" s="13" t="s">
        <v>2209</v>
      </c>
      <c r="F1731" s="13" t="s">
        <v>2216</v>
      </c>
      <c r="G1731" s="13">
        <v>61.9</v>
      </c>
      <c r="H1731" s="13">
        <v>0</v>
      </c>
      <c r="I1731" s="13">
        <v>61.9</v>
      </c>
      <c r="J1731" s="24">
        <v>45875</v>
      </c>
      <c r="K1731" s="13">
        <v>29</v>
      </c>
      <c r="L1731" s="44">
        <v>4.4000000000000004</v>
      </c>
      <c r="M1731" s="13" t="b">
        <v>0</v>
      </c>
      <c r="O1731" s="25">
        <f t="shared" ref="O1731:O1794" si="108">DATE(2025,9,2)-J1731</f>
        <v>27</v>
      </c>
      <c r="P1731" s="13">
        <f t="shared" ref="P1731:P1794" si="109">H1731*K1731</f>
        <v>0</v>
      </c>
      <c r="Q1731" s="13" t="str">
        <f t="shared" ref="Q1731:Q1794" si="110">IF(M1731=FALSE,"",1)</f>
        <v/>
      </c>
      <c r="R1731" s="13" t="str">
        <f t="shared" ref="R1731:R1794" si="111">IF(H1731=0,"Non diskon","Diskon")</f>
        <v>Non diskon</v>
      </c>
    </row>
    <row r="1732" spans="1:18" x14ac:dyDescent="0.25">
      <c r="A1732" s="13" t="s">
        <v>1744</v>
      </c>
      <c r="B1732" s="13" t="s">
        <v>2191</v>
      </c>
      <c r="C1732" s="13" t="s">
        <v>2198</v>
      </c>
      <c r="D1732" s="13" t="s">
        <v>2206</v>
      </c>
      <c r="E1732" s="13" t="s">
        <v>2208</v>
      </c>
      <c r="F1732" s="13" t="s">
        <v>2223</v>
      </c>
      <c r="G1732" s="13">
        <v>63.45</v>
      </c>
      <c r="H1732" s="13">
        <v>12.3</v>
      </c>
      <c r="I1732" s="13">
        <v>55.65</v>
      </c>
      <c r="J1732" s="24">
        <v>45875</v>
      </c>
      <c r="K1732" s="13">
        <v>23</v>
      </c>
      <c r="L1732" s="44">
        <v>4.9000000000000004</v>
      </c>
      <c r="M1732" s="13" t="b">
        <v>0</v>
      </c>
      <c r="O1732" s="25">
        <f t="shared" si="108"/>
        <v>27</v>
      </c>
      <c r="P1732" s="13">
        <f t="shared" si="109"/>
        <v>282.90000000000003</v>
      </c>
      <c r="Q1732" s="13" t="str">
        <f t="shared" si="110"/>
        <v/>
      </c>
      <c r="R1732" s="13" t="str">
        <f t="shared" si="111"/>
        <v>Diskon</v>
      </c>
    </row>
    <row r="1733" spans="1:18" x14ac:dyDescent="0.25">
      <c r="A1733" s="13" t="s">
        <v>1745</v>
      </c>
      <c r="B1733" s="13" t="s">
        <v>2191</v>
      </c>
      <c r="C1733" s="13" t="s">
        <v>2199</v>
      </c>
      <c r="D1733" s="13" t="s">
        <v>2207</v>
      </c>
      <c r="E1733" s="13" t="s">
        <v>2210</v>
      </c>
      <c r="F1733" s="13" t="s">
        <v>2214</v>
      </c>
      <c r="G1733" s="13">
        <v>43.22</v>
      </c>
      <c r="H1733" s="13">
        <v>46.7</v>
      </c>
      <c r="I1733" s="13">
        <v>23.04</v>
      </c>
      <c r="J1733" s="24">
        <v>45875</v>
      </c>
      <c r="K1733" s="13">
        <v>29</v>
      </c>
      <c r="L1733" s="44">
        <v>1.3</v>
      </c>
      <c r="M1733" s="13" t="b">
        <v>0</v>
      </c>
      <c r="O1733" s="25">
        <f t="shared" si="108"/>
        <v>27</v>
      </c>
      <c r="P1733" s="13">
        <f t="shared" si="109"/>
        <v>1354.3000000000002</v>
      </c>
      <c r="Q1733" s="13" t="str">
        <f t="shared" si="110"/>
        <v/>
      </c>
      <c r="R1733" s="13" t="str">
        <f t="shared" si="111"/>
        <v>Diskon</v>
      </c>
    </row>
    <row r="1734" spans="1:18" x14ac:dyDescent="0.25">
      <c r="A1734" s="13" t="s">
        <v>1746</v>
      </c>
      <c r="B1734" s="13" t="s">
        <v>2193</v>
      </c>
      <c r="C1734" s="13" t="s">
        <v>2198</v>
      </c>
      <c r="D1734" s="13" t="s">
        <v>2205</v>
      </c>
      <c r="E1734" s="13" t="s">
        <v>2210</v>
      </c>
      <c r="F1734" s="13" t="s">
        <v>2222</v>
      </c>
      <c r="G1734" s="13">
        <v>64.650000000000006</v>
      </c>
      <c r="H1734" s="13">
        <v>26.8</v>
      </c>
      <c r="I1734" s="13">
        <v>47.32</v>
      </c>
      <c r="J1734" s="24">
        <v>45875</v>
      </c>
      <c r="K1734" s="13">
        <v>28</v>
      </c>
      <c r="L1734" s="44">
        <v>4.7</v>
      </c>
      <c r="M1734" s="13" t="b">
        <v>0</v>
      </c>
      <c r="O1734" s="25">
        <f t="shared" si="108"/>
        <v>27</v>
      </c>
      <c r="P1734" s="13">
        <f t="shared" si="109"/>
        <v>750.4</v>
      </c>
      <c r="Q1734" s="13" t="str">
        <f t="shared" si="110"/>
        <v/>
      </c>
      <c r="R1734" s="13" t="str">
        <f t="shared" si="111"/>
        <v>Diskon</v>
      </c>
    </row>
    <row r="1735" spans="1:18" x14ac:dyDescent="0.25">
      <c r="A1735" s="13" t="s">
        <v>1747</v>
      </c>
      <c r="B1735" s="13" t="s">
        <v>2193</v>
      </c>
      <c r="C1735" s="13" t="s">
        <v>2197</v>
      </c>
      <c r="D1735" s="13" t="s">
        <v>2204</v>
      </c>
      <c r="E1735" s="13" t="s">
        <v>2211</v>
      </c>
      <c r="F1735" s="13" t="s">
        <v>2223</v>
      </c>
      <c r="G1735" s="13">
        <v>118.67</v>
      </c>
      <c r="H1735" s="13">
        <v>56</v>
      </c>
      <c r="I1735" s="13">
        <v>52.21</v>
      </c>
      <c r="J1735" s="24">
        <v>45773</v>
      </c>
      <c r="K1735" s="13">
        <v>27</v>
      </c>
      <c r="L1735" s="44">
        <v>3.5</v>
      </c>
      <c r="M1735" s="13" t="b">
        <v>0</v>
      </c>
      <c r="O1735" s="25">
        <f t="shared" si="108"/>
        <v>129</v>
      </c>
      <c r="P1735" s="13">
        <f t="shared" si="109"/>
        <v>1512</v>
      </c>
      <c r="Q1735" s="13" t="str">
        <f t="shared" si="110"/>
        <v/>
      </c>
      <c r="R1735" s="13" t="str">
        <f t="shared" si="111"/>
        <v>Diskon</v>
      </c>
    </row>
    <row r="1736" spans="1:18" x14ac:dyDescent="0.25">
      <c r="A1736" s="13" t="s">
        <v>1748</v>
      </c>
      <c r="B1736" s="13" t="s">
        <v>2195</v>
      </c>
      <c r="C1736" s="13" t="s">
        <v>2198</v>
      </c>
      <c r="D1736" s="13" t="s">
        <v>2204</v>
      </c>
      <c r="E1736" s="13" t="s">
        <v>2212</v>
      </c>
      <c r="F1736" s="13" t="s">
        <v>2217</v>
      </c>
      <c r="G1736" s="13">
        <v>169.32</v>
      </c>
      <c r="H1736" s="13">
        <v>0</v>
      </c>
      <c r="I1736" s="13">
        <v>169.32</v>
      </c>
      <c r="J1736" s="24">
        <v>45643</v>
      </c>
      <c r="K1736" s="13">
        <v>19</v>
      </c>
      <c r="L1736" s="44">
        <v>2.2000000000000002</v>
      </c>
      <c r="M1736" s="13" t="b">
        <v>0</v>
      </c>
      <c r="O1736" s="25">
        <f t="shared" si="108"/>
        <v>259</v>
      </c>
      <c r="P1736" s="13">
        <f t="shared" si="109"/>
        <v>0</v>
      </c>
      <c r="Q1736" s="13" t="str">
        <f t="shared" si="110"/>
        <v/>
      </c>
      <c r="R1736" s="13" t="str">
        <f t="shared" si="111"/>
        <v>Non diskon</v>
      </c>
    </row>
    <row r="1737" spans="1:18" x14ac:dyDescent="0.25">
      <c r="A1737" s="13" t="s">
        <v>1749</v>
      </c>
      <c r="B1737" s="13" t="s">
        <v>2193</v>
      </c>
      <c r="C1737" s="13" t="s">
        <v>2201</v>
      </c>
      <c r="D1737" s="13" t="s">
        <v>2204</v>
      </c>
      <c r="E1737" s="13" t="s">
        <v>2212</v>
      </c>
      <c r="F1737" s="13" t="s">
        <v>2218</v>
      </c>
      <c r="G1737" s="13">
        <v>115.77</v>
      </c>
      <c r="H1737" s="13">
        <v>0</v>
      </c>
      <c r="I1737" s="13">
        <v>115.77</v>
      </c>
      <c r="J1737" s="24">
        <v>45620</v>
      </c>
      <c r="K1737" s="13">
        <v>43</v>
      </c>
      <c r="L1737" s="44">
        <v>3.0068965517241386</v>
      </c>
      <c r="M1737" s="13" t="b">
        <v>0</v>
      </c>
      <c r="O1737" s="25">
        <f t="shared" si="108"/>
        <v>282</v>
      </c>
      <c r="P1737" s="13">
        <f t="shared" si="109"/>
        <v>0</v>
      </c>
      <c r="Q1737" s="13" t="str">
        <f t="shared" si="110"/>
        <v/>
      </c>
      <c r="R1737" s="13" t="str">
        <f t="shared" si="111"/>
        <v>Non diskon</v>
      </c>
    </row>
    <row r="1738" spans="1:18" x14ac:dyDescent="0.25">
      <c r="A1738" s="13" t="s">
        <v>1750</v>
      </c>
      <c r="B1738" s="13" t="s">
        <v>2193</v>
      </c>
      <c r="C1738" s="13" t="s">
        <v>2199</v>
      </c>
      <c r="D1738" s="13" t="s">
        <v>2206</v>
      </c>
      <c r="E1738" s="13" t="s">
        <v>2212</v>
      </c>
      <c r="F1738" s="13" t="s">
        <v>2221</v>
      </c>
      <c r="G1738" s="13">
        <v>139.91</v>
      </c>
      <c r="H1738" s="13">
        <v>0</v>
      </c>
      <c r="I1738" s="13">
        <v>139.91</v>
      </c>
      <c r="J1738" s="24">
        <v>45875</v>
      </c>
      <c r="K1738" s="13">
        <v>9</v>
      </c>
      <c r="L1738" s="44">
        <v>3.7</v>
      </c>
      <c r="M1738" s="13" t="b">
        <v>0</v>
      </c>
      <c r="O1738" s="25">
        <f t="shared" si="108"/>
        <v>27</v>
      </c>
      <c r="P1738" s="13">
        <f t="shared" si="109"/>
        <v>0</v>
      </c>
      <c r="Q1738" s="13" t="str">
        <f t="shared" si="110"/>
        <v/>
      </c>
      <c r="R1738" s="13" t="str">
        <f t="shared" si="111"/>
        <v>Non diskon</v>
      </c>
    </row>
    <row r="1739" spans="1:18" x14ac:dyDescent="0.25">
      <c r="A1739" s="13" t="s">
        <v>1751</v>
      </c>
      <c r="B1739" s="13" t="s">
        <v>2194</v>
      </c>
      <c r="C1739" s="13" t="s">
        <v>2198</v>
      </c>
      <c r="D1739" s="13" t="s">
        <v>2207</v>
      </c>
      <c r="E1739" s="13" t="s">
        <v>2211</v>
      </c>
      <c r="F1739" s="13" t="s">
        <v>2223</v>
      </c>
      <c r="G1739" s="13">
        <v>101.73</v>
      </c>
      <c r="H1739" s="13">
        <v>0</v>
      </c>
      <c r="I1739" s="13">
        <v>101.73</v>
      </c>
      <c r="J1739" s="24">
        <v>45875</v>
      </c>
      <c r="K1739" s="13">
        <v>14</v>
      </c>
      <c r="L1739" s="44">
        <v>4.7</v>
      </c>
      <c r="M1739" s="13" t="b">
        <v>0</v>
      </c>
      <c r="O1739" s="25">
        <f t="shared" si="108"/>
        <v>27</v>
      </c>
      <c r="P1739" s="13">
        <f t="shared" si="109"/>
        <v>0</v>
      </c>
      <c r="Q1739" s="13" t="str">
        <f t="shared" si="110"/>
        <v/>
      </c>
      <c r="R1739" s="13" t="str">
        <f t="shared" si="111"/>
        <v>Non diskon</v>
      </c>
    </row>
    <row r="1740" spans="1:18" x14ac:dyDescent="0.25">
      <c r="A1740" s="13" t="s">
        <v>1752</v>
      </c>
      <c r="B1740" s="13" t="s">
        <v>2191</v>
      </c>
      <c r="C1740" s="13" t="s">
        <v>2203</v>
      </c>
      <c r="D1740" s="13" t="s">
        <v>2207</v>
      </c>
      <c r="F1740" s="13" t="s">
        <v>2215</v>
      </c>
      <c r="G1740" s="13">
        <v>105.85</v>
      </c>
      <c r="H1740" s="13">
        <v>0</v>
      </c>
      <c r="I1740" s="13">
        <v>105.85</v>
      </c>
      <c r="J1740" s="24">
        <v>45875</v>
      </c>
      <c r="K1740" s="13">
        <v>29</v>
      </c>
      <c r="L1740" s="44">
        <v>2.1</v>
      </c>
      <c r="M1740" s="13" t="b">
        <v>0</v>
      </c>
      <c r="O1740" s="25">
        <f t="shared" si="108"/>
        <v>27</v>
      </c>
      <c r="P1740" s="13">
        <f t="shared" si="109"/>
        <v>0</v>
      </c>
      <c r="Q1740" s="13" t="str">
        <f t="shared" si="110"/>
        <v/>
      </c>
      <c r="R1740" s="13" t="str">
        <f t="shared" si="111"/>
        <v>Non diskon</v>
      </c>
    </row>
    <row r="1741" spans="1:18" x14ac:dyDescent="0.25">
      <c r="A1741" s="13" t="s">
        <v>1753</v>
      </c>
      <c r="B1741" s="13" t="s">
        <v>2191</v>
      </c>
      <c r="C1741" s="13" t="s">
        <v>2202</v>
      </c>
      <c r="D1741" s="13" t="s">
        <v>2204</v>
      </c>
      <c r="E1741" s="13" t="s">
        <v>2208</v>
      </c>
      <c r="F1741" s="13" t="s">
        <v>2218</v>
      </c>
      <c r="G1741" s="13">
        <v>105.37</v>
      </c>
      <c r="H1741" s="13">
        <v>0</v>
      </c>
      <c r="I1741" s="13">
        <v>105.37</v>
      </c>
      <c r="J1741" s="24">
        <v>45762</v>
      </c>
      <c r="K1741" s="13">
        <v>24</v>
      </c>
      <c r="L1741" s="44">
        <v>1.2</v>
      </c>
      <c r="M1741" s="13" t="b">
        <v>0</v>
      </c>
      <c r="O1741" s="25">
        <f t="shared" si="108"/>
        <v>140</v>
      </c>
      <c r="P1741" s="13">
        <f t="shared" si="109"/>
        <v>0</v>
      </c>
      <c r="Q1741" s="13" t="str">
        <f t="shared" si="110"/>
        <v/>
      </c>
      <c r="R1741" s="13" t="str">
        <f t="shared" si="111"/>
        <v>Non diskon</v>
      </c>
    </row>
    <row r="1742" spans="1:18" x14ac:dyDescent="0.25">
      <c r="A1742" s="13" t="s">
        <v>1754</v>
      </c>
      <c r="B1742" s="13" t="s">
        <v>2191</v>
      </c>
      <c r="C1742" s="13" t="s">
        <v>2200</v>
      </c>
      <c r="D1742" s="13" t="s">
        <v>2207</v>
      </c>
      <c r="E1742" s="13" t="s">
        <v>2210</v>
      </c>
      <c r="F1742" s="13" t="s">
        <v>2224</v>
      </c>
      <c r="G1742" s="13">
        <v>44.42</v>
      </c>
      <c r="H1742" s="13">
        <v>0</v>
      </c>
      <c r="I1742" s="13">
        <v>44.42</v>
      </c>
      <c r="J1742" s="24">
        <v>45875</v>
      </c>
      <c r="K1742" s="13">
        <v>49</v>
      </c>
      <c r="L1742" s="44">
        <v>2.9657142857142857</v>
      </c>
      <c r="M1742" s="13" t="b">
        <v>0</v>
      </c>
      <c r="O1742" s="25">
        <f t="shared" si="108"/>
        <v>27</v>
      </c>
      <c r="P1742" s="13">
        <f t="shared" si="109"/>
        <v>0</v>
      </c>
      <c r="Q1742" s="13" t="str">
        <f t="shared" si="110"/>
        <v/>
      </c>
      <c r="R1742" s="13" t="str">
        <f t="shared" si="111"/>
        <v>Non diskon</v>
      </c>
    </row>
    <row r="1743" spans="1:18" x14ac:dyDescent="0.25">
      <c r="A1743" s="13" t="s">
        <v>1755</v>
      </c>
      <c r="B1743" s="13" t="s">
        <v>2193</v>
      </c>
      <c r="C1743" s="13" t="s">
        <v>2197</v>
      </c>
      <c r="D1743" s="13" t="s">
        <v>2204</v>
      </c>
      <c r="E1743" s="13" t="s">
        <v>2212</v>
      </c>
      <c r="F1743" s="13" t="s">
        <v>2218</v>
      </c>
      <c r="G1743" s="13">
        <v>164.86</v>
      </c>
      <c r="H1743" s="13">
        <v>14.3</v>
      </c>
      <c r="I1743" s="13">
        <v>141.29</v>
      </c>
      <c r="J1743" s="24">
        <v>45730</v>
      </c>
      <c r="K1743" s="13">
        <v>7</v>
      </c>
      <c r="L1743" s="44">
        <v>2.2999999999999998</v>
      </c>
      <c r="M1743" s="13" t="b">
        <v>0</v>
      </c>
      <c r="O1743" s="25">
        <f t="shared" si="108"/>
        <v>172</v>
      </c>
      <c r="P1743" s="13">
        <f t="shared" si="109"/>
        <v>100.10000000000001</v>
      </c>
      <c r="Q1743" s="13" t="str">
        <f t="shared" si="110"/>
        <v/>
      </c>
      <c r="R1743" s="13" t="str">
        <f t="shared" si="111"/>
        <v>Diskon</v>
      </c>
    </row>
    <row r="1744" spans="1:18" x14ac:dyDescent="0.25">
      <c r="A1744" s="13" t="s">
        <v>1756</v>
      </c>
      <c r="B1744" s="13" t="s">
        <v>2193</v>
      </c>
      <c r="C1744" s="13" t="s">
        <v>2199</v>
      </c>
      <c r="D1744" s="13" t="s">
        <v>2206</v>
      </c>
      <c r="E1744" s="13" t="s">
        <v>2211</v>
      </c>
      <c r="F1744" s="13" t="s">
        <v>2216</v>
      </c>
      <c r="G1744" s="13">
        <v>163.88</v>
      </c>
      <c r="H1744" s="13">
        <v>5.9</v>
      </c>
      <c r="I1744" s="13">
        <v>154.21</v>
      </c>
      <c r="J1744" s="24">
        <v>45875</v>
      </c>
      <c r="K1744" s="13">
        <v>39</v>
      </c>
      <c r="L1744" s="44">
        <v>2.6</v>
      </c>
      <c r="M1744" s="13" t="b">
        <v>0</v>
      </c>
      <c r="O1744" s="25">
        <f t="shared" si="108"/>
        <v>27</v>
      </c>
      <c r="P1744" s="13">
        <f t="shared" si="109"/>
        <v>230.10000000000002</v>
      </c>
      <c r="Q1744" s="13" t="str">
        <f t="shared" si="110"/>
        <v/>
      </c>
      <c r="R1744" s="13" t="str">
        <f t="shared" si="111"/>
        <v>Diskon</v>
      </c>
    </row>
    <row r="1745" spans="1:18" x14ac:dyDescent="0.25">
      <c r="A1745" s="13" t="s">
        <v>1757</v>
      </c>
      <c r="B1745" s="13" t="s">
        <v>2194</v>
      </c>
      <c r="C1745" s="13" t="s">
        <v>2196</v>
      </c>
      <c r="D1745" s="13" t="s">
        <v>2206</v>
      </c>
      <c r="E1745" s="13" t="s">
        <v>2212</v>
      </c>
      <c r="F1745" s="13" t="s">
        <v>2220</v>
      </c>
      <c r="G1745" s="13">
        <v>36.54</v>
      </c>
      <c r="H1745" s="13">
        <v>5.3</v>
      </c>
      <c r="I1745" s="13">
        <v>34.6</v>
      </c>
      <c r="J1745" s="24">
        <v>45875</v>
      </c>
      <c r="K1745" s="13">
        <v>13</v>
      </c>
      <c r="L1745" s="44">
        <v>2.5</v>
      </c>
      <c r="M1745" s="13" t="b">
        <v>0</v>
      </c>
      <c r="O1745" s="25">
        <f t="shared" si="108"/>
        <v>27</v>
      </c>
      <c r="P1745" s="13">
        <f t="shared" si="109"/>
        <v>68.899999999999991</v>
      </c>
      <c r="Q1745" s="13" t="str">
        <f t="shared" si="110"/>
        <v/>
      </c>
      <c r="R1745" s="13" t="str">
        <f t="shared" si="111"/>
        <v>Diskon</v>
      </c>
    </row>
    <row r="1746" spans="1:18" x14ac:dyDescent="0.25">
      <c r="A1746" s="13" t="s">
        <v>1758</v>
      </c>
      <c r="B1746" s="13" t="s">
        <v>2195</v>
      </c>
      <c r="C1746" s="13" t="s">
        <v>2198</v>
      </c>
      <c r="D1746" s="13" t="s">
        <v>2204</v>
      </c>
      <c r="E1746" s="13" t="s">
        <v>2213</v>
      </c>
      <c r="F1746" s="13" t="s">
        <v>2214</v>
      </c>
      <c r="G1746" s="13">
        <v>99.97</v>
      </c>
      <c r="H1746" s="13">
        <v>0</v>
      </c>
      <c r="I1746" s="13">
        <v>99.97</v>
      </c>
      <c r="J1746" s="24">
        <v>45581</v>
      </c>
      <c r="K1746" s="13">
        <v>38</v>
      </c>
      <c r="L1746" s="44">
        <v>1.4</v>
      </c>
      <c r="M1746" s="13" t="b">
        <v>0</v>
      </c>
      <c r="O1746" s="25">
        <f t="shared" si="108"/>
        <v>321</v>
      </c>
      <c r="P1746" s="13">
        <f t="shared" si="109"/>
        <v>0</v>
      </c>
      <c r="Q1746" s="13" t="str">
        <f t="shared" si="110"/>
        <v/>
      </c>
      <c r="R1746" s="13" t="str">
        <f t="shared" si="111"/>
        <v>Non diskon</v>
      </c>
    </row>
    <row r="1747" spans="1:18" x14ac:dyDescent="0.25">
      <c r="A1747" s="13" t="s">
        <v>1759</v>
      </c>
      <c r="B1747" s="13" t="s">
        <v>2190</v>
      </c>
      <c r="C1747" s="13" t="s">
        <v>2201</v>
      </c>
      <c r="D1747" s="13" t="s">
        <v>2207</v>
      </c>
      <c r="E1747" s="13" t="s">
        <v>2208</v>
      </c>
      <c r="F1747" s="13" t="s">
        <v>2214</v>
      </c>
      <c r="G1747" s="13">
        <v>194.78</v>
      </c>
      <c r="H1747" s="13">
        <v>0</v>
      </c>
      <c r="I1747" s="13">
        <v>194.78</v>
      </c>
      <c r="J1747" s="24">
        <v>45875</v>
      </c>
      <c r="K1747" s="13">
        <v>31</v>
      </c>
      <c r="L1747" s="44">
        <v>3.0305555555555546</v>
      </c>
      <c r="M1747" s="13" t="b">
        <v>0</v>
      </c>
      <c r="O1747" s="25">
        <f t="shared" si="108"/>
        <v>27</v>
      </c>
      <c r="P1747" s="13">
        <f t="shared" si="109"/>
        <v>0</v>
      </c>
      <c r="Q1747" s="13" t="str">
        <f t="shared" si="110"/>
        <v/>
      </c>
      <c r="R1747" s="13" t="str">
        <f t="shared" si="111"/>
        <v>Non diskon</v>
      </c>
    </row>
    <row r="1748" spans="1:18" x14ac:dyDescent="0.25">
      <c r="A1748" s="13" t="s">
        <v>1760</v>
      </c>
      <c r="B1748" s="13" t="s">
        <v>2190</v>
      </c>
      <c r="C1748" s="13" t="s">
        <v>2197</v>
      </c>
      <c r="D1748" s="13" t="s">
        <v>2206</v>
      </c>
      <c r="E1748" s="13" t="s">
        <v>2212</v>
      </c>
      <c r="F1748" s="13" t="s">
        <v>2219</v>
      </c>
      <c r="G1748" s="13">
        <v>208.93</v>
      </c>
      <c r="H1748" s="13">
        <v>0</v>
      </c>
      <c r="I1748" s="13">
        <v>208.93</v>
      </c>
      <c r="J1748" s="24">
        <v>45875</v>
      </c>
      <c r="K1748" s="13">
        <v>12</v>
      </c>
      <c r="L1748" s="44">
        <v>2.2999999999999998</v>
      </c>
      <c r="M1748" s="13" t="b">
        <v>0</v>
      </c>
      <c r="O1748" s="25">
        <f t="shared" si="108"/>
        <v>27</v>
      </c>
      <c r="P1748" s="13">
        <f t="shared" si="109"/>
        <v>0</v>
      </c>
      <c r="Q1748" s="13" t="str">
        <f t="shared" si="110"/>
        <v/>
      </c>
      <c r="R1748" s="13" t="str">
        <f t="shared" si="111"/>
        <v>Non diskon</v>
      </c>
    </row>
    <row r="1749" spans="1:18" x14ac:dyDescent="0.25">
      <c r="A1749" s="13" t="s">
        <v>1761</v>
      </c>
      <c r="B1749" s="13" t="s">
        <v>2194</v>
      </c>
      <c r="C1749" s="13" t="s">
        <v>2201</v>
      </c>
      <c r="D1749" s="13" t="s">
        <v>2204</v>
      </c>
      <c r="E1749" s="13" t="s">
        <v>2212</v>
      </c>
      <c r="F1749" s="13" t="s">
        <v>2214</v>
      </c>
      <c r="G1749" s="13">
        <v>68.459999999999994</v>
      </c>
      <c r="H1749" s="13">
        <v>50</v>
      </c>
      <c r="I1749" s="13">
        <v>34.229999999999997</v>
      </c>
      <c r="J1749" s="24">
        <v>45683</v>
      </c>
      <c r="K1749" s="13">
        <v>24</v>
      </c>
      <c r="L1749" s="44">
        <v>1.9</v>
      </c>
      <c r="M1749" s="13" t="b">
        <v>0</v>
      </c>
      <c r="O1749" s="25">
        <f t="shared" si="108"/>
        <v>219</v>
      </c>
      <c r="P1749" s="13">
        <f t="shared" si="109"/>
        <v>1200</v>
      </c>
      <c r="Q1749" s="13" t="str">
        <f t="shared" si="110"/>
        <v/>
      </c>
      <c r="R1749" s="13" t="str">
        <f t="shared" si="111"/>
        <v>Diskon</v>
      </c>
    </row>
    <row r="1750" spans="1:18" x14ac:dyDescent="0.25">
      <c r="A1750" s="13" t="s">
        <v>1762</v>
      </c>
      <c r="B1750" s="13" t="s">
        <v>2192</v>
      </c>
      <c r="C1750" s="13" t="s">
        <v>2198</v>
      </c>
      <c r="D1750" s="13" t="s">
        <v>2205</v>
      </c>
      <c r="F1750" s="13" t="s">
        <v>2223</v>
      </c>
      <c r="G1750" s="13">
        <v>30.26</v>
      </c>
      <c r="H1750" s="13">
        <v>50</v>
      </c>
      <c r="I1750" s="13">
        <v>15.13</v>
      </c>
      <c r="J1750" s="24">
        <v>45875</v>
      </c>
      <c r="K1750" s="13">
        <v>23</v>
      </c>
      <c r="L1750" s="44">
        <v>1.4</v>
      </c>
      <c r="M1750" s="13" t="b">
        <v>0</v>
      </c>
      <c r="O1750" s="25">
        <f t="shared" si="108"/>
        <v>27</v>
      </c>
      <c r="P1750" s="13">
        <f t="shared" si="109"/>
        <v>1150</v>
      </c>
      <c r="Q1750" s="13" t="str">
        <f t="shared" si="110"/>
        <v/>
      </c>
      <c r="R1750" s="13" t="str">
        <f t="shared" si="111"/>
        <v>Diskon</v>
      </c>
    </row>
    <row r="1751" spans="1:18" x14ac:dyDescent="0.25">
      <c r="A1751" s="13" t="s">
        <v>1763</v>
      </c>
      <c r="B1751" s="13" t="s">
        <v>2190</v>
      </c>
      <c r="C1751" s="13" t="s">
        <v>2199</v>
      </c>
      <c r="D1751" s="13" t="s">
        <v>2207</v>
      </c>
      <c r="E1751" s="13" t="s">
        <v>2212</v>
      </c>
      <c r="F1751" s="13" t="s">
        <v>2220</v>
      </c>
      <c r="G1751" s="13">
        <v>186.66</v>
      </c>
      <c r="H1751" s="13">
        <v>30.9</v>
      </c>
      <c r="I1751" s="13">
        <v>128.97999999999999</v>
      </c>
      <c r="J1751" s="24">
        <v>45875</v>
      </c>
      <c r="K1751" s="13">
        <v>7</v>
      </c>
      <c r="L1751" s="44">
        <v>1</v>
      </c>
      <c r="M1751" s="13" t="b">
        <v>0</v>
      </c>
      <c r="O1751" s="25">
        <f t="shared" si="108"/>
        <v>27</v>
      </c>
      <c r="P1751" s="13">
        <f t="shared" si="109"/>
        <v>216.29999999999998</v>
      </c>
      <c r="Q1751" s="13" t="str">
        <f t="shared" si="110"/>
        <v/>
      </c>
      <c r="R1751" s="13" t="str">
        <f t="shared" si="111"/>
        <v>Diskon</v>
      </c>
    </row>
    <row r="1752" spans="1:18" x14ac:dyDescent="0.25">
      <c r="A1752" s="13" t="s">
        <v>1764</v>
      </c>
      <c r="B1752" s="13" t="s">
        <v>2191</v>
      </c>
      <c r="C1752" s="13" t="s">
        <v>2196</v>
      </c>
      <c r="D1752" s="13" t="s">
        <v>2205</v>
      </c>
      <c r="E1752" s="13" t="s">
        <v>2210</v>
      </c>
      <c r="F1752" s="13" t="s">
        <v>2216</v>
      </c>
      <c r="G1752" s="13">
        <v>78.05</v>
      </c>
      <c r="H1752" s="13">
        <v>48.1</v>
      </c>
      <c r="I1752" s="13">
        <v>40.51</v>
      </c>
      <c r="J1752" s="24">
        <v>45875</v>
      </c>
      <c r="K1752" s="13">
        <v>36</v>
      </c>
      <c r="L1752" s="44">
        <v>2.9</v>
      </c>
      <c r="M1752" s="13" t="b">
        <v>1</v>
      </c>
      <c r="N1752" s="13" t="s">
        <v>2229</v>
      </c>
      <c r="O1752" s="25">
        <f t="shared" si="108"/>
        <v>27</v>
      </c>
      <c r="P1752" s="13">
        <f t="shared" si="109"/>
        <v>1731.6000000000001</v>
      </c>
      <c r="Q1752" s="13">
        <f t="shared" si="110"/>
        <v>1</v>
      </c>
      <c r="R1752" s="13" t="str">
        <f t="shared" si="111"/>
        <v>Diskon</v>
      </c>
    </row>
    <row r="1753" spans="1:18" x14ac:dyDescent="0.25">
      <c r="A1753" s="13" t="s">
        <v>1765</v>
      </c>
      <c r="B1753" s="13" t="s">
        <v>2191</v>
      </c>
      <c r="C1753" s="13" t="s">
        <v>2197</v>
      </c>
      <c r="D1753" s="13" t="s">
        <v>2204</v>
      </c>
      <c r="E1753" s="13" t="s">
        <v>2213</v>
      </c>
      <c r="F1753" s="13" t="s">
        <v>2223</v>
      </c>
      <c r="G1753" s="13">
        <v>104.75</v>
      </c>
      <c r="H1753" s="13">
        <v>0</v>
      </c>
      <c r="I1753" s="13">
        <v>104.75</v>
      </c>
      <c r="J1753" s="24">
        <v>45591</v>
      </c>
      <c r="K1753" s="13">
        <v>11</v>
      </c>
      <c r="L1753" s="44">
        <v>3.34</v>
      </c>
      <c r="M1753" s="13" t="b">
        <v>0</v>
      </c>
      <c r="O1753" s="25">
        <f t="shared" si="108"/>
        <v>311</v>
      </c>
      <c r="P1753" s="13">
        <f t="shared" si="109"/>
        <v>0</v>
      </c>
      <c r="Q1753" s="13" t="str">
        <f t="shared" si="110"/>
        <v/>
      </c>
      <c r="R1753" s="13" t="str">
        <f t="shared" si="111"/>
        <v>Non diskon</v>
      </c>
    </row>
    <row r="1754" spans="1:18" x14ac:dyDescent="0.25">
      <c r="A1754" s="13" t="s">
        <v>1766</v>
      </c>
      <c r="B1754" s="13" t="s">
        <v>2193</v>
      </c>
      <c r="C1754" s="13" t="s">
        <v>2197</v>
      </c>
      <c r="D1754" s="13" t="s">
        <v>2207</v>
      </c>
      <c r="E1754" s="13" t="s">
        <v>2213</v>
      </c>
      <c r="F1754" s="13" t="s">
        <v>2224</v>
      </c>
      <c r="G1754" s="13">
        <v>121.33</v>
      </c>
      <c r="H1754" s="13">
        <v>0</v>
      </c>
      <c r="I1754" s="13">
        <v>121.33</v>
      </c>
      <c r="J1754" s="24">
        <v>45875</v>
      </c>
      <c r="K1754" s="13">
        <v>30</v>
      </c>
      <c r="L1754" s="44">
        <v>4.2</v>
      </c>
      <c r="M1754" s="13" t="b">
        <v>0</v>
      </c>
      <c r="O1754" s="25">
        <f t="shared" si="108"/>
        <v>27</v>
      </c>
      <c r="P1754" s="13">
        <f t="shared" si="109"/>
        <v>0</v>
      </c>
      <c r="Q1754" s="13" t="str">
        <f t="shared" si="110"/>
        <v/>
      </c>
      <c r="R1754" s="13" t="str">
        <f t="shared" si="111"/>
        <v>Non diskon</v>
      </c>
    </row>
    <row r="1755" spans="1:18" x14ac:dyDescent="0.25">
      <c r="A1755" s="13" t="s">
        <v>1767</v>
      </c>
      <c r="B1755" s="13" t="s">
        <v>2195</v>
      </c>
      <c r="C1755" s="13" t="s">
        <v>2199</v>
      </c>
      <c r="D1755" s="13" t="s">
        <v>2206</v>
      </c>
      <c r="E1755" s="13" t="s">
        <v>2211</v>
      </c>
      <c r="F1755" s="13" t="s">
        <v>2220</v>
      </c>
      <c r="G1755" s="13">
        <v>78.09</v>
      </c>
      <c r="H1755" s="13">
        <v>0</v>
      </c>
      <c r="I1755" s="13">
        <v>78.09</v>
      </c>
      <c r="J1755" s="24">
        <v>45875</v>
      </c>
      <c r="K1755" s="13">
        <v>6</v>
      </c>
      <c r="L1755" s="44">
        <v>2</v>
      </c>
      <c r="M1755" s="13" t="b">
        <v>0</v>
      </c>
      <c r="O1755" s="25">
        <f t="shared" si="108"/>
        <v>27</v>
      </c>
      <c r="P1755" s="13">
        <f t="shared" si="109"/>
        <v>0</v>
      </c>
      <c r="Q1755" s="13" t="str">
        <f t="shared" si="110"/>
        <v/>
      </c>
      <c r="R1755" s="13" t="str">
        <f t="shared" si="111"/>
        <v>Non diskon</v>
      </c>
    </row>
    <row r="1756" spans="1:18" x14ac:dyDescent="0.25">
      <c r="A1756" s="13" t="s">
        <v>1768</v>
      </c>
      <c r="B1756" s="13" t="s">
        <v>2191</v>
      </c>
      <c r="C1756" s="13" t="s">
        <v>2197</v>
      </c>
      <c r="D1756" s="13" t="s">
        <v>2206</v>
      </c>
      <c r="E1756" s="13" t="s">
        <v>2211</v>
      </c>
      <c r="F1756" s="13" t="s">
        <v>2214</v>
      </c>
      <c r="G1756" s="13">
        <v>109.19</v>
      </c>
      <c r="H1756" s="13">
        <v>0</v>
      </c>
      <c r="I1756" s="13">
        <v>109.19</v>
      </c>
      <c r="J1756" s="24">
        <v>45875</v>
      </c>
      <c r="K1756" s="13">
        <v>47</v>
      </c>
      <c r="L1756" s="44">
        <v>4.5</v>
      </c>
      <c r="M1756" s="13" t="b">
        <v>0</v>
      </c>
      <c r="O1756" s="25">
        <f t="shared" si="108"/>
        <v>27</v>
      </c>
      <c r="P1756" s="13">
        <f t="shared" si="109"/>
        <v>0</v>
      </c>
      <c r="Q1756" s="13" t="str">
        <f t="shared" si="110"/>
        <v/>
      </c>
      <c r="R1756" s="13" t="str">
        <f t="shared" si="111"/>
        <v>Non diskon</v>
      </c>
    </row>
    <row r="1757" spans="1:18" x14ac:dyDescent="0.25">
      <c r="A1757" s="13" t="s">
        <v>1769</v>
      </c>
      <c r="B1757" s="13" t="s">
        <v>2193</v>
      </c>
      <c r="C1757" s="13" t="s">
        <v>2201</v>
      </c>
      <c r="D1757" s="13" t="s">
        <v>2205</v>
      </c>
      <c r="E1757" s="13" t="s">
        <v>2209</v>
      </c>
      <c r="F1757" s="13" t="s">
        <v>2216</v>
      </c>
      <c r="G1757" s="13">
        <v>126.74</v>
      </c>
      <c r="H1757" s="13">
        <v>0</v>
      </c>
      <c r="I1757" s="13">
        <v>126.74</v>
      </c>
      <c r="J1757" s="24">
        <v>45875</v>
      </c>
      <c r="K1757" s="13">
        <v>2</v>
      </c>
      <c r="L1757" s="44">
        <v>2.9</v>
      </c>
      <c r="M1757" s="13" t="b">
        <v>0</v>
      </c>
      <c r="O1757" s="25">
        <f t="shared" si="108"/>
        <v>27</v>
      </c>
      <c r="P1757" s="13">
        <f t="shared" si="109"/>
        <v>0</v>
      </c>
      <c r="Q1757" s="13" t="str">
        <f t="shared" si="110"/>
        <v/>
      </c>
      <c r="R1757" s="13" t="str">
        <f t="shared" si="111"/>
        <v>Non diskon</v>
      </c>
    </row>
    <row r="1758" spans="1:18" x14ac:dyDescent="0.25">
      <c r="A1758" s="13" t="s">
        <v>1770</v>
      </c>
      <c r="B1758" s="13" t="s">
        <v>2193</v>
      </c>
      <c r="C1758" s="13" t="s">
        <v>2200</v>
      </c>
      <c r="D1758" s="13" t="s">
        <v>2204</v>
      </c>
      <c r="E1758" s="13" t="s">
        <v>2208</v>
      </c>
      <c r="F1758" s="13" t="s">
        <v>2216</v>
      </c>
      <c r="G1758" s="13">
        <v>95.85</v>
      </c>
      <c r="H1758" s="13">
        <v>0</v>
      </c>
      <c r="I1758" s="13">
        <v>95.85</v>
      </c>
      <c r="J1758" s="24">
        <v>45703</v>
      </c>
      <c r="K1758" s="13">
        <v>45</v>
      </c>
      <c r="L1758" s="44">
        <v>5</v>
      </c>
      <c r="M1758" s="13" t="b">
        <v>0</v>
      </c>
      <c r="O1758" s="25">
        <f t="shared" si="108"/>
        <v>199</v>
      </c>
      <c r="P1758" s="13">
        <f t="shared" si="109"/>
        <v>0</v>
      </c>
      <c r="Q1758" s="13" t="str">
        <f t="shared" si="110"/>
        <v/>
      </c>
      <c r="R1758" s="13" t="str">
        <f t="shared" si="111"/>
        <v>Non diskon</v>
      </c>
    </row>
    <row r="1759" spans="1:18" x14ac:dyDescent="0.25">
      <c r="A1759" s="13" t="s">
        <v>1771</v>
      </c>
      <c r="B1759" s="13" t="s">
        <v>2190</v>
      </c>
      <c r="C1759" s="13" t="s">
        <v>2199</v>
      </c>
      <c r="D1759" s="13" t="s">
        <v>2207</v>
      </c>
      <c r="E1759" s="13" t="s">
        <v>2210</v>
      </c>
      <c r="F1759" s="13" t="s">
        <v>2219</v>
      </c>
      <c r="G1759" s="13">
        <v>213.98</v>
      </c>
      <c r="H1759" s="13">
        <v>0</v>
      </c>
      <c r="I1759" s="13">
        <v>213.98</v>
      </c>
      <c r="J1759" s="24">
        <v>45875</v>
      </c>
      <c r="K1759" s="13">
        <v>38</v>
      </c>
      <c r="L1759" s="44">
        <v>2.4137931034482762</v>
      </c>
      <c r="M1759" s="13" t="b">
        <v>0</v>
      </c>
      <c r="O1759" s="25">
        <f t="shared" si="108"/>
        <v>27</v>
      </c>
      <c r="P1759" s="13">
        <f t="shared" si="109"/>
        <v>0</v>
      </c>
      <c r="Q1759" s="13" t="str">
        <f t="shared" si="110"/>
        <v/>
      </c>
      <c r="R1759" s="13" t="str">
        <f t="shared" si="111"/>
        <v>Non diskon</v>
      </c>
    </row>
    <row r="1760" spans="1:18" x14ac:dyDescent="0.25">
      <c r="A1760" s="13" t="s">
        <v>1772</v>
      </c>
      <c r="B1760" s="13" t="s">
        <v>2193</v>
      </c>
      <c r="C1760" s="13" t="s">
        <v>2203</v>
      </c>
      <c r="D1760" s="13" t="s">
        <v>2204</v>
      </c>
      <c r="E1760" s="13" t="s">
        <v>2211</v>
      </c>
      <c r="F1760" s="13" t="s">
        <v>2221</v>
      </c>
      <c r="G1760" s="13">
        <v>146.22999999999999</v>
      </c>
      <c r="H1760" s="13">
        <v>40</v>
      </c>
      <c r="I1760" s="13">
        <v>87.74</v>
      </c>
      <c r="J1760" s="24">
        <v>45684</v>
      </c>
      <c r="K1760" s="13">
        <v>17</v>
      </c>
      <c r="L1760" s="44">
        <v>2.6</v>
      </c>
      <c r="M1760" s="13" t="b">
        <v>1</v>
      </c>
      <c r="N1760" s="13" t="s">
        <v>2228</v>
      </c>
      <c r="O1760" s="25">
        <f t="shared" si="108"/>
        <v>218</v>
      </c>
      <c r="P1760" s="13">
        <f t="shared" si="109"/>
        <v>680</v>
      </c>
      <c r="Q1760" s="13">
        <f t="shared" si="110"/>
        <v>1</v>
      </c>
      <c r="R1760" s="13" t="str">
        <f t="shared" si="111"/>
        <v>Diskon</v>
      </c>
    </row>
    <row r="1761" spans="1:18" x14ac:dyDescent="0.25">
      <c r="A1761" s="13" t="s">
        <v>1773</v>
      </c>
      <c r="B1761" s="13" t="s">
        <v>2194</v>
      </c>
      <c r="C1761" s="13" t="s">
        <v>2199</v>
      </c>
      <c r="D1761" s="13" t="s">
        <v>2205</v>
      </c>
      <c r="E1761" s="13" t="s">
        <v>2209</v>
      </c>
      <c r="F1761" s="13" t="s">
        <v>2215</v>
      </c>
      <c r="G1761" s="13">
        <v>115.57</v>
      </c>
      <c r="H1761" s="13">
        <v>16.100000000000001</v>
      </c>
      <c r="I1761" s="13">
        <v>96.96</v>
      </c>
      <c r="J1761" s="24">
        <v>45875</v>
      </c>
      <c r="K1761" s="13">
        <v>32</v>
      </c>
      <c r="L1761" s="44">
        <v>3.1</v>
      </c>
      <c r="M1761" s="13" t="b">
        <v>1</v>
      </c>
      <c r="N1761" s="13" t="s">
        <v>2226</v>
      </c>
      <c r="O1761" s="25">
        <f t="shared" si="108"/>
        <v>27</v>
      </c>
      <c r="P1761" s="13">
        <f t="shared" si="109"/>
        <v>515.20000000000005</v>
      </c>
      <c r="Q1761" s="13">
        <f t="shared" si="110"/>
        <v>1</v>
      </c>
      <c r="R1761" s="13" t="str">
        <f t="shared" si="111"/>
        <v>Diskon</v>
      </c>
    </row>
    <row r="1762" spans="1:18" x14ac:dyDescent="0.25">
      <c r="A1762" s="13" t="s">
        <v>1774</v>
      </c>
      <c r="B1762" s="13" t="s">
        <v>2192</v>
      </c>
      <c r="C1762" s="13" t="s">
        <v>2198</v>
      </c>
      <c r="D1762" s="13" t="s">
        <v>2204</v>
      </c>
      <c r="F1762" s="13" t="s">
        <v>2219</v>
      </c>
      <c r="G1762" s="13">
        <v>66.62</v>
      </c>
      <c r="H1762" s="13">
        <v>0</v>
      </c>
      <c r="I1762" s="13">
        <v>66.62</v>
      </c>
      <c r="J1762" s="24">
        <v>45592</v>
      </c>
      <c r="K1762" s="13">
        <v>37</v>
      </c>
      <c r="L1762" s="44">
        <v>2.8694444444444449</v>
      </c>
      <c r="M1762" s="13" t="b">
        <v>0</v>
      </c>
      <c r="O1762" s="25">
        <f t="shared" si="108"/>
        <v>310</v>
      </c>
      <c r="P1762" s="13">
        <f t="shared" si="109"/>
        <v>0</v>
      </c>
      <c r="Q1762" s="13" t="str">
        <f t="shared" si="110"/>
        <v/>
      </c>
      <c r="R1762" s="13" t="str">
        <f t="shared" si="111"/>
        <v>Non diskon</v>
      </c>
    </row>
    <row r="1763" spans="1:18" x14ac:dyDescent="0.25">
      <c r="A1763" s="13" t="s">
        <v>1775</v>
      </c>
      <c r="B1763" s="13" t="s">
        <v>2195</v>
      </c>
      <c r="C1763" s="13" t="s">
        <v>2198</v>
      </c>
      <c r="D1763" s="13" t="s">
        <v>2204</v>
      </c>
      <c r="E1763" s="13" t="s">
        <v>2212</v>
      </c>
      <c r="F1763" s="13" t="s">
        <v>2223</v>
      </c>
      <c r="G1763" s="13">
        <v>60.37</v>
      </c>
      <c r="H1763" s="13">
        <v>23.1</v>
      </c>
      <c r="I1763" s="13">
        <v>46.42</v>
      </c>
      <c r="J1763" s="24">
        <v>45730</v>
      </c>
      <c r="K1763" s="13">
        <v>30</v>
      </c>
      <c r="L1763" s="44">
        <v>4.8</v>
      </c>
      <c r="M1763" s="13" t="b">
        <v>0</v>
      </c>
      <c r="O1763" s="25">
        <f t="shared" si="108"/>
        <v>172</v>
      </c>
      <c r="P1763" s="13">
        <f t="shared" si="109"/>
        <v>693</v>
      </c>
      <c r="Q1763" s="13" t="str">
        <f t="shared" si="110"/>
        <v/>
      </c>
      <c r="R1763" s="13" t="str">
        <f t="shared" si="111"/>
        <v>Diskon</v>
      </c>
    </row>
    <row r="1764" spans="1:18" x14ac:dyDescent="0.25">
      <c r="A1764" s="13" t="s">
        <v>1776</v>
      </c>
      <c r="B1764" s="13" t="s">
        <v>2193</v>
      </c>
      <c r="C1764" s="13" t="s">
        <v>2200</v>
      </c>
      <c r="D1764" s="13" t="s">
        <v>2205</v>
      </c>
      <c r="E1764" s="13" t="s">
        <v>2213</v>
      </c>
      <c r="F1764" s="13" t="s">
        <v>2219</v>
      </c>
      <c r="G1764" s="13">
        <v>83.2</v>
      </c>
      <c r="H1764" s="13">
        <v>57.1</v>
      </c>
      <c r="I1764" s="13">
        <v>35.69</v>
      </c>
      <c r="J1764" s="24">
        <v>45875</v>
      </c>
      <c r="K1764" s="13">
        <v>10</v>
      </c>
      <c r="L1764" s="44">
        <v>3.3</v>
      </c>
      <c r="M1764" s="13" t="b">
        <v>0</v>
      </c>
      <c r="O1764" s="25">
        <f t="shared" si="108"/>
        <v>27</v>
      </c>
      <c r="P1764" s="13">
        <f t="shared" si="109"/>
        <v>571</v>
      </c>
      <c r="Q1764" s="13" t="str">
        <f t="shared" si="110"/>
        <v/>
      </c>
      <c r="R1764" s="13" t="str">
        <f t="shared" si="111"/>
        <v>Diskon</v>
      </c>
    </row>
    <row r="1765" spans="1:18" x14ac:dyDescent="0.25">
      <c r="A1765" s="13" t="s">
        <v>1777</v>
      </c>
      <c r="B1765" s="13" t="s">
        <v>2190</v>
      </c>
      <c r="C1765" s="13" t="s">
        <v>2197</v>
      </c>
      <c r="D1765" s="13" t="s">
        <v>2207</v>
      </c>
      <c r="E1765" s="13" t="s">
        <v>2210</v>
      </c>
      <c r="F1765" s="13" t="s">
        <v>2222</v>
      </c>
      <c r="G1765" s="13">
        <v>204.47</v>
      </c>
      <c r="H1765" s="13">
        <v>3.6</v>
      </c>
      <c r="I1765" s="13">
        <v>197.11</v>
      </c>
      <c r="J1765" s="24">
        <v>45875</v>
      </c>
      <c r="K1765" s="13">
        <v>26</v>
      </c>
      <c r="L1765" s="44">
        <v>3.15</v>
      </c>
      <c r="M1765" s="13" t="b">
        <v>0</v>
      </c>
      <c r="O1765" s="25">
        <f t="shared" si="108"/>
        <v>27</v>
      </c>
      <c r="P1765" s="13">
        <f t="shared" si="109"/>
        <v>93.600000000000009</v>
      </c>
      <c r="Q1765" s="13" t="str">
        <f t="shared" si="110"/>
        <v/>
      </c>
      <c r="R1765" s="13" t="str">
        <f t="shared" si="111"/>
        <v>Diskon</v>
      </c>
    </row>
    <row r="1766" spans="1:18" x14ac:dyDescent="0.25">
      <c r="A1766" s="13" t="s">
        <v>1778</v>
      </c>
      <c r="B1766" s="13" t="s">
        <v>2192</v>
      </c>
      <c r="C1766" s="13" t="s">
        <v>2199</v>
      </c>
      <c r="D1766" s="13" t="s">
        <v>2206</v>
      </c>
      <c r="F1766" s="13" t="s">
        <v>2223</v>
      </c>
      <c r="G1766" s="13">
        <v>52.73</v>
      </c>
      <c r="H1766" s="13">
        <v>0</v>
      </c>
      <c r="I1766" s="13">
        <v>52.73</v>
      </c>
      <c r="J1766" s="24">
        <v>45875</v>
      </c>
      <c r="K1766" s="13">
        <v>42</v>
      </c>
      <c r="L1766" s="44">
        <v>2.5131578947368416</v>
      </c>
      <c r="M1766" s="13" t="b">
        <v>0</v>
      </c>
      <c r="O1766" s="25">
        <f t="shared" si="108"/>
        <v>27</v>
      </c>
      <c r="P1766" s="13">
        <f t="shared" si="109"/>
        <v>0</v>
      </c>
      <c r="Q1766" s="13" t="str">
        <f t="shared" si="110"/>
        <v/>
      </c>
      <c r="R1766" s="13" t="str">
        <f t="shared" si="111"/>
        <v>Non diskon</v>
      </c>
    </row>
    <row r="1767" spans="1:18" x14ac:dyDescent="0.25">
      <c r="A1767" s="13" t="s">
        <v>1779</v>
      </c>
      <c r="B1767" s="13" t="s">
        <v>2194</v>
      </c>
      <c r="C1767" s="13" t="s">
        <v>2203</v>
      </c>
      <c r="D1767" s="13" t="s">
        <v>2206</v>
      </c>
      <c r="E1767" s="13" t="s">
        <v>2211</v>
      </c>
      <c r="F1767" s="13" t="s">
        <v>2221</v>
      </c>
      <c r="G1767" s="13">
        <v>61.1</v>
      </c>
      <c r="H1767" s="13">
        <v>0</v>
      </c>
      <c r="I1767" s="13">
        <v>61.1</v>
      </c>
      <c r="J1767" s="24">
        <v>45875</v>
      </c>
      <c r="K1767" s="13">
        <v>30</v>
      </c>
      <c r="L1767" s="44">
        <v>4.5999999999999996</v>
      </c>
      <c r="M1767" s="13" t="b">
        <v>0</v>
      </c>
      <c r="O1767" s="25">
        <f t="shared" si="108"/>
        <v>27</v>
      </c>
      <c r="P1767" s="13">
        <f t="shared" si="109"/>
        <v>0</v>
      </c>
      <c r="Q1767" s="13" t="str">
        <f t="shared" si="110"/>
        <v/>
      </c>
      <c r="R1767" s="13" t="str">
        <f t="shared" si="111"/>
        <v>Non diskon</v>
      </c>
    </row>
    <row r="1768" spans="1:18" x14ac:dyDescent="0.25">
      <c r="A1768" s="13" t="s">
        <v>1780</v>
      </c>
      <c r="B1768" s="13" t="s">
        <v>2190</v>
      </c>
      <c r="C1768" s="13" t="s">
        <v>2196</v>
      </c>
      <c r="D1768" s="13" t="s">
        <v>2207</v>
      </c>
      <c r="E1768" s="13" t="s">
        <v>2210</v>
      </c>
      <c r="F1768" s="13" t="s">
        <v>2218</v>
      </c>
      <c r="G1768" s="13">
        <v>227.92</v>
      </c>
      <c r="H1768" s="13">
        <v>0</v>
      </c>
      <c r="I1768" s="13">
        <v>227.92</v>
      </c>
      <c r="J1768" s="24">
        <v>45875</v>
      </c>
      <c r="K1768" s="13">
        <v>34</v>
      </c>
      <c r="L1768" s="44">
        <v>2.7030303030303036</v>
      </c>
      <c r="M1768" s="13" t="b">
        <v>0</v>
      </c>
      <c r="O1768" s="25">
        <f t="shared" si="108"/>
        <v>27</v>
      </c>
      <c r="P1768" s="13">
        <f t="shared" si="109"/>
        <v>0</v>
      </c>
      <c r="Q1768" s="13" t="str">
        <f t="shared" si="110"/>
        <v/>
      </c>
      <c r="R1768" s="13" t="str">
        <f t="shared" si="111"/>
        <v>Non diskon</v>
      </c>
    </row>
    <row r="1769" spans="1:18" x14ac:dyDescent="0.25">
      <c r="A1769" s="13" t="s">
        <v>1781</v>
      </c>
      <c r="B1769" s="13" t="s">
        <v>2195</v>
      </c>
      <c r="C1769" s="13" t="s">
        <v>2200</v>
      </c>
      <c r="D1769" s="13" t="s">
        <v>2206</v>
      </c>
      <c r="E1769" s="13" t="s">
        <v>2209</v>
      </c>
      <c r="F1769" s="13" t="s">
        <v>2219</v>
      </c>
      <c r="G1769" s="13">
        <v>111.55</v>
      </c>
      <c r="H1769" s="13">
        <v>0</v>
      </c>
      <c r="I1769" s="13">
        <v>111.55</v>
      </c>
      <c r="J1769" s="24">
        <v>45875</v>
      </c>
      <c r="K1769" s="13">
        <v>14</v>
      </c>
      <c r="L1769" s="44">
        <v>3.1051282051282048</v>
      </c>
      <c r="M1769" s="13" t="b">
        <v>0</v>
      </c>
      <c r="O1769" s="25">
        <f t="shared" si="108"/>
        <v>27</v>
      </c>
      <c r="P1769" s="13">
        <f t="shared" si="109"/>
        <v>0</v>
      </c>
      <c r="Q1769" s="13" t="str">
        <f t="shared" si="110"/>
        <v/>
      </c>
      <c r="R1769" s="13" t="str">
        <f t="shared" si="111"/>
        <v>Non diskon</v>
      </c>
    </row>
    <row r="1770" spans="1:18" x14ac:dyDescent="0.25">
      <c r="A1770" s="13" t="s">
        <v>1782</v>
      </c>
      <c r="B1770" s="13" t="s">
        <v>2194</v>
      </c>
      <c r="C1770" s="13" t="s">
        <v>2203</v>
      </c>
      <c r="D1770" s="13" t="s">
        <v>2206</v>
      </c>
      <c r="E1770" s="13" t="s">
        <v>2212</v>
      </c>
      <c r="F1770" s="13" t="s">
        <v>2215</v>
      </c>
      <c r="G1770" s="13">
        <v>29.09</v>
      </c>
      <c r="H1770" s="13">
        <v>29.6</v>
      </c>
      <c r="I1770" s="13">
        <v>20.48</v>
      </c>
      <c r="J1770" s="24">
        <v>45875</v>
      </c>
      <c r="K1770" s="13">
        <v>25</v>
      </c>
      <c r="L1770" s="44">
        <v>4.8</v>
      </c>
      <c r="M1770" s="13" t="b">
        <v>0</v>
      </c>
      <c r="O1770" s="25">
        <f t="shared" si="108"/>
        <v>27</v>
      </c>
      <c r="P1770" s="13">
        <f t="shared" si="109"/>
        <v>740</v>
      </c>
      <c r="Q1770" s="13" t="str">
        <f t="shared" si="110"/>
        <v/>
      </c>
      <c r="R1770" s="13" t="str">
        <f t="shared" si="111"/>
        <v>Diskon</v>
      </c>
    </row>
    <row r="1771" spans="1:18" x14ac:dyDescent="0.25">
      <c r="A1771" s="13" t="s">
        <v>1783</v>
      </c>
      <c r="B1771" s="13" t="s">
        <v>2195</v>
      </c>
      <c r="C1771" s="13" t="s">
        <v>2200</v>
      </c>
      <c r="D1771" s="13" t="s">
        <v>2206</v>
      </c>
      <c r="E1771" s="13" t="s">
        <v>2213</v>
      </c>
      <c r="F1771" s="13" t="s">
        <v>2215</v>
      </c>
      <c r="G1771" s="13">
        <v>179.71</v>
      </c>
      <c r="H1771" s="13">
        <v>0</v>
      </c>
      <c r="I1771" s="13">
        <v>179.71</v>
      </c>
      <c r="J1771" s="24">
        <v>45875</v>
      </c>
      <c r="K1771" s="13">
        <v>9</v>
      </c>
      <c r="L1771" s="44">
        <v>3.9</v>
      </c>
      <c r="M1771" s="13" t="b">
        <v>0</v>
      </c>
      <c r="O1771" s="25">
        <f t="shared" si="108"/>
        <v>27</v>
      </c>
      <c r="P1771" s="13">
        <f t="shared" si="109"/>
        <v>0</v>
      </c>
      <c r="Q1771" s="13" t="str">
        <f t="shared" si="110"/>
        <v/>
      </c>
      <c r="R1771" s="13" t="str">
        <f t="shared" si="111"/>
        <v>Non diskon</v>
      </c>
    </row>
    <row r="1772" spans="1:18" x14ac:dyDescent="0.25">
      <c r="A1772" s="13" t="s">
        <v>1784</v>
      </c>
      <c r="B1772" s="13" t="s">
        <v>2192</v>
      </c>
      <c r="C1772" s="13" t="s">
        <v>2200</v>
      </c>
      <c r="D1772" s="13" t="s">
        <v>2207</v>
      </c>
      <c r="F1772" s="13" t="s">
        <v>2215</v>
      </c>
      <c r="G1772" s="13">
        <v>52.76</v>
      </c>
      <c r="H1772" s="13">
        <v>39.4</v>
      </c>
      <c r="I1772" s="13">
        <v>31.97</v>
      </c>
      <c r="J1772" s="24">
        <v>45875</v>
      </c>
      <c r="K1772" s="13">
        <v>0</v>
      </c>
      <c r="L1772" s="44">
        <v>1.4</v>
      </c>
      <c r="M1772" s="13" t="b">
        <v>0</v>
      </c>
      <c r="O1772" s="25">
        <f t="shared" si="108"/>
        <v>27</v>
      </c>
      <c r="P1772" s="13">
        <f t="shared" si="109"/>
        <v>0</v>
      </c>
      <c r="Q1772" s="13" t="str">
        <f t="shared" si="110"/>
        <v/>
      </c>
      <c r="R1772" s="13" t="str">
        <f t="shared" si="111"/>
        <v>Diskon</v>
      </c>
    </row>
    <row r="1773" spans="1:18" x14ac:dyDescent="0.25">
      <c r="A1773" s="13" t="s">
        <v>1785</v>
      </c>
      <c r="B1773" s="13" t="s">
        <v>2192</v>
      </c>
      <c r="C1773" s="13" t="s">
        <v>2197</v>
      </c>
      <c r="D1773" s="13" t="s">
        <v>2204</v>
      </c>
      <c r="F1773" s="13" t="s">
        <v>2220</v>
      </c>
      <c r="G1773" s="13">
        <v>67.900000000000006</v>
      </c>
      <c r="H1773" s="13">
        <v>0</v>
      </c>
      <c r="I1773" s="13">
        <v>67.900000000000006</v>
      </c>
      <c r="J1773" s="24">
        <v>45657</v>
      </c>
      <c r="K1773" s="13">
        <v>1</v>
      </c>
      <c r="L1773" s="44">
        <v>1.3</v>
      </c>
      <c r="M1773" s="13" t="b">
        <v>0</v>
      </c>
      <c r="O1773" s="25">
        <f t="shared" si="108"/>
        <v>245</v>
      </c>
      <c r="P1773" s="13">
        <f t="shared" si="109"/>
        <v>0</v>
      </c>
      <c r="Q1773" s="13" t="str">
        <f t="shared" si="110"/>
        <v/>
      </c>
      <c r="R1773" s="13" t="str">
        <f t="shared" si="111"/>
        <v>Non diskon</v>
      </c>
    </row>
    <row r="1774" spans="1:18" x14ac:dyDescent="0.25">
      <c r="A1774" s="13" t="s">
        <v>1786</v>
      </c>
      <c r="B1774" s="13" t="s">
        <v>2192</v>
      </c>
      <c r="C1774" s="13" t="s">
        <v>2197</v>
      </c>
      <c r="D1774" s="13" t="s">
        <v>2206</v>
      </c>
      <c r="F1774" s="13" t="s">
        <v>2222</v>
      </c>
      <c r="G1774" s="13">
        <v>46.77</v>
      </c>
      <c r="H1774" s="13">
        <v>40.799999999999997</v>
      </c>
      <c r="I1774" s="13">
        <v>27.69</v>
      </c>
      <c r="J1774" s="24">
        <v>45875</v>
      </c>
      <c r="K1774" s="13">
        <v>25</v>
      </c>
      <c r="L1774" s="44">
        <v>2.6</v>
      </c>
      <c r="M1774" s="13" t="b">
        <v>0</v>
      </c>
      <c r="O1774" s="25">
        <f t="shared" si="108"/>
        <v>27</v>
      </c>
      <c r="P1774" s="13">
        <f t="shared" si="109"/>
        <v>1019.9999999999999</v>
      </c>
      <c r="Q1774" s="13" t="str">
        <f t="shared" si="110"/>
        <v/>
      </c>
      <c r="R1774" s="13" t="str">
        <f t="shared" si="111"/>
        <v>Diskon</v>
      </c>
    </row>
    <row r="1775" spans="1:18" x14ac:dyDescent="0.25">
      <c r="A1775" s="13" t="s">
        <v>1787</v>
      </c>
      <c r="B1775" s="13" t="s">
        <v>2191</v>
      </c>
      <c r="C1775" s="13" t="s">
        <v>2197</v>
      </c>
      <c r="D1775" s="13" t="s">
        <v>2205</v>
      </c>
      <c r="E1775" s="13" t="s">
        <v>2208</v>
      </c>
      <c r="F1775" s="13" t="s">
        <v>2222</v>
      </c>
      <c r="G1775" s="13">
        <v>91.6</v>
      </c>
      <c r="H1775" s="13">
        <v>0</v>
      </c>
      <c r="I1775" s="13">
        <v>91.6</v>
      </c>
      <c r="J1775" s="24">
        <v>45875</v>
      </c>
      <c r="K1775" s="13">
        <v>6</v>
      </c>
      <c r="L1775" s="44">
        <v>2.7</v>
      </c>
      <c r="M1775" s="13" t="b">
        <v>0</v>
      </c>
      <c r="O1775" s="25">
        <f t="shared" si="108"/>
        <v>27</v>
      </c>
      <c r="P1775" s="13">
        <f t="shared" si="109"/>
        <v>0</v>
      </c>
      <c r="Q1775" s="13" t="str">
        <f t="shared" si="110"/>
        <v/>
      </c>
      <c r="R1775" s="13" t="str">
        <f t="shared" si="111"/>
        <v>Non diskon</v>
      </c>
    </row>
    <row r="1776" spans="1:18" x14ac:dyDescent="0.25">
      <c r="A1776" s="13" t="s">
        <v>1788</v>
      </c>
      <c r="B1776" s="13" t="s">
        <v>2190</v>
      </c>
      <c r="C1776" s="13" t="s">
        <v>2197</v>
      </c>
      <c r="D1776" s="13" t="s">
        <v>2204</v>
      </c>
      <c r="E1776" s="13" t="s">
        <v>2212</v>
      </c>
      <c r="F1776" s="13" t="s">
        <v>2215</v>
      </c>
      <c r="G1776" s="13">
        <v>230.39</v>
      </c>
      <c r="H1776" s="13">
        <v>4.2</v>
      </c>
      <c r="I1776" s="13">
        <v>220.71</v>
      </c>
      <c r="J1776" s="24">
        <v>45580</v>
      </c>
      <c r="K1776" s="13">
        <v>34</v>
      </c>
      <c r="L1776" s="44">
        <v>3.5</v>
      </c>
      <c r="M1776" s="13" t="b">
        <v>0</v>
      </c>
      <c r="O1776" s="25">
        <f t="shared" si="108"/>
        <v>322</v>
      </c>
      <c r="P1776" s="13">
        <f t="shared" si="109"/>
        <v>142.80000000000001</v>
      </c>
      <c r="Q1776" s="13" t="str">
        <f t="shared" si="110"/>
        <v/>
      </c>
      <c r="R1776" s="13" t="str">
        <f t="shared" si="111"/>
        <v>Diskon</v>
      </c>
    </row>
    <row r="1777" spans="1:18" x14ac:dyDescent="0.25">
      <c r="A1777" s="13" t="s">
        <v>1789</v>
      </c>
      <c r="B1777" s="13" t="s">
        <v>2190</v>
      </c>
      <c r="C1777" s="13" t="s">
        <v>2201</v>
      </c>
      <c r="D1777" s="13" t="s">
        <v>2206</v>
      </c>
      <c r="E1777" s="13" t="s">
        <v>2213</v>
      </c>
      <c r="F1777" s="13" t="s">
        <v>2219</v>
      </c>
      <c r="G1777" s="13">
        <v>118.37</v>
      </c>
      <c r="H1777" s="13">
        <v>0</v>
      </c>
      <c r="I1777" s="13">
        <v>118.37</v>
      </c>
      <c r="J1777" s="24">
        <v>45875</v>
      </c>
      <c r="K1777" s="13">
        <v>45</v>
      </c>
      <c r="L1777" s="44">
        <v>3.0305555555555546</v>
      </c>
      <c r="M1777" s="13" t="b">
        <v>0</v>
      </c>
      <c r="O1777" s="25">
        <f t="shared" si="108"/>
        <v>27</v>
      </c>
      <c r="P1777" s="13">
        <f t="shared" si="109"/>
        <v>0</v>
      </c>
      <c r="Q1777" s="13" t="str">
        <f t="shared" si="110"/>
        <v/>
      </c>
      <c r="R1777" s="13" t="str">
        <f t="shared" si="111"/>
        <v>Non diskon</v>
      </c>
    </row>
    <row r="1778" spans="1:18" x14ac:dyDescent="0.25">
      <c r="A1778" s="13" t="s">
        <v>1790</v>
      </c>
      <c r="B1778" s="13" t="s">
        <v>2193</v>
      </c>
      <c r="C1778" s="13" t="s">
        <v>2202</v>
      </c>
      <c r="D1778" s="13" t="s">
        <v>2205</v>
      </c>
      <c r="E1778" s="13" t="s">
        <v>2213</v>
      </c>
      <c r="F1778" s="13" t="s">
        <v>2214</v>
      </c>
      <c r="G1778" s="13">
        <v>81.260000000000005</v>
      </c>
      <c r="H1778" s="13">
        <v>32.700000000000003</v>
      </c>
      <c r="I1778" s="13">
        <v>54.69</v>
      </c>
      <c r="J1778" s="24">
        <v>45875</v>
      </c>
      <c r="K1778" s="13">
        <v>2</v>
      </c>
      <c r="L1778" s="44">
        <v>3.3</v>
      </c>
      <c r="M1778" s="13" t="b">
        <v>0</v>
      </c>
      <c r="O1778" s="25">
        <f t="shared" si="108"/>
        <v>27</v>
      </c>
      <c r="P1778" s="13">
        <f t="shared" si="109"/>
        <v>65.400000000000006</v>
      </c>
      <c r="Q1778" s="13" t="str">
        <f t="shared" si="110"/>
        <v/>
      </c>
      <c r="R1778" s="13" t="str">
        <f t="shared" si="111"/>
        <v>Diskon</v>
      </c>
    </row>
    <row r="1779" spans="1:18" x14ac:dyDescent="0.25">
      <c r="A1779" s="13" t="s">
        <v>1791</v>
      </c>
      <c r="B1779" s="13" t="s">
        <v>2192</v>
      </c>
      <c r="C1779" s="13" t="s">
        <v>2200</v>
      </c>
      <c r="D1779" s="13" t="s">
        <v>2206</v>
      </c>
      <c r="F1779" s="13" t="s">
        <v>2223</v>
      </c>
      <c r="G1779" s="13">
        <v>57.21</v>
      </c>
      <c r="H1779" s="13">
        <v>18</v>
      </c>
      <c r="I1779" s="13">
        <v>46.91</v>
      </c>
      <c r="J1779" s="24">
        <v>45875</v>
      </c>
      <c r="K1779" s="13">
        <v>7</v>
      </c>
      <c r="L1779" s="44">
        <v>2.5</v>
      </c>
      <c r="M1779" s="13" t="b">
        <v>0</v>
      </c>
      <c r="O1779" s="25">
        <f t="shared" si="108"/>
        <v>27</v>
      </c>
      <c r="P1779" s="13">
        <f t="shared" si="109"/>
        <v>126</v>
      </c>
      <c r="Q1779" s="13" t="str">
        <f t="shared" si="110"/>
        <v/>
      </c>
      <c r="R1779" s="13" t="str">
        <f t="shared" si="111"/>
        <v>Diskon</v>
      </c>
    </row>
    <row r="1780" spans="1:18" x14ac:dyDescent="0.25">
      <c r="A1780" s="13" t="s">
        <v>1792</v>
      </c>
      <c r="B1780" s="13" t="s">
        <v>2195</v>
      </c>
      <c r="C1780" s="13" t="s">
        <v>2203</v>
      </c>
      <c r="D1780" s="13" t="s">
        <v>2207</v>
      </c>
      <c r="E1780" s="13" t="s">
        <v>2208</v>
      </c>
      <c r="F1780" s="13" t="s">
        <v>2224</v>
      </c>
      <c r="G1780" s="13">
        <v>74.53</v>
      </c>
      <c r="H1780" s="13">
        <v>0</v>
      </c>
      <c r="I1780" s="13">
        <v>74.53</v>
      </c>
      <c r="J1780" s="24">
        <v>45875</v>
      </c>
      <c r="K1780" s="13">
        <v>9</v>
      </c>
      <c r="L1780" s="44">
        <v>2.9636363636363638</v>
      </c>
      <c r="M1780" s="13" t="b">
        <v>0</v>
      </c>
      <c r="O1780" s="25">
        <f t="shared" si="108"/>
        <v>27</v>
      </c>
      <c r="P1780" s="13">
        <f t="shared" si="109"/>
        <v>0</v>
      </c>
      <c r="Q1780" s="13" t="str">
        <f t="shared" si="110"/>
        <v/>
      </c>
      <c r="R1780" s="13" t="str">
        <f t="shared" si="111"/>
        <v>Non diskon</v>
      </c>
    </row>
    <row r="1781" spans="1:18" x14ac:dyDescent="0.25">
      <c r="A1781" s="13" t="s">
        <v>1793</v>
      </c>
      <c r="B1781" s="13" t="s">
        <v>2195</v>
      </c>
      <c r="C1781" s="13" t="s">
        <v>2198</v>
      </c>
      <c r="D1781" s="13" t="s">
        <v>2207</v>
      </c>
      <c r="E1781" s="13" t="s">
        <v>2213</v>
      </c>
      <c r="F1781" s="13" t="s">
        <v>2214</v>
      </c>
      <c r="G1781" s="13">
        <v>69.540000000000006</v>
      </c>
      <c r="H1781" s="13">
        <v>0</v>
      </c>
      <c r="I1781" s="13">
        <v>69.540000000000006</v>
      </c>
      <c r="J1781" s="24">
        <v>45875</v>
      </c>
      <c r="K1781" s="13">
        <v>40</v>
      </c>
      <c r="L1781" s="44">
        <v>3.2</v>
      </c>
      <c r="M1781" s="13" t="b">
        <v>1</v>
      </c>
      <c r="N1781" s="13" t="s">
        <v>2226</v>
      </c>
      <c r="O1781" s="25">
        <f t="shared" si="108"/>
        <v>27</v>
      </c>
      <c r="P1781" s="13">
        <f t="shared" si="109"/>
        <v>0</v>
      </c>
      <c r="Q1781" s="13">
        <f t="shared" si="110"/>
        <v>1</v>
      </c>
      <c r="R1781" s="13" t="str">
        <f t="shared" si="111"/>
        <v>Non diskon</v>
      </c>
    </row>
    <row r="1782" spans="1:18" x14ac:dyDescent="0.25">
      <c r="A1782" s="13" t="s">
        <v>1794</v>
      </c>
      <c r="B1782" s="13" t="s">
        <v>2195</v>
      </c>
      <c r="C1782" s="13" t="s">
        <v>2201</v>
      </c>
      <c r="D1782" s="13" t="s">
        <v>2207</v>
      </c>
      <c r="E1782" s="13" t="s">
        <v>2208</v>
      </c>
      <c r="F1782" s="13" t="s">
        <v>2224</v>
      </c>
      <c r="G1782" s="13">
        <v>102.71</v>
      </c>
      <c r="H1782" s="13">
        <v>55.9</v>
      </c>
      <c r="I1782" s="13">
        <v>45.3</v>
      </c>
      <c r="J1782" s="24">
        <v>45875</v>
      </c>
      <c r="K1782" s="13">
        <v>31</v>
      </c>
      <c r="L1782" s="44">
        <v>4.5999999999999996</v>
      </c>
      <c r="M1782" s="13" t="b">
        <v>0</v>
      </c>
      <c r="O1782" s="25">
        <f t="shared" si="108"/>
        <v>27</v>
      </c>
      <c r="P1782" s="13">
        <f t="shared" si="109"/>
        <v>1732.8999999999999</v>
      </c>
      <c r="Q1782" s="13" t="str">
        <f t="shared" si="110"/>
        <v/>
      </c>
      <c r="R1782" s="13" t="str">
        <f t="shared" si="111"/>
        <v>Diskon</v>
      </c>
    </row>
    <row r="1783" spans="1:18" x14ac:dyDescent="0.25">
      <c r="A1783" s="13" t="s">
        <v>1795</v>
      </c>
      <c r="B1783" s="13" t="s">
        <v>2193</v>
      </c>
      <c r="C1783" s="13" t="s">
        <v>2202</v>
      </c>
      <c r="D1783" s="13" t="s">
        <v>2207</v>
      </c>
      <c r="E1783" s="13" t="s">
        <v>2209</v>
      </c>
      <c r="F1783" s="13" t="s">
        <v>2221</v>
      </c>
      <c r="G1783" s="13">
        <v>117.82</v>
      </c>
      <c r="H1783" s="13">
        <v>0</v>
      </c>
      <c r="I1783" s="13">
        <v>117.82</v>
      </c>
      <c r="J1783" s="24">
        <v>45875</v>
      </c>
      <c r="K1783" s="13">
        <v>7</v>
      </c>
      <c r="L1783" s="44">
        <v>4.9000000000000004</v>
      </c>
      <c r="M1783" s="13" t="b">
        <v>0</v>
      </c>
      <c r="O1783" s="25">
        <f t="shared" si="108"/>
        <v>27</v>
      </c>
      <c r="P1783" s="13">
        <f t="shared" si="109"/>
        <v>0</v>
      </c>
      <c r="Q1783" s="13" t="str">
        <f t="shared" si="110"/>
        <v/>
      </c>
      <c r="R1783" s="13" t="str">
        <f t="shared" si="111"/>
        <v>Non diskon</v>
      </c>
    </row>
    <row r="1784" spans="1:18" x14ac:dyDescent="0.25">
      <c r="A1784" s="13" t="s">
        <v>1796</v>
      </c>
      <c r="B1784" s="13" t="s">
        <v>2192</v>
      </c>
      <c r="C1784" s="13" t="s">
        <v>2202</v>
      </c>
      <c r="D1784" s="13" t="s">
        <v>2204</v>
      </c>
      <c r="F1784" s="13" t="s">
        <v>2223</v>
      </c>
      <c r="G1784" s="13">
        <v>61.01</v>
      </c>
      <c r="H1784" s="13">
        <v>0</v>
      </c>
      <c r="I1784" s="13">
        <v>61.01</v>
      </c>
      <c r="J1784" s="24">
        <v>45772</v>
      </c>
      <c r="K1784" s="13">
        <v>30</v>
      </c>
      <c r="L1784" s="44">
        <v>3.4</v>
      </c>
      <c r="M1784" s="13" t="b">
        <v>0</v>
      </c>
      <c r="O1784" s="25">
        <f t="shared" si="108"/>
        <v>130</v>
      </c>
      <c r="P1784" s="13">
        <f t="shared" si="109"/>
        <v>0</v>
      </c>
      <c r="Q1784" s="13" t="str">
        <f t="shared" si="110"/>
        <v/>
      </c>
      <c r="R1784" s="13" t="str">
        <f t="shared" si="111"/>
        <v>Non diskon</v>
      </c>
    </row>
    <row r="1785" spans="1:18" x14ac:dyDescent="0.25">
      <c r="A1785" s="13" t="s">
        <v>1797</v>
      </c>
      <c r="B1785" s="13" t="s">
        <v>2190</v>
      </c>
      <c r="C1785" s="13" t="s">
        <v>2203</v>
      </c>
      <c r="D1785" s="13" t="s">
        <v>2205</v>
      </c>
      <c r="E1785" s="13" t="s">
        <v>2208</v>
      </c>
      <c r="F1785" s="13" t="s">
        <v>2215</v>
      </c>
      <c r="G1785" s="13">
        <v>222.01</v>
      </c>
      <c r="H1785" s="13">
        <v>0</v>
      </c>
      <c r="I1785" s="13">
        <v>222.01</v>
      </c>
      <c r="J1785" s="24">
        <v>45875</v>
      </c>
      <c r="K1785" s="13">
        <v>27</v>
      </c>
      <c r="L1785" s="44">
        <v>2.1</v>
      </c>
      <c r="M1785" s="13" t="b">
        <v>0</v>
      </c>
      <c r="O1785" s="25">
        <f t="shared" si="108"/>
        <v>27</v>
      </c>
      <c r="P1785" s="13">
        <f t="shared" si="109"/>
        <v>0</v>
      </c>
      <c r="Q1785" s="13" t="str">
        <f t="shared" si="110"/>
        <v/>
      </c>
      <c r="R1785" s="13" t="str">
        <f t="shared" si="111"/>
        <v>Non diskon</v>
      </c>
    </row>
    <row r="1786" spans="1:18" x14ac:dyDescent="0.25">
      <c r="A1786" s="13" t="s">
        <v>1798</v>
      </c>
      <c r="B1786" s="13" t="s">
        <v>2190</v>
      </c>
      <c r="C1786" s="13" t="s">
        <v>2200</v>
      </c>
      <c r="D1786" s="13" t="s">
        <v>2207</v>
      </c>
      <c r="E1786" s="13" t="s">
        <v>2209</v>
      </c>
      <c r="F1786" s="13" t="s">
        <v>2224</v>
      </c>
      <c r="G1786" s="13">
        <v>123.55</v>
      </c>
      <c r="H1786" s="13">
        <v>0</v>
      </c>
      <c r="I1786" s="13">
        <v>123.55</v>
      </c>
      <c r="J1786" s="24">
        <v>45875</v>
      </c>
      <c r="K1786" s="13">
        <v>28</v>
      </c>
      <c r="L1786" s="44">
        <v>1.2</v>
      </c>
      <c r="M1786" s="13" t="b">
        <v>0</v>
      </c>
      <c r="O1786" s="25">
        <f t="shared" si="108"/>
        <v>27</v>
      </c>
      <c r="P1786" s="13">
        <f t="shared" si="109"/>
        <v>0</v>
      </c>
      <c r="Q1786" s="13" t="str">
        <f t="shared" si="110"/>
        <v/>
      </c>
      <c r="R1786" s="13" t="str">
        <f t="shared" si="111"/>
        <v>Non diskon</v>
      </c>
    </row>
    <row r="1787" spans="1:18" x14ac:dyDescent="0.25">
      <c r="A1787" s="13" t="s">
        <v>1799</v>
      </c>
      <c r="B1787" s="13" t="s">
        <v>2192</v>
      </c>
      <c r="C1787" s="13" t="s">
        <v>2196</v>
      </c>
      <c r="D1787" s="13" t="s">
        <v>2206</v>
      </c>
      <c r="F1787" s="13" t="s">
        <v>2216</v>
      </c>
      <c r="G1787" s="13">
        <v>24.65</v>
      </c>
      <c r="H1787" s="13">
        <v>0</v>
      </c>
      <c r="I1787" s="13">
        <v>24.65</v>
      </c>
      <c r="J1787" s="24">
        <v>45875</v>
      </c>
      <c r="K1787" s="13">
        <v>43</v>
      </c>
      <c r="L1787" s="44">
        <v>1.1000000000000001</v>
      </c>
      <c r="M1787" s="13" t="b">
        <v>0</v>
      </c>
      <c r="O1787" s="25">
        <f t="shared" si="108"/>
        <v>27</v>
      </c>
      <c r="P1787" s="13">
        <f t="shared" si="109"/>
        <v>0</v>
      </c>
      <c r="Q1787" s="13" t="str">
        <f t="shared" si="110"/>
        <v/>
      </c>
      <c r="R1787" s="13" t="str">
        <f t="shared" si="111"/>
        <v>Non diskon</v>
      </c>
    </row>
    <row r="1788" spans="1:18" x14ac:dyDescent="0.25">
      <c r="A1788" s="13" t="s">
        <v>1800</v>
      </c>
      <c r="B1788" s="13" t="s">
        <v>2190</v>
      </c>
      <c r="C1788" s="13" t="s">
        <v>2198</v>
      </c>
      <c r="D1788" s="13" t="s">
        <v>2206</v>
      </c>
      <c r="E1788" s="13" t="s">
        <v>2211</v>
      </c>
      <c r="F1788" s="13" t="s">
        <v>2222</v>
      </c>
      <c r="G1788" s="13">
        <v>168.8</v>
      </c>
      <c r="H1788" s="13">
        <v>0</v>
      </c>
      <c r="I1788" s="13">
        <v>168.8</v>
      </c>
      <c r="J1788" s="24">
        <v>45875</v>
      </c>
      <c r="K1788" s="13">
        <v>1</v>
      </c>
      <c r="L1788" s="44">
        <v>1</v>
      </c>
      <c r="M1788" s="13" t="b">
        <v>0</v>
      </c>
      <c r="O1788" s="25">
        <f t="shared" si="108"/>
        <v>27</v>
      </c>
      <c r="P1788" s="13">
        <f t="shared" si="109"/>
        <v>0</v>
      </c>
      <c r="Q1788" s="13" t="str">
        <f t="shared" si="110"/>
        <v/>
      </c>
      <c r="R1788" s="13" t="str">
        <f t="shared" si="111"/>
        <v>Non diskon</v>
      </c>
    </row>
    <row r="1789" spans="1:18" x14ac:dyDescent="0.25">
      <c r="A1789" s="13" t="s">
        <v>1801</v>
      </c>
      <c r="B1789" s="13" t="s">
        <v>2191</v>
      </c>
      <c r="C1789" s="13" t="s">
        <v>2202</v>
      </c>
      <c r="D1789" s="13" t="s">
        <v>2206</v>
      </c>
      <c r="E1789" s="13" t="s">
        <v>2210</v>
      </c>
      <c r="F1789" s="13" t="s">
        <v>2220</v>
      </c>
      <c r="G1789" s="13">
        <v>39.159999999999997</v>
      </c>
      <c r="H1789" s="13">
        <v>40.1</v>
      </c>
      <c r="I1789" s="13">
        <v>23.46</v>
      </c>
      <c r="J1789" s="24">
        <v>45875</v>
      </c>
      <c r="K1789" s="13">
        <v>4</v>
      </c>
      <c r="L1789" s="44">
        <v>2.8</v>
      </c>
      <c r="M1789" s="13" t="b">
        <v>0</v>
      </c>
      <c r="O1789" s="25">
        <f t="shared" si="108"/>
        <v>27</v>
      </c>
      <c r="P1789" s="13">
        <f t="shared" si="109"/>
        <v>160.4</v>
      </c>
      <c r="Q1789" s="13" t="str">
        <f t="shared" si="110"/>
        <v/>
      </c>
      <c r="R1789" s="13" t="str">
        <f t="shared" si="111"/>
        <v>Diskon</v>
      </c>
    </row>
    <row r="1790" spans="1:18" x14ac:dyDescent="0.25">
      <c r="A1790" s="13" t="s">
        <v>1802</v>
      </c>
      <c r="B1790" s="13" t="s">
        <v>2194</v>
      </c>
      <c r="C1790" s="13" t="s">
        <v>2200</v>
      </c>
      <c r="D1790" s="13" t="s">
        <v>2206</v>
      </c>
      <c r="F1790" s="13" t="s">
        <v>2224</v>
      </c>
      <c r="G1790" s="13">
        <v>74.760000000000005</v>
      </c>
      <c r="H1790" s="13">
        <v>0</v>
      </c>
      <c r="I1790" s="13">
        <v>74.760000000000005</v>
      </c>
      <c r="J1790" s="24">
        <v>45875</v>
      </c>
      <c r="K1790" s="13">
        <v>50</v>
      </c>
      <c r="L1790" s="44">
        <v>4.4000000000000004</v>
      </c>
      <c r="M1790" s="13" t="b">
        <v>1</v>
      </c>
      <c r="N1790" s="13" t="s">
        <v>2225</v>
      </c>
      <c r="O1790" s="25">
        <f t="shared" si="108"/>
        <v>27</v>
      </c>
      <c r="P1790" s="13">
        <f t="shared" si="109"/>
        <v>0</v>
      </c>
      <c r="Q1790" s="13">
        <f t="shared" si="110"/>
        <v>1</v>
      </c>
      <c r="R1790" s="13" t="str">
        <f t="shared" si="111"/>
        <v>Non diskon</v>
      </c>
    </row>
    <row r="1791" spans="1:18" x14ac:dyDescent="0.25">
      <c r="A1791" s="13" t="s">
        <v>1803</v>
      </c>
      <c r="B1791" s="13" t="s">
        <v>2192</v>
      </c>
      <c r="C1791" s="13" t="s">
        <v>2202</v>
      </c>
      <c r="D1791" s="13" t="s">
        <v>2205</v>
      </c>
      <c r="F1791" s="13" t="s">
        <v>2222</v>
      </c>
      <c r="G1791" s="13">
        <v>37</v>
      </c>
      <c r="H1791" s="13">
        <v>0</v>
      </c>
      <c r="I1791" s="13">
        <v>37</v>
      </c>
      <c r="J1791" s="24">
        <v>45875</v>
      </c>
      <c r="K1791" s="13">
        <v>5</v>
      </c>
      <c r="L1791" s="44">
        <v>4.9000000000000004</v>
      </c>
      <c r="M1791" s="13" t="b">
        <v>0</v>
      </c>
      <c r="O1791" s="25">
        <f t="shared" si="108"/>
        <v>27</v>
      </c>
      <c r="P1791" s="13">
        <f t="shared" si="109"/>
        <v>0</v>
      </c>
      <c r="Q1791" s="13" t="str">
        <f t="shared" si="110"/>
        <v/>
      </c>
      <c r="R1791" s="13" t="str">
        <f t="shared" si="111"/>
        <v>Non diskon</v>
      </c>
    </row>
    <row r="1792" spans="1:18" x14ac:dyDescent="0.25">
      <c r="A1792" s="13" t="s">
        <v>1804</v>
      </c>
      <c r="B1792" s="13" t="s">
        <v>2192</v>
      </c>
      <c r="C1792" s="13" t="s">
        <v>2199</v>
      </c>
      <c r="D1792" s="13" t="s">
        <v>2205</v>
      </c>
      <c r="F1792" s="13" t="s">
        <v>2216</v>
      </c>
      <c r="G1792" s="13">
        <v>67.38</v>
      </c>
      <c r="H1792" s="13">
        <v>0</v>
      </c>
      <c r="I1792" s="13">
        <v>67.38</v>
      </c>
      <c r="J1792" s="24">
        <v>45875</v>
      </c>
      <c r="K1792" s="13">
        <v>15</v>
      </c>
      <c r="L1792" s="44">
        <v>1.6</v>
      </c>
      <c r="M1792" s="13" t="b">
        <v>0</v>
      </c>
      <c r="O1792" s="25">
        <f t="shared" si="108"/>
        <v>27</v>
      </c>
      <c r="P1792" s="13">
        <f t="shared" si="109"/>
        <v>0</v>
      </c>
      <c r="Q1792" s="13" t="str">
        <f t="shared" si="110"/>
        <v/>
      </c>
      <c r="R1792" s="13" t="str">
        <f t="shared" si="111"/>
        <v>Non diskon</v>
      </c>
    </row>
    <row r="1793" spans="1:18" x14ac:dyDescent="0.25">
      <c r="A1793" s="13" t="s">
        <v>1805</v>
      </c>
      <c r="B1793" s="13" t="s">
        <v>2194</v>
      </c>
      <c r="C1793" s="13" t="s">
        <v>2200</v>
      </c>
      <c r="D1793" s="13" t="s">
        <v>2207</v>
      </c>
      <c r="E1793" s="13" t="s">
        <v>2212</v>
      </c>
      <c r="F1793" s="13" t="s">
        <v>2217</v>
      </c>
      <c r="G1793" s="13">
        <v>77.44</v>
      </c>
      <c r="H1793" s="13">
        <v>1.4</v>
      </c>
      <c r="I1793" s="13">
        <v>76.36</v>
      </c>
      <c r="J1793" s="24">
        <v>45875</v>
      </c>
      <c r="K1793" s="13">
        <v>18</v>
      </c>
      <c r="L1793" s="44">
        <v>3.3</v>
      </c>
      <c r="M1793" s="13" t="b">
        <v>0</v>
      </c>
      <c r="O1793" s="25">
        <f t="shared" si="108"/>
        <v>27</v>
      </c>
      <c r="P1793" s="13">
        <f t="shared" si="109"/>
        <v>25.2</v>
      </c>
      <c r="Q1793" s="13" t="str">
        <f t="shared" si="110"/>
        <v/>
      </c>
      <c r="R1793" s="13" t="str">
        <f t="shared" si="111"/>
        <v>Diskon</v>
      </c>
    </row>
    <row r="1794" spans="1:18" x14ac:dyDescent="0.25">
      <c r="A1794" s="13" t="s">
        <v>1806</v>
      </c>
      <c r="B1794" s="13" t="s">
        <v>2190</v>
      </c>
      <c r="C1794" s="13" t="s">
        <v>2200</v>
      </c>
      <c r="D1794" s="13" t="s">
        <v>2207</v>
      </c>
      <c r="E1794" s="13" t="s">
        <v>2212</v>
      </c>
      <c r="F1794" s="13" t="s">
        <v>2218</v>
      </c>
      <c r="G1794" s="13">
        <v>215.06</v>
      </c>
      <c r="H1794" s="13">
        <v>0</v>
      </c>
      <c r="I1794" s="13">
        <v>215.06</v>
      </c>
      <c r="J1794" s="24">
        <v>45875</v>
      </c>
      <c r="K1794" s="13">
        <v>50</v>
      </c>
      <c r="L1794" s="44">
        <v>1.6</v>
      </c>
      <c r="M1794" s="13" t="b">
        <v>0</v>
      </c>
      <c r="O1794" s="25">
        <f t="shared" si="108"/>
        <v>27</v>
      </c>
      <c r="P1794" s="13">
        <f t="shared" si="109"/>
        <v>0</v>
      </c>
      <c r="Q1794" s="13" t="str">
        <f t="shared" si="110"/>
        <v/>
      </c>
      <c r="R1794" s="13" t="str">
        <f t="shared" si="111"/>
        <v>Non diskon</v>
      </c>
    </row>
    <row r="1795" spans="1:18" x14ac:dyDescent="0.25">
      <c r="A1795" s="13" t="s">
        <v>1807</v>
      </c>
      <c r="B1795" s="13" t="s">
        <v>2190</v>
      </c>
      <c r="C1795" s="13" t="s">
        <v>2198</v>
      </c>
      <c r="D1795" s="13" t="s">
        <v>2205</v>
      </c>
      <c r="E1795" s="13" t="s">
        <v>2212</v>
      </c>
      <c r="F1795" s="13" t="s">
        <v>2218</v>
      </c>
      <c r="G1795" s="13">
        <v>141.44</v>
      </c>
      <c r="H1795" s="13">
        <v>0</v>
      </c>
      <c r="I1795" s="13">
        <v>141.44</v>
      </c>
      <c r="J1795" s="24">
        <v>45875</v>
      </c>
      <c r="K1795" s="13">
        <v>34</v>
      </c>
      <c r="L1795" s="44">
        <v>2.4</v>
      </c>
      <c r="M1795" s="13" t="b">
        <v>0</v>
      </c>
      <c r="O1795" s="25">
        <f t="shared" ref="O1795:O1858" si="112">DATE(2025,9,2)-J1795</f>
        <v>27</v>
      </c>
      <c r="P1795" s="13">
        <f t="shared" ref="P1795:P1858" si="113">H1795*K1795</f>
        <v>0</v>
      </c>
      <c r="Q1795" s="13" t="str">
        <f t="shared" ref="Q1795:Q1858" si="114">IF(M1795=FALSE,"",1)</f>
        <v/>
      </c>
      <c r="R1795" s="13" t="str">
        <f t="shared" ref="R1795:R1858" si="115">IF(H1795=0,"Non diskon","Diskon")</f>
        <v>Non diskon</v>
      </c>
    </row>
    <row r="1796" spans="1:18" x14ac:dyDescent="0.25">
      <c r="A1796" s="13" t="s">
        <v>1808</v>
      </c>
      <c r="B1796" s="13" t="s">
        <v>2195</v>
      </c>
      <c r="C1796" s="13" t="s">
        <v>2201</v>
      </c>
      <c r="D1796" s="13" t="s">
        <v>2204</v>
      </c>
      <c r="E1796" s="13" t="s">
        <v>2211</v>
      </c>
      <c r="F1796" s="13" t="s">
        <v>2217</v>
      </c>
      <c r="G1796" s="13">
        <v>151.83000000000001</v>
      </c>
      <c r="H1796" s="13">
        <v>0</v>
      </c>
      <c r="I1796" s="13">
        <v>151.83000000000001</v>
      </c>
      <c r="J1796" s="24">
        <v>45825</v>
      </c>
      <c r="K1796" s="13">
        <v>24</v>
      </c>
      <c r="L1796" s="44">
        <v>4.3</v>
      </c>
      <c r="M1796" s="13" t="b">
        <v>1</v>
      </c>
      <c r="N1796" s="13" t="s">
        <v>2230</v>
      </c>
      <c r="O1796" s="25">
        <f t="shared" si="112"/>
        <v>77</v>
      </c>
      <c r="P1796" s="13">
        <f t="shared" si="113"/>
        <v>0</v>
      </c>
      <c r="Q1796" s="13">
        <f t="shared" si="114"/>
        <v>1</v>
      </c>
      <c r="R1796" s="13" t="str">
        <f t="shared" si="115"/>
        <v>Non diskon</v>
      </c>
    </row>
    <row r="1797" spans="1:18" x14ac:dyDescent="0.25">
      <c r="A1797" s="13" t="s">
        <v>1809</v>
      </c>
      <c r="B1797" s="13" t="s">
        <v>2190</v>
      </c>
      <c r="C1797" s="13" t="s">
        <v>2202</v>
      </c>
      <c r="D1797" s="13" t="s">
        <v>2205</v>
      </c>
      <c r="E1797" s="13" t="s">
        <v>2208</v>
      </c>
      <c r="F1797" s="13" t="s">
        <v>2218</v>
      </c>
      <c r="G1797" s="13">
        <v>140.07</v>
      </c>
      <c r="H1797" s="13">
        <v>0</v>
      </c>
      <c r="I1797" s="13">
        <v>140.07</v>
      </c>
      <c r="J1797" s="24">
        <v>45875</v>
      </c>
      <c r="K1797" s="13">
        <v>23</v>
      </c>
      <c r="L1797" s="44">
        <v>2.7</v>
      </c>
      <c r="M1797" s="13" t="b">
        <v>0</v>
      </c>
      <c r="O1797" s="25">
        <f t="shared" si="112"/>
        <v>27</v>
      </c>
      <c r="P1797" s="13">
        <f t="shared" si="113"/>
        <v>0</v>
      </c>
      <c r="Q1797" s="13" t="str">
        <f t="shared" si="114"/>
        <v/>
      </c>
      <c r="R1797" s="13" t="str">
        <f t="shared" si="115"/>
        <v>Non diskon</v>
      </c>
    </row>
    <row r="1798" spans="1:18" x14ac:dyDescent="0.25">
      <c r="A1798" s="13" t="s">
        <v>1810</v>
      </c>
      <c r="B1798" s="13" t="s">
        <v>2195</v>
      </c>
      <c r="C1798" s="13" t="s">
        <v>2199</v>
      </c>
      <c r="D1798" s="13" t="s">
        <v>2207</v>
      </c>
      <c r="E1798" s="13" t="s">
        <v>2211</v>
      </c>
      <c r="F1798" s="13" t="s">
        <v>2215</v>
      </c>
      <c r="G1798" s="13">
        <v>94.26</v>
      </c>
      <c r="H1798" s="13">
        <v>28.9</v>
      </c>
      <c r="I1798" s="13">
        <v>67.02</v>
      </c>
      <c r="J1798" s="24">
        <v>45875</v>
      </c>
      <c r="K1798" s="13">
        <v>44</v>
      </c>
      <c r="L1798" s="44">
        <v>3.6</v>
      </c>
      <c r="M1798" s="13" t="b">
        <v>0</v>
      </c>
      <c r="O1798" s="25">
        <f t="shared" si="112"/>
        <v>27</v>
      </c>
      <c r="P1798" s="13">
        <f t="shared" si="113"/>
        <v>1271.5999999999999</v>
      </c>
      <c r="Q1798" s="13" t="str">
        <f t="shared" si="114"/>
        <v/>
      </c>
      <c r="R1798" s="13" t="str">
        <f t="shared" si="115"/>
        <v>Diskon</v>
      </c>
    </row>
    <row r="1799" spans="1:18" x14ac:dyDescent="0.25">
      <c r="A1799" s="13" t="s">
        <v>1811</v>
      </c>
      <c r="B1799" s="13" t="s">
        <v>2192</v>
      </c>
      <c r="C1799" s="13" t="s">
        <v>2201</v>
      </c>
      <c r="D1799" s="13" t="s">
        <v>2205</v>
      </c>
      <c r="F1799" s="13" t="s">
        <v>2220</v>
      </c>
      <c r="G1799" s="13">
        <v>55.79</v>
      </c>
      <c r="H1799" s="13">
        <v>27.3</v>
      </c>
      <c r="I1799" s="13">
        <v>40.56</v>
      </c>
      <c r="J1799" s="24">
        <v>45875</v>
      </c>
      <c r="K1799" s="13">
        <v>39</v>
      </c>
      <c r="L1799" s="44">
        <v>4.9000000000000004</v>
      </c>
      <c r="M1799" s="13" t="b">
        <v>0</v>
      </c>
      <c r="O1799" s="25">
        <f t="shared" si="112"/>
        <v>27</v>
      </c>
      <c r="P1799" s="13">
        <f t="shared" si="113"/>
        <v>1064.7</v>
      </c>
      <c r="Q1799" s="13" t="str">
        <f t="shared" si="114"/>
        <v/>
      </c>
      <c r="R1799" s="13" t="str">
        <f t="shared" si="115"/>
        <v>Diskon</v>
      </c>
    </row>
    <row r="1800" spans="1:18" x14ac:dyDescent="0.25">
      <c r="A1800" s="13" t="s">
        <v>1812</v>
      </c>
      <c r="B1800" s="13" t="s">
        <v>2192</v>
      </c>
      <c r="C1800" s="13" t="s">
        <v>2202</v>
      </c>
      <c r="D1800" s="13" t="s">
        <v>2205</v>
      </c>
      <c r="F1800" s="13" t="s">
        <v>2216</v>
      </c>
      <c r="G1800" s="13">
        <v>58.99</v>
      </c>
      <c r="H1800" s="13">
        <v>0</v>
      </c>
      <c r="I1800" s="13">
        <v>58.99</v>
      </c>
      <c r="J1800" s="24">
        <v>45875</v>
      </c>
      <c r="K1800" s="13">
        <v>50</v>
      </c>
      <c r="L1800" s="44">
        <v>2.7</v>
      </c>
      <c r="M1800" s="13" t="b">
        <v>0</v>
      </c>
      <c r="O1800" s="25">
        <f t="shared" si="112"/>
        <v>27</v>
      </c>
      <c r="P1800" s="13">
        <f t="shared" si="113"/>
        <v>0</v>
      </c>
      <c r="Q1800" s="13" t="str">
        <f t="shared" si="114"/>
        <v/>
      </c>
      <c r="R1800" s="13" t="str">
        <f t="shared" si="115"/>
        <v>Non diskon</v>
      </c>
    </row>
    <row r="1801" spans="1:18" x14ac:dyDescent="0.25">
      <c r="A1801" s="13" t="s">
        <v>1813</v>
      </c>
      <c r="B1801" s="13" t="s">
        <v>2194</v>
      </c>
      <c r="C1801" s="13" t="s">
        <v>2203</v>
      </c>
      <c r="D1801" s="13" t="s">
        <v>2207</v>
      </c>
      <c r="E1801" s="13" t="s">
        <v>2211</v>
      </c>
      <c r="F1801" s="13" t="s">
        <v>2223</v>
      </c>
      <c r="G1801" s="13">
        <v>61.96</v>
      </c>
      <c r="H1801" s="13">
        <v>0</v>
      </c>
      <c r="I1801" s="13">
        <v>61.96</v>
      </c>
      <c r="J1801" s="24">
        <v>45875</v>
      </c>
      <c r="K1801" s="13">
        <v>13</v>
      </c>
      <c r="L1801" s="44">
        <v>3.9</v>
      </c>
      <c r="M1801" s="13" t="b">
        <v>0</v>
      </c>
      <c r="O1801" s="25">
        <f t="shared" si="112"/>
        <v>27</v>
      </c>
      <c r="P1801" s="13">
        <f t="shared" si="113"/>
        <v>0</v>
      </c>
      <c r="Q1801" s="13" t="str">
        <f t="shared" si="114"/>
        <v/>
      </c>
      <c r="R1801" s="13" t="str">
        <f t="shared" si="115"/>
        <v>Non diskon</v>
      </c>
    </row>
    <row r="1802" spans="1:18" x14ac:dyDescent="0.25">
      <c r="A1802" s="13" t="s">
        <v>1814</v>
      </c>
      <c r="B1802" s="13" t="s">
        <v>2194</v>
      </c>
      <c r="C1802" s="13" t="s">
        <v>2196</v>
      </c>
      <c r="D1802" s="13" t="s">
        <v>2206</v>
      </c>
      <c r="E1802" s="13" t="s">
        <v>2209</v>
      </c>
      <c r="F1802" s="13" t="s">
        <v>2224</v>
      </c>
      <c r="G1802" s="13">
        <v>104.25</v>
      </c>
      <c r="H1802" s="13">
        <v>0</v>
      </c>
      <c r="I1802" s="13">
        <v>104.25</v>
      </c>
      <c r="J1802" s="24">
        <v>45875</v>
      </c>
      <c r="K1802" s="13">
        <v>35</v>
      </c>
      <c r="L1802" s="44">
        <v>3.1</v>
      </c>
      <c r="M1802" s="13" t="b">
        <v>0</v>
      </c>
      <c r="O1802" s="25">
        <f t="shared" si="112"/>
        <v>27</v>
      </c>
      <c r="P1802" s="13">
        <f t="shared" si="113"/>
        <v>0</v>
      </c>
      <c r="Q1802" s="13" t="str">
        <f t="shared" si="114"/>
        <v/>
      </c>
      <c r="R1802" s="13" t="str">
        <f t="shared" si="115"/>
        <v>Non diskon</v>
      </c>
    </row>
    <row r="1803" spans="1:18" x14ac:dyDescent="0.25">
      <c r="A1803" s="13" t="s">
        <v>1815</v>
      </c>
      <c r="B1803" s="13" t="s">
        <v>2190</v>
      </c>
      <c r="C1803" s="13" t="s">
        <v>2200</v>
      </c>
      <c r="D1803" s="13" t="s">
        <v>2205</v>
      </c>
      <c r="E1803" s="13" t="s">
        <v>2209</v>
      </c>
      <c r="F1803" s="13" t="s">
        <v>2218</v>
      </c>
      <c r="G1803" s="13">
        <v>102.68</v>
      </c>
      <c r="H1803" s="13">
        <v>0</v>
      </c>
      <c r="I1803" s="13">
        <v>102.68</v>
      </c>
      <c r="J1803" s="24">
        <v>45875</v>
      </c>
      <c r="K1803" s="13">
        <v>18</v>
      </c>
      <c r="L1803" s="44">
        <v>1.9</v>
      </c>
      <c r="M1803" s="13" t="b">
        <v>0</v>
      </c>
      <c r="O1803" s="25">
        <f t="shared" si="112"/>
        <v>27</v>
      </c>
      <c r="P1803" s="13">
        <f t="shared" si="113"/>
        <v>0</v>
      </c>
      <c r="Q1803" s="13" t="str">
        <f t="shared" si="114"/>
        <v/>
      </c>
      <c r="R1803" s="13" t="str">
        <f t="shared" si="115"/>
        <v>Non diskon</v>
      </c>
    </row>
    <row r="1804" spans="1:18" x14ac:dyDescent="0.25">
      <c r="A1804" s="13" t="s">
        <v>1816</v>
      </c>
      <c r="B1804" s="13" t="s">
        <v>2195</v>
      </c>
      <c r="C1804" s="13" t="s">
        <v>2202</v>
      </c>
      <c r="D1804" s="13" t="s">
        <v>2205</v>
      </c>
      <c r="E1804" s="13" t="s">
        <v>2211</v>
      </c>
      <c r="F1804" s="13" t="s">
        <v>2221</v>
      </c>
      <c r="G1804" s="13">
        <v>131.05000000000001</v>
      </c>
      <c r="H1804" s="13">
        <v>32.6</v>
      </c>
      <c r="I1804" s="13">
        <v>88.33</v>
      </c>
      <c r="J1804" s="24">
        <v>45875</v>
      </c>
      <c r="K1804" s="13">
        <v>9</v>
      </c>
      <c r="L1804" s="44">
        <v>2.980952380952381</v>
      </c>
      <c r="M1804" s="13" t="b">
        <v>0</v>
      </c>
      <c r="O1804" s="25">
        <f t="shared" si="112"/>
        <v>27</v>
      </c>
      <c r="P1804" s="13">
        <f t="shared" si="113"/>
        <v>293.40000000000003</v>
      </c>
      <c r="Q1804" s="13" t="str">
        <f t="shared" si="114"/>
        <v/>
      </c>
      <c r="R1804" s="13" t="str">
        <f t="shared" si="115"/>
        <v>Diskon</v>
      </c>
    </row>
    <row r="1805" spans="1:18" x14ac:dyDescent="0.25">
      <c r="A1805" s="13" t="s">
        <v>1817</v>
      </c>
      <c r="B1805" s="13" t="s">
        <v>2190</v>
      </c>
      <c r="C1805" s="13" t="s">
        <v>2198</v>
      </c>
      <c r="D1805" s="13" t="s">
        <v>2204</v>
      </c>
      <c r="E1805" s="13" t="s">
        <v>2212</v>
      </c>
      <c r="F1805" s="13" t="s">
        <v>2222</v>
      </c>
      <c r="G1805" s="13">
        <v>139.72999999999999</v>
      </c>
      <c r="H1805" s="13">
        <v>54.3</v>
      </c>
      <c r="I1805" s="13">
        <v>63.86</v>
      </c>
      <c r="J1805" s="24">
        <v>45743</v>
      </c>
      <c r="K1805" s="13">
        <v>38</v>
      </c>
      <c r="L1805" s="44">
        <v>3.0177777777777774</v>
      </c>
      <c r="M1805" s="13" t="b">
        <v>1</v>
      </c>
      <c r="N1805" s="13" t="s">
        <v>2229</v>
      </c>
      <c r="O1805" s="25">
        <f t="shared" si="112"/>
        <v>159</v>
      </c>
      <c r="P1805" s="13">
        <f t="shared" si="113"/>
        <v>2063.4</v>
      </c>
      <c r="Q1805" s="13">
        <f t="shared" si="114"/>
        <v>1</v>
      </c>
      <c r="R1805" s="13" t="str">
        <f t="shared" si="115"/>
        <v>Diskon</v>
      </c>
    </row>
    <row r="1806" spans="1:18" x14ac:dyDescent="0.25">
      <c r="A1806" s="13" t="s">
        <v>1818</v>
      </c>
      <c r="B1806" s="13" t="s">
        <v>2192</v>
      </c>
      <c r="C1806" s="13" t="s">
        <v>2203</v>
      </c>
      <c r="D1806" s="13" t="s">
        <v>2205</v>
      </c>
      <c r="F1806" s="13" t="s">
        <v>2222</v>
      </c>
      <c r="G1806" s="13">
        <v>17.59</v>
      </c>
      <c r="H1806" s="13">
        <v>0</v>
      </c>
      <c r="I1806" s="13">
        <v>17.59</v>
      </c>
      <c r="J1806" s="24">
        <v>45875</v>
      </c>
      <c r="K1806" s="13">
        <v>14</v>
      </c>
      <c r="L1806" s="44">
        <v>2.8636363636363633</v>
      </c>
      <c r="M1806" s="13" t="b">
        <v>0</v>
      </c>
      <c r="O1806" s="25">
        <f t="shared" si="112"/>
        <v>27</v>
      </c>
      <c r="P1806" s="13">
        <f t="shared" si="113"/>
        <v>0</v>
      </c>
      <c r="Q1806" s="13" t="str">
        <f t="shared" si="114"/>
        <v/>
      </c>
      <c r="R1806" s="13" t="str">
        <f t="shared" si="115"/>
        <v>Non diskon</v>
      </c>
    </row>
    <row r="1807" spans="1:18" x14ac:dyDescent="0.25">
      <c r="A1807" s="13" t="s">
        <v>1819</v>
      </c>
      <c r="B1807" s="13" t="s">
        <v>2193</v>
      </c>
      <c r="C1807" s="13" t="s">
        <v>2196</v>
      </c>
      <c r="D1807" s="13" t="s">
        <v>2206</v>
      </c>
      <c r="E1807" s="13" t="s">
        <v>2209</v>
      </c>
      <c r="F1807" s="13" t="s">
        <v>2214</v>
      </c>
      <c r="G1807" s="13">
        <v>115.09</v>
      </c>
      <c r="H1807" s="13">
        <v>0</v>
      </c>
      <c r="I1807" s="13">
        <v>115.09</v>
      </c>
      <c r="J1807" s="24">
        <v>45875</v>
      </c>
      <c r="K1807" s="13">
        <v>10</v>
      </c>
      <c r="L1807" s="44">
        <v>2.5</v>
      </c>
      <c r="M1807" s="13" t="b">
        <v>0</v>
      </c>
      <c r="O1807" s="25">
        <f t="shared" si="112"/>
        <v>27</v>
      </c>
      <c r="P1807" s="13">
        <f t="shared" si="113"/>
        <v>0</v>
      </c>
      <c r="Q1807" s="13" t="str">
        <f t="shared" si="114"/>
        <v/>
      </c>
      <c r="R1807" s="13" t="str">
        <f t="shared" si="115"/>
        <v>Non diskon</v>
      </c>
    </row>
    <row r="1808" spans="1:18" x14ac:dyDescent="0.25">
      <c r="A1808" s="13" t="s">
        <v>1820</v>
      </c>
      <c r="B1808" s="13" t="s">
        <v>2192</v>
      </c>
      <c r="C1808" s="13" t="s">
        <v>2196</v>
      </c>
      <c r="D1808" s="13" t="s">
        <v>2207</v>
      </c>
      <c r="F1808" s="13" t="s">
        <v>2216</v>
      </c>
      <c r="G1808" s="13">
        <v>73.75</v>
      </c>
      <c r="H1808" s="13">
        <v>0</v>
      </c>
      <c r="I1808" s="13">
        <v>73.75</v>
      </c>
      <c r="J1808" s="24">
        <v>45875</v>
      </c>
      <c r="K1808" s="13">
        <v>23</v>
      </c>
      <c r="L1808" s="44">
        <v>4.5</v>
      </c>
      <c r="M1808" s="13" t="b">
        <v>0</v>
      </c>
      <c r="O1808" s="25">
        <f t="shared" si="112"/>
        <v>27</v>
      </c>
      <c r="P1808" s="13">
        <f t="shared" si="113"/>
        <v>0</v>
      </c>
      <c r="Q1808" s="13" t="str">
        <f t="shared" si="114"/>
        <v/>
      </c>
      <c r="R1808" s="13" t="str">
        <f t="shared" si="115"/>
        <v>Non diskon</v>
      </c>
    </row>
    <row r="1809" spans="1:18" x14ac:dyDescent="0.25">
      <c r="A1809" s="13" t="s">
        <v>1821</v>
      </c>
      <c r="B1809" s="13" t="s">
        <v>2192</v>
      </c>
      <c r="C1809" s="13" t="s">
        <v>2201</v>
      </c>
      <c r="D1809" s="13" t="s">
        <v>2205</v>
      </c>
      <c r="F1809" s="13" t="s">
        <v>2222</v>
      </c>
      <c r="G1809" s="13">
        <v>66.77</v>
      </c>
      <c r="H1809" s="13">
        <v>0</v>
      </c>
      <c r="I1809" s="13">
        <v>66.77</v>
      </c>
      <c r="J1809" s="24">
        <v>45875</v>
      </c>
      <c r="K1809" s="13">
        <v>28</v>
      </c>
      <c r="L1809" s="44">
        <v>5</v>
      </c>
      <c r="M1809" s="13" t="b">
        <v>1</v>
      </c>
      <c r="N1809" s="13" t="s">
        <v>2226</v>
      </c>
      <c r="O1809" s="25">
        <f t="shared" si="112"/>
        <v>27</v>
      </c>
      <c r="P1809" s="13">
        <f t="shared" si="113"/>
        <v>0</v>
      </c>
      <c r="Q1809" s="13">
        <f t="shared" si="114"/>
        <v>1</v>
      </c>
      <c r="R1809" s="13" t="str">
        <f t="shared" si="115"/>
        <v>Non diskon</v>
      </c>
    </row>
    <row r="1810" spans="1:18" x14ac:dyDescent="0.25">
      <c r="A1810" s="13" t="s">
        <v>1822</v>
      </c>
      <c r="B1810" s="13" t="s">
        <v>2191</v>
      </c>
      <c r="C1810" s="13" t="s">
        <v>2200</v>
      </c>
      <c r="D1810" s="13" t="s">
        <v>2206</v>
      </c>
      <c r="E1810" s="13" t="s">
        <v>2209</v>
      </c>
      <c r="F1810" s="13" t="s">
        <v>2217</v>
      </c>
      <c r="G1810" s="13">
        <v>63.92</v>
      </c>
      <c r="H1810" s="13">
        <v>0</v>
      </c>
      <c r="I1810" s="13">
        <v>63.92</v>
      </c>
      <c r="J1810" s="24">
        <v>45875</v>
      </c>
      <c r="K1810" s="13">
        <v>10</v>
      </c>
      <c r="L1810" s="44">
        <v>4.4000000000000004</v>
      </c>
      <c r="M1810" s="13" t="b">
        <v>0</v>
      </c>
      <c r="O1810" s="25">
        <f t="shared" si="112"/>
        <v>27</v>
      </c>
      <c r="P1810" s="13">
        <f t="shared" si="113"/>
        <v>0</v>
      </c>
      <c r="Q1810" s="13" t="str">
        <f t="shared" si="114"/>
        <v/>
      </c>
      <c r="R1810" s="13" t="str">
        <f t="shared" si="115"/>
        <v>Non diskon</v>
      </c>
    </row>
    <row r="1811" spans="1:18" x14ac:dyDescent="0.25">
      <c r="A1811" s="13" t="s">
        <v>1823</v>
      </c>
      <c r="B1811" s="13" t="s">
        <v>2192</v>
      </c>
      <c r="C1811" s="13" t="s">
        <v>2200</v>
      </c>
      <c r="D1811" s="13" t="s">
        <v>2206</v>
      </c>
      <c r="F1811" s="13" t="s">
        <v>2220</v>
      </c>
      <c r="G1811" s="13">
        <v>26.26</v>
      </c>
      <c r="H1811" s="13">
        <v>0</v>
      </c>
      <c r="I1811" s="13">
        <v>26.26</v>
      </c>
      <c r="J1811" s="24">
        <v>45875</v>
      </c>
      <c r="K1811" s="13">
        <v>27</v>
      </c>
      <c r="L1811" s="44">
        <v>2.7333333333333334</v>
      </c>
      <c r="M1811" s="13" t="b">
        <v>0</v>
      </c>
      <c r="O1811" s="25">
        <f t="shared" si="112"/>
        <v>27</v>
      </c>
      <c r="P1811" s="13">
        <f t="shared" si="113"/>
        <v>0</v>
      </c>
      <c r="Q1811" s="13" t="str">
        <f t="shared" si="114"/>
        <v/>
      </c>
      <c r="R1811" s="13" t="str">
        <f t="shared" si="115"/>
        <v>Non diskon</v>
      </c>
    </row>
    <row r="1812" spans="1:18" x14ac:dyDescent="0.25">
      <c r="A1812" s="13" t="s">
        <v>1824</v>
      </c>
      <c r="B1812" s="13" t="s">
        <v>2192</v>
      </c>
      <c r="C1812" s="13" t="s">
        <v>2200</v>
      </c>
      <c r="D1812" s="13" t="s">
        <v>2204</v>
      </c>
      <c r="F1812" s="13" t="s">
        <v>2217</v>
      </c>
      <c r="G1812" s="13">
        <v>62.58</v>
      </c>
      <c r="H1812" s="13">
        <v>8.8000000000000007</v>
      </c>
      <c r="I1812" s="13">
        <v>57.07</v>
      </c>
      <c r="J1812" s="24">
        <v>45602</v>
      </c>
      <c r="K1812" s="13">
        <v>1</v>
      </c>
      <c r="L1812" s="44">
        <v>1.7</v>
      </c>
      <c r="M1812" s="13" t="b">
        <v>0</v>
      </c>
      <c r="O1812" s="25">
        <f t="shared" si="112"/>
        <v>300</v>
      </c>
      <c r="P1812" s="13">
        <f t="shared" si="113"/>
        <v>8.8000000000000007</v>
      </c>
      <c r="Q1812" s="13" t="str">
        <f t="shared" si="114"/>
        <v/>
      </c>
      <c r="R1812" s="13" t="str">
        <f t="shared" si="115"/>
        <v>Diskon</v>
      </c>
    </row>
    <row r="1813" spans="1:18" x14ac:dyDescent="0.25">
      <c r="A1813" s="13" t="s">
        <v>1825</v>
      </c>
      <c r="B1813" s="13" t="s">
        <v>2193</v>
      </c>
      <c r="C1813" s="13" t="s">
        <v>2198</v>
      </c>
      <c r="D1813" s="13" t="s">
        <v>2207</v>
      </c>
      <c r="E1813" s="13" t="s">
        <v>2210</v>
      </c>
      <c r="F1813" s="13" t="s">
        <v>2220</v>
      </c>
      <c r="G1813" s="13">
        <v>143.88</v>
      </c>
      <c r="H1813" s="13">
        <v>0</v>
      </c>
      <c r="I1813" s="13">
        <v>143.88</v>
      </c>
      <c r="J1813" s="24">
        <v>45875</v>
      </c>
      <c r="K1813" s="13">
        <v>1</v>
      </c>
      <c r="L1813" s="44">
        <v>3.1</v>
      </c>
      <c r="M1813" s="13" t="b">
        <v>0</v>
      </c>
      <c r="O1813" s="25">
        <f t="shared" si="112"/>
        <v>27</v>
      </c>
      <c r="P1813" s="13">
        <f t="shared" si="113"/>
        <v>0</v>
      </c>
      <c r="Q1813" s="13" t="str">
        <f t="shared" si="114"/>
        <v/>
      </c>
      <c r="R1813" s="13" t="str">
        <f t="shared" si="115"/>
        <v>Non diskon</v>
      </c>
    </row>
    <row r="1814" spans="1:18" x14ac:dyDescent="0.25">
      <c r="A1814" s="13" t="s">
        <v>1826</v>
      </c>
      <c r="B1814" s="13" t="s">
        <v>2190</v>
      </c>
      <c r="C1814" s="13" t="s">
        <v>2196</v>
      </c>
      <c r="D1814" s="13" t="s">
        <v>2204</v>
      </c>
      <c r="E1814" s="13" t="s">
        <v>2208</v>
      </c>
      <c r="F1814" s="13" t="s">
        <v>2219</v>
      </c>
      <c r="G1814" s="13">
        <v>226.24</v>
      </c>
      <c r="H1814" s="13">
        <v>1.2</v>
      </c>
      <c r="I1814" s="13">
        <v>223.53</v>
      </c>
      <c r="J1814" s="24">
        <v>45708</v>
      </c>
      <c r="K1814" s="13">
        <v>24</v>
      </c>
      <c r="L1814" s="44">
        <v>4.5</v>
      </c>
      <c r="M1814" s="13" t="b">
        <v>0</v>
      </c>
      <c r="O1814" s="25">
        <f t="shared" si="112"/>
        <v>194</v>
      </c>
      <c r="P1814" s="13">
        <f t="shared" si="113"/>
        <v>28.799999999999997</v>
      </c>
      <c r="Q1814" s="13" t="str">
        <f t="shared" si="114"/>
        <v/>
      </c>
      <c r="R1814" s="13" t="str">
        <f t="shared" si="115"/>
        <v>Diskon</v>
      </c>
    </row>
    <row r="1815" spans="1:18" x14ac:dyDescent="0.25">
      <c r="A1815" s="13" t="s">
        <v>1827</v>
      </c>
      <c r="B1815" s="13" t="s">
        <v>2193</v>
      </c>
      <c r="C1815" s="13" t="s">
        <v>2202</v>
      </c>
      <c r="D1815" s="13" t="s">
        <v>2204</v>
      </c>
      <c r="E1815" s="13" t="s">
        <v>2211</v>
      </c>
      <c r="F1815" s="13" t="s">
        <v>2216</v>
      </c>
      <c r="G1815" s="13">
        <v>164.75</v>
      </c>
      <c r="H1815" s="13">
        <v>0</v>
      </c>
      <c r="I1815" s="13">
        <v>164.75</v>
      </c>
      <c r="J1815" s="24">
        <v>45779</v>
      </c>
      <c r="K1815" s="13">
        <v>8</v>
      </c>
      <c r="L1815" s="44">
        <v>3.7</v>
      </c>
      <c r="M1815" s="13" t="b">
        <v>0</v>
      </c>
      <c r="O1815" s="25">
        <f t="shared" si="112"/>
        <v>123</v>
      </c>
      <c r="P1815" s="13">
        <f t="shared" si="113"/>
        <v>0</v>
      </c>
      <c r="Q1815" s="13" t="str">
        <f t="shared" si="114"/>
        <v/>
      </c>
      <c r="R1815" s="13" t="str">
        <f t="shared" si="115"/>
        <v>Non diskon</v>
      </c>
    </row>
    <row r="1816" spans="1:18" x14ac:dyDescent="0.25">
      <c r="A1816" s="13" t="s">
        <v>1828</v>
      </c>
      <c r="B1816" s="13" t="s">
        <v>2194</v>
      </c>
      <c r="C1816" s="13" t="s">
        <v>2196</v>
      </c>
      <c r="D1816" s="13" t="s">
        <v>2207</v>
      </c>
      <c r="E1816" s="13" t="s">
        <v>2209</v>
      </c>
      <c r="F1816" s="13" t="s">
        <v>2222</v>
      </c>
      <c r="G1816" s="13">
        <v>56.14</v>
      </c>
      <c r="H1816" s="13">
        <v>0</v>
      </c>
      <c r="I1816" s="13">
        <v>56.14</v>
      </c>
      <c r="J1816" s="24">
        <v>45875</v>
      </c>
      <c r="K1816" s="13">
        <v>16</v>
      </c>
      <c r="L1816" s="44">
        <v>4.3</v>
      </c>
      <c r="M1816" s="13" t="b">
        <v>0</v>
      </c>
      <c r="O1816" s="25">
        <f t="shared" si="112"/>
        <v>27</v>
      </c>
      <c r="P1816" s="13">
        <f t="shared" si="113"/>
        <v>0</v>
      </c>
      <c r="Q1816" s="13" t="str">
        <f t="shared" si="114"/>
        <v/>
      </c>
      <c r="R1816" s="13" t="str">
        <f t="shared" si="115"/>
        <v>Non diskon</v>
      </c>
    </row>
    <row r="1817" spans="1:18" x14ac:dyDescent="0.25">
      <c r="A1817" s="13" t="s">
        <v>1829</v>
      </c>
      <c r="B1817" s="13" t="s">
        <v>2192</v>
      </c>
      <c r="C1817" s="13" t="s">
        <v>2200</v>
      </c>
      <c r="D1817" s="13" t="s">
        <v>2205</v>
      </c>
      <c r="F1817" s="13" t="s">
        <v>2214</v>
      </c>
      <c r="G1817" s="13">
        <v>39.96</v>
      </c>
      <c r="H1817" s="13">
        <v>0</v>
      </c>
      <c r="I1817" s="13">
        <v>39.96</v>
      </c>
      <c r="J1817" s="24">
        <v>45875</v>
      </c>
      <c r="K1817" s="13">
        <v>49</v>
      </c>
      <c r="L1817" s="44">
        <v>2.7333333333333334</v>
      </c>
      <c r="M1817" s="13" t="b">
        <v>0</v>
      </c>
      <c r="O1817" s="25">
        <f t="shared" si="112"/>
        <v>27</v>
      </c>
      <c r="P1817" s="13">
        <f t="shared" si="113"/>
        <v>0</v>
      </c>
      <c r="Q1817" s="13" t="str">
        <f t="shared" si="114"/>
        <v/>
      </c>
      <c r="R1817" s="13" t="str">
        <f t="shared" si="115"/>
        <v>Non diskon</v>
      </c>
    </row>
    <row r="1818" spans="1:18" x14ac:dyDescent="0.25">
      <c r="A1818" s="13" t="s">
        <v>1830</v>
      </c>
      <c r="B1818" s="13" t="s">
        <v>2194</v>
      </c>
      <c r="C1818" s="13" t="s">
        <v>2201</v>
      </c>
      <c r="D1818" s="13" t="s">
        <v>2207</v>
      </c>
      <c r="E1818" s="13" t="s">
        <v>2209</v>
      </c>
      <c r="F1818" s="13" t="s">
        <v>2222</v>
      </c>
      <c r="G1818" s="13">
        <v>26.5</v>
      </c>
      <c r="H1818" s="13">
        <v>57.9</v>
      </c>
      <c r="I1818" s="13">
        <v>11.16</v>
      </c>
      <c r="J1818" s="24">
        <v>45875</v>
      </c>
      <c r="K1818" s="13">
        <v>8</v>
      </c>
      <c r="L1818" s="44">
        <v>1.7</v>
      </c>
      <c r="M1818" s="13" t="b">
        <v>0</v>
      </c>
      <c r="O1818" s="25">
        <f t="shared" si="112"/>
        <v>27</v>
      </c>
      <c r="P1818" s="13">
        <f t="shared" si="113"/>
        <v>463.2</v>
      </c>
      <c r="Q1818" s="13" t="str">
        <f t="shared" si="114"/>
        <v/>
      </c>
      <c r="R1818" s="13" t="str">
        <f t="shared" si="115"/>
        <v>Diskon</v>
      </c>
    </row>
    <row r="1819" spans="1:18" x14ac:dyDescent="0.25">
      <c r="A1819" s="13" t="s">
        <v>1831</v>
      </c>
      <c r="B1819" s="13" t="s">
        <v>2193</v>
      </c>
      <c r="C1819" s="13" t="s">
        <v>2200</v>
      </c>
      <c r="D1819" s="13" t="s">
        <v>2204</v>
      </c>
      <c r="E1819" s="13" t="s">
        <v>2211</v>
      </c>
      <c r="F1819" s="13" t="s">
        <v>2224</v>
      </c>
      <c r="G1819" s="13">
        <v>118.53</v>
      </c>
      <c r="H1819" s="13">
        <v>55</v>
      </c>
      <c r="I1819" s="13">
        <v>53.34</v>
      </c>
      <c r="J1819" s="24">
        <v>45772</v>
      </c>
      <c r="K1819" s="13">
        <v>2</v>
      </c>
      <c r="L1819" s="44">
        <v>4.9000000000000004</v>
      </c>
      <c r="M1819" s="13" t="b">
        <v>0</v>
      </c>
      <c r="O1819" s="25">
        <f t="shared" si="112"/>
        <v>130</v>
      </c>
      <c r="P1819" s="13">
        <f t="shared" si="113"/>
        <v>110</v>
      </c>
      <c r="Q1819" s="13" t="str">
        <f t="shared" si="114"/>
        <v/>
      </c>
      <c r="R1819" s="13" t="str">
        <f t="shared" si="115"/>
        <v>Diskon</v>
      </c>
    </row>
    <row r="1820" spans="1:18" x14ac:dyDescent="0.25">
      <c r="A1820" s="13" t="s">
        <v>1832</v>
      </c>
      <c r="B1820" s="13" t="s">
        <v>2195</v>
      </c>
      <c r="C1820" s="13" t="s">
        <v>2199</v>
      </c>
      <c r="D1820" s="13" t="s">
        <v>2207</v>
      </c>
      <c r="E1820" s="13" t="s">
        <v>2208</v>
      </c>
      <c r="F1820" s="13" t="s">
        <v>2223</v>
      </c>
      <c r="G1820" s="13">
        <v>58.08</v>
      </c>
      <c r="H1820" s="13">
        <v>0</v>
      </c>
      <c r="I1820" s="13">
        <v>58.08</v>
      </c>
      <c r="J1820" s="24">
        <v>45875</v>
      </c>
      <c r="K1820" s="13">
        <v>42</v>
      </c>
      <c r="L1820" s="44">
        <v>1.6</v>
      </c>
      <c r="M1820" s="13" t="b">
        <v>0</v>
      </c>
      <c r="O1820" s="25">
        <f t="shared" si="112"/>
        <v>27</v>
      </c>
      <c r="P1820" s="13">
        <f t="shared" si="113"/>
        <v>0</v>
      </c>
      <c r="Q1820" s="13" t="str">
        <f t="shared" si="114"/>
        <v/>
      </c>
      <c r="R1820" s="13" t="str">
        <f t="shared" si="115"/>
        <v>Non diskon</v>
      </c>
    </row>
    <row r="1821" spans="1:18" x14ac:dyDescent="0.25">
      <c r="A1821" s="13" t="s">
        <v>1833</v>
      </c>
      <c r="B1821" s="13" t="s">
        <v>2193</v>
      </c>
      <c r="C1821" s="13" t="s">
        <v>2200</v>
      </c>
      <c r="D1821" s="13" t="s">
        <v>2207</v>
      </c>
      <c r="E1821" s="13" t="s">
        <v>2210</v>
      </c>
      <c r="F1821" s="13" t="s">
        <v>2222</v>
      </c>
      <c r="G1821" s="13">
        <v>138.85</v>
      </c>
      <c r="H1821" s="13">
        <v>15</v>
      </c>
      <c r="I1821" s="13">
        <v>118.02</v>
      </c>
      <c r="J1821" s="24">
        <v>45875</v>
      </c>
      <c r="K1821" s="13">
        <v>17</v>
      </c>
      <c r="L1821" s="44">
        <v>3.3021276595744684</v>
      </c>
      <c r="M1821" s="13" t="b">
        <v>0</v>
      </c>
      <c r="O1821" s="25">
        <f t="shared" si="112"/>
        <v>27</v>
      </c>
      <c r="P1821" s="13">
        <f t="shared" si="113"/>
        <v>255</v>
      </c>
      <c r="Q1821" s="13" t="str">
        <f t="shared" si="114"/>
        <v/>
      </c>
      <c r="R1821" s="13" t="str">
        <f t="shared" si="115"/>
        <v>Diskon</v>
      </c>
    </row>
    <row r="1822" spans="1:18" x14ac:dyDescent="0.25">
      <c r="A1822" s="13" t="s">
        <v>1834</v>
      </c>
      <c r="B1822" s="13" t="s">
        <v>2194</v>
      </c>
      <c r="C1822" s="13" t="s">
        <v>2198</v>
      </c>
      <c r="D1822" s="13" t="s">
        <v>2207</v>
      </c>
      <c r="E1822" s="13" t="s">
        <v>2212</v>
      </c>
      <c r="F1822" s="13" t="s">
        <v>2218</v>
      </c>
      <c r="G1822" s="13">
        <v>73.33</v>
      </c>
      <c r="H1822" s="13">
        <v>0</v>
      </c>
      <c r="I1822" s="13">
        <v>73.33</v>
      </c>
      <c r="J1822" s="24">
        <v>45875</v>
      </c>
      <c r="K1822" s="13">
        <v>3</v>
      </c>
      <c r="L1822" s="44">
        <v>3.1</v>
      </c>
      <c r="M1822" s="13" t="b">
        <v>1</v>
      </c>
      <c r="N1822" s="13" t="s">
        <v>2229</v>
      </c>
      <c r="O1822" s="25">
        <f t="shared" si="112"/>
        <v>27</v>
      </c>
      <c r="P1822" s="13">
        <f t="shared" si="113"/>
        <v>0</v>
      </c>
      <c r="Q1822" s="13">
        <f t="shared" si="114"/>
        <v>1</v>
      </c>
      <c r="R1822" s="13" t="str">
        <f t="shared" si="115"/>
        <v>Non diskon</v>
      </c>
    </row>
    <row r="1823" spans="1:18" x14ac:dyDescent="0.25">
      <c r="A1823" s="13" t="s">
        <v>1835</v>
      </c>
      <c r="B1823" s="13" t="s">
        <v>2190</v>
      </c>
      <c r="C1823" s="13" t="s">
        <v>2203</v>
      </c>
      <c r="D1823" s="13" t="s">
        <v>2205</v>
      </c>
      <c r="E1823" s="13" t="s">
        <v>2210</v>
      </c>
      <c r="F1823" s="13" t="s">
        <v>2220</v>
      </c>
      <c r="G1823" s="13">
        <v>167.73</v>
      </c>
      <c r="H1823" s="13">
        <v>0</v>
      </c>
      <c r="I1823" s="13">
        <v>167.73</v>
      </c>
      <c r="J1823" s="24">
        <v>45875</v>
      </c>
      <c r="K1823" s="13">
        <v>4</v>
      </c>
      <c r="L1823" s="44">
        <v>4.9000000000000004</v>
      </c>
      <c r="M1823" s="13" t="b">
        <v>0</v>
      </c>
      <c r="O1823" s="25">
        <f t="shared" si="112"/>
        <v>27</v>
      </c>
      <c r="P1823" s="13">
        <f t="shared" si="113"/>
        <v>0</v>
      </c>
      <c r="Q1823" s="13" t="str">
        <f t="shared" si="114"/>
        <v/>
      </c>
      <c r="R1823" s="13" t="str">
        <f t="shared" si="115"/>
        <v>Non diskon</v>
      </c>
    </row>
    <row r="1824" spans="1:18" x14ac:dyDescent="0.25">
      <c r="A1824" s="13" t="s">
        <v>1836</v>
      </c>
      <c r="B1824" s="13" t="s">
        <v>2191</v>
      </c>
      <c r="C1824" s="13" t="s">
        <v>2200</v>
      </c>
      <c r="D1824" s="13" t="s">
        <v>2205</v>
      </c>
      <c r="E1824" s="13" t="s">
        <v>2211</v>
      </c>
      <c r="F1824" s="13" t="s">
        <v>2216</v>
      </c>
      <c r="G1824" s="13">
        <v>79.47</v>
      </c>
      <c r="H1824" s="13">
        <v>0</v>
      </c>
      <c r="I1824" s="13">
        <v>79.47</v>
      </c>
      <c r="J1824" s="24">
        <v>45875</v>
      </c>
      <c r="K1824" s="13">
        <v>31</v>
      </c>
      <c r="L1824" s="44">
        <v>3.7</v>
      </c>
      <c r="M1824" s="13" t="b">
        <v>0</v>
      </c>
      <c r="O1824" s="25">
        <f t="shared" si="112"/>
        <v>27</v>
      </c>
      <c r="P1824" s="13">
        <f t="shared" si="113"/>
        <v>0</v>
      </c>
      <c r="Q1824" s="13" t="str">
        <f t="shared" si="114"/>
        <v/>
      </c>
      <c r="R1824" s="13" t="str">
        <f t="shared" si="115"/>
        <v>Non diskon</v>
      </c>
    </row>
    <row r="1825" spans="1:18" x14ac:dyDescent="0.25">
      <c r="A1825" s="13" t="s">
        <v>1837</v>
      </c>
      <c r="B1825" s="13" t="s">
        <v>2195</v>
      </c>
      <c r="C1825" s="13" t="s">
        <v>2203</v>
      </c>
      <c r="D1825" s="13" t="s">
        <v>2207</v>
      </c>
      <c r="E1825" s="13" t="s">
        <v>2208</v>
      </c>
      <c r="F1825" s="13" t="s">
        <v>2217</v>
      </c>
      <c r="G1825" s="13">
        <v>69.12</v>
      </c>
      <c r="H1825" s="13">
        <v>49.4</v>
      </c>
      <c r="I1825" s="13">
        <v>34.97</v>
      </c>
      <c r="J1825" s="24">
        <v>45875</v>
      </c>
      <c r="K1825" s="13">
        <v>45</v>
      </c>
      <c r="L1825" s="44">
        <v>2.2999999999999998</v>
      </c>
      <c r="M1825" s="13" t="b">
        <v>0</v>
      </c>
      <c r="O1825" s="25">
        <f t="shared" si="112"/>
        <v>27</v>
      </c>
      <c r="P1825" s="13">
        <f t="shared" si="113"/>
        <v>2223</v>
      </c>
      <c r="Q1825" s="13" t="str">
        <f t="shared" si="114"/>
        <v/>
      </c>
      <c r="R1825" s="13" t="str">
        <f t="shared" si="115"/>
        <v>Diskon</v>
      </c>
    </row>
    <row r="1826" spans="1:18" x14ac:dyDescent="0.25">
      <c r="A1826" s="13" t="s">
        <v>1838</v>
      </c>
      <c r="B1826" s="13" t="s">
        <v>2194</v>
      </c>
      <c r="C1826" s="13" t="s">
        <v>2199</v>
      </c>
      <c r="D1826" s="13" t="s">
        <v>2207</v>
      </c>
      <c r="E1826" s="13" t="s">
        <v>2210</v>
      </c>
      <c r="F1826" s="13" t="s">
        <v>2223</v>
      </c>
      <c r="G1826" s="13">
        <v>56.18</v>
      </c>
      <c r="H1826" s="13">
        <v>6.7</v>
      </c>
      <c r="I1826" s="13">
        <v>52.42</v>
      </c>
      <c r="J1826" s="24">
        <v>45875</v>
      </c>
      <c r="K1826" s="13">
        <v>35</v>
      </c>
      <c r="L1826" s="44">
        <v>2.6</v>
      </c>
      <c r="M1826" s="13" t="b">
        <v>1</v>
      </c>
      <c r="N1826" s="13" t="s">
        <v>2229</v>
      </c>
      <c r="O1826" s="25">
        <f t="shared" si="112"/>
        <v>27</v>
      </c>
      <c r="P1826" s="13">
        <f t="shared" si="113"/>
        <v>234.5</v>
      </c>
      <c r="Q1826" s="13">
        <f t="shared" si="114"/>
        <v>1</v>
      </c>
      <c r="R1826" s="13" t="str">
        <f t="shared" si="115"/>
        <v>Diskon</v>
      </c>
    </row>
    <row r="1827" spans="1:18" x14ac:dyDescent="0.25">
      <c r="A1827" s="13" t="s">
        <v>1839</v>
      </c>
      <c r="B1827" s="13" t="s">
        <v>2191</v>
      </c>
      <c r="C1827" s="13" t="s">
        <v>2202</v>
      </c>
      <c r="D1827" s="13" t="s">
        <v>2205</v>
      </c>
      <c r="E1827" s="13" t="s">
        <v>2212</v>
      </c>
      <c r="F1827" s="13" t="s">
        <v>2218</v>
      </c>
      <c r="G1827" s="13">
        <v>51.28</v>
      </c>
      <c r="H1827" s="13">
        <v>48.3</v>
      </c>
      <c r="I1827" s="13">
        <v>26.51</v>
      </c>
      <c r="J1827" s="24">
        <v>45875</v>
      </c>
      <c r="K1827" s="13">
        <v>9</v>
      </c>
      <c r="L1827" s="44">
        <v>1.1000000000000001</v>
      </c>
      <c r="M1827" s="13" t="b">
        <v>1</v>
      </c>
      <c r="N1827" s="13" t="s">
        <v>2229</v>
      </c>
      <c r="O1827" s="25">
        <f t="shared" si="112"/>
        <v>27</v>
      </c>
      <c r="P1827" s="13">
        <f t="shared" si="113"/>
        <v>434.7</v>
      </c>
      <c r="Q1827" s="13">
        <f t="shared" si="114"/>
        <v>1</v>
      </c>
      <c r="R1827" s="13" t="str">
        <f t="shared" si="115"/>
        <v>Diskon</v>
      </c>
    </row>
    <row r="1828" spans="1:18" x14ac:dyDescent="0.25">
      <c r="A1828" s="13" t="s">
        <v>1840</v>
      </c>
      <c r="B1828" s="13" t="s">
        <v>2190</v>
      </c>
      <c r="C1828" s="13" t="s">
        <v>2202</v>
      </c>
      <c r="D1828" s="13" t="s">
        <v>2204</v>
      </c>
      <c r="F1828" s="13" t="s">
        <v>2220</v>
      </c>
      <c r="G1828" s="13">
        <v>111.73</v>
      </c>
      <c r="H1828" s="13">
        <v>16.8</v>
      </c>
      <c r="I1828" s="13">
        <v>92.96</v>
      </c>
      <c r="J1828" s="24">
        <v>45806</v>
      </c>
      <c r="K1828" s="13">
        <v>41</v>
      </c>
      <c r="L1828" s="44">
        <v>1.2</v>
      </c>
      <c r="M1828" s="13" t="b">
        <v>0</v>
      </c>
      <c r="O1828" s="25">
        <f t="shared" si="112"/>
        <v>96</v>
      </c>
      <c r="P1828" s="13">
        <f t="shared" si="113"/>
        <v>688.80000000000007</v>
      </c>
      <c r="Q1828" s="13" t="str">
        <f t="shared" si="114"/>
        <v/>
      </c>
      <c r="R1828" s="13" t="str">
        <f t="shared" si="115"/>
        <v>Diskon</v>
      </c>
    </row>
    <row r="1829" spans="1:18" x14ac:dyDescent="0.25">
      <c r="A1829" s="13" t="s">
        <v>1841</v>
      </c>
      <c r="B1829" s="13" t="s">
        <v>2194</v>
      </c>
      <c r="C1829" s="13" t="s">
        <v>2201</v>
      </c>
      <c r="D1829" s="13" t="s">
        <v>2206</v>
      </c>
      <c r="E1829" s="13" t="s">
        <v>2211</v>
      </c>
      <c r="F1829" s="13" t="s">
        <v>2218</v>
      </c>
      <c r="G1829" s="13">
        <v>49.08</v>
      </c>
      <c r="H1829" s="13">
        <v>19.899999999999999</v>
      </c>
      <c r="I1829" s="13">
        <v>39.31</v>
      </c>
      <c r="J1829" s="24">
        <v>45875</v>
      </c>
      <c r="K1829" s="13">
        <v>46</v>
      </c>
      <c r="L1829" s="44">
        <v>1</v>
      </c>
      <c r="M1829" s="13" t="b">
        <v>1</v>
      </c>
      <c r="N1829" s="13" t="s">
        <v>2229</v>
      </c>
      <c r="O1829" s="25">
        <f t="shared" si="112"/>
        <v>27</v>
      </c>
      <c r="P1829" s="13">
        <f t="shared" si="113"/>
        <v>915.4</v>
      </c>
      <c r="Q1829" s="13">
        <f t="shared" si="114"/>
        <v>1</v>
      </c>
      <c r="R1829" s="13" t="str">
        <f t="shared" si="115"/>
        <v>Diskon</v>
      </c>
    </row>
    <row r="1830" spans="1:18" x14ac:dyDescent="0.25">
      <c r="A1830" s="13" t="s">
        <v>1842</v>
      </c>
      <c r="B1830" s="13" t="s">
        <v>2193</v>
      </c>
      <c r="C1830" s="13" t="s">
        <v>2203</v>
      </c>
      <c r="D1830" s="13" t="s">
        <v>2205</v>
      </c>
      <c r="E1830" s="13" t="s">
        <v>2213</v>
      </c>
      <c r="F1830" s="13" t="s">
        <v>2215</v>
      </c>
      <c r="G1830" s="13">
        <v>182.47</v>
      </c>
      <c r="H1830" s="13">
        <v>27.1</v>
      </c>
      <c r="I1830" s="13">
        <v>133.02000000000001</v>
      </c>
      <c r="J1830" s="24">
        <v>45875</v>
      </c>
      <c r="K1830" s="13">
        <v>40</v>
      </c>
      <c r="L1830" s="44">
        <v>3.2576923076923077</v>
      </c>
      <c r="M1830" s="13" t="b">
        <v>0</v>
      </c>
      <c r="O1830" s="25">
        <f t="shared" si="112"/>
        <v>27</v>
      </c>
      <c r="P1830" s="13">
        <f t="shared" si="113"/>
        <v>1084</v>
      </c>
      <c r="Q1830" s="13" t="str">
        <f t="shared" si="114"/>
        <v/>
      </c>
      <c r="R1830" s="13" t="str">
        <f t="shared" si="115"/>
        <v>Diskon</v>
      </c>
    </row>
    <row r="1831" spans="1:18" x14ac:dyDescent="0.25">
      <c r="A1831" s="13" t="s">
        <v>1843</v>
      </c>
      <c r="B1831" s="13" t="s">
        <v>2190</v>
      </c>
      <c r="C1831" s="13" t="s">
        <v>2203</v>
      </c>
      <c r="D1831" s="13" t="s">
        <v>2207</v>
      </c>
      <c r="E1831" s="13" t="s">
        <v>2212</v>
      </c>
      <c r="F1831" s="13" t="s">
        <v>2223</v>
      </c>
      <c r="G1831" s="13">
        <v>241.22</v>
      </c>
      <c r="H1831" s="13">
        <v>5.9</v>
      </c>
      <c r="I1831" s="13">
        <v>226.99</v>
      </c>
      <c r="J1831" s="24">
        <v>45875</v>
      </c>
      <c r="K1831" s="13">
        <v>13</v>
      </c>
      <c r="L1831" s="44">
        <v>1.2</v>
      </c>
      <c r="M1831" s="13" t="b">
        <v>0</v>
      </c>
      <c r="O1831" s="25">
        <f t="shared" si="112"/>
        <v>27</v>
      </c>
      <c r="P1831" s="13">
        <f t="shared" si="113"/>
        <v>76.7</v>
      </c>
      <c r="Q1831" s="13" t="str">
        <f t="shared" si="114"/>
        <v/>
      </c>
      <c r="R1831" s="13" t="str">
        <f t="shared" si="115"/>
        <v>Diskon</v>
      </c>
    </row>
    <row r="1832" spans="1:18" x14ac:dyDescent="0.25">
      <c r="A1832" s="13" t="s">
        <v>1844</v>
      </c>
      <c r="B1832" s="13" t="s">
        <v>2195</v>
      </c>
      <c r="C1832" s="13" t="s">
        <v>2201</v>
      </c>
      <c r="D1832" s="13" t="s">
        <v>2204</v>
      </c>
      <c r="E1832" s="13" t="s">
        <v>2211</v>
      </c>
      <c r="F1832" s="13" t="s">
        <v>2219</v>
      </c>
      <c r="G1832" s="13">
        <v>78.3</v>
      </c>
      <c r="H1832" s="13">
        <v>0</v>
      </c>
      <c r="I1832" s="13">
        <v>78.3</v>
      </c>
      <c r="J1832" s="24">
        <v>45730</v>
      </c>
      <c r="K1832" s="13">
        <v>19</v>
      </c>
      <c r="L1832" s="44">
        <v>3</v>
      </c>
      <c r="M1832" s="13" t="b">
        <v>0</v>
      </c>
      <c r="O1832" s="25">
        <f t="shared" si="112"/>
        <v>172</v>
      </c>
      <c r="P1832" s="13">
        <f t="shared" si="113"/>
        <v>0</v>
      </c>
      <c r="Q1832" s="13" t="str">
        <f t="shared" si="114"/>
        <v/>
      </c>
      <c r="R1832" s="13" t="str">
        <f t="shared" si="115"/>
        <v>Non diskon</v>
      </c>
    </row>
    <row r="1833" spans="1:18" x14ac:dyDescent="0.25">
      <c r="A1833" s="13" t="s">
        <v>1845</v>
      </c>
      <c r="B1833" s="13" t="s">
        <v>2193</v>
      </c>
      <c r="C1833" s="13" t="s">
        <v>2198</v>
      </c>
      <c r="D1833" s="13" t="s">
        <v>2205</v>
      </c>
      <c r="E1833" s="13" t="s">
        <v>2213</v>
      </c>
      <c r="F1833" s="13" t="s">
        <v>2223</v>
      </c>
      <c r="G1833" s="13">
        <v>73.930000000000007</v>
      </c>
      <c r="H1833" s="13">
        <v>0</v>
      </c>
      <c r="I1833" s="13">
        <v>73.930000000000007</v>
      </c>
      <c r="J1833" s="24">
        <v>45875</v>
      </c>
      <c r="K1833" s="13">
        <v>0</v>
      </c>
      <c r="L1833" s="44">
        <v>3.1936170212765949</v>
      </c>
      <c r="M1833" s="13" t="b">
        <v>0</v>
      </c>
      <c r="O1833" s="25">
        <f t="shared" si="112"/>
        <v>27</v>
      </c>
      <c r="P1833" s="13">
        <f t="shared" si="113"/>
        <v>0</v>
      </c>
      <c r="Q1833" s="13" t="str">
        <f t="shared" si="114"/>
        <v/>
      </c>
      <c r="R1833" s="13" t="str">
        <f t="shared" si="115"/>
        <v>Non diskon</v>
      </c>
    </row>
    <row r="1834" spans="1:18" x14ac:dyDescent="0.25">
      <c r="A1834" s="13" t="s">
        <v>1846</v>
      </c>
      <c r="B1834" s="13" t="s">
        <v>2194</v>
      </c>
      <c r="C1834" s="13" t="s">
        <v>2200</v>
      </c>
      <c r="D1834" s="13" t="s">
        <v>2207</v>
      </c>
      <c r="E1834" s="13" t="s">
        <v>2211</v>
      </c>
      <c r="F1834" s="13" t="s">
        <v>2220</v>
      </c>
      <c r="G1834" s="13">
        <v>97.5</v>
      </c>
      <c r="H1834" s="13">
        <v>0</v>
      </c>
      <c r="I1834" s="13">
        <v>97.5</v>
      </c>
      <c r="J1834" s="24">
        <v>45875</v>
      </c>
      <c r="K1834" s="13">
        <v>43</v>
      </c>
      <c r="L1834" s="44">
        <v>1.6</v>
      </c>
      <c r="M1834" s="13" t="b">
        <v>0</v>
      </c>
      <c r="O1834" s="25">
        <f t="shared" si="112"/>
        <v>27</v>
      </c>
      <c r="P1834" s="13">
        <f t="shared" si="113"/>
        <v>0</v>
      </c>
      <c r="Q1834" s="13" t="str">
        <f t="shared" si="114"/>
        <v/>
      </c>
      <c r="R1834" s="13" t="str">
        <f t="shared" si="115"/>
        <v>Non diskon</v>
      </c>
    </row>
    <row r="1835" spans="1:18" x14ac:dyDescent="0.25">
      <c r="A1835" s="13" t="s">
        <v>1847</v>
      </c>
      <c r="B1835" s="13" t="s">
        <v>2191</v>
      </c>
      <c r="C1835" s="13" t="s">
        <v>2201</v>
      </c>
      <c r="D1835" s="13" t="s">
        <v>2207</v>
      </c>
      <c r="E1835" s="13" t="s">
        <v>2212</v>
      </c>
      <c r="F1835" s="13" t="s">
        <v>2220</v>
      </c>
      <c r="G1835" s="13">
        <v>38.9</v>
      </c>
      <c r="H1835" s="13">
        <v>0</v>
      </c>
      <c r="I1835" s="13">
        <v>38.9</v>
      </c>
      <c r="J1835" s="24">
        <v>45875</v>
      </c>
      <c r="K1835" s="13">
        <v>1</v>
      </c>
      <c r="L1835" s="44">
        <v>5</v>
      </c>
      <c r="M1835" s="13" t="b">
        <v>0</v>
      </c>
      <c r="O1835" s="25">
        <f t="shared" si="112"/>
        <v>27</v>
      </c>
      <c r="P1835" s="13">
        <f t="shared" si="113"/>
        <v>0</v>
      </c>
      <c r="Q1835" s="13" t="str">
        <f t="shared" si="114"/>
        <v/>
      </c>
      <c r="R1835" s="13" t="str">
        <f t="shared" si="115"/>
        <v>Non diskon</v>
      </c>
    </row>
    <row r="1836" spans="1:18" x14ac:dyDescent="0.25">
      <c r="A1836" s="13" t="s">
        <v>1848</v>
      </c>
      <c r="B1836" s="13" t="s">
        <v>2193</v>
      </c>
      <c r="C1836" s="13" t="s">
        <v>2198</v>
      </c>
      <c r="D1836" s="13" t="s">
        <v>2207</v>
      </c>
      <c r="E1836" s="13" t="s">
        <v>2210</v>
      </c>
      <c r="F1836" s="13" t="s">
        <v>2219</v>
      </c>
      <c r="G1836" s="13">
        <v>95.52</v>
      </c>
      <c r="H1836" s="13">
        <v>0</v>
      </c>
      <c r="I1836" s="13">
        <v>95.52</v>
      </c>
      <c r="J1836" s="24">
        <v>45875</v>
      </c>
      <c r="K1836" s="13">
        <v>47</v>
      </c>
      <c r="L1836" s="44">
        <v>3.9</v>
      </c>
      <c r="M1836" s="13" t="b">
        <v>0</v>
      </c>
      <c r="O1836" s="25">
        <f t="shared" si="112"/>
        <v>27</v>
      </c>
      <c r="P1836" s="13">
        <f t="shared" si="113"/>
        <v>0</v>
      </c>
      <c r="Q1836" s="13" t="str">
        <f t="shared" si="114"/>
        <v/>
      </c>
      <c r="R1836" s="13" t="str">
        <f t="shared" si="115"/>
        <v>Non diskon</v>
      </c>
    </row>
    <row r="1837" spans="1:18" x14ac:dyDescent="0.25">
      <c r="A1837" s="13" t="s">
        <v>1849</v>
      </c>
      <c r="B1837" s="13" t="s">
        <v>2190</v>
      </c>
      <c r="C1837" s="13" t="s">
        <v>2196</v>
      </c>
      <c r="D1837" s="13" t="s">
        <v>2206</v>
      </c>
      <c r="E1837" s="13" t="s">
        <v>2213</v>
      </c>
      <c r="F1837" s="13" t="s">
        <v>2214</v>
      </c>
      <c r="G1837" s="13">
        <v>158.63999999999999</v>
      </c>
      <c r="H1837" s="13">
        <v>50.2</v>
      </c>
      <c r="I1837" s="13">
        <v>79</v>
      </c>
      <c r="J1837" s="24">
        <v>45875</v>
      </c>
      <c r="K1837" s="13">
        <v>7</v>
      </c>
      <c r="L1837" s="44">
        <v>3</v>
      </c>
      <c r="M1837" s="13" t="b">
        <v>1</v>
      </c>
      <c r="N1837" s="13" t="s">
        <v>2229</v>
      </c>
      <c r="O1837" s="25">
        <f t="shared" si="112"/>
        <v>27</v>
      </c>
      <c r="P1837" s="13">
        <f t="shared" si="113"/>
        <v>351.40000000000003</v>
      </c>
      <c r="Q1837" s="13">
        <f t="shared" si="114"/>
        <v>1</v>
      </c>
      <c r="R1837" s="13" t="str">
        <f t="shared" si="115"/>
        <v>Diskon</v>
      </c>
    </row>
    <row r="1838" spans="1:18" x14ac:dyDescent="0.25">
      <c r="A1838" s="13" t="s">
        <v>1850</v>
      </c>
      <c r="B1838" s="13" t="s">
        <v>2191</v>
      </c>
      <c r="C1838" s="13" t="s">
        <v>2199</v>
      </c>
      <c r="D1838" s="13" t="s">
        <v>2206</v>
      </c>
      <c r="E1838" s="13" t="s">
        <v>2208</v>
      </c>
      <c r="F1838" s="13" t="s">
        <v>2222</v>
      </c>
      <c r="G1838" s="13">
        <v>26.11</v>
      </c>
      <c r="H1838" s="13">
        <v>0</v>
      </c>
      <c r="I1838" s="13">
        <v>26.11</v>
      </c>
      <c r="J1838" s="24">
        <v>45875</v>
      </c>
      <c r="K1838" s="13">
        <v>41</v>
      </c>
      <c r="L1838" s="44">
        <v>4.3</v>
      </c>
      <c r="M1838" s="13" t="b">
        <v>0</v>
      </c>
      <c r="O1838" s="25">
        <f t="shared" si="112"/>
        <v>27</v>
      </c>
      <c r="P1838" s="13">
        <f t="shared" si="113"/>
        <v>0</v>
      </c>
      <c r="Q1838" s="13" t="str">
        <f t="shared" si="114"/>
        <v/>
      </c>
      <c r="R1838" s="13" t="str">
        <f t="shared" si="115"/>
        <v>Non diskon</v>
      </c>
    </row>
    <row r="1839" spans="1:18" x14ac:dyDescent="0.25">
      <c r="A1839" s="13" t="s">
        <v>1851</v>
      </c>
      <c r="B1839" s="13" t="s">
        <v>2193</v>
      </c>
      <c r="C1839" s="13" t="s">
        <v>2203</v>
      </c>
      <c r="D1839" s="13" t="s">
        <v>2204</v>
      </c>
      <c r="F1839" s="13" t="s">
        <v>2217</v>
      </c>
      <c r="G1839" s="13">
        <v>107.09</v>
      </c>
      <c r="H1839" s="13">
        <v>43.1</v>
      </c>
      <c r="I1839" s="13">
        <v>60.93</v>
      </c>
      <c r="J1839" s="24">
        <v>45702</v>
      </c>
      <c r="K1839" s="13">
        <v>16</v>
      </c>
      <c r="L1839" s="44">
        <v>4.7</v>
      </c>
      <c r="M1839" s="13" t="b">
        <v>1</v>
      </c>
      <c r="N1839" s="13" t="s">
        <v>2229</v>
      </c>
      <c r="O1839" s="25">
        <f t="shared" si="112"/>
        <v>200</v>
      </c>
      <c r="P1839" s="13">
        <f t="shared" si="113"/>
        <v>689.6</v>
      </c>
      <c r="Q1839" s="13">
        <f t="shared" si="114"/>
        <v>1</v>
      </c>
      <c r="R1839" s="13" t="str">
        <f t="shared" si="115"/>
        <v>Diskon</v>
      </c>
    </row>
    <row r="1840" spans="1:18" x14ac:dyDescent="0.25">
      <c r="A1840" s="13" t="s">
        <v>1852</v>
      </c>
      <c r="B1840" s="13" t="s">
        <v>2192</v>
      </c>
      <c r="C1840" s="13" t="s">
        <v>2202</v>
      </c>
      <c r="D1840" s="13" t="s">
        <v>2207</v>
      </c>
      <c r="F1840" s="13" t="s">
        <v>2216</v>
      </c>
      <c r="G1840" s="13">
        <v>71.42</v>
      </c>
      <c r="H1840" s="13">
        <v>38</v>
      </c>
      <c r="I1840" s="13">
        <v>44.28</v>
      </c>
      <c r="J1840" s="24">
        <v>45875</v>
      </c>
      <c r="K1840" s="13">
        <v>49</v>
      </c>
      <c r="L1840" s="44">
        <v>2.8</v>
      </c>
      <c r="M1840" s="13" t="b">
        <v>0</v>
      </c>
      <c r="O1840" s="25">
        <f t="shared" si="112"/>
        <v>27</v>
      </c>
      <c r="P1840" s="13">
        <f t="shared" si="113"/>
        <v>1862</v>
      </c>
      <c r="Q1840" s="13" t="str">
        <f t="shared" si="114"/>
        <v/>
      </c>
      <c r="R1840" s="13" t="str">
        <f t="shared" si="115"/>
        <v>Diskon</v>
      </c>
    </row>
    <row r="1841" spans="1:18" x14ac:dyDescent="0.25">
      <c r="A1841" s="13" t="s">
        <v>1853</v>
      </c>
      <c r="B1841" s="13" t="s">
        <v>2193</v>
      </c>
      <c r="C1841" s="13" t="s">
        <v>2196</v>
      </c>
      <c r="D1841" s="13" t="s">
        <v>2207</v>
      </c>
      <c r="E1841" s="13" t="s">
        <v>2208</v>
      </c>
      <c r="F1841" s="13" t="s">
        <v>2214</v>
      </c>
      <c r="G1841" s="13">
        <v>124.56</v>
      </c>
      <c r="H1841" s="13">
        <v>0</v>
      </c>
      <c r="I1841" s="13">
        <v>124.56</v>
      </c>
      <c r="J1841" s="24">
        <v>45875</v>
      </c>
      <c r="K1841" s="13">
        <v>18</v>
      </c>
      <c r="L1841" s="44">
        <v>3</v>
      </c>
      <c r="M1841" s="13" t="b">
        <v>0</v>
      </c>
      <c r="O1841" s="25">
        <f t="shared" si="112"/>
        <v>27</v>
      </c>
      <c r="P1841" s="13">
        <f t="shared" si="113"/>
        <v>0</v>
      </c>
      <c r="Q1841" s="13" t="str">
        <f t="shared" si="114"/>
        <v/>
      </c>
      <c r="R1841" s="13" t="str">
        <f t="shared" si="115"/>
        <v>Non diskon</v>
      </c>
    </row>
    <row r="1842" spans="1:18" x14ac:dyDescent="0.25">
      <c r="A1842" s="13" t="s">
        <v>1854</v>
      </c>
      <c r="B1842" s="13" t="s">
        <v>2194</v>
      </c>
      <c r="C1842" s="13" t="s">
        <v>2197</v>
      </c>
      <c r="D1842" s="13" t="s">
        <v>2207</v>
      </c>
      <c r="E1842" s="13" t="s">
        <v>2209</v>
      </c>
      <c r="F1842" s="13" t="s">
        <v>2223</v>
      </c>
      <c r="G1842" s="13">
        <v>30.91</v>
      </c>
      <c r="H1842" s="13">
        <v>0</v>
      </c>
      <c r="I1842" s="13">
        <v>30.91</v>
      </c>
      <c r="J1842" s="24">
        <v>45875</v>
      </c>
      <c r="K1842" s="13">
        <v>45</v>
      </c>
      <c r="L1842" s="44">
        <v>1.8</v>
      </c>
      <c r="M1842" s="13" t="b">
        <v>0</v>
      </c>
      <c r="O1842" s="25">
        <f t="shared" si="112"/>
        <v>27</v>
      </c>
      <c r="P1842" s="13">
        <f t="shared" si="113"/>
        <v>0</v>
      </c>
      <c r="Q1842" s="13" t="str">
        <f t="shared" si="114"/>
        <v/>
      </c>
      <c r="R1842" s="13" t="str">
        <f t="shared" si="115"/>
        <v>Non diskon</v>
      </c>
    </row>
    <row r="1843" spans="1:18" x14ac:dyDescent="0.25">
      <c r="A1843" s="13" t="s">
        <v>1855</v>
      </c>
      <c r="B1843" s="13" t="s">
        <v>2191</v>
      </c>
      <c r="C1843" s="13" t="s">
        <v>2196</v>
      </c>
      <c r="D1843" s="13" t="s">
        <v>2205</v>
      </c>
      <c r="E1843" s="13" t="s">
        <v>2212</v>
      </c>
      <c r="F1843" s="13" t="s">
        <v>2221</v>
      </c>
      <c r="G1843" s="13">
        <v>53.37</v>
      </c>
      <c r="H1843" s="13">
        <v>0</v>
      </c>
      <c r="I1843" s="13">
        <v>53.37</v>
      </c>
      <c r="J1843" s="24">
        <v>45875</v>
      </c>
      <c r="K1843" s="13">
        <v>15</v>
      </c>
      <c r="L1843" s="44">
        <v>1.1000000000000001</v>
      </c>
      <c r="M1843" s="13" t="b">
        <v>0</v>
      </c>
      <c r="O1843" s="25">
        <f t="shared" si="112"/>
        <v>27</v>
      </c>
      <c r="P1843" s="13">
        <f t="shared" si="113"/>
        <v>0</v>
      </c>
      <c r="Q1843" s="13" t="str">
        <f t="shared" si="114"/>
        <v/>
      </c>
      <c r="R1843" s="13" t="str">
        <f t="shared" si="115"/>
        <v>Non diskon</v>
      </c>
    </row>
    <row r="1844" spans="1:18" x14ac:dyDescent="0.25">
      <c r="A1844" s="13" t="s">
        <v>1856</v>
      </c>
      <c r="B1844" s="13" t="s">
        <v>2193</v>
      </c>
      <c r="C1844" s="13" t="s">
        <v>2202</v>
      </c>
      <c r="D1844" s="13" t="s">
        <v>2207</v>
      </c>
      <c r="E1844" s="13" t="s">
        <v>2208</v>
      </c>
      <c r="F1844" s="13" t="s">
        <v>2220</v>
      </c>
      <c r="G1844" s="13">
        <v>159.16</v>
      </c>
      <c r="H1844" s="13">
        <v>0</v>
      </c>
      <c r="I1844" s="13">
        <v>159.16</v>
      </c>
      <c r="J1844" s="24">
        <v>45875</v>
      </c>
      <c r="K1844" s="13">
        <v>40</v>
      </c>
      <c r="L1844" s="44">
        <v>2.9083333333333328</v>
      </c>
      <c r="M1844" s="13" t="b">
        <v>1</v>
      </c>
      <c r="N1844" s="13" t="s">
        <v>2229</v>
      </c>
      <c r="O1844" s="25">
        <f t="shared" si="112"/>
        <v>27</v>
      </c>
      <c r="P1844" s="13">
        <f t="shared" si="113"/>
        <v>0</v>
      </c>
      <c r="Q1844" s="13">
        <f t="shared" si="114"/>
        <v>1</v>
      </c>
      <c r="R1844" s="13" t="str">
        <f t="shared" si="115"/>
        <v>Non diskon</v>
      </c>
    </row>
    <row r="1845" spans="1:18" x14ac:dyDescent="0.25">
      <c r="A1845" s="13" t="s">
        <v>1857</v>
      </c>
      <c r="B1845" s="13" t="s">
        <v>2195</v>
      </c>
      <c r="C1845" s="13" t="s">
        <v>2199</v>
      </c>
      <c r="D1845" s="13" t="s">
        <v>2206</v>
      </c>
      <c r="E1845" s="13" t="s">
        <v>2210</v>
      </c>
      <c r="F1845" s="13" t="s">
        <v>2215</v>
      </c>
      <c r="G1845" s="13">
        <v>169.64</v>
      </c>
      <c r="H1845" s="13">
        <v>0</v>
      </c>
      <c r="I1845" s="13">
        <v>169.64</v>
      </c>
      <c r="J1845" s="24">
        <v>45875</v>
      </c>
      <c r="K1845" s="13">
        <v>5</v>
      </c>
      <c r="L1845" s="44">
        <v>1.6</v>
      </c>
      <c r="M1845" s="13" t="b">
        <v>0</v>
      </c>
      <c r="O1845" s="25">
        <f t="shared" si="112"/>
        <v>27</v>
      </c>
      <c r="P1845" s="13">
        <f t="shared" si="113"/>
        <v>0</v>
      </c>
      <c r="Q1845" s="13" t="str">
        <f t="shared" si="114"/>
        <v/>
      </c>
      <c r="R1845" s="13" t="str">
        <f t="shared" si="115"/>
        <v>Non diskon</v>
      </c>
    </row>
    <row r="1846" spans="1:18" x14ac:dyDescent="0.25">
      <c r="A1846" s="13" t="s">
        <v>1858</v>
      </c>
      <c r="B1846" s="13" t="s">
        <v>2192</v>
      </c>
      <c r="C1846" s="13" t="s">
        <v>2202</v>
      </c>
      <c r="D1846" s="13" t="s">
        <v>2207</v>
      </c>
      <c r="F1846" s="13" t="s">
        <v>2219</v>
      </c>
      <c r="G1846" s="13">
        <v>59.94</v>
      </c>
      <c r="H1846" s="13">
        <v>0</v>
      </c>
      <c r="I1846" s="13">
        <v>59.94</v>
      </c>
      <c r="J1846" s="24">
        <v>45875</v>
      </c>
      <c r="K1846" s="13">
        <v>7</v>
      </c>
      <c r="L1846" s="44">
        <v>4</v>
      </c>
      <c r="M1846" s="13" t="b">
        <v>0</v>
      </c>
      <c r="O1846" s="25">
        <f t="shared" si="112"/>
        <v>27</v>
      </c>
      <c r="P1846" s="13">
        <f t="shared" si="113"/>
        <v>0</v>
      </c>
      <c r="Q1846" s="13" t="str">
        <f t="shared" si="114"/>
        <v/>
      </c>
      <c r="R1846" s="13" t="str">
        <f t="shared" si="115"/>
        <v>Non diskon</v>
      </c>
    </row>
    <row r="1847" spans="1:18" x14ac:dyDescent="0.25">
      <c r="A1847" s="13" t="s">
        <v>1859</v>
      </c>
      <c r="B1847" s="13" t="s">
        <v>2195</v>
      </c>
      <c r="C1847" s="13" t="s">
        <v>2202</v>
      </c>
      <c r="D1847" s="13" t="s">
        <v>2206</v>
      </c>
      <c r="E1847" s="13" t="s">
        <v>2208</v>
      </c>
      <c r="F1847" s="13" t="s">
        <v>2223</v>
      </c>
      <c r="G1847" s="13">
        <v>92.59</v>
      </c>
      <c r="H1847" s="13">
        <v>0</v>
      </c>
      <c r="I1847" s="13">
        <v>92.59</v>
      </c>
      <c r="J1847" s="24">
        <v>45875</v>
      </c>
      <c r="K1847" s="13">
        <v>29</v>
      </c>
      <c r="L1847" s="44">
        <v>3.5</v>
      </c>
      <c r="M1847" s="13" t="b">
        <v>1</v>
      </c>
      <c r="N1847" s="13" t="s">
        <v>2226</v>
      </c>
      <c r="O1847" s="25">
        <f t="shared" si="112"/>
        <v>27</v>
      </c>
      <c r="P1847" s="13">
        <f t="shared" si="113"/>
        <v>0</v>
      </c>
      <c r="Q1847" s="13">
        <f t="shared" si="114"/>
        <v>1</v>
      </c>
      <c r="R1847" s="13" t="str">
        <f t="shared" si="115"/>
        <v>Non diskon</v>
      </c>
    </row>
    <row r="1848" spans="1:18" x14ac:dyDescent="0.25">
      <c r="A1848" s="13" t="s">
        <v>1860</v>
      </c>
      <c r="B1848" s="13" t="s">
        <v>2194</v>
      </c>
      <c r="C1848" s="13" t="s">
        <v>2200</v>
      </c>
      <c r="D1848" s="13" t="s">
        <v>2204</v>
      </c>
      <c r="E1848" s="13" t="s">
        <v>2210</v>
      </c>
      <c r="F1848" s="13" t="s">
        <v>2217</v>
      </c>
      <c r="G1848" s="13">
        <v>64.069999999999993</v>
      </c>
      <c r="H1848" s="13">
        <v>0</v>
      </c>
      <c r="I1848" s="13">
        <v>64.069999999999993</v>
      </c>
      <c r="J1848" s="24">
        <v>45734</v>
      </c>
      <c r="K1848" s="13">
        <v>10</v>
      </c>
      <c r="L1848" s="44">
        <v>3.0659090909090896</v>
      </c>
      <c r="M1848" s="13" t="b">
        <v>0</v>
      </c>
      <c r="O1848" s="25">
        <f t="shared" si="112"/>
        <v>168</v>
      </c>
      <c r="P1848" s="13">
        <f t="shared" si="113"/>
        <v>0</v>
      </c>
      <c r="Q1848" s="13" t="str">
        <f t="shared" si="114"/>
        <v/>
      </c>
      <c r="R1848" s="13" t="str">
        <f t="shared" si="115"/>
        <v>Non diskon</v>
      </c>
    </row>
    <row r="1849" spans="1:18" x14ac:dyDescent="0.25">
      <c r="A1849" s="13" t="s">
        <v>1861</v>
      </c>
      <c r="B1849" s="13" t="s">
        <v>2195</v>
      </c>
      <c r="C1849" s="13" t="s">
        <v>2203</v>
      </c>
      <c r="D1849" s="13" t="s">
        <v>2206</v>
      </c>
      <c r="E1849" s="13" t="s">
        <v>2212</v>
      </c>
      <c r="F1849" s="13" t="s">
        <v>2219</v>
      </c>
      <c r="G1849" s="13">
        <v>127.87</v>
      </c>
      <c r="H1849" s="13">
        <v>54.6</v>
      </c>
      <c r="I1849" s="13">
        <v>58.05</v>
      </c>
      <c r="J1849" s="24">
        <v>45875</v>
      </c>
      <c r="K1849" s="13">
        <v>14</v>
      </c>
      <c r="L1849" s="44">
        <v>4.4000000000000004</v>
      </c>
      <c r="M1849" s="13" t="b">
        <v>0</v>
      </c>
      <c r="O1849" s="25">
        <f t="shared" si="112"/>
        <v>27</v>
      </c>
      <c r="P1849" s="13">
        <f t="shared" si="113"/>
        <v>764.4</v>
      </c>
      <c r="Q1849" s="13" t="str">
        <f t="shared" si="114"/>
        <v/>
      </c>
      <c r="R1849" s="13" t="str">
        <f t="shared" si="115"/>
        <v>Diskon</v>
      </c>
    </row>
    <row r="1850" spans="1:18" x14ac:dyDescent="0.25">
      <c r="A1850" s="13" t="s">
        <v>1862</v>
      </c>
      <c r="B1850" s="13" t="s">
        <v>2194</v>
      </c>
      <c r="C1850" s="13" t="s">
        <v>2198</v>
      </c>
      <c r="D1850" s="13" t="s">
        <v>2206</v>
      </c>
      <c r="E1850" s="13" t="s">
        <v>2213</v>
      </c>
      <c r="F1850" s="13" t="s">
        <v>2219</v>
      </c>
      <c r="G1850" s="13">
        <v>32.46</v>
      </c>
      <c r="H1850" s="13">
        <v>12.9</v>
      </c>
      <c r="I1850" s="13">
        <v>28.27</v>
      </c>
      <c r="J1850" s="24">
        <v>45875</v>
      </c>
      <c r="K1850" s="13">
        <v>9</v>
      </c>
      <c r="L1850" s="44">
        <v>3.0384615384615379</v>
      </c>
      <c r="M1850" s="13" t="b">
        <v>0</v>
      </c>
      <c r="O1850" s="25">
        <f t="shared" si="112"/>
        <v>27</v>
      </c>
      <c r="P1850" s="13">
        <f t="shared" si="113"/>
        <v>116.10000000000001</v>
      </c>
      <c r="Q1850" s="13" t="str">
        <f t="shared" si="114"/>
        <v/>
      </c>
      <c r="R1850" s="13" t="str">
        <f t="shared" si="115"/>
        <v>Diskon</v>
      </c>
    </row>
    <row r="1851" spans="1:18" x14ac:dyDescent="0.25">
      <c r="A1851" s="13" t="s">
        <v>1863</v>
      </c>
      <c r="B1851" s="13" t="s">
        <v>2194</v>
      </c>
      <c r="C1851" s="13" t="s">
        <v>2200</v>
      </c>
      <c r="D1851" s="13" t="s">
        <v>2207</v>
      </c>
      <c r="E1851" s="13" t="s">
        <v>2211</v>
      </c>
      <c r="F1851" s="13" t="s">
        <v>2215</v>
      </c>
      <c r="G1851" s="13">
        <v>40.31</v>
      </c>
      <c r="H1851" s="13">
        <v>43</v>
      </c>
      <c r="I1851" s="13">
        <v>22.98</v>
      </c>
      <c r="J1851" s="24">
        <v>45875</v>
      </c>
      <c r="K1851" s="13">
        <v>30</v>
      </c>
      <c r="L1851" s="44">
        <v>3.5</v>
      </c>
      <c r="M1851" s="13" t="b">
        <v>1</v>
      </c>
      <c r="N1851" s="13" t="s">
        <v>2225</v>
      </c>
      <c r="O1851" s="25">
        <f t="shared" si="112"/>
        <v>27</v>
      </c>
      <c r="P1851" s="13">
        <f t="shared" si="113"/>
        <v>1290</v>
      </c>
      <c r="Q1851" s="13">
        <f t="shared" si="114"/>
        <v>1</v>
      </c>
      <c r="R1851" s="13" t="str">
        <f t="shared" si="115"/>
        <v>Diskon</v>
      </c>
    </row>
    <row r="1852" spans="1:18" x14ac:dyDescent="0.25">
      <c r="A1852" s="13" t="s">
        <v>1864</v>
      </c>
      <c r="B1852" s="13" t="s">
        <v>2192</v>
      </c>
      <c r="C1852" s="13" t="s">
        <v>2201</v>
      </c>
      <c r="D1852" s="13" t="s">
        <v>2205</v>
      </c>
      <c r="F1852" s="13" t="s">
        <v>2220</v>
      </c>
      <c r="G1852" s="13">
        <v>51.3</v>
      </c>
      <c r="H1852" s="13">
        <v>6.1</v>
      </c>
      <c r="I1852" s="13">
        <v>48.17</v>
      </c>
      <c r="J1852" s="24">
        <v>45875</v>
      </c>
      <c r="K1852" s="13">
        <v>31</v>
      </c>
      <c r="L1852" s="44">
        <v>3.2731707317073173</v>
      </c>
      <c r="M1852" s="13" t="b">
        <v>0</v>
      </c>
      <c r="O1852" s="25">
        <f t="shared" si="112"/>
        <v>27</v>
      </c>
      <c r="P1852" s="13">
        <f t="shared" si="113"/>
        <v>189.1</v>
      </c>
      <c r="Q1852" s="13" t="str">
        <f t="shared" si="114"/>
        <v/>
      </c>
      <c r="R1852" s="13" t="str">
        <f t="shared" si="115"/>
        <v>Diskon</v>
      </c>
    </row>
    <row r="1853" spans="1:18" x14ac:dyDescent="0.25">
      <c r="A1853" s="13" t="s">
        <v>1865</v>
      </c>
      <c r="B1853" s="13" t="s">
        <v>2194</v>
      </c>
      <c r="C1853" s="13" t="s">
        <v>2202</v>
      </c>
      <c r="D1853" s="13" t="s">
        <v>2205</v>
      </c>
      <c r="E1853" s="13" t="s">
        <v>2212</v>
      </c>
      <c r="F1853" s="13" t="s">
        <v>2215</v>
      </c>
      <c r="G1853" s="13">
        <v>28.62</v>
      </c>
      <c r="H1853" s="13">
        <v>0</v>
      </c>
      <c r="I1853" s="13">
        <v>28.62</v>
      </c>
      <c r="J1853" s="24">
        <v>45875</v>
      </c>
      <c r="K1853" s="13">
        <v>41</v>
      </c>
      <c r="L1853" s="44">
        <v>4</v>
      </c>
      <c r="M1853" s="13" t="b">
        <v>0</v>
      </c>
      <c r="O1853" s="25">
        <f t="shared" si="112"/>
        <v>27</v>
      </c>
      <c r="P1853" s="13">
        <f t="shared" si="113"/>
        <v>0</v>
      </c>
      <c r="Q1853" s="13" t="str">
        <f t="shared" si="114"/>
        <v/>
      </c>
      <c r="R1853" s="13" t="str">
        <f t="shared" si="115"/>
        <v>Non diskon</v>
      </c>
    </row>
    <row r="1854" spans="1:18" x14ac:dyDescent="0.25">
      <c r="A1854" s="13" t="s">
        <v>1866</v>
      </c>
      <c r="B1854" s="13" t="s">
        <v>2192</v>
      </c>
      <c r="C1854" s="13" t="s">
        <v>2202</v>
      </c>
      <c r="D1854" s="13" t="s">
        <v>2206</v>
      </c>
      <c r="F1854" s="13" t="s">
        <v>2220</v>
      </c>
      <c r="G1854" s="13">
        <v>59.03</v>
      </c>
      <c r="H1854" s="13">
        <v>6.4</v>
      </c>
      <c r="I1854" s="13">
        <v>55.25</v>
      </c>
      <c r="J1854" s="24">
        <v>45875</v>
      </c>
      <c r="K1854" s="13">
        <v>45</v>
      </c>
      <c r="L1854" s="44">
        <v>3.2720930232558145</v>
      </c>
      <c r="M1854" s="13" t="b">
        <v>0</v>
      </c>
      <c r="O1854" s="25">
        <f t="shared" si="112"/>
        <v>27</v>
      </c>
      <c r="P1854" s="13">
        <f t="shared" si="113"/>
        <v>288</v>
      </c>
      <c r="Q1854" s="13" t="str">
        <f t="shared" si="114"/>
        <v/>
      </c>
      <c r="R1854" s="13" t="str">
        <f t="shared" si="115"/>
        <v>Diskon</v>
      </c>
    </row>
    <row r="1855" spans="1:18" x14ac:dyDescent="0.25">
      <c r="A1855" s="13" t="s">
        <v>1867</v>
      </c>
      <c r="B1855" s="13" t="s">
        <v>2191</v>
      </c>
      <c r="C1855" s="13" t="s">
        <v>2201</v>
      </c>
      <c r="D1855" s="13" t="s">
        <v>2207</v>
      </c>
      <c r="E1855" s="13" t="s">
        <v>2210</v>
      </c>
      <c r="F1855" s="13" t="s">
        <v>2224</v>
      </c>
      <c r="G1855" s="13">
        <v>99.65</v>
      </c>
      <c r="H1855" s="13">
        <v>7.4</v>
      </c>
      <c r="I1855" s="13">
        <v>92.28</v>
      </c>
      <c r="J1855" s="24">
        <v>45875</v>
      </c>
      <c r="K1855" s="13">
        <v>31</v>
      </c>
      <c r="L1855" s="44">
        <v>3.8</v>
      </c>
      <c r="M1855" s="13" t="b">
        <v>0</v>
      </c>
      <c r="O1855" s="25">
        <f t="shared" si="112"/>
        <v>27</v>
      </c>
      <c r="P1855" s="13">
        <f t="shared" si="113"/>
        <v>229.4</v>
      </c>
      <c r="Q1855" s="13" t="str">
        <f t="shared" si="114"/>
        <v/>
      </c>
      <c r="R1855" s="13" t="str">
        <f t="shared" si="115"/>
        <v>Diskon</v>
      </c>
    </row>
    <row r="1856" spans="1:18" x14ac:dyDescent="0.25">
      <c r="A1856" s="13" t="s">
        <v>1868</v>
      </c>
      <c r="B1856" s="13" t="s">
        <v>2195</v>
      </c>
      <c r="C1856" s="13" t="s">
        <v>2203</v>
      </c>
      <c r="D1856" s="13" t="s">
        <v>2205</v>
      </c>
      <c r="F1856" s="13" t="s">
        <v>2219</v>
      </c>
      <c r="G1856" s="13">
        <v>128.55000000000001</v>
      </c>
      <c r="H1856" s="13">
        <v>0</v>
      </c>
      <c r="I1856" s="13">
        <v>128.55000000000001</v>
      </c>
      <c r="J1856" s="24">
        <v>45875</v>
      </c>
      <c r="K1856" s="13">
        <v>1</v>
      </c>
      <c r="L1856" s="44">
        <v>3.7</v>
      </c>
      <c r="M1856" s="13" t="b">
        <v>0</v>
      </c>
      <c r="O1856" s="25">
        <f t="shared" si="112"/>
        <v>27</v>
      </c>
      <c r="P1856" s="13">
        <f t="shared" si="113"/>
        <v>0</v>
      </c>
      <c r="Q1856" s="13" t="str">
        <f t="shared" si="114"/>
        <v/>
      </c>
      <c r="R1856" s="13" t="str">
        <f t="shared" si="115"/>
        <v>Non diskon</v>
      </c>
    </row>
    <row r="1857" spans="1:18" x14ac:dyDescent="0.25">
      <c r="A1857" s="13" t="s">
        <v>1869</v>
      </c>
      <c r="B1857" s="13" t="s">
        <v>2194</v>
      </c>
      <c r="C1857" s="13" t="s">
        <v>2199</v>
      </c>
      <c r="D1857" s="13" t="s">
        <v>2204</v>
      </c>
      <c r="E1857" s="13" t="s">
        <v>2209</v>
      </c>
      <c r="F1857" s="13" t="s">
        <v>2223</v>
      </c>
      <c r="G1857" s="13">
        <v>78.09</v>
      </c>
      <c r="H1857" s="13">
        <v>56.3</v>
      </c>
      <c r="I1857" s="13">
        <v>34.130000000000003</v>
      </c>
      <c r="J1857" s="24">
        <v>45770</v>
      </c>
      <c r="K1857" s="13">
        <v>20</v>
      </c>
      <c r="L1857" s="44">
        <v>1.3</v>
      </c>
      <c r="M1857" s="13" t="b">
        <v>0</v>
      </c>
      <c r="O1857" s="25">
        <f t="shared" si="112"/>
        <v>132</v>
      </c>
      <c r="P1857" s="13">
        <f t="shared" si="113"/>
        <v>1126</v>
      </c>
      <c r="Q1857" s="13" t="str">
        <f t="shared" si="114"/>
        <v/>
      </c>
      <c r="R1857" s="13" t="str">
        <f t="shared" si="115"/>
        <v>Diskon</v>
      </c>
    </row>
    <row r="1858" spans="1:18" x14ac:dyDescent="0.25">
      <c r="A1858" s="13" t="s">
        <v>1870</v>
      </c>
      <c r="B1858" s="13" t="s">
        <v>2194</v>
      </c>
      <c r="C1858" s="13" t="s">
        <v>2199</v>
      </c>
      <c r="D1858" s="13" t="s">
        <v>2207</v>
      </c>
      <c r="E1858" s="13" t="s">
        <v>2211</v>
      </c>
      <c r="F1858" s="13" t="s">
        <v>2222</v>
      </c>
      <c r="G1858" s="13">
        <v>108.89</v>
      </c>
      <c r="H1858" s="13">
        <v>0</v>
      </c>
      <c r="I1858" s="13">
        <v>108.89</v>
      </c>
      <c r="J1858" s="24">
        <v>45875</v>
      </c>
      <c r="K1858" s="13">
        <v>50</v>
      </c>
      <c r="L1858" s="44">
        <v>2.9</v>
      </c>
      <c r="M1858" s="13" t="b">
        <v>0</v>
      </c>
      <c r="O1858" s="25">
        <f t="shared" si="112"/>
        <v>27</v>
      </c>
      <c r="P1858" s="13">
        <f t="shared" si="113"/>
        <v>0</v>
      </c>
      <c r="Q1858" s="13" t="str">
        <f t="shared" si="114"/>
        <v/>
      </c>
      <c r="R1858" s="13" t="str">
        <f t="shared" si="115"/>
        <v>Non diskon</v>
      </c>
    </row>
    <row r="1859" spans="1:18" x14ac:dyDescent="0.25">
      <c r="A1859" s="13" t="s">
        <v>1871</v>
      </c>
      <c r="B1859" s="13" t="s">
        <v>2194</v>
      </c>
      <c r="C1859" s="13" t="s">
        <v>2201</v>
      </c>
      <c r="D1859" s="13" t="s">
        <v>2204</v>
      </c>
      <c r="F1859" s="13" t="s">
        <v>2218</v>
      </c>
      <c r="G1859" s="13">
        <v>35.21</v>
      </c>
      <c r="H1859" s="13">
        <v>14.7</v>
      </c>
      <c r="I1859" s="13">
        <v>30.03</v>
      </c>
      <c r="J1859" s="24">
        <v>45649</v>
      </c>
      <c r="K1859" s="13">
        <v>15</v>
      </c>
      <c r="L1859" s="44">
        <v>3.1</v>
      </c>
      <c r="M1859" s="13" t="b">
        <v>1</v>
      </c>
      <c r="N1859" s="13" t="s">
        <v>2228</v>
      </c>
      <c r="O1859" s="25">
        <f t="shared" ref="O1859:O1922" si="116">DATE(2025,9,2)-J1859</f>
        <v>253</v>
      </c>
      <c r="P1859" s="13">
        <f t="shared" ref="P1859:P1922" si="117">H1859*K1859</f>
        <v>220.5</v>
      </c>
      <c r="Q1859" s="13">
        <f t="shared" ref="Q1859:Q1922" si="118">IF(M1859=FALSE,"",1)</f>
        <v>1</v>
      </c>
      <c r="R1859" s="13" t="str">
        <f t="shared" ref="R1859:R1922" si="119">IF(H1859=0,"Non diskon","Diskon")</f>
        <v>Diskon</v>
      </c>
    </row>
    <row r="1860" spans="1:18" x14ac:dyDescent="0.25">
      <c r="A1860" s="13" t="s">
        <v>1872</v>
      </c>
      <c r="B1860" s="13" t="s">
        <v>2195</v>
      </c>
      <c r="C1860" s="13" t="s">
        <v>2202</v>
      </c>
      <c r="D1860" s="13" t="s">
        <v>2207</v>
      </c>
      <c r="E1860" s="13" t="s">
        <v>2211</v>
      </c>
      <c r="F1860" s="13" t="s">
        <v>2224</v>
      </c>
      <c r="G1860" s="13">
        <v>129.16</v>
      </c>
      <c r="H1860" s="13">
        <v>34</v>
      </c>
      <c r="I1860" s="13">
        <v>85.25</v>
      </c>
      <c r="J1860" s="24">
        <v>45875</v>
      </c>
      <c r="K1860" s="13">
        <v>24</v>
      </c>
      <c r="L1860" s="44">
        <v>1.7</v>
      </c>
      <c r="M1860" s="13" t="b">
        <v>0</v>
      </c>
      <c r="O1860" s="25">
        <f t="shared" si="116"/>
        <v>27</v>
      </c>
      <c r="P1860" s="13">
        <f t="shared" si="117"/>
        <v>816</v>
      </c>
      <c r="Q1860" s="13" t="str">
        <f t="shared" si="118"/>
        <v/>
      </c>
      <c r="R1860" s="13" t="str">
        <f t="shared" si="119"/>
        <v>Diskon</v>
      </c>
    </row>
    <row r="1861" spans="1:18" x14ac:dyDescent="0.25">
      <c r="A1861" s="13" t="s">
        <v>1873</v>
      </c>
      <c r="B1861" s="13" t="s">
        <v>2195</v>
      </c>
      <c r="C1861" s="13" t="s">
        <v>2201</v>
      </c>
      <c r="D1861" s="13" t="s">
        <v>2207</v>
      </c>
      <c r="E1861" s="13" t="s">
        <v>2210</v>
      </c>
      <c r="F1861" s="13" t="s">
        <v>2218</v>
      </c>
      <c r="G1861" s="13">
        <v>142.43</v>
      </c>
      <c r="H1861" s="13">
        <v>0</v>
      </c>
      <c r="I1861" s="13">
        <v>142.43</v>
      </c>
      <c r="J1861" s="24">
        <v>45875</v>
      </c>
      <c r="K1861" s="13">
        <v>15</v>
      </c>
      <c r="L1861" s="44">
        <v>4.0999999999999996</v>
      </c>
      <c r="M1861" s="13" t="b">
        <v>1</v>
      </c>
      <c r="N1861" s="13" t="s">
        <v>2226</v>
      </c>
      <c r="O1861" s="25">
        <f t="shared" si="116"/>
        <v>27</v>
      </c>
      <c r="P1861" s="13">
        <f t="shared" si="117"/>
        <v>0</v>
      </c>
      <c r="Q1861" s="13">
        <f t="shared" si="118"/>
        <v>1</v>
      </c>
      <c r="R1861" s="13" t="str">
        <f t="shared" si="119"/>
        <v>Non diskon</v>
      </c>
    </row>
    <row r="1862" spans="1:18" x14ac:dyDescent="0.25">
      <c r="A1862" s="13" t="s">
        <v>1874</v>
      </c>
      <c r="B1862" s="13" t="s">
        <v>2192</v>
      </c>
      <c r="C1862" s="13" t="s">
        <v>2203</v>
      </c>
      <c r="D1862" s="13" t="s">
        <v>2204</v>
      </c>
      <c r="F1862" s="13" t="s">
        <v>2222</v>
      </c>
      <c r="G1862" s="13">
        <v>45.19</v>
      </c>
      <c r="H1862" s="13">
        <v>0</v>
      </c>
      <c r="I1862" s="13">
        <v>45.19</v>
      </c>
      <c r="J1862" s="24">
        <v>45716</v>
      </c>
      <c r="K1862" s="13">
        <v>38</v>
      </c>
      <c r="L1862" s="44">
        <v>1.6</v>
      </c>
      <c r="M1862" s="13" t="b">
        <v>1</v>
      </c>
      <c r="N1862" s="13" t="s">
        <v>2230</v>
      </c>
      <c r="O1862" s="25">
        <f t="shared" si="116"/>
        <v>186</v>
      </c>
      <c r="P1862" s="13">
        <f t="shared" si="117"/>
        <v>0</v>
      </c>
      <c r="Q1862" s="13">
        <f t="shared" si="118"/>
        <v>1</v>
      </c>
      <c r="R1862" s="13" t="str">
        <f t="shared" si="119"/>
        <v>Non diskon</v>
      </c>
    </row>
    <row r="1863" spans="1:18" x14ac:dyDescent="0.25">
      <c r="A1863" s="13" t="s">
        <v>1875</v>
      </c>
      <c r="B1863" s="13" t="s">
        <v>2194</v>
      </c>
      <c r="C1863" s="13" t="s">
        <v>2200</v>
      </c>
      <c r="D1863" s="13" t="s">
        <v>2206</v>
      </c>
      <c r="E1863" s="13" t="s">
        <v>2210</v>
      </c>
      <c r="F1863" s="13" t="s">
        <v>2223</v>
      </c>
      <c r="G1863" s="13">
        <v>47.66</v>
      </c>
      <c r="H1863" s="13">
        <v>0</v>
      </c>
      <c r="I1863" s="13">
        <v>47.66</v>
      </c>
      <c r="J1863" s="24">
        <v>45875</v>
      </c>
      <c r="K1863" s="13">
        <v>0</v>
      </c>
      <c r="L1863" s="44">
        <v>4.8</v>
      </c>
      <c r="M1863" s="13" t="b">
        <v>1</v>
      </c>
      <c r="N1863" s="13" t="s">
        <v>2226</v>
      </c>
      <c r="O1863" s="25">
        <f t="shared" si="116"/>
        <v>27</v>
      </c>
      <c r="P1863" s="13">
        <f t="shared" si="117"/>
        <v>0</v>
      </c>
      <c r="Q1863" s="13">
        <f t="shared" si="118"/>
        <v>1</v>
      </c>
      <c r="R1863" s="13" t="str">
        <f t="shared" si="119"/>
        <v>Non diskon</v>
      </c>
    </row>
    <row r="1864" spans="1:18" x14ac:dyDescent="0.25">
      <c r="A1864" s="13" t="s">
        <v>1876</v>
      </c>
      <c r="B1864" s="13" t="s">
        <v>2194</v>
      </c>
      <c r="C1864" s="13" t="s">
        <v>2197</v>
      </c>
      <c r="D1864" s="13" t="s">
        <v>2207</v>
      </c>
      <c r="E1864" s="13" t="s">
        <v>2212</v>
      </c>
      <c r="F1864" s="13" t="s">
        <v>2221</v>
      </c>
      <c r="G1864" s="13">
        <v>115.05</v>
      </c>
      <c r="H1864" s="13">
        <v>40</v>
      </c>
      <c r="I1864" s="13">
        <v>69.03</v>
      </c>
      <c r="J1864" s="24">
        <v>45875</v>
      </c>
      <c r="K1864" s="13">
        <v>48</v>
      </c>
      <c r="L1864" s="44">
        <v>3.1</v>
      </c>
      <c r="M1864" s="13" t="b">
        <v>0</v>
      </c>
      <c r="O1864" s="25">
        <f t="shared" si="116"/>
        <v>27</v>
      </c>
      <c r="P1864" s="13">
        <f t="shared" si="117"/>
        <v>1920</v>
      </c>
      <c r="Q1864" s="13" t="str">
        <f t="shared" si="118"/>
        <v/>
      </c>
      <c r="R1864" s="13" t="str">
        <f t="shared" si="119"/>
        <v>Diskon</v>
      </c>
    </row>
    <row r="1865" spans="1:18" x14ac:dyDescent="0.25">
      <c r="A1865" s="13" t="s">
        <v>1877</v>
      </c>
      <c r="B1865" s="13" t="s">
        <v>2194</v>
      </c>
      <c r="C1865" s="13" t="s">
        <v>2198</v>
      </c>
      <c r="D1865" s="13" t="s">
        <v>2207</v>
      </c>
      <c r="E1865" s="13" t="s">
        <v>2208</v>
      </c>
      <c r="F1865" s="13" t="s">
        <v>2224</v>
      </c>
      <c r="G1865" s="13">
        <v>87.84</v>
      </c>
      <c r="H1865" s="13">
        <v>0</v>
      </c>
      <c r="I1865" s="13">
        <v>87.84</v>
      </c>
      <c r="J1865" s="24">
        <v>45875</v>
      </c>
      <c r="K1865" s="13">
        <v>29</v>
      </c>
      <c r="L1865" s="44">
        <v>1.3</v>
      </c>
      <c r="M1865" s="13" t="b">
        <v>0</v>
      </c>
      <c r="O1865" s="25">
        <f t="shared" si="116"/>
        <v>27</v>
      </c>
      <c r="P1865" s="13">
        <f t="shared" si="117"/>
        <v>0</v>
      </c>
      <c r="Q1865" s="13" t="str">
        <f t="shared" si="118"/>
        <v/>
      </c>
      <c r="R1865" s="13" t="str">
        <f t="shared" si="119"/>
        <v>Non diskon</v>
      </c>
    </row>
    <row r="1866" spans="1:18" x14ac:dyDescent="0.25">
      <c r="A1866" s="13" t="s">
        <v>1878</v>
      </c>
      <c r="B1866" s="13" t="s">
        <v>2195</v>
      </c>
      <c r="C1866" s="13" t="s">
        <v>2203</v>
      </c>
      <c r="D1866" s="13" t="s">
        <v>2206</v>
      </c>
      <c r="E1866" s="13" t="s">
        <v>2210</v>
      </c>
      <c r="F1866" s="13" t="s">
        <v>2219</v>
      </c>
      <c r="G1866" s="13">
        <v>73.42</v>
      </c>
      <c r="H1866" s="13">
        <v>35</v>
      </c>
      <c r="I1866" s="13">
        <v>47.72</v>
      </c>
      <c r="J1866" s="24">
        <v>45875</v>
      </c>
      <c r="K1866" s="13">
        <v>44</v>
      </c>
      <c r="L1866" s="44">
        <v>2.9636363636363638</v>
      </c>
      <c r="M1866" s="13" t="b">
        <v>0</v>
      </c>
      <c r="O1866" s="25">
        <f t="shared" si="116"/>
        <v>27</v>
      </c>
      <c r="P1866" s="13">
        <f t="shared" si="117"/>
        <v>1540</v>
      </c>
      <c r="Q1866" s="13" t="str">
        <f t="shared" si="118"/>
        <v/>
      </c>
      <c r="R1866" s="13" t="str">
        <f t="shared" si="119"/>
        <v>Diskon</v>
      </c>
    </row>
    <row r="1867" spans="1:18" x14ac:dyDescent="0.25">
      <c r="A1867" s="13" t="s">
        <v>1879</v>
      </c>
      <c r="B1867" s="13" t="s">
        <v>2193</v>
      </c>
      <c r="C1867" s="13" t="s">
        <v>2202</v>
      </c>
      <c r="D1867" s="13" t="s">
        <v>2206</v>
      </c>
      <c r="E1867" s="13" t="s">
        <v>2209</v>
      </c>
      <c r="F1867" s="13" t="s">
        <v>2222</v>
      </c>
      <c r="G1867" s="13">
        <v>181.58</v>
      </c>
      <c r="H1867" s="13">
        <v>21.6</v>
      </c>
      <c r="I1867" s="13">
        <v>142.36000000000001</v>
      </c>
      <c r="J1867" s="24">
        <v>45875</v>
      </c>
      <c r="K1867" s="13">
        <v>14</v>
      </c>
      <c r="L1867" s="44">
        <v>4.7</v>
      </c>
      <c r="M1867" s="13" t="b">
        <v>0</v>
      </c>
      <c r="O1867" s="25">
        <f t="shared" si="116"/>
        <v>27</v>
      </c>
      <c r="P1867" s="13">
        <f t="shared" si="117"/>
        <v>302.40000000000003</v>
      </c>
      <c r="Q1867" s="13" t="str">
        <f t="shared" si="118"/>
        <v/>
      </c>
      <c r="R1867" s="13" t="str">
        <f t="shared" si="119"/>
        <v>Diskon</v>
      </c>
    </row>
    <row r="1868" spans="1:18" x14ac:dyDescent="0.25">
      <c r="A1868" s="13" t="s">
        <v>1880</v>
      </c>
      <c r="B1868" s="13" t="s">
        <v>2191</v>
      </c>
      <c r="C1868" s="13" t="s">
        <v>2200</v>
      </c>
      <c r="D1868" s="13" t="s">
        <v>2204</v>
      </c>
      <c r="E1868" s="13" t="s">
        <v>2209</v>
      </c>
      <c r="F1868" s="13" t="s">
        <v>2216</v>
      </c>
      <c r="G1868" s="13">
        <v>71.680000000000007</v>
      </c>
      <c r="H1868" s="13">
        <v>0</v>
      </c>
      <c r="I1868" s="13">
        <v>71.680000000000007</v>
      </c>
      <c r="J1868" s="24">
        <v>45874</v>
      </c>
      <c r="K1868" s="13">
        <v>0</v>
      </c>
      <c r="L1868" s="44">
        <v>1.5</v>
      </c>
      <c r="M1868" s="13" t="b">
        <v>0</v>
      </c>
      <c r="O1868" s="25">
        <f t="shared" si="116"/>
        <v>28</v>
      </c>
      <c r="P1868" s="13">
        <f t="shared" si="117"/>
        <v>0</v>
      </c>
      <c r="Q1868" s="13" t="str">
        <f t="shared" si="118"/>
        <v/>
      </c>
      <c r="R1868" s="13" t="str">
        <f t="shared" si="119"/>
        <v>Non diskon</v>
      </c>
    </row>
    <row r="1869" spans="1:18" x14ac:dyDescent="0.25">
      <c r="A1869" s="13" t="s">
        <v>1881</v>
      </c>
      <c r="B1869" s="13" t="s">
        <v>2191</v>
      </c>
      <c r="C1869" s="13" t="s">
        <v>2198</v>
      </c>
      <c r="D1869" s="13" t="s">
        <v>2205</v>
      </c>
      <c r="E1869" s="13" t="s">
        <v>2211</v>
      </c>
      <c r="F1869" s="13" t="s">
        <v>2221</v>
      </c>
      <c r="G1869" s="13">
        <v>25.63</v>
      </c>
      <c r="H1869" s="13">
        <v>0</v>
      </c>
      <c r="I1869" s="13">
        <v>25.63</v>
      </c>
      <c r="J1869" s="24">
        <v>45875</v>
      </c>
      <c r="K1869" s="13">
        <v>27</v>
      </c>
      <c r="L1869" s="44">
        <v>1.2</v>
      </c>
      <c r="M1869" s="13" t="b">
        <v>0</v>
      </c>
      <c r="O1869" s="25">
        <f t="shared" si="116"/>
        <v>27</v>
      </c>
      <c r="P1869" s="13">
        <f t="shared" si="117"/>
        <v>0</v>
      </c>
      <c r="Q1869" s="13" t="str">
        <f t="shared" si="118"/>
        <v/>
      </c>
      <c r="R1869" s="13" t="str">
        <f t="shared" si="119"/>
        <v>Non diskon</v>
      </c>
    </row>
    <row r="1870" spans="1:18" x14ac:dyDescent="0.25">
      <c r="A1870" s="13" t="s">
        <v>1882</v>
      </c>
      <c r="B1870" s="13" t="s">
        <v>2191</v>
      </c>
      <c r="C1870" s="13" t="s">
        <v>2203</v>
      </c>
      <c r="D1870" s="13" t="s">
        <v>2205</v>
      </c>
      <c r="F1870" s="13" t="s">
        <v>2224</v>
      </c>
      <c r="G1870" s="13">
        <v>31.34</v>
      </c>
      <c r="H1870" s="13">
        <v>48.5</v>
      </c>
      <c r="I1870" s="13">
        <v>16.14</v>
      </c>
      <c r="J1870" s="24">
        <v>45875</v>
      </c>
      <c r="K1870" s="13">
        <v>36</v>
      </c>
      <c r="L1870" s="44">
        <v>1.6</v>
      </c>
      <c r="M1870" s="13" t="b">
        <v>1</v>
      </c>
      <c r="N1870" s="13" t="s">
        <v>2226</v>
      </c>
      <c r="O1870" s="25">
        <f t="shared" si="116"/>
        <v>27</v>
      </c>
      <c r="P1870" s="13">
        <f t="shared" si="117"/>
        <v>1746</v>
      </c>
      <c r="Q1870" s="13">
        <f t="shared" si="118"/>
        <v>1</v>
      </c>
      <c r="R1870" s="13" t="str">
        <f t="shared" si="119"/>
        <v>Diskon</v>
      </c>
    </row>
    <row r="1871" spans="1:18" x14ac:dyDescent="0.25">
      <c r="A1871" s="13" t="s">
        <v>1883</v>
      </c>
      <c r="B1871" s="13" t="s">
        <v>2195</v>
      </c>
      <c r="C1871" s="13" t="s">
        <v>2200</v>
      </c>
      <c r="D1871" s="13" t="s">
        <v>2206</v>
      </c>
      <c r="E1871" s="13" t="s">
        <v>2209</v>
      </c>
      <c r="F1871" s="13" t="s">
        <v>2221</v>
      </c>
      <c r="G1871" s="13">
        <v>98.91</v>
      </c>
      <c r="H1871" s="13">
        <v>33.799999999999997</v>
      </c>
      <c r="I1871" s="13">
        <v>65.48</v>
      </c>
      <c r="J1871" s="24">
        <v>45875</v>
      </c>
      <c r="K1871" s="13">
        <v>33</v>
      </c>
      <c r="L1871" s="44">
        <v>3.1051282051282048</v>
      </c>
      <c r="M1871" s="13" t="b">
        <v>1</v>
      </c>
      <c r="N1871" s="13" t="s">
        <v>2225</v>
      </c>
      <c r="O1871" s="25">
        <f t="shared" si="116"/>
        <v>27</v>
      </c>
      <c r="P1871" s="13">
        <f t="shared" si="117"/>
        <v>1115.3999999999999</v>
      </c>
      <c r="Q1871" s="13">
        <f t="shared" si="118"/>
        <v>1</v>
      </c>
      <c r="R1871" s="13" t="str">
        <f t="shared" si="119"/>
        <v>Diskon</v>
      </c>
    </row>
    <row r="1872" spans="1:18" x14ac:dyDescent="0.25">
      <c r="A1872" s="13" t="s">
        <v>1884</v>
      </c>
      <c r="B1872" s="13" t="s">
        <v>2192</v>
      </c>
      <c r="C1872" s="13" t="s">
        <v>2196</v>
      </c>
      <c r="D1872" s="13" t="s">
        <v>2205</v>
      </c>
      <c r="F1872" s="13" t="s">
        <v>2214</v>
      </c>
      <c r="G1872" s="13">
        <v>43.33</v>
      </c>
      <c r="H1872" s="13">
        <v>7.8</v>
      </c>
      <c r="I1872" s="13">
        <v>39.950000000000003</v>
      </c>
      <c r="J1872" s="24">
        <v>45875</v>
      </c>
      <c r="K1872" s="13">
        <v>4</v>
      </c>
      <c r="L1872" s="44">
        <v>1.3</v>
      </c>
      <c r="M1872" s="13" t="b">
        <v>0</v>
      </c>
      <c r="O1872" s="25">
        <f t="shared" si="116"/>
        <v>27</v>
      </c>
      <c r="P1872" s="13">
        <f t="shared" si="117"/>
        <v>31.2</v>
      </c>
      <c r="Q1872" s="13" t="str">
        <f t="shared" si="118"/>
        <v/>
      </c>
      <c r="R1872" s="13" t="str">
        <f t="shared" si="119"/>
        <v>Diskon</v>
      </c>
    </row>
    <row r="1873" spans="1:18" x14ac:dyDescent="0.25">
      <c r="A1873" s="13" t="s">
        <v>1885</v>
      </c>
      <c r="B1873" s="13" t="s">
        <v>2193</v>
      </c>
      <c r="C1873" s="13" t="s">
        <v>2202</v>
      </c>
      <c r="D1873" s="13" t="s">
        <v>2207</v>
      </c>
      <c r="E1873" s="13" t="s">
        <v>2213</v>
      </c>
      <c r="F1873" s="13" t="s">
        <v>2216</v>
      </c>
      <c r="G1873" s="13">
        <v>70.709999999999994</v>
      </c>
      <c r="H1873" s="13">
        <v>0</v>
      </c>
      <c r="I1873" s="13">
        <v>70.709999999999994</v>
      </c>
      <c r="J1873" s="24">
        <v>45875</v>
      </c>
      <c r="K1873" s="13">
        <v>8</v>
      </c>
      <c r="L1873" s="44">
        <v>2.2999999999999998</v>
      </c>
      <c r="M1873" s="13" t="b">
        <v>0</v>
      </c>
      <c r="O1873" s="25">
        <f t="shared" si="116"/>
        <v>27</v>
      </c>
      <c r="P1873" s="13">
        <f t="shared" si="117"/>
        <v>0</v>
      </c>
      <c r="Q1873" s="13" t="str">
        <f t="shared" si="118"/>
        <v/>
      </c>
      <c r="R1873" s="13" t="str">
        <f t="shared" si="119"/>
        <v>Non diskon</v>
      </c>
    </row>
    <row r="1874" spans="1:18" x14ac:dyDescent="0.25">
      <c r="A1874" s="13" t="s">
        <v>1886</v>
      </c>
      <c r="B1874" s="13" t="s">
        <v>2190</v>
      </c>
      <c r="C1874" s="13" t="s">
        <v>2200</v>
      </c>
      <c r="D1874" s="13" t="s">
        <v>2205</v>
      </c>
      <c r="E1874" s="13" t="s">
        <v>2210</v>
      </c>
      <c r="F1874" s="13" t="s">
        <v>2223</v>
      </c>
      <c r="G1874" s="13">
        <v>215.99</v>
      </c>
      <c r="H1874" s="13">
        <v>38.1</v>
      </c>
      <c r="I1874" s="13">
        <v>133.69999999999999</v>
      </c>
      <c r="J1874" s="24">
        <v>45875</v>
      </c>
      <c r="K1874" s="13">
        <v>14</v>
      </c>
      <c r="L1874" s="44">
        <v>3.9</v>
      </c>
      <c r="M1874" s="13" t="b">
        <v>0</v>
      </c>
      <c r="O1874" s="25">
        <f t="shared" si="116"/>
        <v>27</v>
      </c>
      <c r="P1874" s="13">
        <f t="shared" si="117"/>
        <v>533.4</v>
      </c>
      <c r="Q1874" s="13" t="str">
        <f t="shared" si="118"/>
        <v/>
      </c>
      <c r="R1874" s="13" t="str">
        <f t="shared" si="119"/>
        <v>Diskon</v>
      </c>
    </row>
    <row r="1875" spans="1:18" x14ac:dyDescent="0.25">
      <c r="A1875" s="13" t="s">
        <v>1887</v>
      </c>
      <c r="B1875" s="13" t="s">
        <v>2195</v>
      </c>
      <c r="C1875" s="13" t="s">
        <v>2198</v>
      </c>
      <c r="D1875" s="13" t="s">
        <v>2205</v>
      </c>
      <c r="E1875" s="13" t="s">
        <v>2208</v>
      </c>
      <c r="F1875" s="13" t="s">
        <v>2220</v>
      </c>
      <c r="G1875" s="13">
        <v>145.57</v>
      </c>
      <c r="H1875" s="13">
        <v>5.0999999999999996</v>
      </c>
      <c r="I1875" s="13">
        <v>138.15</v>
      </c>
      <c r="J1875" s="24">
        <v>45875</v>
      </c>
      <c r="K1875" s="13">
        <v>8</v>
      </c>
      <c r="L1875" s="44">
        <v>4.4000000000000004</v>
      </c>
      <c r="M1875" s="13" t="b">
        <v>0</v>
      </c>
      <c r="O1875" s="25">
        <f t="shared" si="116"/>
        <v>27</v>
      </c>
      <c r="P1875" s="13">
        <f t="shared" si="117"/>
        <v>40.799999999999997</v>
      </c>
      <c r="Q1875" s="13" t="str">
        <f t="shared" si="118"/>
        <v/>
      </c>
      <c r="R1875" s="13" t="str">
        <f t="shared" si="119"/>
        <v>Diskon</v>
      </c>
    </row>
    <row r="1876" spans="1:18" x14ac:dyDescent="0.25">
      <c r="A1876" s="13" t="s">
        <v>1888</v>
      </c>
      <c r="B1876" s="13" t="s">
        <v>2193</v>
      </c>
      <c r="C1876" s="13" t="s">
        <v>2198</v>
      </c>
      <c r="D1876" s="13" t="s">
        <v>2206</v>
      </c>
      <c r="E1876" s="13" t="s">
        <v>2212</v>
      </c>
      <c r="F1876" s="13" t="s">
        <v>2222</v>
      </c>
      <c r="G1876" s="13">
        <v>195.03</v>
      </c>
      <c r="H1876" s="13">
        <v>0</v>
      </c>
      <c r="I1876" s="13">
        <v>195.03</v>
      </c>
      <c r="J1876" s="24">
        <v>45875</v>
      </c>
      <c r="K1876" s="13">
        <v>44</v>
      </c>
      <c r="L1876" s="44">
        <v>4.4000000000000004</v>
      </c>
      <c r="M1876" s="13" t="b">
        <v>0</v>
      </c>
      <c r="O1876" s="25">
        <f t="shared" si="116"/>
        <v>27</v>
      </c>
      <c r="P1876" s="13">
        <f t="shared" si="117"/>
        <v>0</v>
      </c>
      <c r="Q1876" s="13" t="str">
        <f t="shared" si="118"/>
        <v/>
      </c>
      <c r="R1876" s="13" t="str">
        <f t="shared" si="119"/>
        <v>Non diskon</v>
      </c>
    </row>
    <row r="1877" spans="1:18" x14ac:dyDescent="0.25">
      <c r="A1877" s="13" t="s">
        <v>1889</v>
      </c>
      <c r="B1877" s="13" t="s">
        <v>2194</v>
      </c>
      <c r="C1877" s="13" t="s">
        <v>2201</v>
      </c>
      <c r="D1877" s="13" t="s">
        <v>2205</v>
      </c>
      <c r="E1877" s="13" t="s">
        <v>2212</v>
      </c>
      <c r="F1877" s="13" t="s">
        <v>2216</v>
      </c>
      <c r="G1877" s="13">
        <v>74.88</v>
      </c>
      <c r="H1877" s="13">
        <v>9.6999999999999993</v>
      </c>
      <c r="I1877" s="13">
        <v>67.62</v>
      </c>
      <c r="J1877" s="24">
        <v>45875</v>
      </c>
      <c r="K1877" s="13">
        <v>23</v>
      </c>
      <c r="L1877" s="44">
        <v>2.6</v>
      </c>
      <c r="M1877" s="13" t="b">
        <v>0</v>
      </c>
      <c r="O1877" s="25">
        <f t="shared" si="116"/>
        <v>27</v>
      </c>
      <c r="P1877" s="13">
        <f t="shared" si="117"/>
        <v>223.1</v>
      </c>
      <c r="Q1877" s="13" t="str">
        <f t="shared" si="118"/>
        <v/>
      </c>
      <c r="R1877" s="13" t="str">
        <f t="shared" si="119"/>
        <v>Diskon</v>
      </c>
    </row>
    <row r="1878" spans="1:18" x14ac:dyDescent="0.25">
      <c r="A1878" s="13" t="s">
        <v>1890</v>
      </c>
      <c r="B1878" s="13" t="s">
        <v>2191</v>
      </c>
      <c r="C1878" s="13" t="s">
        <v>2202</v>
      </c>
      <c r="D1878" s="13" t="s">
        <v>2204</v>
      </c>
      <c r="E1878" s="13" t="s">
        <v>2209</v>
      </c>
      <c r="F1878" s="13" t="s">
        <v>2215</v>
      </c>
      <c r="G1878" s="13">
        <v>50.3</v>
      </c>
      <c r="H1878" s="13">
        <v>0</v>
      </c>
      <c r="I1878" s="13">
        <v>50.3</v>
      </c>
      <c r="J1878" s="24">
        <v>45522</v>
      </c>
      <c r="K1878" s="13">
        <v>23</v>
      </c>
      <c r="L1878" s="44">
        <v>1.3</v>
      </c>
      <c r="M1878" s="13" t="b">
        <v>0</v>
      </c>
      <c r="O1878" s="25">
        <f t="shared" si="116"/>
        <v>380</v>
      </c>
      <c r="P1878" s="13">
        <f t="shared" si="117"/>
        <v>0</v>
      </c>
      <c r="Q1878" s="13" t="str">
        <f t="shared" si="118"/>
        <v/>
      </c>
      <c r="R1878" s="13" t="str">
        <f t="shared" si="119"/>
        <v>Non diskon</v>
      </c>
    </row>
    <row r="1879" spans="1:18" x14ac:dyDescent="0.25">
      <c r="A1879" s="13" t="s">
        <v>1891</v>
      </c>
      <c r="B1879" s="13" t="s">
        <v>2190</v>
      </c>
      <c r="C1879" s="13" t="s">
        <v>2201</v>
      </c>
      <c r="D1879" s="13" t="s">
        <v>2207</v>
      </c>
      <c r="E1879" s="13" t="s">
        <v>2211</v>
      </c>
      <c r="F1879" s="13" t="s">
        <v>2214</v>
      </c>
      <c r="G1879" s="13">
        <v>130.65</v>
      </c>
      <c r="H1879" s="13">
        <v>0</v>
      </c>
      <c r="I1879" s="13">
        <v>130.65</v>
      </c>
      <c r="J1879" s="24">
        <v>45875</v>
      </c>
      <c r="K1879" s="13">
        <v>20</v>
      </c>
      <c r="L1879" s="44">
        <v>2.6</v>
      </c>
      <c r="M1879" s="13" t="b">
        <v>0</v>
      </c>
      <c r="O1879" s="25">
        <f t="shared" si="116"/>
        <v>27</v>
      </c>
      <c r="P1879" s="13">
        <f t="shared" si="117"/>
        <v>0</v>
      </c>
      <c r="Q1879" s="13" t="str">
        <f t="shared" si="118"/>
        <v/>
      </c>
      <c r="R1879" s="13" t="str">
        <f t="shared" si="119"/>
        <v>Non diskon</v>
      </c>
    </row>
    <row r="1880" spans="1:18" x14ac:dyDescent="0.25">
      <c r="A1880" s="13" t="s">
        <v>1892</v>
      </c>
      <c r="B1880" s="13" t="s">
        <v>2195</v>
      </c>
      <c r="C1880" s="13" t="s">
        <v>2203</v>
      </c>
      <c r="D1880" s="13" t="s">
        <v>2204</v>
      </c>
      <c r="E1880" s="13" t="s">
        <v>2211</v>
      </c>
      <c r="F1880" s="13" t="s">
        <v>2220</v>
      </c>
      <c r="G1880" s="13">
        <v>94.56</v>
      </c>
      <c r="H1880" s="13">
        <v>40.299999999999997</v>
      </c>
      <c r="I1880" s="13">
        <v>56.45</v>
      </c>
      <c r="J1880" s="24">
        <v>45822</v>
      </c>
      <c r="K1880" s="13">
        <v>41</v>
      </c>
      <c r="L1880" s="44">
        <v>4.7</v>
      </c>
      <c r="M1880" s="13" t="b">
        <v>0</v>
      </c>
      <c r="O1880" s="25">
        <f t="shared" si="116"/>
        <v>80</v>
      </c>
      <c r="P1880" s="13">
        <f t="shared" si="117"/>
        <v>1652.3</v>
      </c>
      <c r="Q1880" s="13" t="str">
        <f t="shared" si="118"/>
        <v/>
      </c>
      <c r="R1880" s="13" t="str">
        <f t="shared" si="119"/>
        <v>Diskon</v>
      </c>
    </row>
    <row r="1881" spans="1:18" x14ac:dyDescent="0.25">
      <c r="A1881" s="13" t="s">
        <v>1893</v>
      </c>
      <c r="B1881" s="13" t="s">
        <v>2190</v>
      </c>
      <c r="C1881" s="13" t="s">
        <v>2197</v>
      </c>
      <c r="D1881" s="13" t="s">
        <v>2204</v>
      </c>
      <c r="E1881" s="13" t="s">
        <v>2210</v>
      </c>
      <c r="F1881" s="13" t="s">
        <v>2224</v>
      </c>
      <c r="G1881" s="13">
        <v>138.97999999999999</v>
      </c>
      <c r="H1881" s="13">
        <v>10.199999999999999</v>
      </c>
      <c r="I1881" s="13">
        <v>124.8</v>
      </c>
      <c r="J1881" s="24">
        <v>45860</v>
      </c>
      <c r="K1881" s="13">
        <v>36</v>
      </c>
      <c r="L1881" s="44">
        <v>1.4</v>
      </c>
      <c r="M1881" s="13" t="b">
        <v>0</v>
      </c>
      <c r="O1881" s="25">
        <f t="shared" si="116"/>
        <v>42</v>
      </c>
      <c r="P1881" s="13">
        <f t="shared" si="117"/>
        <v>367.2</v>
      </c>
      <c r="Q1881" s="13" t="str">
        <f t="shared" si="118"/>
        <v/>
      </c>
      <c r="R1881" s="13" t="str">
        <f t="shared" si="119"/>
        <v>Diskon</v>
      </c>
    </row>
    <row r="1882" spans="1:18" x14ac:dyDescent="0.25">
      <c r="A1882" s="13" t="s">
        <v>1894</v>
      </c>
      <c r="B1882" s="13" t="s">
        <v>2192</v>
      </c>
      <c r="C1882" s="13" t="s">
        <v>2200</v>
      </c>
      <c r="D1882" s="13" t="s">
        <v>2205</v>
      </c>
      <c r="F1882" s="13" t="s">
        <v>2220</v>
      </c>
      <c r="G1882" s="13">
        <v>52.57</v>
      </c>
      <c r="H1882" s="13">
        <v>0</v>
      </c>
      <c r="I1882" s="13">
        <v>52.57</v>
      </c>
      <c r="J1882" s="24">
        <v>45875</v>
      </c>
      <c r="K1882" s="13">
        <v>50</v>
      </c>
      <c r="L1882" s="44">
        <v>2.5</v>
      </c>
      <c r="M1882" s="13" t="b">
        <v>1</v>
      </c>
      <c r="N1882" s="13" t="s">
        <v>2227</v>
      </c>
      <c r="O1882" s="25">
        <f t="shared" si="116"/>
        <v>27</v>
      </c>
      <c r="P1882" s="13">
        <f t="shared" si="117"/>
        <v>0</v>
      </c>
      <c r="Q1882" s="13">
        <f t="shared" si="118"/>
        <v>1</v>
      </c>
      <c r="R1882" s="13" t="str">
        <f t="shared" si="119"/>
        <v>Non diskon</v>
      </c>
    </row>
    <row r="1883" spans="1:18" x14ac:dyDescent="0.25">
      <c r="A1883" s="13" t="s">
        <v>1895</v>
      </c>
      <c r="B1883" s="13" t="s">
        <v>2190</v>
      </c>
      <c r="C1883" s="13" t="s">
        <v>2200</v>
      </c>
      <c r="D1883" s="13" t="s">
        <v>2204</v>
      </c>
      <c r="F1883" s="13" t="s">
        <v>2217</v>
      </c>
      <c r="G1883" s="13">
        <v>151.62</v>
      </c>
      <c r="H1883" s="13">
        <v>0</v>
      </c>
      <c r="I1883" s="13">
        <v>151.62</v>
      </c>
      <c r="J1883" s="24">
        <v>45849</v>
      </c>
      <c r="K1883" s="13">
        <v>41</v>
      </c>
      <c r="L1883" s="44">
        <v>3.5</v>
      </c>
      <c r="M1883" s="13" t="b">
        <v>0</v>
      </c>
      <c r="O1883" s="25">
        <f t="shared" si="116"/>
        <v>53</v>
      </c>
      <c r="P1883" s="13">
        <f t="shared" si="117"/>
        <v>0</v>
      </c>
      <c r="Q1883" s="13" t="str">
        <f t="shared" si="118"/>
        <v/>
      </c>
      <c r="R1883" s="13" t="str">
        <f t="shared" si="119"/>
        <v>Non diskon</v>
      </c>
    </row>
    <row r="1884" spans="1:18" x14ac:dyDescent="0.25">
      <c r="A1884" s="13" t="s">
        <v>1896</v>
      </c>
      <c r="B1884" s="13" t="s">
        <v>2192</v>
      </c>
      <c r="C1884" s="13" t="s">
        <v>2197</v>
      </c>
      <c r="D1884" s="13" t="s">
        <v>2204</v>
      </c>
      <c r="F1884" s="13" t="s">
        <v>2219</v>
      </c>
      <c r="G1884" s="13">
        <v>26.7</v>
      </c>
      <c r="H1884" s="13">
        <v>0</v>
      </c>
      <c r="I1884" s="13">
        <v>26.7</v>
      </c>
      <c r="J1884" s="24">
        <v>45804</v>
      </c>
      <c r="K1884" s="13">
        <v>48</v>
      </c>
      <c r="L1884" s="44">
        <v>3.1</v>
      </c>
      <c r="M1884" s="13" t="b">
        <v>0</v>
      </c>
      <c r="O1884" s="25">
        <f t="shared" si="116"/>
        <v>98</v>
      </c>
      <c r="P1884" s="13">
        <f t="shared" si="117"/>
        <v>0</v>
      </c>
      <c r="Q1884" s="13" t="str">
        <f t="shared" si="118"/>
        <v/>
      </c>
      <c r="R1884" s="13" t="str">
        <f t="shared" si="119"/>
        <v>Non diskon</v>
      </c>
    </row>
    <row r="1885" spans="1:18" x14ac:dyDescent="0.25">
      <c r="A1885" s="13" t="s">
        <v>1897</v>
      </c>
      <c r="B1885" s="13" t="s">
        <v>2190</v>
      </c>
      <c r="C1885" s="13" t="s">
        <v>2201</v>
      </c>
      <c r="D1885" s="13" t="s">
        <v>2207</v>
      </c>
      <c r="E1885" s="13" t="s">
        <v>2210</v>
      </c>
      <c r="F1885" s="13" t="s">
        <v>2224</v>
      </c>
      <c r="G1885" s="13">
        <v>147.5</v>
      </c>
      <c r="H1885" s="13">
        <v>0</v>
      </c>
      <c r="I1885" s="13">
        <v>147.5</v>
      </c>
      <c r="J1885" s="24">
        <v>45875</v>
      </c>
      <c r="K1885" s="13">
        <v>4</v>
      </c>
      <c r="L1885" s="44">
        <v>2.4</v>
      </c>
      <c r="M1885" s="13" t="b">
        <v>0</v>
      </c>
      <c r="O1885" s="25">
        <f t="shared" si="116"/>
        <v>27</v>
      </c>
      <c r="P1885" s="13">
        <f t="shared" si="117"/>
        <v>0</v>
      </c>
      <c r="Q1885" s="13" t="str">
        <f t="shared" si="118"/>
        <v/>
      </c>
      <c r="R1885" s="13" t="str">
        <f t="shared" si="119"/>
        <v>Non diskon</v>
      </c>
    </row>
    <row r="1886" spans="1:18" x14ac:dyDescent="0.25">
      <c r="A1886" s="13" t="s">
        <v>1898</v>
      </c>
      <c r="B1886" s="13" t="s">
        <v>2191</v>
      </c>
      <c r="C1886" s="13" t="s">
        <v>2199</v>
      </c>
      <c r="D1886" s="13" t="s">
        <v>2206</v>
      </c>
      <c r="E1886" s="13" t="s">
        <v>2210</v>
      </c>
      <c r="F1886" s="13" t="s">
        <v>2222</v>
      </c>
      <c r="G1886" s="13">
        <v>66</v>
      </c>
      <c r="H1886" s="13">
        <v>2.7</v>
      </c>
      <c r="I1886" s="13">
        <v>64.22</v>
      </c>
      <c r="J1886" s="24">
        <v>45875</v>
      </c>
      <c r="K1886" s="13">
        <v>42</v>
      </c>
      <c r="L1886" s="44">
        <v>4.4000000000000004</v>
      </c>
      <c r="M1886" s="13" t="b">
        <v>0</v>
      </c>
      <c r="O1886" s="25">
        <f t="shared" si="116"/>
        <v>27</v>
      </c>
      <c r="P1886" s="13">
        <f t="shared" si="117"/>
        <v>113.4</v>
      </c>
      <c r="Q1886" s="13" t="str">
        <f t="shared" si="118"/>
        <v/>
      </c>
      <c r="R1886" s="13" t="str">
        <f t="shared" si="119"/>
        <v>Diskon</v>
      </c>
    </row>
    <row r="1887" spans="1:18" x14ac:dyDescent="0.25">
      <c r="A1887" s="13" t="s">
        <v>1899</v>
      </c>
      <c r="B1887" s="13" t="s">
        <v>2190</v>
      </c>
      <c r="C1887" s="13" t="s">
        <v>2196</v>
      </c>
      <c r="D1887" s="13" t="s">
        <v>2206</v>
      </c>
      <c r="E1887" s="13" t="s">
        <v>2212</v>
      </c>
      <c r="F1887" s="13" t="s">
        <v>2214</v>
      </c>
      <c r="G1887" s="13">
        <v>183.6</v>
      </c>
      <c r="H1887" s="13">
        <v>0</v>
      </c>
      <c r="I1887" s="13">
        <v>183.6</v>
      </c>
      <c r="J1887" s="24">
        <v>45875</v>
      </c>
      <c r="K1887" s="13">
        <v>10</v>
      </c>
      <c r="L1887" s="44">
        <v>2.7030303030303036</v>
      </c>
      <c r="M1887" s="13" t="b">
        <v>0</v>
      </c>
      <c r="O1887" s="25">
        <f t="shared" si="116"/>
        <v>27</v>
      </c>
      <c r="P1887" s="13">
        <f t="shared" si="117"/>
        <v>0</v>
      </c>
      <c r="Q1887" s="13" t="str">
        <f t="shared" si="118"/>
        <v/>
      </c>
      <c r="R1887" s="13" t="str">
        <f t="shared" si="119"/>
        <v>Non diskon</v>
      </c>
    </row>
    <row r="1888" spans="1:18" x14ac:dyDescent="0.25">
      <c r="A1888" s="13" t="s">
        <v>1900</v>
      </c>
      <c r="B1888" s="13" t="s">
        <v>2193</v>
      </c>
      <c r="C1888" s="13" t="s">
        <v>2197</v>
      </c>
      <c r="D1888" s="13" t="s">
        <v>2207</v>
      </c>
      <c r="E1888" s="13" t="s">
        <v>2209</v>
      </c>
      <c r="F1888" s="13" t="s">
        <v>2219</v>
      </c>
      <c r="G1888" s="13">
        <v>195.83</v>
      </c>
      <c r="H1888" s="13">
        <v>0</v>
      </c>
      <c r="I1888" s="13">
        <v>195.83</v>
      </c>
      <c r="J1888" s="24">
        <v>45875</v>
      </c>
      <c r="K1888" s="13">
        <v>14</v>
      </c>
      <c r="L1888" s="44">
        <v>2.1</v>
      </c>
      <c r="M1888" s="13" t="b">
        <v>0</v>
      </c>
      <c r="O1888" s="25">
        <f t="shared" si="116"/>
        <v>27</v>
      </c>
      <c r="P1888" s="13">
        <f t="shared" si="117"/>
        <v>0</v>
      </c>
      <c r="Q1888" s="13" t="str">
        <f t="shared" si="118"/>
        <v/>
      </c>
      <c r="R1888" s="13" t="str">
        <f t="shared" si="119"/>
        <v>Non diskon</v>
      </c>
    </row>
    <row r="1889" spans="1:18" x14ac:dyDescent="0.25">
      <c r="A1889" s="13" t="s">
        <v>1901</v>
      </c>
      <c r="B1889" s="13" t="s">
        <v>2194</v>
      </c>
      <c r="C1889" s="13" t="s">
        <v>2201</v>
      </c>
      <c r="D1889" s="13" t="s">
        <v>2205</v>
      </c>
      <c r="E1889" s="13" t="s">
        <v>2210</v>
      </c>
      <c r="F1889" s="13" t="s">
        <v>2221</v>
      </c>
      <c r="G1889" s="13">
        <v>75.53</v>
      </c>
      <c r="H1889" s="13">
        <v>58.1</v>
      </c>
      <c r="I1889" s="13">
        <v>31.65</v>
      </c>
      <c r="J1889" s="24">
        <v>45875</v>
      </c>
      <c r="K1889" s="13">
        <v>33</v>
      </c>
      <c r="L1889" s="44">
        <v>4</v>
      </c>
      <c r="M1889" s="13" t="b">
        <v>0</v>
      </c>
      <c r="O1889" s="25">
        <f t="shared" si="116"/>
        <v>27</v>
      </c>
      <c r="P1889" s="13">
        <f t="shared" si="117"/>
        <v>1917.3</v>
      </c>
      <c r="Q1889" s="13" t="str">
        <f t="shared" si="118"/>
        <v/>
      </c>
      <c r="R1889" s="13" t="str">
        <f t="shared" si="119"/>
        <v>Diskon</v>
      </c>
    </row>
    <row r="1890" spans="1:18" x14ac:dyDescent="0.25">
      <c r="A1890" s="13" t="s">
        <v>1902</v>
      </c>
      <c r="B1890" s="13" t="s">
        <v>2191</v>
      </c>
      <c r="C1890" s="13" t="s">
        <v>2199</v>
      </c>
      <c r="D1890" s="13" t="s">
        <v>2204</v>
      </c>
      <c r="E1890" s="13" t="s">
        <v>2208</v>
      </c>
      <c r="F1890" s="13" t="s">
        <v>2221</v>
      </c>
      <c r="G1890" s="13">
        <v>30.78</v>
      </c>
      <c r="H1890" s="13">
        <v>0</v>
      </c>
      <c r="I1890" s="13">
        <v>30.78</v>
      </c>
      <c r="J1890" s="24">
        <v>45821</v>
      </c>
      <c r="K1890" s="13">
        <v>28</v>
      </c>
      <c r="L1890" s="44">
        <v>3.9</v>
      </c>
      <c r="M1890" s="13" t="b">
        <v>0</v>
      </c>
      <c r="O1890" s="25">
        <f t="shared" si="116"/>
        <v>81</v>
      </c>
      <c r="P1890" s="13">
        <f t="shared" si="117"/>
        <v>0</v>
      </c>
      <c r="Q1890" s="13" t="str">
        <f t="shared" si="118"/>
        <v/>
      </c>
      <c r="R1890" s="13" t="str">
        <f t="shared" si="119"/>
        <v>Non diskon</v>
      </c>
    </row>
    <row r="1891" spans="1:18" x14ac:dyDescent="0.25">
      <c r="A1891" s="13" t="s">
        <v>1903</v>
      </c>
      <c r="B1891" s="13" t="s">
        <v>2193</v>
      </c>
      <c r="C1891" s="13" t="s">
        <v>2198</v>
      </c>
      <c r="D1891" s="13" t="s">
        <v>2205</v>
      </c>
      <c r="E1891" s="13" t="s">
        <v>2209</v>
      </c>
      <c r="F1891" s="13" t="s">
        <v>2217</v>
      </c>
      <c r="G1891" s="13">
        <v>150.96</v>
      </c>
      <c r="H1891" s="13">
        <v>0</v>
      </c>
      <c r="I1891" s="13">
        <v>150.96</v>
      </c>
      <c r="J1891" s="24">
        <v>45875</v>
      </c>
      <c r="K1891" s="13">
        <v>18</v>
      </c>
      <c r="L1891" s="44">
        <v>4.5999999999999996</v>
      </c>
      <c r="M1891" s="13" t="b">
        <v>0</v>
      </c>
      <c r="O1891" s="25">
        <f t="shared" si="116"/>
        <v>27</v>
      </c>
      <c r="P1891" s="13">
        <f t="shared" si="117"/>
        <v>0</v>
      </c>
      <c r="Q1891" s="13" t="str">
        <f t="shared" si="118"/>
        <v/>
      </c>
      <c r="R1891" s="13" t="str">
        <f t="shared" si="119"/>
        <v>Non diskon</v>
      </c>
    </row>
    <row r="1892" spans="1:18" x14ac:dyDescent="0.25">
      <c r="A1892" s="13" t="s">
        <v>1904</v>
      </c>
      <c r="B1892" s="13" t="s">
        <v>2194</v>
      </c>
      <c r="C1892" s="13" t="s">
        <v>2203</v>
      </c>
      <c r="D1892" s="13" t="s">
        <v>2207</v>
      </c>
      <c r="E1892" s="13" t="s">
        <v>2209</v>
      </c>
      <c r="F1892" s="13" t="s">
        <v>2216</v>
      </c>
      <c r="G1892" s="13">
        <v>58.98</v>
      </c>
      <c r="H1892" s="13">
        <v>18.100000000000001</v>
      </c>
      <c r="I1892" s="13">
        <v>48.3</v>
      </c>
      <c r="J1892" s="24">
        <v>45875</v>
      </c>
      <c r="K1892" s="13">
        <v>23</v>
      </c>
      <c r="L1892" s="44">
        <v>2.8</v>
      </c>
      <c r="M1892" s="13" t="b">
        <v>0</v>
      </c>
      <c r="O1892" s="25">
        <f t="shared" si="116"/>
        <v>27</v>
      </c>
      <c r="P1892" s="13">
        <f t="shared" si="117"/>
        <v>416.3</v>
      </c>
      <c r="Q1892" s="13" t="str">
        <f t="shared" si="118"/>
        <v/>
      </c>
      <c r="R1892" s="13" t="str">
        <f t="shared" si="119"/>
        <v>Diskon</v>
      </c>
    </row>
    <row r="1893" spans="1:18" x14ac:dyDescent="0.25">
      <c r="A1893" s="13" t="s">
        <v>1905</v>
      </c>
      <c r="B1893" s="13" t="s">
        <v>2190</v>
      </c>
      <c r="C1893" s="13" t="s">
        <v>2203</v>
      </c>
      <c r="D1893" s="13" t="s">
        <v>2204</v>
      </c>
      <c r="E1893" s="13" t="s">
        <v>2209</v>
      </c>
      <c r="F1893" s="13" t="s">
        <v>2223</v>
      </c>
      <c r="G1893" s="13">
        <v>224.91</v>
      </c>
      <c r="H1893" s="13">
        <v>18.899999999999999</v>
      </c>
      <c r="I1893" s="13">
        <v>182.4</v>
      </c>
      <c r="J1893" s="24">
        <v>45554</v>
      </c>
      <c r="K1893" s="13">
        <v>50</v>
      </c>
      <c r="L1893" s="44">
        <v>2.9718749999999998</v>
      </c>
      <c r="M1893" s="13" t="b">
        <v>0</v>
      </c>
      <c r="O1893" s="25">
        <f t="shared" si="116"/>
        <v>348</v>
      </c>
      <c r="P1893" s="13">
        <f t="shared" si="117"/>
        <v>944.99999999999989</v>
      </c>
      <c r="Q1893" s="13" t="str">
        <f t="shared" si="118"/>
        <v/>
      </c>
      <c r="R1893" s="13" t="str">
        <f t="shared" si="119"/>
        <v>Diskon</v>
      </c>
    </row>
    <row r="1894" spans="1:18" x14ac:dyDescent="0.25">
      <c r="A1894" s="13" t="s">
        <v>1906</v>
      </c>
      <c r="B1894" s="13" t="s">
        <v>2190</v>
      </c>
      <c r="C1894" s="13" t="s">
        <v>2198</v>
      </c>
      <c r="D1894" s="13" t="s">
        <v>2204</v>
      </c>
      <c r="E1894" s="13" t="s">
        <v>2208</v>
      </c>
      <c r="F1894" s="13" t="s">
        <v>2224</v>
      </c>
      <c r="G1894" s="13">
        <v>155.75</v>
      </c>
      <c r="H1894" s="13">
        <v>0</v>
      </c>
      <c r="I1894" s="13">
        <v>155.75</v>
      </c>
      <c r="J1894" s="24">
        <v>45741</v>
      </c>
      <c r="K1894" s="13">
        <v>0</v>
      </c>
      <c r="L1894" s="44">
        <v>2.4</v>
      </c>
      <c r="M1894" s="13" t="b">
        <v>0</v>
      </c>
      <c r="O1894" s="25">
        <f t="shared" si="116"/>
        <v>161</v>
      </c>
      <c r="P1894" s="13">
        <f t="shared" si="117"/>
        <v>0</v>
      </c>
      <c r="Q1894" s="13" t="str">
        <f t="shared" si="118"/>
        <v/>
      </c>
      <c r="R1894" s="13" t="str">
        <f t="shared" si="119"/>
        <v>Non diskon</v>
      </c>
    </row>
    <row r="1895" spans="1:18" x14ac:dyDescent="0.25">
      <c r="A1895" s="13" t="s">
        <v>1907</v>
      </c>
      <c r="B1895" s="13" t="s">
        <v>2193</v>
      </c>
      <c r="C1895" s="13" t="s">
        <v>2200</v>
      </c>
      <c r="D1895" s="13" t="s">
        <v>2205</v>
      </c>
      <c r="E1895" s="13" t="s">
        <v>2208</v>
      </c>
      <c r="F1895" s="13" t="s">
        <v>2219</v>
      </c>
      <c r="G1895" s="13">
        <v>194.4</v>
      </c>
      <c r="H1895" s="13">
        <v>16.2</v>
      </c>
      <c r="I1895" s="13">
        <v>162.91</v>
      </c>
      <c r="J1895" s="24">
        <v>45875</v>
      </c>
      <c r="K1895" s="13">
        <v>36</v>
      </c>
      <c r="L1895" s="44">
        <v>1.5</v>
      </c>
      <c r="M1895" s="13" t="b">
        <v>0</v>
      </c>
      <c r="O1895" s="25">
        <f t="shared" si="116"/>
        <v>27</v>
      </c>
      <c r="P1895" s="13">
        <f t="shared" si="117"/>
        <v>583.19999999999993</v>
      </c>
      <c r="Q1895" s="13" t="str">
        <f t="shared" si="118"/>
        <v/>
      </c>
      <c r="R1895" s="13" t="str">
        <f t="shared" si="119"/>
        <v>Diskon</v>
      </c>
    </row>
    <row r="1896" spans="1:18" x14ac:dyDescent="0.25">
      <c r="A1896" s="13" t="s">
        <v>1908</v>
      </c>
      <c r="B1896" s="13" t="s">
        <v>2193</v>
      </c>
      <c r="C1896" s="13" t="s">
        <v>2198</v>
      </c>
      <c r="D1896" s="13" t="s">
        <v>2206</v>
      </c>
      <c r="E1896" s="13" t="s">
        <v>2209</v>
      </c>
      <c r="F1896" s="13" t="s">
        <v>2214</v>
      </c>
      <c r="G1896" s="13">
        <v>169.77</v>
      </c>
      <c r="H1896" s="13">
        <v>0</v>
      </c>
      <c r="I1896" s="13">
        <v>169.77</v>
      </c>
      <c r="J1896" s="24">
        <v>45875</v>
      </c>
      <c r="K1896" s="13">
        <v>39</v>
      </c>
      <c r="L1896" s="44">
        <v>4.4000000000000004</v>
      </c>
      <c r="M1896" s="13" t="b">
        <v>0</v>
      </c>
      <c r="O1896" s="25">
        <f t="shared" si="116"/>
        <v>27</v>
      </c>
      <c r="P1896" s="13">
        <f t="shared" si="117"/>
        <v>0</v>
      </c>
      <c r="Q1896" s="13" t="str">
        <f t="shared" si="118"/>
        <v/>
      </c>
      <c r="R1896" s="13" t="str">
        <f t="shared" si="119"/>
        <v>Non diskon</v>
      </c>
    </row>
    <row r="1897" spans="1:18" x14ac:dyDescent="0.25">
      <c r="A1897" s="13" t="s">
        <v>1909</v>
      </c>
      <c r="B1897" s="13" t="s">
        <v>2192</v>
      </c>
      <c r="C1897" s="13" t="s">
        <v>2197</v>
      </c>
      <c r="D1897" s="13" t="s">
        <v>2205</v>
      </c>
      <c r="F1897" s="13" t="s">
        <v>2219</v>
      </c>
      <c r="G1897" s="13">
        <v>41.52</v>
      </c>
      <c r="H1897" s="13">
        <v>27.3</v>
      </c>
      <c r="I1897" s="13">
        <v>30.19</v>
      </c>
      <c r="J1897" s="24">
        <v>45875</v>
      </c>
      <c r="K1897" s="13">
        <v>48</v>
      </c>
      <c r="L1897" s="44">
        <v>3.4</v>
      </c>
      <c r="M1897" s="13" t="b">
        <v>0</v>
      </c>
      <c r="O1897" s="25">
        <f t="shared" si="116"/>
        <v>27</v>
      </c>
      <c r="P1897" s="13">
        <f t="shared" si="117"/>
        <v>1310.4000000000001</v>
      </c>
      <c r="Q1897" s="13" t="str">
        <f t="shared" si="118"/>
        <v/>
      </c>
      <c r="R1897" s="13" t="str">
        <f t="shared" si="119"/>
        <v>Diskon</v>
      </c>
    </row>
    <row r="1898" spans="1:18" x14ac:dyDescent="0.25">
      <c r="A1898" s="13" t="s">
        <v>1910</v>
      </c>
      <c r="B1898" s="13" t="s">
        <v>2194</v>
      </c>
      <c r="C1898" s="13" t="s">
        <v>2197</v>
      </c>
      <c r="D1898" s="13" t="s">
        <v>2205</v>
      </c>
      <c r="E1898" s="13" t="s">
        <v>2210</v>
      </c>
      <c r="F1898" s="13" t="s">
        <v>2220</v>
      </c>
      <c r="G1898" s="13">
        <v>29.5</v>
      </c>
      <c r="H1898" s="13">
        <v>0</v>
      </c>
      <c r="I1898" s="13">
        <v>29.5</v>
      </c>
      <c r="J1898" s="24">
        <v>45875</v>
      </c>
      <c r="K1898" s="13">
        <v>36</v>
      </c>
      <c r="L1898" s="44">
        <v>2.6</v>
      </c>
      <c r="M1898" s="13" t="b">
        <v>0</v>
      </c>
      <c r="O1898" s="25">
        <f t="shared" si="116"/>
        <v>27</v>
      </c>
      <c r="P1898" s="13">
        <f t="shared" si="117"/>
        <v>0</v>
      </c>
      <c r="Q1898" s="13" t="str">
        <f t="shared" si="118"/>
        <v/>
      </c>
      <c r="R1898" s="13" t="str">
        <f t="shared" si="119"/>
        <v>Non diskon</v>
      </c>
    </row>
    <row r="1899" spans="1:18" x14ac:dyDescent="0.25">
      <c r="A1899" s="13" t="s">
        <v>1911</v>
      </c>
      <c r="B1899" s="13" t="s">
        <v>2190</v>
      </c>
      <c r="C1899" s="13" t="s">
        <v>2198</v>
      </c>
      <c r="D1899" s="13" t="s">
        <v>2204</v>
      </c>
      <c r="E1899" s="13" t="s">
        <v>2210</v>
      </c>
      <c r="F1899" s="13" t="s">
        <v>2218</v>
      </c>
      <c r="G1899" s="13">
        <v>224.47</v>
      </c>
      <c r="H1899" s="13">
        <v>2.7</v>
      </c>
      <c r="I1899" s="13">
        <v>218.41</v>
      </c>
      <c r="J1899" s="24">
        <v>45684</v>
      </c>
      <c r="K1899" s="13">
        <v>15</v>
      </c>
      <c r="L1899" s="44">
        <v>3.5</v>
      </c>
      <c r="M1899" s="13" t="b">
        <v>0</v>
      </c>
      <c r="O1899" s="25">
        <f t="shared" si="116"/>
        <v>218</v>
      </c>
      <c r="P1899" s="13">
        <f t="shared" si="117"/>
        <v>40.5</v>
      </c>
      <c r="Q1899" s="13" t="str">
        <f t="shared" si="118"/>
        <v/>
      </c>
      <c r="R1899" s="13" t="str">
        <f t="shared" si="119"/>
        <v>Diskon</v>
      </c>
    </row>
    <row r="1900" spans="1:18" x14ac:dyDescent="0.25">
      <c r="A1900" s="13" t="s">
        <v>1912</v>
      </c>
      <c r="B1900" s="13" t="s">
        <v>2194</v>
      </c>
      <c r="C1900" s="13" t="s">
        <v>2203</v>
      </c>
      <c r="D1900" s="13" t="s">
        <v>2207</v>
      </c>
      <c r="E1900" s="13" t="s">
        <v>2210</v>
      </c>
      <c r="F1900" s="13" t="s">
        <v>2218</v>
      </c>
      <c r="G1900" s="13">
        <v>101.45</v>
      </c>
      <c r="H1900" s="13">
        <v>7.8</v>
      </c>
      <c r="I1900" s="13">
        <v>93.54</v>
      </c>
      <c r="J1900" s="24">
        <v>45875</v>
      </c>
      <c r="K1900" s="13">
        <v>4</v>
      </c>
      <c r="L1900" s="44">
        <v>1.1000000000000001</v>
      </c>
      <c r="M1900" s="13" t="b">
        <v>0</v>
      </c>
      <c r="O1900" s="25">
        <f t="shared" si="116"/>
        <v>27</v>
      </c>
      <c r="P1900" s="13">
        <f t="shared" si="117"/>
        <v>31.2</v>
      </c>
      <c r="Q1900" s="13" t="str">
        <f t="shared" si="118"/>
        <v/>
      </c>
      <c r="R1900" s="13" t="str">
        <f t="shared" si="119"/>
        <v>Diskon</v>
      </c>
    </row>
    <row r="1901" spans="1:18" x14ac:dyDescent="0.25">
      <c r="A1901" s="13" t="s">
        <v>1913</v>
      </c>
      <c r="B1901" s="13" t="s">
        <v>2193</v>
      </c>
      <c r="C1901" s="13" t="s">
        <v>2198</v>
      </c>
      <c r="D1901" s="13" t="s">
        <v>2204</v>
      </c>
      <c r="E1901" s="13" t="s">
        <v>2211</v>
      </c>
      <c r="F1901" s="13" t="s">
        <v>2214</v>
      </c>
      <c r="G1901" s="13">
        <v>84.65</v>
      </c>
      <c r="H1901" s="13">
        <v>0</v>
      </c>
      <c r="I1901" s="13">
        <v>84.65</v>
      </c>
      <c r="J1901" s="24">
        <v>45864</v>
      </c>
      <c r="K1901" s="13">
        <v>49</v>
      </c>
      <c r="L1901" s="44">
        <v>3.6</v>
      </c>
      <c r="M1901" s="13" t="b">
        <v>0</v>
      </c>
      <c r="O1901" s="25">
        <f t="shared" si="116"/>
        <v>38</v>
      </c>
      <c r="P1901" s="13">
        <f t="shared" si="117"/>
        <v>0</v>
      </c>
      <c r="Q1901" s="13" t="str">
        <f t="shared" si="118"/>
        <v/>
      </c>
      <c r="R1901" s="13" t="str">
        <f t="shared" si="119"/>
        <v>Non diskon</v>
      </c>
    </row>
    <row r="1902" spans="1:18" x14ac:dyDescent="0.25">
      <c r="A1902" s="13" t="s">
        <v>1914</v>
      </c>
      <c r="B1902" s="13" t="s">
        <v>2190</v>
      </c>
      <c r="C1902" s="13" t="s">
        <v>2201</v>
      </c>
      <c r="D1902" s="13" t="s">
        <v>2207</v>
      </c>
      <c r="E1902" s="13" t="s">
        <v>2210</v>
      </c>
      <c r="F1902" s="13" t="s">
        <v>2221</v>
      </c>
      <c r="G1902" s="13">
        <v>155.85</v>
      </c>
      <c r="H1902" s="13">
        <v>0</v>
      </c>
      <c r="I1902" s="13">
        <v>155.85</v>
      </c>
      <c r="J1902" s="24">
        <v>45875</v>
      </c>
      <c r="K1902" s="13">
        <v>38</v>
      </c>
      <c r="L1902" s="44">
        <v>3.0305555555555546</v>
      </c>
      <c r="M1902" s="13" t="b">
        <v>0</v>
      </c>
      <c r="O1902" s="25">
        <f t="shared" si="116"/>
        <v>27</v>
      </c>
      <c r="P1902" s="13">
        <f t="shared" si="117"/>
        <v>0</v>
      </c>
      <c r="Q1902" s="13" t="str">
        <f t="shared" si="118"/>
        <v/>
      </c>
      <c r="R1902" s="13" t="str">
        <f t="shared" si="119"/>
        <v>Non diskon</v>
      </c>
    </row>
    <row r="1903" spans="1:18" x14ac:dyDescent="0.25">
      <c r="A1903" s="13" t="s">
        <v>1915</v>
      </c>
      <c r="B1903" s="13" t="s">
        <v>2191</v>
      </c>
      <c r="C1903" s="13" t="s">
        <v>2196</v>
      </c>
      <c r="D1903" s="13" t="s">
        <v>2205</v>
      </c>
      <c r="E1903" s="13" t="s">
        <v>2208</v>
      </c>
      <c r="F1903" s="13" t="s">
        <v>2219</v>
      </c>
      <c r="G1903" s="13">
        <v>89.62</v>
      </c>
      <c r="H1903" s="13">
        <v>0</v>
      </c>
      <c r="I1903" s="13">
        <v>89.62</v>
      </c>
      <c r="J1903" s="24">
        <v>45875</v>
      </c>
      <c r="K1903" s="13">
        <v>0</v>
      </c>
      <c r="L1903" s="44">
        <v>4.5999999999999996</v>
      </c>
      <c r="M1903" s="13" t="b">
        <v>1</v>
      </c>
      <c r="N1903" s="13" t="s">
        <v>2225</v>
      </c>
      <c r="O1903" s="25">
        <f t="shared" si="116"/>
        <v>27</v>
      </c>
      <c r="P1903" s="13">
        <f t="shared" si="117"/>
        <v>0</v>
      </c>
      <c r="Q1903" s="13">
        <f t="shared" si="118"/>
        <v>1</v>
      </c>
      <c r="R1903" s="13" t="str">
        <f t="shared" si="119"/>
        <v>Non diskon</v>
      </c>
    </row>
    <row r="1904" spans="1:18" x14ac:dyDescent="0.25">
      <c r="A1904" s="13" t="s">
        <v>1916</v>
      </c>
      <c r="B1904" s="13" t="s">
        <v>2191</v>
      </c>
      <c r="C1904" s="13" t="s">
        <v>2202</v>
      </c>
      <c r="D1904" s="13" t="s">
        <v>2207</v>
      </c>
      <c r="E1904" s="13" t="s">
        <v>2209</v>
      </c>
      <c r="F1904" s="13" t="s">
        <v>2220</v>
      </c>
      <c r="G1904" s="13">
        <v>62.79</v>
      </c>
      <c r="H1904" s="13">
        <v>37.700000000000003</v>
      </c>
      <c r="I1904" s="13">
        <v>39.119999999999997</v>
      </c>
      <c r="J1904" s="24">
        <v>45875</v>
      </c>
      <c r="K1904" s="13">
        <v>5</v>
      </c>
      <c r="L1904" s="44">
        <v>2.6</v>
      </c>
      <c r="M1904" s="13" t="b">
        <v>0</v>
      </c>
      <c r="O1904" s="25">
        <f t="shared" si="116"/>
        <v>27</v>
      </c>
      <c r="P1904" s="13">
        <f t="shared" si="117"/>
        <v>188.5</v>
      </c>
      <c r="Q1904" s="13" t="str">
        <f t="shared" si="118"/>
        <v/>
      </c>
      <c r="R1904" s="13" t="str">
        <f t="shared" si="119"/>
        <v>Diskon</v>
      </c>
    </row>
    <row r="1905" spans="1:18" x14ac:dyDescent="0.25">
      <c r="A1905" s="13" t="s">
        <v>1917</v>
      </c>
      <c r="B1905" s="13" t="s">
        <v>2194</v>
      </c>
      <c r="C1905" s="13" t="s">
        <v>2202</v>
      </c>
      <c r="D1905" s="13" t="s">
        <v>2207</v>
      </c>
      <c r="E1905" s="13" t="s">
        <v>2208</v>
      </c>
      <c r="F1905" s="13" t="s">
        <v>2221</v>
      </c>
      <c r="G1905" s="13">
        <v>84.72</v>
      </c>
      <c r="H1905" s="13">
        <v>24.2</v>
      </c>
      <c r="I1905" s="13">
        <v>64.22</v>
      </c>
      <c r="J1905" s="24">
        <v>45875</v>
      </c>
      <c r="K1905" s="13">
        <v>44</v>
      </c>
      <c r="L1905" s="44">
        <v>3.1799999999999997</v>
      </c>
      <c r="M1905" s="13" t="b">
        <v>1</v>
      </c>
      <c r="N1905" s="13" t="s">
        <v>2225</v>
      </c>
      <c r="O1905" s="25">
        <f t="shared" si="116"/>
        <v>27</v>
      </c>
      <c r="P1905" s="13">
        <f t="shared" si="117"/>
        <v>1064.8</v>
      </c>
      <c r="Q1905" s="13">
        <f t="shared" si="118"/>
        <v>1</v>
      </c>
      <c r="R1905" s="13" t="str">
        <f t="shared" si="119"/>
        <v>Diskon</v>
      </c>
    </row>
    <row r="1906" spans="1:18" x14ac:dyDescent="0.25">
      <c r="A1906" s="13" t="s">
        <v>1918</v>
      </c>
      <c r="B1906" s="13" t="s">
        <v>2191</v>
      </c>
      <c r="C1906" s="13" t="s">
        <v>2199</v>
      </c>
      <c r="D1906" s="13" t="s">
        <v>2206</v>
      </c>
      <c r="E1906" s="13" t="s">
        <v>2208</v>
      </c>
      <c r="F1906" s="13" t="s">
        <v>2215</v>
      </c>
      <c r="G1906" s="13">
        <v>50.9</v>
      </c>
      <c r="H1906" s="13">
        <v>0</v>
      </c>
      <c r="I1906" s="13">
        <v>50.9</v>
      </c>
      <c r="J1906" s="24">
        <v>45875</v>
      </c>
      <c r="K1906" s="13">
        <v>1</v>
      </c>
      <c r="L1906" s="44">
        <v>1.8</v>
      </c>
      <c r="M1906" s="13" t="b">
        <v>0</v>
      </c>
      <c r="O1906" s="25">
        <f t="shared" si="116"/>
        <v>27</v>
      </c>
      <c r="P1906" s="13">
        <f t="shared" si="117"/>
        <v>0</v>
      </c>
      <c r="Q1906" s="13" t="str">
        <f t="shared" si="118"/>
        <v/>
      </c>
      <c r="R1906" s="13" t="str">
        <f t="shared" si="119"/>
        <v>Non diskon</v>
      </c>
    </row>
    <row r="1907" spans="1:18" x14ac:dyDescent="0.25">
      <c r="A1907" s="13" t="s">
        <v>1919</v>
      </c>
      <c r="B1907" s="13" t="s">
        <v>2192</v>
      </c>
      <c r="C1907" s="13" t="s">
        <v>2196</v>
      </c>
      <c r="D1907" s="13" t="s">
        <v>2205</v>
      </c>
      <c r="F1907" s="13" t="s">
        <v>2215</v>
      </c>
      <c r="G1907" s="13">
        <v>31.23</v>
      </c>
      <c r="H1907" s="13">
        <v>0</v>
      </c>
      <c r="I1907" s="13">
        <v>31.23</v>
      </c>
      <c r="J1907" s="24">
        <v>45875</v>
      </c>
      <c r="K1907" s="13">
        <v>25</v>
      </c>
      <c r="L1907" s="44">
        <v>2.8</v>
      </c>
      <c r="M1907" s="13" t="b">
        <v>0</v>
      </c>
      <c r="O1907" s="25">
        <f t="shared" si="116"/>
        <v>27</v>
      </c>
      <c r="P1907" s="13">
        <f t="shared" si="117"/>
        <v>0</v>
      </c>
      <c r="Q1907" s="13" t="str">
        <f t="shared" si="118"/>
        <v/>
      </c>
      <c r="R1907" s="13" t="str">
        <f t="shared" si="119"/>
        <v>Non diskon</v>
      </c>
    </row>
    <row r="1908" spans="1:18" x14ac:dyDescent="0.25">
      <c r="A1908" s="13" t="s">
        <v>1920</v>
      </c>
      <c r="B1908" s="13" t="s">
        <v>2191</v>
      </c>
      <c r="C1908" s="13" t="s">
        <v>2196</v>
      </c>
      <c r="D1908" s="13" t="s">
        <v>2204</v>
      </c>
      <c r="E1908" s="13" t="s">
        <v>2211</v>
      </c>
      <c r="F1908" s="13" t="s">
        <v>2214</v>
      </c>
      <c r="G1908" s="13">
        <v>105.1</v>
      </c>
      <c r="H1908" s="13">
        <v>0</v>
      </c>
      <c r="I1908" s="13">
        <v>105.1</v>
      </c>
      <c r="J1908" s="24">
        <v>45532</v>
      </c>
      <c r="K1908" s="13">
        <v>39</v>
      </c>
      <c r="L1908" s="44">
        <v>4.4000000000000004</v>
      </c>
      <c r="M1908" s="13" t="b">
        <v>0</v>
      </c>
      <c r="O1908" s="25">
        <f t="shared" si="116"/>
        <v>370</v>
      </c>
      <c r="P1908" s="13">
        <f t="shared" si="117"/>
        <v>0</v>
      </c>
      <c r="Q1908" s="13" t="str">
        <f t="shared" si="118"/>
        <v/>
      </c>
      <c r="R1908" s="13" t="str">
        <f t="shared" si="119"/>
        <v>Non diskon</v>
      </c>
    </row>
    <row r="1909" spans="1:18" x14ac:dyDescent="0.25">
      <c r="A1909" s="13" t="s">
        <v>1921</v>
      </c>
      <c r="B1909" s="13" t="s">
        <v>2195</v>
      </c>
      <c r="C1909" s="13" t="s">
        <v>2203</v>
      </c>
      <c r="D1909" s="13" t="s">
        <v>2207</v>
      </c>
      <c r="E1909" s="13" t="s">
        <v>2212</v>
      </c>
      <c r="F1909" s="13" t="s">
        <v>2224</v>
      </c>
      <c r="G1909" s="13">
        <v>160.38</v>
      </c>
      <c r="H1909" s="13">
        <v>0</v>
      </c>
      <c r="I1909" s="13">
        <v>160.38</v>
      </c>
      <c r="J1909" s="24">
        <v>45875</v>
      </c>
      <c r="K1909" s="13">
        <v>27</v>
      </c>
      <c r="L1909" s="44">
        <v>2.7</v>
      </c>
      <c r="M1909" s="13" t="b">
        <v>1</v>
      </c>
      <c r="N1909" s="13" t="s">
        <v>2230</v>
      </c>
      <c r="O1909" s="25">
        <f t="shared" si="116"/>
        <v>27</v>
      </c>
      <c r="P1909" s="13">
        <f t="shared" si="117"/>
        <v>0</v>
      </c>
      <c r="Q1909" s="13">
        <f t="shared" si="118"/>
        <v>1</v>
      </c>
      <c r="R1909" s="13" t="str">
        <f t="shared" si="119"/>
        <v>Non diskon</v>
      </c>
    </row>
    <row r="1910" spans="1:18" x14ac:dyDescent="0.25">
      <c r="A1910" s="13" t="s">
        <v>1922</v>
      </c>
      <c r="B1910" s="13" t="s">
        <v>2194</v>
      </c>
      <c r="C1910" s="13" t="s">
        <v>2197</v>
      </c>
      <c r="D1910" s="13" t="s">
        <v>2204</v>
      </c>
      <c r="E1910" s="13" t="s">
        <v>2212</v>
      </c>
      <c r="F1910" s="13" t="s">
        <v>2215</v>
      </c>
      <c r="G1910" s="13">
        <v>96.68</v>
      </c>
      <c r="H1910" s="13">
        <v>26</v>
      </c>
      <c r="I1910" s="13">
        <v>71.540000000000006</v>
      </c>
      <c r="J1910" s="24">
        <v>45556</v>
      </c>
      <c r="K1910" s="13">
        <v>16</v>
      </c>
      <c r="L1910" s="44">
        <v>3.0846153846153843</v>
      </c>
      <c r="M1910" s="13" t="b">
        <v>0</v>
      </c>
      <c r="O1910" s="25">
        <f t="shared" si="116"/>
        <v>346</v>
      </c>
      <c r="P1910" s="13">
        <f t="shared" si="117"/>
        <v>416</v>
      </c>
      <c r="Q1910" s="13" t="str">
        <f t="shared" si="118"/>
        <v/>
      </c>
      <c r="R1910" s="13" t="str">
        <f t="shared" si="119"/>
        <v>Diskon</v>
      </c>
    </row>
    <row r="1911" spans="1:18" x14ac:dyDescent="0.25">
      <c r="A1911" s="13" t="s">
        <v>1923</v>
      </c>
      <c r="B1911" s="13" t="s">
        <v>2192</v>
      </c>
      <c r="C1911" s="13" t="s">
        <v>2203</v>
      </c>
      <c r="D1911" s="13" t="s">
        <v>2207</v>
      </c>
      <c r="F1911" s="13" t="s">
        <v>2221</v>
      </c>
      <c r="G1911" s="13">
        <v>16.64</v>
      </c>
      <c r="H1911" s="13">
        <v>0</v>
      </c>
      <c r="I1911" s="13">
        <v>16.64</v>
      </c>
      <c r="J1911" s="24">
        <v>45875</v>
      </c>
      <c r="K1911" s="13">
        <v>8</v>
      </c>
      <c r="L1911" s="44">
        <v>4.8</v>
      </c>
      <c r="M1911" s="13" t="b">
        <v>0</v>
      </c>
      <c r="O1911" s="25">
        <f t="shared" si="116"/>
        <v>27</v>
      </c>
      <c r="P1911" s="13">
        <f t="shared" si="117"/>
        <v>0</v>
      </c>
      <c r="Q1911" s="13" t="str">
        <f t="shared" si="118"/>
        <v/>
      </c>
      <c r="R1911" s="13" t="str">
        <f t="shared" si="119"/>
        <v>Non diskon</v>
      </c>
    </row>
    <row r="1912" spans="1:18" x14ac:dyDescent="0.25">
      <c r="A1912" s="13" t="s">
        <v>1924</v>
      </c>
      <c r="B1912" s="13" t="s">
        <v>2190</v>
      </c>
      <c r="C1912" s="13" t="s">
        <v>2201</v>
      </c>
      <c r="D1912" s="13" t="s">
        <v>2206</v>
      </c>
      <c r="E1912" s="13" t="s">
        <v>2210</v>
      </c>
      <c r="F1912" s="13" t="s">
        <v>2221</v>
      </c>
      <c r="G1912" s="13">
        <v>160.05000000000001</v>
      </c>
      <c r="H1912" s="13">
        <v>53.7</v>
      </c>
      <c r="I1912" s="13">
        <v>74.099999999999994</v>
      </c>
      <c r="J1912" s="24">
        <v>45875</v>
      </c>
      <c r="K1912" s="13">
        <v>2</v>
      </c>
      <c r="L1912" s="44">
        <v>3.2</v>
      </c>
      <c r="M1912" s="13" t="b">
        <v>1</v>
      </c>
      <c r="N1912" s="13" t="s">
        <v>2228</v>
      </c>
      <c r="O1912" s="25">
        <f t="shared" si="116"/>
        <v>27</v>
      </c>
      <c r="P1912" s="13">
        <f t="shared" si="117"/>
        <v>107.4</v>
      </c>
      <c r="Q1912" s="13">
        <f t="shared" si="118"/>
        <v>1</v>
      </c>
      <c r="R1912" s="13" t="str">
        <f t="shared" si="119"/>
        <v>Diskon</v>
      </c>
    </row>
    <row r="1913" spans="1:18" x14ac:dyDescent="0.25">
      <c r="A1913" s="13" t="s">
        <v>1925</v>
      </c>
      <c r="B1913" s="13" t="s">
        <v>2192</v>
      </c>
      <c r="C1913" s="13" t="s">
        <v>2199</v>
      </c>
      <c r="D1913" s="13" t="s">
        <v>2206</v>
      </c>
      <c r="F1913" s="13" t="s">
        <v>2218</v>
      </c>
      <c r="G1913" s="13">
        <v>23.56</v>
      </c>
      <c r="H1913" s="13">
        <v>0</v>
      </c>
      <c r="I1913" s="13">
        <v>23.56</v>
      </c>
      <c r="J1913" s="24">
        <v>45875</v>
      </c>
      <c r="K1913" s="13">
        <v>16</v>
      </c>
      <c r="L1913" s="44">
        <v>4.4000000000000004</v>
      </c>
      <c r="M1913" s="13" t="b">
        <v>0</v>
      </c>
      <c r="O1913" s="25">
        <f t="shared" si="116"/>
        <v>27</v>
      </c>
      <c r="P1913" s="13">
        <f t="shared" si="117"/>
        <v>0</v>
      </c>
      <c r="Q1913" s="13" t="str">
        <f t="shared" si="118"/>
        <v/>
      </c>
      <c r="R1913" s="13" t="str">
        <f t="shared" si="119"/>
        <v>Non diskon</v>
      </c>
    </row>
    <row r="1914" spans="1:18" x14ac:dyDescent="0.25">
      <c r="A1914" s="13" t="s">
        <v>1926</v>
      </c>
      <c r="B1914" s="13" t="s">
        <v>2193</v>
      </c>
      <c r="C1914" s="13" t="s">
        <v>2196</v>
      </c>
      <c r="D1914" s="13" t="s">
        <v>2206</v>
      </c>
      <c r="E1914" s="13" t="s">
        <v>2212</v>
      </c>
      <c r="F1914" s="13" t="s">
        <v>2216</v>
      </c>
      <c r="G1914" s="13">
        <v>68.37</v>
      </c>
      <c r="H1914" s="13">
        <v>24.2</v>
      </c>
      <c r="I1914" s="13">
        <v>51.82</v>
      </c>
      <c r="J1914" s="24">
        <v>45875</v>
      </c>
      <c r="K1914" s="13">
        <v>8</v>
      </c>
      <c r="L1914" s="44">
        <v>3.7</v>
      </c>
      <c r="M1914" s="13" t="b">
        <v>0</v>
      </c>
      <c r="O1914" s="25">
        <f t="shared" si="116"/>
        <v>27</v>
      </c>
      <c r="P1914" s="13">
        <f t="shared" si="117"/>
        <v>193.6</v>
      </c>
      <c r="Q1914" s="13" t="str">
        <f t="shared" si="118"/>
        <v/>
      </c>
      <c r="R1914" s="13" t="str">
        <f t="shared" si="119"/>
        <v>Diskon</v>
      </c>
    </row>
    <row r="1915" spans="1:18" x14ac:dyDescent="0.25">
      <c r="A1915" s="13" t="s">
        <v>1927</v>
      </c>
      <c r="B1915" s="13" t="s">
        <v>2190</v>
      </c>
      <c r="C1915" s="13" t="s">
        <v>2199</v>
      </c>
      <c r="D1915" s="13" t="s">
        <v>2206</v>
      </c>
      <c r="E1915" s="13" t="s">
        <v>2210</v>
      </c>
      <c r="F1915" s="13" t="s">
        <v>2220</v>
      </c>
      <c r="G1915" s="13">
        <v>184.24</v>
      </c>
      <c r="H1915" s="13">
        <v>0</v>
      </c>
      <c r="I1915" s="13">
        <v>184.24</v>
      </c>
      <c r="J1915" s="24">
        <v>45875</v>
      </c>
      <c r="K1915" s="13">
        <v>49</v>
      </c>
      <c r="L1915" s="44">
        <v>4</v>
      </c>
      <c r="M1915" s="13" t="b">
        <v>0</v>
      </c>
      <c r="O1915" s="25">
        <f t="shared" si="116"/>
        <v>27</v>
      </c>
      <c r="P1915" s="13">
        <f t="shared" si="117"/>
        <v>0</v>
      </c>
      <c r="Q1915" s="13" t="str">
        <f t="shared" si="118"/>
        <v/>
      </c>
      <c r="R1915" s="13" t="str">
        <f t="shared" si="119"/>
        <v>Non diskon</v>
      </c>
    </row>
    <row r="1916" spans="1:18" x14ac:dyDescent="0.25">
      <c r="A1916" s="13" t="s">
        <v>1928</v>
      </c>
      <c r="B1916" s="13" t="s">
        <v>2193</v>
      </c>
      <c r="C1916" s="13" t="s">
        <v>2198</v>
      </c>
      <c r="D1916" s="13" t="s">
        <v>2204</v>
      </c>
      <c r="E1916" s="13" t="s">
        <v>2212</v>
      </c>
      <c r="F1916" s="13" t="s">
        <v>2220</v>
      </c>
      <c r="G1916" s="13">
        <v>94.83</v>
      </c>
      <c r="H1916" s="13">
        <v>0</v>
      </c>
      <c r="I1916" s="13">
        <v>94.83</v>
      </c>
      <c r="J1916" s="24">
        <v>45543</v>
      </c>
      <c r="K1916" s="13">
        <v>23</v>
      </c>
      <c r="L1916" s="44">
        <v>2.9</v>
      </c>
      <c r="M1916" s="13" t="b">
        <v>0</v>
      </c>
      <c r="O1916" s="25">
        <f t="shared" si="116"/>
        <v>359</v>
      </c>
      <c r="P1916" s="13">
        <f t="shared" si="117"/>
        <v>0</v>
      </c>
      <c r="Q1916" s="13" t="str">
        <f t="shared" si="118"/>
        <v/>
      </c>
      <c r="R1916" s="13" t="str">
        <f t="shared" si="119"/>
        <v>Non diskon</v>
      </c>
    </row>
    <row r="1917" spans="1:18" x14ac:dyDescent="0.25">
      <c r="A1917" s="13" t="s">
        <v>1929</v>
      </c>
      <c r="B1917" s="13" t="s">
        <v>2191</v>
      </c>
      <c r="C1917" s="13" t="s">
        <v>2201</v>
      </c>
      <c r="D1917" s="13" t="s">
        <v>2207</v>
      </c>
      <c r="E1917" s="13" t="s">
        <v>2213</v>
      </c>
      <c r="F1917" s="13" t="s">
        <v>2215</v>
      </c>
      <c r="G1917" s="13">
        <v>115.58</v>
      </c>
      <c r="H1917" s="13">
        <v>0</v>
      </c>
      <c r="I1917" s="13">
        <v>115.58</v>
      </c>
      <c r="J1917" s="24">
        <v>45875</v>
      </c>
      <c r="K1917" s="13">
        <v>37</v>
      </c>
      <c r="L1917" s="44">
        <v>2.2000000000000002</v>
      </c>
      <c r="M1917" s="13" t="b">
        <v>0</v>
      </c>
      <c r="O1917" s="25">
        <f t="shared" si="116"/>
        <v>27</v>
      </c>
      <c r="P1917" s="13">
        <f t="shared" si="117"/>
        <v>0</v>
      </c>
      <c r="Q1917" s="13" t="str">
        <f t="shared" si="118"/>
        <v/>
      </c>
      <c r="R1917" s="13" t="str">
        <f t="shared" si="119"/>
        <v>Non diskon</v>
      </c>
    </row>
    <row r="1918" spans="1:18" x14ac:dyDescent="0.25">
      <c r="A1918" s="13" t="s">
        <v>1930</v>
      </c>
      <c r="B1918" s="13" t="s">
        <v>2190</v>
      </c>
      <c r="C1918" s="13" t="s">
        <v>2196</v>
      </c>
      <c r="D1918" s="13" t="s">
        <v>2205</v>
      </c>
      <c r="E1918" s="13" t="s">
        <v>2211</v>
      </c>
      <c r="F1918" s="13" t="s">
        <v>2220</v>
      </c>
      <c r="G1918" s="13">
        <v>116.29</v>
      </c>
      <c r="H1918" s="13">
        <v>58.7</v>
      </c>
      <c r="I1918" s="13">
        <v>48.03</v>
      </c>
      <c r="J1918" s="24">
        <v>45875</v>
      </c>
      <c r="K1918" s="13">
        <v>34</v>
      </c>
      <c r="L1918" s="44">
        <v>3.3</v>
      </c>
      <c r="M1918" s="13" t="b">
        <v>0</v>
      </c>
      <c r="O1918" s="25">
        <f t="shared" si="116"/>
        <v>27</v>
      </c>
      <c r="P1918" s="13">
        <f t="shared" si="117"/>
        <v>1995.8000000000002</v>
      </c>
      <c r="Q1918" s="13" t="str">
        <f t="shared" si="118"/>
        <v/>
      </c>
      <c r="R1918" s="13" t="str">
        <f t="shared" si="119"/>
        <v>Diskon</v>
      </c>
    </row>
    <row r="1919" spans="1:18" x14ac:dyDescent="0.25">
      <c r="A1919" s="13" t="s">
        <v>1931</v>
      </c>
      <c r="B1919" s="13" t="s">
        <v>2192</v>
      </c>
      <c r="C1919" s="13" t="s">
        <v>2198</v>
      </c>
      <c r="D1919" s="13" t="s">
        <v>2207</v>
      </c>
      <c r="F1919" s="13" t="s">
        <v>2220</v>
      </c>
      <c r="G1919" s="13">
        <v>24.55</v>
      </c>
      <c r="H1919" s="13">
        <v>0</v>
      </c>
      <c r="I1919" s="13">
        <v>24.55</v>
      </c>
      <c r="J1919" s="24">
        <v>45875</v>
      </c>
      <c r="K1919" s="13">
        <v>43</v>
      </c>
      <c r="L1919" s="44">
        <v>2.2999999999999998</v>
      </c>
      <c r="M1919" s="13" t="b">
        <v>0</v>
      </c>
      <c r="O1919" s="25">
        <f t="shared" si="116"/>
        <v>27</v>
      </c>
      <c r="P1919" s="13">
        <f t="shared" si="117"/>
        <v>0</v>
      </c>
      <c r="Q1919" s="13" t="str">
        <f t="shared" si="118"/>
        <v/>
      </c>
      <c r="R1919" s="13" t="str">
        <f t="shared" si="119"/>
        <v>Non diskon</v>
      </c>
    </row>
    <row r="1920" spans="1:18" x14ac:dyDescent="0.25">
      <c r="A1920" s="13" t="s">
        <v>1932</v>
      </c>
      <c r="B1920" s="13" t="s">
        <v>2195</v>
      </c>
      <c r="C1920" s="13" t="s">
        <v>2196</v>
      </c>
      <c r="D1920" s="13" t="s">
        <v>2204</v>
      </c>
      <c r="F1920" s="13" t="s">
        <v>2222</v>
      </c>
      <c r="G1920" s="13">
        <v>81.56</v>
      </c>
      <c r="H1920" s="13">
        <v>0</v>
      </c>
      <c r="I1920" s="13">
        <v>81.56</v>
      </c>
      <c r="J1920" s="24">
        <v>45666</v>
      </c>
      <c r="K1920" s="13">
        <v>28</v>
      </c>
      <c r="L1920" s="44">
        <v>3</v>
      </c>
      <c r="M1920" s="13" t="b">
        <v>0</v>
      </c>
      <c r="O1920" s="25">
        <f t="shared" si="116"/>
        <v>236</v>
      </c>
      <c r="P1920" s="13">
        <f t="shared" si="117"/>
        <v>0</v>
      </c>
      <c r="Q1920" s="13" t="str">
        <f t="shared" si="118"/>
        <v/>
      </c>
      <c r="R1920" s="13" t="str">
        <f t="shared" si="119"/>
        <v>Non diskon</v>
      </c>
    </row>
    <row r="1921" spans="1:18" x14ac:dyDescent="0.25">
      <c r="A1921" s="13" t="s">
        <v>1933</v>
      </c>
      <c r="B1921" s="13" t="s">
        <v>2190</v>
      </c>
      <c r="C1921" s="13" t="s">
        <v>2198</v>
      </c>
      <c r="D1921" s="13" t="s">
        <v>2204</v>
      </c>
      <c r="E1921" s="13" t="s">
        <v>2213</v>
      </c>
      <c r="F1921" s="13" t="s">
        <v>2217</v>
      </c>
      <c r="G1921" s="13">
        <v>234.63</v>
      </c>
      <c r="H1921" s="13">
        <v>0</v>
      </c>
      <c r="I1921" s="13">
        <v>234.63</v>
      </c>
      <c r="J1921" s="24">
        <v>45695</v>
      </c>
      <c r="K1921" s="13">
        <v>30</v>
      </c>
      <c r="L1921" s="44">
        <v>4.3</v>
      </c>
      <c r="M1921" s="13" t="b">
        <v>0</v>
      </c>
      <c r="O1921" s="25">
        <f t="shared" si="116"/>
        <v>207</v>
      </c>
      <c r="P1921" s="13">
        <f t="shared" si="117"/>
        <v>0</v>
      </c>
      <c r="Q1921" s="13" t="str">
        <f t="shared" si="118"/>
        <v/>
      </c>
      <c r="R1921" s="13" t="str">
        <f t="shared" si="119"/>
        <v>Non diskon</v>
      </c>
    </row>
    <row r="1922" spans="1:18" x14ac:dyDescent="0.25">
      <c r="A1922" s="13" t="s">
        <v>1934</v>
      </c>
      <c r="B1922" s="13" t="s">
        <v>2192</v>
      </c>
      <c r="C1922" s="13" t="s">
        <v>2196</v>
      </c>
      <c r="D1922" s="13" t="s">
        <v>2206</v>
      </c>
      <c r="F1922" s="13" t="s">
        <v>2217</v>
      </c>
      <c r="G1922" s="13">
        <v>27.6</v>
      </c>
      <c r="H1922" s="13">
        <v>0</v>
      </c>
      <c r="I1922" s="13">
        <v>27.6</v>
      </c>
      <c r="J1922" s="24">
        <v>45875</v>
      </c>
      <c r="K1922" s="13">
        <v>33</v>
      </c>
      <c r="L1922" s="44">
        <v>2.8</v>
      </c>
      <c r="M1922" s="13" t="b">
        <v>0</v>
      </c>
      <c r="O1922" s="25">
        <f t="shared" si="116"/>
        <v>27</v>
      </c>
      <c r="P1922" s="13">
        <f t="shared" si="117"/>
        <v>0</v>
      </c>
      <c r="Q1922" s="13" t="str">
        <f t="shared" si="118"/>
        <v/>
      </c>
      <c r="R1922" s="13" t="str">
        <f t="shared" si="119"/>
        <v>Non diskon</v>
      </c>
    </row>
    <row r="1923" spans="1:18" x14ac:dyDescent="0.25">
      <c r="A1923" s="13" t="s">
        <v>1935</v>
      </c>
      <c r="B1923" s="13" t="s">
        <v>2191</v>
      </c>
      <c r="C1923" s="13" t="s">
        <v>2201</v>
      </c>
      <c r="D1923" s="13" t="s">
        <v>2206</v>
      </c>
      <c r="E1923" s="13" t="s">
        <v>2212</v>
      </c>
      <c r="F1923" s="13" t="s">
        <v>2218</v>
      </c>
      <c r="G1923" s="13">
        <v>114.76</v>
      </c>
      <c r="H1923" s="13">
        <v>24.3</v>
      </c>
      <c r="I1923" s="13">
        <v>86.87</v>
      </c>
      <c r="J1923" s="24">
        <v>45875</v>
      </c>
      <c r="K1923" s="13">
        <v>10</v>
      </c>
      <c r="L1923" s="44">
        <v>3.4</v>
      </c>
      <c r="M1923" s="13" t="b">
        <v>0</v>
      </c>
      <c r="O1923" s="25">
        <f t="shared" ref="O1923:O1986" si="120">DATE(2025,9,2)-J1923</f>
        <v>27</v>
      </c>
      <c r="P1923" s="13">
        <f t="shared" ref="P1923:P1986" si="121">H1923*K1923</f>
        <v>243</v>
      </c>
      <c r="Q1923" s="13" t="str">
        <f t="shared" ref="Q1923:Q1986" si="122">IF(M1923=FALSE,"",1)</f>
        <v/>
      </c>
      <c r="R1923" s="13" t="str">
        <f t="shared" ref="R1923:R1986" si="123">IF(H1923=0,"Non diskon","Diskon")</f>
        <v>Diskon</v>
      </c>
    </row>
    <row r="1924" spans="1:18" x14ac:dyDescent="0.25">
      <c r="A1924" s="13" t="s">
        <v>1936</v>
      </c>
      <c r="B1924" s="13" t="s">
        <v>2193</v>
      </c>
      <c r="C1924" s="13" t="s">
        <v>2196</v>
      </c>
      <c r="D1924" s="13" t="s">
        <v>2204</v>
      </c>
      <c r="E1924" s="13" t="s">
        <v>2210</v>
      </c>
      <c r="F1924" s="13" t="s">
        <v>2220</v>
      </c>
      <c r="G1924" s="13">
        <v>133.52000000000001</v>
      </c>
      <c r="H1924" s="13">
        <v>0</v>
      </c>
      <c r="I1924" s="13">
        <v>133.52000000000001</v>
      </c>
      <c r="J1924" s="24">
        <v>45569</v>
      </c>
      <c r="K1924" s="13">
        <v>32</v>
      </c>
      <c r="L1924" s="44">
        <v>2.9153846153846157</v>
      </c>
      <c r="M1924" s="13" t="b">
        <v>0</v>
      </c>
      <c r="O1924" s="25">
        <f t="shared" si="120"/>
        <v>333</v>
      </c>
      <c r="P1924" s="13">
        <f t="shared" si="121"/>
        <v>0</v>
      </c>
      <c r="Q1924" s="13" t="str">
        <f t="shared" si="122"/>
        <v/>
      </c>
      <c r="R1924" s="13" t="str">
        <f t="shared" si="123"/>
        <v>Non diskon</v>
      </c>
    </row>
    <row r="1925" spans="1:18" x14ac:dyDescent="0.25">
      <c r="A1925" s="13" t="s">
        <v>1937</v>
      </c>
      <c r="B1925" s="13" t="s">
        <v>2191</v>
      </c>
      <c r="C1925" s="13" t="s">
        <v>2198</v>
      </c>
      <c r="D1925" s="13" t="s">
        <v>2205</v>
      </c>
      <c r="E1925" s="13" t="s">
        <v>2212</v>
      </c>
      <c r="F1925" s="13" t="s">
        <v>2219</v>
      </c>
      <c r="G1925" s="13">
        <v>64.34</v>
      </c>
      <c r="H1925" s="13">
        <v>59.3</v>
      </c>
      <c r="I1925" s="13">
        <v>26.19</v>
      </c>
      <c r="J1925" s="24">
        <v>45875</v>
      </c>
      <c r="K1925" s="13">
        <v>34</v>
      </c>
      <c r="L1925" s="44">
        <v>1.2</v>
      </c>
      <c r="M1925" s="13" t="b">
        <v>0</v>
      </c>
      <c r="O1925" s="25">
        <f t="shared" si="120"/>
        <v>27</v>
      </c>
      <c r="P1925" s="13">
        <f t="shared" si="121"/>
        <v>2016.1999999999998</v>
      </c>
      <c r="Q1925" s="13" t="str">
        <f t="shared" si="122"/>
        <v/>
      </c>
      <c r="R1925" s="13" t="str">
        <f t="shared" si="123"/>
        <v>Diskon</v>
      </c>
    </row>
    <row r="1926" spans="1:18" x14ac:dyDescent="0.25">
      <c r="A1926" s="13" t="s">
        <v>1938</v>
      </c>
      <c r="B1926" s="13" t="s">
        <v>2194</v>
      </c>
      <c r="C1926" s="13" t="s">
        <v>2203</v>
      </c>
      <c r="D1926" s="13" t="s">
        <v>2206</v>
      </c>
      <c r="E1926" s="13" t="s">
        <v>2209</v>
      </c>
      <c r="F1926" s="13" t="s">
        <v>2223</v>
      </c>
      <c r="G1926" s="13">
        <v>117.81</v>
      </c>
      <c r="H1926" s="13">
        <v>0</v>
      </c>
      <c r="I1926" s="13">
        <v>117.81</v>
      </c>
      <c r="J1926" s="24">
        <v>45875</v>
      </c>
      <c r="K1926" s="13">
        <v>22</v>
      </c>
      <c r="L1926" s="44">
        <v>4.9000000000000004</v>
      </c>
      <c r="M1926" s="13" t="b">
        <v>0</v>
      </c>
      <c r="O1926" s="25">
        <f t="shared" si="120"/>
        <v>27</v>
      </c>
      <c r="P1926" s="13">
        <f t="shared" si="121"/>
        <v>0</v>
      </c>
      <c r="Q1926" s="13" t="str">
        <f t="shared" si="122"/>
        <v/>
      </c>
      <c r="R1926" s="13" t="str">
        <f t="shared" si="123"/>
        <v>Non diskon</v>
      </c>
    </row>
    <row r="1927" spans="1:18" x14ac:dyDescent="0.25">
      <c r="A1927" s="13" t="s">
        <v>1939</v>
      </c>
      <c r="B1927" s="13" t="s">
        <v>2192</v>
      </c>
      <c r="C1927" s="13" t="s">
        <v>2201</v>
      </c>
      <c r="D1927" s="13" t="s">
        <v>2204</v>
      </c>
      <c r="F1927" s="13" t="s">
        <v>2219</v>
      </c>
      <c r="G1927" s="13">
        <v>29.19</v>
      </c>
      <c r="H1927" s="13">
        <v>0</v>
      </c>
      <c r="I1927" s="13">
        <v>29.19</v>
      </c>
      <c r="J1927" s="24">
        <v>45731</v>
      </c>
      <c r="K1927" s="13">
        <v>20</v>
      </c>
      <c r="L1927" s="44">
        <v>1.9</v>
      </c>
      <c r="M1927" s="13" t="b">
        <v>0</v>
      </c>
      <c r="O1927" s="25">
        <f t="shared" si="120"/>
        <v>171</v>
      </c>
      <c r="P1927" s="13">
        <f t="shared" si="121"/>
        <v>0</v>
      </c>
      <c r="Q1927" s="13" t="str">
        <f t="shared" si="122"/>
        <v/>
      </c>
      <c r="R1927" s="13" t="str">
        <f t="shared" si="123"/>
        <v>Non diskon</v>
      </c>
    </row>
    <row r="1928" spans="1:18" x14ac:dyDescent="0.25">
      <c r="A1928" s="13" t="s">
        <v>1940</v>
      </c>
      <c r="B1928" s="13" t="s">
        <v>2191</v>
      </c>
      <c r="C1928" s="13" t="s">
        <v>2197</v>
      </c>
      <c r="D1928" s="13" t="s">
        <v>2206</v>
      </c>
      <c r="E1928" s="13" t="s">
        <v>2213</v>
      </c>
      <c r="F1928" s="13" t="s">
        <v>2223</v>
      </c>
      <c r="G1928" s="13">
        <v>34.72</v>
      </c>
      <c r="H1928" s="13">
        <v>0</v>
      </c>
      <c r="I1928" s="13">
        <v>34.72</v>
      </c>
      <c r="J1928" s="24">
        <v>45875</v>
      </c>
      <c r="K1928" s="13">
        <v>7</v>
      </c>
      <c r="L1928" s="44">
        <v>3.34</v>
      </c>
      <c r="M1928" s="13" t="b">
        <v>0</v>
      </c>
      <c r="O1928" s="25">
        <f t="shared" si="120"/>
        <v>27</v>
      </c>
      <c r="P1928" s="13">
        <f t="shared" si="121"/>
        <v>0</v>
      </c>
      <c r="Q1928" s="13" t="str">
        <f t="shared" si="122"/>
        <v/>
      </c>
      <c r="R1928" s="13" t="str">
        <f t="shared" si="123"/>
        <v>Non diskon</v>
      </c>
    </row>
    <row r="1929" spans="1:18" x14ac:dyDescent="0.25">
      <c r="A1929" s="13" t="s">
        <v>1941</v>
      </c>
      <c r="B1929" s="13" t="s">
        <v>2195</v>
      </c>
      <c r="C1929" s="13" t="s">
        <v>2202</v>
      </c>
      <c r="D1929" s="13" t="s">
        <v>2206</v>
      </c>
      <c r="E1929" s="13" t="s">
        <v>2208</v>
      </c>
      <c r="F1929" s="13" t="s">
        <v>2218</v>
      </c>
      <c r="G1929" s="13">
        <v>107.49</v>
      </c>
      <c r="H1929" s="13">
        <v>0</v>
      </c>
      <c r="I1929" s="13">
        <v>107.49</v>
      </c>
      <c r="J1929" s="24">
        <v>45875</v>
      </c>
      <c r="K1929" s="13">
        <v>49</v>
      </c>
      <c r="L1929" s="44">
        <v>3.3</v>
      </c>
      <c r="M1929" s="13" t="b">
        <v>0</v>
      </c>
      <c r="O1929" s="25">
        <f t="shared" si="120"/>
        <v>27</v>
      </c>
      <c r="P1929" s="13">
        <f t="shared" si="121"/>
        <v>0</v>
      </c>
      <c r="Q1929" s="13" t="str">
        <f t="shared" si="122"/>
        <v/>
      </c>
      <c r="R1929" s="13" t="str">
        <f t="shared" si="123"/>
        <v>Non diskon</v>
      </c>
    </row>
    <row r="1930" spans="1:18" x14ac:dyDescent="0.25">
      <c r="A1930" s="13" t="s">
        <v>1942</v>
      </c>
      <c r="B1930" s="13" t="s">
        <v>2194</v>
      </c>
      <c r="C1930" s="13" t="s">
        <v>2197</v>
      </c>
      <c r="D1930" s="13" t="s">
        <v>2205</v>
      </c>
      <c r="E1930" s="13" t="s">
        <v>2211</v>
      </c>
      <c r="F1930" s="13" t="s">
        <v>2219</v>
      </c>
      <c r="G1930" s="13">
        <v>38.700000000000003</v>
      </c>
      <c r="H1930" s="13">
        <v>0</v>
      </c>
      <c r="I1930" s="13">
        <v>38.700000000000003</v>
      </c>
      <c r="J1930" s="24">
        <v>45875</v>
      </c>
      <c r="K1930" s="13">
        <v>11</v>
      </c>
      <c r="L1930" s="44">
        <v>4</v>
      </c>
      <c r="M1930" s="13" t="b">
        <v>0</v>
      </c>
      <c r="O1930" s="25">
        <f t="shared" si="120"/>
        <v>27</v>
      </c>
      <c r="P1930" s="13">
        <f t="shared" si="121"/>
        <v>0</v>
      </c>
      <c r="Q1930" s="13" t="str">
        <f t="shared" si="122"/>
        <v/>
      </c>
      <c r="R1930" s="13" t="str">
        <f t="shared" si="123"/>
        <v>Non diskon</v>
      </c>
    </row>
    <row r="1931" spans="1:18" x14ac:dyDescent="0.25">
      <c r="A1931" s="13" t="s">
        <v>1943</v>
      </c>
      <c r="B1931" s="13" t="s">
        <v>2190</v>
      </c>
      <c r="C1931" s="13" t="s">
        <v>2201</v>
      </c>
      <c r="D1931" s="13" t="s">
        <v>2204</v>
      </c>
      <c r="E1931" s="13" t="s">
        <v>2212</v>
      </c>
      <c r="F1931" s="13" t="s">
        <v>2224</v>
      </c>
      <c r="G1931" s="13">
        <v>152.63999999999999</v>
      </c>
      <c r="H1931" s="13">
        <v>0</v>
      </c>
      <c r="I1931" s="13">
        <v>152.63999999999999</v>
      </c>
      <c r="J1931" s="24">
        <v>45752</v>
      </c>
      <c r="K1931" s="13">
        <v>19</v>
      </c>
      <c r="L1931" s="44">
        <v>4.0999999999999996</v>
      </c>
      <c r="M1931" s="13" t="b">
        <v>0</v>
      </c>
      <c r="O1931" s="25">
        <f t="shared" si="120"/>
        <v>150</v>
      </c>
      <c r="P1931" s="13">
        <f t="shared" si="121"/>
        <v>0</v>
      </c>
      <c r="Q1931" s="13" t="str">
        <f t="shared" si="122"/>
        <v/>
      </c>
      <c r="R1931" s="13" t="str">
        <f t="shared" si="123"/>
        <v>Non diskon</v>
      </c>
    </row>
    <row r="1932" spans="1:18" x14ac:dyDescent="0.25">
      <c r="A1932" s="13" t="s">
        <v>1944</v>
      </c>
      <c r="B1932" s="13" t="s">
        <v>2190</v>
      </c>
      <c r="C1932" s="13" t="s">
        <v>2199</v>
      </c>
      <c r="D1932" s="13" t="s">
        <v>2206</v>
      </c>
      <c r="E1932" s="13" t="s">
        <v>2212</v>
      </c>
      <c r="F1932" s="13" t="s">
        <v>2223</v>
      </c>
      <c r="G1932" s="13">
        <v>181.66</v>
      </c>
      <c r="H1932" s="13">
        <v>56.4</v>
      </c>
      <c r="I1932" s="13">
        <v>79.2</v>
      </c>
      <c r="J1932" s="24">
        <v>45875</v>
      </c>
      <c r="K1932" s="13">
        <v>43</v>
      </c>
      <c r="L1932" s="44">
        <v>1.2</v>
      </c>
      <c r="M1932" s="13" t="b">
        <v>0</v>
      </c>
      <c r="O1932" s="25">
        <f t="shared" si="120"/>
        <v>27</v>
      </c>
      <c r="P1932" s="13">
        <f t="shared" si="121"/>
        <v>2425.1999999999998</v>
      </c>
      <c r="Q1932" s="13" t="str">
        <f t="shared" si="122"/>
        <v/>
      </c>
      <c r="R1932" s="13" t="str">
        <f t="shared" si="123"/>
        <v>Diskon</v>
      </c>
    </row>
    <row r="1933" spans="1:18" x14ac:dyDescent="0.25">
      <c r="A1933" s="13" t="s">
        <v>1945</v>
      </c>
      <c r="B1933" s="13" t="s">
        <v>2191</v>
      </c>
      <c r="C1933" s="13" t="s">
        <v>2197</v>
      </c>
      <c r="D1933" s="13" t="s">
        <v>2204</v>
      </c>
      <c r="E1933" s="13" t="s">
        <v>2208</v>
      </c>
      <c r="F1933" s="13" t="s">
        <v>2220</v>
      </c>
      <c r="G1933" s="13">
        <v>114.8</v>
      </c>
      <c r="H1933" s="13">
        <v>17.399999999999999</v>
      </c>
      <c r="I1933" s="13">
        <v>94.82</v>
      </c>
      <c r="J1933" s="24">
        <v>45794</v>
      </c>
      <c r="K1933" s="13">
        <v>4</v>
      </c>
      <c r="L1933" s="44">
        <v>1.8</v>
      </c>
      <c r="M1933" s="13" t="b">
        <v>0</v>
      </c>
      <c r="O1933" s="25">
        <f t="shared" si="120"/>
        <v>108</v>
      </c>
      <c r="P1933" s="13">
        <f t="shared" si="121"/>
        <v>69.599999999999994</v>
      </c>
      <c r="Q1933" s="13" t="str">
        <f t="shared" si="122"/>
        <v/>
      </c>
      <c r="R1933" s="13" t="str">
        <f t="shared" si="123"/>
        <v>Diskon</v>
      </c>
    </row>
    <row r="1934" spans="1:18" x14ac:dyDescent="0.25">
      <c r="A1934" s="13" t="s">
        <v>1946</v>
      </c>
      <c r="B1934" s="13" t="s">
        <v>2193</v>
      </c>
      <c r="C1934" s="13" t="s">
        <v>2197</v>
      </c>
      <c r="D1934" s="13" t="s">
        <v>2205</v>
      </c>
      <c r="E1934" s="13" t="s">
        <v>2211</v>
      </c>
      <c r="F1934" s="13" t="s">
        <v>2220</v>
      </c>
      <c r="G1934" s="13">
        <v>102.95</v>
      </c>
      <c r="H1934" s="13">
        <v>0</v>
      </c>
      <c r="I1934" s="13">
        <v>102.95</v>
      </c>
      <c r="J1934" s="24">
        <v>45875</v>
      </c>
      <c r="K1934" s="13">
        <v>38</v>
      </c>
      <c r="L1934" s="44">
        <v>3.8</v>
      </c>
      <c r="M1934" s="13" t="b">
        <v>0</v>
      </c>
      <c r="O1934" s="25">
        <f t="shared" si="120"/>
        <v>27</v>
      </c>
      <c r="P1934" s="13">
        <f t="shared" si="121"/>
        <v>0</v>
      </c>
      <c r="Q1934" s="13" t="str">
        <f t="shared" si="122"/>
        <v/>
      </c>
      <c r="R1934" s="13" t="str">
        <f t="shared" si="123"/>
        <v>Non diskon</v>
      </c>
    </row>
    <row r="1935" spans="1:18" x14ac:dyDescent="0.25">
      <c r="A1935" s="13" t="s">
        <v>1947</v>
      </c>
      <c r="B1935" s="13" t="s">
        <v>2191</v>
      </c>
      <c r="C1935" s="13" t="s">
        <v>2203</v>
      </c>
      <c r="D1935" s="13" t="s">
        <v>2205</v>
      </c>
      <c r="E1935" s="13" t="s">
        <v>2211</v>
      </c>
      <c r="F1935" s="13" t="s">
        <v>2220</v>
      </c>
      <c r="G1935" s="13">
        <v>86.82</v>
      </c>
      <c r="H1935" s="13">
        <v>0</v>
      </c>
      <c r="I1935" s="13">
        <v>86.82</v>
      </c>
      <c r="J1935" s="24">
        <v>45875</v>
      </c>
      <c r="K1935" s="13">
        <v>0</v>
      </c>
      <c r="L1935" s="44">
        <v>4.8</v>
      </c>
      <c r="M1935" s="13" t="b">
        <v>0</v>
      </c>
      <c r="O1935" s="25">
        <f t="shared" si="120"/>
        <v>27</v>
      </c>
      <c r="P1935" s="13">
        <f t="shared" si="121"/>
        <v>0</v>
      </c>
      <c r="Q1935" s="13" t="str">
        <f t="shared" si="122"/>
        <v/>
      </c>
      <c r="R1935" s="13" t="str">
        <f t="shared" si="123"/>
        <v>Non diskon</v>
      </c>
    </row>
    <row r="1936" spans="1:18" x14ac:dyDescent="0.25">
      <c r="A1936" s="13" t="s">
        <v>1948</v>
      </c>
      <c r="B1936" s="13" t="s">
        <v>2190</v>
      </c>
      <c r="C1936" s="13" t="s">
        <v>2200</v>
      </c>
      <c r="D1936" s="13" t="s">
        <v>2207</v>
      </c>
      <c r="E1936" s="13" t="s">
        <v>2209</v>
      </c>
      <c r="F1936" s="13" t="s">
        <v>2214</v>
      </c>
      <c r="G1936" s="13">
        <v>83.68</v>
      </c>
      <c r="H1936" s="13">
        <v>28.1</v>
      </c>
      <c r="I1936" s="13">
        <v>60.17</v>
      </c>
      <c r="J1936" s="24">
        <v>45875</v>
      </c>
      <c r="K1936" s="13">
        <v>46</v>
      </c>
      <c r="L1936" s="44">
        <v>2.9228571428571426</v>
      </c>
      <c r="M1936" s="13" t="b">
        <v>1</v>
      </c>
      <c r="N1936" s="13" t="s">
        <v>2228</v>
      </c>
      <c r="O1936" s="25">
        <f t="shared" si="120"/>
        <v>27</v>
      </c>
      <c r="P1936" s="13">
        <f t="shared" si="121"/>
        <v>1292.6000000000001</v>
      </c>
      <c r="Q1936" s="13">
        <f t="shared" si="122"/>
        <v>1</v>
      </c>
      <c r="R1936" s="13" t="str">
        <f t="shared" si="123"/>
        <v>Diskon</v>
      </c>
    </row>
    <row r="1937" spans="1:18" x14ac:dyDescent="0.25">
      <c r="A1937" s="13" t="s">
        <v>1949</v>
      </c>
      <c r="B1937" s="13" t="s">
        <v>2190</v>
      </c>
      <c r="C1937" s="13" t="s">
        <v>2198</v>
      </c>
      <c r="D1937" s="13" t="s">
        <v>2206</v>
      </c>
      <c r="E1937" s="13" t="s">
        <v>2210</v>
      </c>
      <c r="F1937" s="13" t="s">
        <v>2215</v>
      </c>
      <c r="G1937" s="13">
        <v>167.31</v>
      </c>
      <c r="H1937" s="13">
        <v>50.7</v>
      </c>
      <c r="I1937" s="13">
        <v>82.48</v>
      </c>
      <c r="J1937" s="24">
        <v>45875</v>
      </c>
      <c r="K1937" s="13">
        <v>9</v>
      </c>
      <c r="L1937" s="44">
        <v>3.2</v>
      </c>
      <c r="M1937" s="13" t="b">
        <v>0</v>
      </c>
      <c r="O1937" s="25">
        <f t="shared" si="120"/>
        <v>27</v>
      </c>
      <c r="P1937" s="13">
        <f t="shared" si="121"/>
        <v>456.3</v>
      </c>
      <c r="Q1937" s="13" t="str">
        <f t="shared" si="122"/>
        <v/>
      </c>
      <c r="R1937" s="13" t="str">
        <f t="shared" si="123"/>
        <v>Diskon</v>
      </c>
    </row>
    <row r="1938" spans="1:18" x14ac:dyDescent="0.25">
      <c r="A1938" s="13" t="s">
        <v>1950</v>
      </c>
      <c r="B1938" s="13" t="s">
        <v>2194</v>
      </c>
      <c r="C1938" s="13" t="s">
        <v>2200</v>
      </c>
      <c r="D1938" s="13" t="s">
        <v>2206</v>
      </c>
      <c r="E1938" s="13" t="s">
        <v>2212</v>
      </c>
      <c r="F1938" s="13" t="s">
        <v>2218</v>
      </c>
      <c r="G1938" s="13">
        <v>114.64</v>
      </c>
      <c r="H1938" s="13">
        <v>5.0999999999999996</v>
      </c>
      <c r="I1938" s="13">
        <v>108.79</v>
      </c>
      <c r="J1938" s="24">
        <v>45875</v>
      </c>
      <c r="K1938" s="13">
        <v>21</v>
      </c>
      <c r="L1938" s="44">
        <v>2</v>
      </c>
      <c r="M1938" s="13" t="b">
        <v>0</v>
      </c>
      <c r="O1938" s="25">
        <f t="shared" si="120"/>
        <v>27</v>
      </c>
      <c r="P1938" s="13">
        <f t="shared" si="121"/>
        <v>107.1</v>
      </c>
      <c r="Q1938" s="13" t="str">
        <f t="shared" si="122"/>
        <v/>
      </c>
      <c r="R1938" s="13" t="str">
        <f t="shared" si="123"/>
        <v>Diskon</v>
      </c>
    </row>
    <row r="1939" spans="1:18" x14ac:dyDescent="0.25">
      <c r="A1939" s="13" t="s">
        <v>1951</v>
      </c>
      <c r="B1939" s="13" t="s">
        <v>2190</v>
      </c>
      <c r="C1939" s="13" t="s">
        <v>2200</v>
      </c>
      <c r="D1939" s="13" t="s">
        <v>2204</v>
      </c>
      <c r="E1939" s="13" t="s">
        <v>2211</v>
      </c>
      <c r="F1939" s="13" t="s">
        <v>2217</v>
      </c>
      <c r="G1939" s="13">
        <v>109.53</v>
      </c>
      <c r="H1939" s="13">
        <v>29.3</v>
      </c>
      <c r="I1939" s="13">
        <v>77.44</v>
      </c>
      <c r="J1939" s="24">
        <v>45598</v>
      </c>
      <c r="K1939" s="13">
        <v>35</v>
      </c>
      <c r="L1939" s="44">
        <v>1.3</v>
      </c>
      <c r="M1939" s="13" t="b">
        <v>0</v>
      </c>
      <c r="O1939" s="25">
        <f t="shared" si="120"/>
        <v>304</v>
      </c>
      <c r="P1939" s="13">
        <f t="shared" si="121"/>
        <v>1025.5</v>
      </c>
      <c r="Q1939" s="13" t="str">
        <f t="shared" si="122"/>
        <v/>
      </c>
      <c r="R1939" s="13" t="str">
        <f t="shared" si="123"/>
        <v>Diskon</v>
      </c>
    </row>
    <row r="1940" spans="1:18" x14ac:dyDescent="0.25">
      <c r="A1940" s="13" t="s">
        <v>1952</v>
      </c>
      <c r="B1940" s="13" t="s">
        <v>2192</v>
      </c>
      <c r="C1940" s="13" t="s">
        <v>2201</v>
      </c>
      <c r="D1940" s="13" t="s">
        <v>2207</v>
      </c>
      <c r="F1940" s="13" t="s">
        <v>2221</v>
      </c>
      <c r="G1940" s="13">
        <v>51.02</v>
      </c>
      <c r="H1940" s="13">
        <v>57.9</v>
      </c>
      <c r="I1940" s="13">
        <v>21.48</v>
      </c>
      <c r="J1940" s="24">
        <v>45875</v>
      </c>
      <c r="K1940" s="13">
        <v>36</v>
      </c>
      <c r="L1940" s="44">
        <v>3.2731707317073173</v>
      </c>
      <c r="M1940" s="13" t="b">
        <v>0</v>
      </c>
      <c r="O1940" s="25">
        <f t="shared" si="120"/>
        <v>27</v>
      </c>
      <c r="P1940" s="13">
        <f t="shared" si="121"/>
        <v>2084.4</v>
      </c>
      <c r="Q1940" s="13" t="str">
        <f t="shared" si="122"/>
        <v/>
      </c>
      <c r="R1940" s="13" t="str">
        <f t="shared" si="123"/>
        <v>Diskon</v>
      </c>
    </row>
    <row r="1941" spans="1:18" x14ac:dyDescent="0.25">
      <c r="A1941" s="13" t="s">
        <v>1953</v>
      </c>
      <c r="B1941" s="13" t="s">
        <v>2193</v>
      </c>
      <c r="C1941" s="13" t="s">
        <v>2200</v>
      </c>
      <c r="D1941" s="13" t="s">
        <v>2206</v>
      </c>
      <c r="E1941" s="13" t="s">
        <v>2213</v>
      </c>
      <c r="F1941" s="13" t="s">
        <v>2220</v>
      </c>
      <c r="G1941" s="13">
        <v>77.45</v>
      </c>
      <c r="H1941" s="13">
        <v>52.8</v>
      </c>
      <c r="I1941" s="13">
        <v>36.56</v>
      </c>
      <c r="J1941" s="24">
        <v>45875</v>
      </c>
      <c r="K1941" s="13">
        <v>6</v>
      </c>
      <c r="L1941" s="44">
        <v>2.7</v>
      </c>
      <c r="M1941" s="13" t="b">
        <v>0</v>
      </c>
      <c r="O1941" s="25">
        <f t="shared" si="120"/>
        <v>27</v>
      </c>
      <c r="P1941" s="13">
        <f t="shared" si="121"/>
        <v>316.79999999999995</v>
      </c>
      <c r="Q1941" s="13" t="str">
        <f t="shared" si="122"/>
        <v/>
      </c>
      <c r="R1941" s="13" t="str">
        <f t="shared" si="123"/>
        <v>Diskon</v>
      </c>
    </row>
    <row r="1942" spans="1:18" x14ac:dyDescent="0.25">
      <c r="A1942" s="13" t="s">
        <v>1954</v>
      </c>
      <c r="B1942" s="13" t="s">
        <v>2193</v>
      </c>
      <c r="C1942" s="13" t="s">
        <v>2201</v>
      </c>
      <c r="D1942" s="13" t="s">
        <v>2206</v>
      </c>
      <c r="E1942" s="13" t="s">
        <v>2212</v>
      </c>
      <c r="F1942" s="13" t="s">
        <v>2217</v>
      </c>
      <c r="G1942" s="13">
        <v>142.87</v>
      </c>
      <c r="H1942" s="13">
        <v>45.4</v>
      </c>
      <c r="I1942" s="13">
        <v>78.010000000000005</v>
      </c>
      <c r="J1942" s="24">
        <v>45875</v>
      </c>
      <c r="K1942" s="13">
        <v>20</v>
      </c>
      <c r="L1942" s="44">
        <v>1.7</v>
      </c>
      <c r="M1942" s="13" t="b">
        <v>0</v>
      </c>
      <c r="O1942" s="25">
        <f t="shared" si="120"/>
        <v>27</v>
      </c>
      <c r="P1942" s="13">
        <f t="shared" si="121"/>
        <v>908</v>
      </c>
      <c r="Q1942" s="13" t="str">
        <f t="shared" si="122"/>
        <v/>
      </c>
      <c r="R1942" s="13" t="str">
        <f t="shared" si="123"/>
        <v>Diskon</v>
      </c>
    </row>
    <row r="1943" spans="1:18" x14ac:dyDescent="0.25">
      <c r="A1943" s="13" t="s">
        <v>1955</v>
      </c>
      <c r="B1943" s="13" t="s">
        <v>2190</v>
      </c>
      <c r="C1943" s="13" t="s">
        <v>2198</v>
      </c>
      <c r="D1943" s="13" t="s">
        <v>2205</v>
      </c>
      <c r="E1943" s="13" t="s">
        <v>2212</v>
      </c>
      <c r="F1943" s="13" t="s">
        <v>2217</v>
      </c>
      <c r="G1943" s="13">
        <v>138.87</v>
      </c>
      <c r="H1943" s="13">
        <v>0</v>
      </c>
      <c r="I1943" s="13">
        <v>138.87</v>
      </c>
      <c r="J1943" s="24">
        <v>45875</v>
      </c>
      <c r="K1943" s="13">
        <v>37</v>
      </c>
      <c r="L1943" s="44">
        <v>3.2</v>
      </c>
      <c r="M1943" s="13" t="b">
        <v>0</v>
      </c>
      <c r="O1943" s="25">
        <f t="shared" si="120"/>
        <v>27</v>
      </c>
      <c r="P1943" s="13">
        <f t="shared" si="121"/>
        <v>0</v>
      </c>
      <c r="Q1943" s="13" t="str">
        <f t="shared" si="122"/>
        <v/>
      </c>
      <c r="R1943" s="13" t="str">
        <f t="shared" si="123"/>
        <v>Non diskon</v>
      </c>
    </row>
    <row r="1944" spans="1:18" x14ac:dyDescent="0.25">
      <c r="A1944" s="13" t="s">
        <v>1956</v>
      </c>
      <c r="B1944" s="13" t="s">
        <v>2193</v>
      </c>
      <c r="C1944" s="13" t="s">
        <v>2201</v>
      </c>
      <c r="D1944" s="13" t="s">
        <v>2204</v>
      </c>
      <c r="E1944" s="13" t="s">
        <v>2210</v>
      </c>
      <c r="F1944" s="13" t="s">
        <v>2214</v>
      </c>
      <c r="G1944" s="13">
        <v>132.82</v>
      </c>
      <c r="H1944" s="13">
        <v>0</v>
      </c>
      <c r="I1944" s="13">
        <v>132.82</v>
      </c>
      <c r="J1944" s="24">
        <v>45733</v>
      </c>
      <c r="K1944" s="13">
        <v>40</v>
      </c>
      <c r="L1944" s="44">
        <v>3.0068965517241386</v>
      </c>
      <c r="M1944" s="13" t="b">
        <v>1</v>
      </c>
      <c r="N1944" s="13" t="s">
        <v>2229</v>
      </c>
      <c r="O1944" s="25">
        <f t="shared" si="120"/>
        <v>169</v>
      </c>
      <c r="P1944" s="13">
        <f t="shared" si="121"/>
        <v>0</v>
      </c>
      <c r="Q1944" s="13">
        <f t="shared" si="122"/>
        <v>1</v>
      </c>
      <c r="R1944" s="13" t="str">
        <f t="shared" si="123"/>
        <v>Non diskon</v>
      </c>
    </row>
    <row r="1945" spans="1:18" x14ac:dyDescent="0.25">
      <c r="A1945" s="13" t="s">
        <v>1957</v>
      </c>
      <c r="B1945" s="13" t="s">
        <v>2193</v>
      </c>
      <c r="C1945" s="13" t="s">
        <v>2200</v>
      </c>
      <c r="D1945" s="13" t="s">
        <v>2207</v>
      </c>
      <c r="E1945" s="13" t="s">
        <v>2209</v>
      </c>
      <c r="F1945" s="13" t="s">
        <v>2222</v>
      </c>
      <c r="G1945" s="13">
        <v>110.54</v>
      </c>
      <c r="H1945" s="13">
        <v>0</v>
      </c>
      <c r="I1945" s="13">
        <v>110.54</v>
      </c>
      <c r="J1945" s="24">
        <v>45875</v>
      </c>
      <c r="K1945" s="13">
        <v>24</v>
      </c>
      <c r="L1945" s="44">
        <v>3.3021276595744684</v>
      </c>
      <c r="M1945" s="13" t="b">
        <v>1</v>
      </c>
      <c r="N1945" s="13" t="s">
        <v>2226</v>
      </c>
      <c r="O1945" s="25">
        <f t="shared" si="120"/>
        <v>27</v>
      </c>
      <c r="P1945" s="13">
        <f t="shared" si="121"/>
        <v>0</v>
      </c>
      <c r="Q1945" s="13">
        <f t="shared" si="122"/>
        <v>1</v>
      </c>
      <c r="R1945" s="13" t="str">
        <f t="shared" si="123"/>
        <v>Non diskon</v>
      </c>
    </row>
    <row r="1946" spans="1:18" x14ac:dyDescent="0.25">
      <c r="A1946" s="13" t="s">
        <v>1958</v>
      </c>
      <c r="B1946" s="13" t="s">
        <v>2194</v>
      </c>
      <c r="C1946" s="13" t="s">
        <v>2196</v>
      </c>
      <c r="D1946" s="13" t="s">
        <v>2207</v>
      </c>
      <c r="E1946" s="13" t="s">
        <v>2208</v>
      </c>
      <c r="F1946" s="13" t="s">
        <v>2221</v>
      </c>
      <c r="G1946" s="13">
        <v>29.07</v>
      </c>
      <c r="H1946" s="13">
        <v>0</v>
      </c>
      <c r="I1946" s="13">
        <v>29.07</v>
      </c>
      <c r="J1946" s="24">
        <v>45875</v>
      </c>
      <c r="K1946" s="13">
        <v>41</v>
      </c>
      <c r="L1946" s="44">
        <v>2.8</v>
      </c>
      <c r="M1946" s="13" t="b">
        <v>0</v>
      </c>
      <c r="O1946" s="25">
        <f t="shared" si="120"/>
        <v>27</v>
      </c>
      <c r="P1946" s="13">
        <f t="shared" si="121"/>
        <v>0</v>
      </c>
      <c r="Q1946" s="13" t="str">
        <f t="shared" si="122"/>
        <v/>
      </c>
      <c r="R1946" s="13" t="str">
        <f t="shared" si="123"/>
        <v>Non diskon</v>
      </c>
    </row>
    <row r="1947" spans="1:18" x14ac:dyDescent="0.25">
      <c r="A1947" s="13" t="s">
        <v>1959</v>
      </c>
      <c r="B1947" s="13" t="s">
        <v>2190</v>
      </c>
      <c r="C1947" s="13" t="s">
        <v>2202</v>
      </c>
      <c r="D1947" s="13" t="s">
        <v>2207</v>
      </c>
      <c r="E1947" s="13" t="s">
        <v>2210</v>
      </c>
      <c r="F1947" s="13" t="s">
        <v>2222</v>
      </c>
      <c r="G1947" s="13">
        <v>141.91999999999999</v>
      </c>
      <c r="H1947" s="13">
        <v>0</v>
      </c>
      <c r="I1947" s="13">
        <v>141.91999999999999</v>
      </c>
      <c r="J1947" s="24">
        <v>45875</v>
      </c>
      <c r="K1947" s="13">
        <v>37</v>
      </c>
      <c r="L1947" s="44">
        <v>1.7</v>
      </c>
      <c r="M1947" s="13" t="b">
        <v>0</v>
      </c>
      <c r="O1947" s="25">
        <f t="shared" si="120"/>
        <v>27</v>
      </c>
      <c r="P1947" s="13">
        <f t="shared" si="121"/>
        <v>0</v>
      </c>
      <c r="Q1947" s="13" t="str">
        <f t="shared" si="122"/>
        <v/>
      </c>
      <c r="R1947" s="13" t="str">
        <f t="shared" si="123"/>
        <v>Non diskon</v>
      </c>
    </row>
    <row r="1948" spans="1:18" x14ac:dyDescent="0.25">
      <c r="A1948" s="13" t="s">
        <v>1960</v>
      </c>
      <c r="B1948" s="13" t="s">
        <v>2193</v>
      </c>
      <c r="C1948" s="13" t="s">
        <v>2198</v>
      </c>
      <c r="D1948" s="13" t="s">
        <v>2207</v>
      </c>
      <c r="E1948" s="13" t="s">
        <v>2208</v>
      </c>
      <c r="F1948" s="13" t="s">
        <v>2214</v>
      </c>
      <c r="G1948" s="13">
        <v>67.84</v>
      </c>
      <c r="H1948" s="13">
        <v>0</v>
      </c>
      <c r="I1948" s="13">
        <v>67.84</v>
      </c>
      <c r="J1948" s="24">
        <v>45875</v>
      </c>
      <c r="K1948" s="13">
        <v>24</v>
      </c>
      <c r="L1948" s="44">
        <v>1.2</v>
      </c>
      <c r="M1948" s="13" t="b">
        <v>0</v>
      </c>
      <c r="O1948" s="25">
        <f t="shared" si="120"/>
        <v>27</v>
      </c>
      <c r="P1948" s="13">
        <f t="shared" si="121"/>
        <v>0</v>
      </c>
      <c r="Q1948" s="13" t="str">
        <f t="shared" si="122"/>
        <v/>
      </c>
      <c r="R1948" s="13" t="str">
        <f t="shared" si="123"/>
        <v>Non diskon</v>
      </c>
    </row>
    <row r="1949" spans="1:18" x14ac:dyDescent="0.25">
      <c r="A1949" s="13" t="s">
        <v>1961</v>
      </c>
      <c r="B1949" s="13" t="s">
        <v>2193</v>
      </c>
      <c r="C1949" s="13" t="s">
        <v>2199</v>
      </c>
      <c r="D1949" s="13" t="s">
        <v>2205</v>
      </c>
      <c r="E1949" s="13" t="s">
        <v>2210</v>
      </c>
      <c r="F1949" s="13" t="s">
        <v>2224</v>
      </c>
      <c r="G1949" s="13">
        <v>143.27000000000001</v>
      </c>
      <c r="H1949" s="13">
        <v>0</v>
      </c>
      <c r="I1949" s="13">
        <v>143.27000000000001</v>
      </c>
      <c r="J1949" s="24">
        <v>45875</v>
      </c>
      <c r="K1949" s="13">
        <v>0</v>
      </c>
      <c r="L1949" s="44">
        <v>2.9804347826086954</v>
      </c>
      <c r="M1949" s="13" t="b">
        <v>0</v>
      </c>
      <c r="O1949" s="25">
        <f t="shared" si="120"/>
        <v>27</v>
      </c>
      <c r="P1949" s="13">
        <f t="shared" si="121"/>
        <v>0</v>
      </c>
      <c r="Q1949" s="13" t="str">
        <f t="shared" si="122"/>
        <v/>
      </c>
      <c r="R1949" s="13" t="str">
        <f t="shared" si="123"/>
        <v>Non diskon</v>
      </c>
    </row>
    <row r="1950" spans="1:18" x14ac:dyDescent="0.25">
      <c r="A1950" s="13" t="s">
        <v>1962</v>
      </c>
      <c r="B1950" s="13" t="s">
        <v>2192</v>
      </c>
      <c r="C1950" s="13" t="s">
        <v>2198</v>
      </c>
      <c r="D1950" s="13" t="s">
        <v>2205</v>
      </c>
      <c r="F1950" s="13" t="s">
        <v>2224</v>
      </c>
      <c r="G1950" s="13">
        <v>20.97</v>
      </c>
      <c r="H1950" s="13">
        <v>0</v>
      </c>
      <c r="I1950" s="13">
        <v>20.97</v>
      </c>
      <c r="J1950" s="24">
        <v>45875</v>
      </c>
      <c r="K1950" s="13">
        <v>44</v>
      </c>
      <c r="L1950" s="44">
        <v>4.5999999999999996</v>
      </c>
      <c r="M1950" s="13" t="b">
        <v>0</v>
      </c>
      <c r="O1950" s="25">
        <f t="shared" si="120"/>
        <v>27</v>
      </c>
      <c r="P1950" s="13">
        <f t="shared" si="121"/>
        <v>0</v>
      </c>
      <c r="Q1950" s="13" t="str">
        <f t="shared" si="122"/>
        <v/>
      </c>
      <c r="R1950" s="13" t="str">
        <f t="shared" si="123"/>
        <v>Non diskon</v>
      </c>
    </row>
    <row r="1951" spans="1:18" x14ac:dyDescent="0.25">
      <c r="A1951" s="13" t="s">
        <v>1963</v>
      </c>
      <c r="B1951" s="13" t="s">
        <v>2195</v>
      </c>
      <c r="C1951" s="13" t="s">
        <v>2196</v>
      </c>
      <c r="D1951" s="13" t="s">
        <v>2207</v>
      </c>
      <c r="E1951" s="13" t="s">
        <v>2208</v>
      </c>
      <c r="F1951" s="13" t="s">
        <v>2223</v>
      </c>
      <c r="G1951" s="13">
        <v>105.5</v>
      </c>
      <c r="H1951" s="13">
        <v>59.8</v>
      </c>
      <c r="I1951" s="13">
        <v>42.41</v>
      </c>
      <c r="J1951" s="24">
        <v>45875</v>
      </c>
      <c r="K1951" s="13">
        <v>34</v>
      </c>
      <c r="L1951" s="44">
        <v>3.0424242424242425</v>
      </c>
      <c r="M1951" s="13" t="b">
        <v>0</v>
      </c>
      <c r="O1951" s="25">
        <f t="shared" si="120"/>
        <v>27</v>
      </c>
      <c r="P1951" s="13">
        <f t="shared" si="121"/>
        <v>2033.1999999999998</v>
      </c>
      <c r="Q1951" s="13" t="str">
        <f t="shared" si="122"/>
        <v/>
      </c>
      <c r="R1951" s="13" t="str">
        <f t="shared" si="123"/>
        <v>Diskon</v>
      </c>
    </row>
    <row r="1952" spans="1:18" x14ac:dyDescent="0.25">
      <c r="A1952" s="13" t="s">
        <v>1964</v>
      </c>
      <c r="B1952" s="13" t="s">
        <v>2193</v>
      </c>
      <c r="C1952" s="13" t="s">
        <v>2198</v>
      </c>
      <c r="D1952" s="13" t="s">
        <v>2204</v>
      </c>
      <c r="E1952" s="13" t="s">
        <v>2211</v>
      </c>
      <c r="F1952" s="13" t="s">
        <v>2220</v>
      </c>
      <c r="G1952" s="13">
        <v>184.7</v>
      </c>
      <c r="H1952" s="13">
        <v>0</v>
      </c>
      <c r="I1952" s="13">
        <v>184.7</v>
      </c>
      <c r="J1952" s="24">
        <v>45554</v>
      </c>
      <c r="K1952" s="13">
        <v>39</v>
      </c>
      <c r="L1952" s="44">
        <v>2.1</v>
      </c>
      <c r="M1952" s="13" t="b">
        <v>1</v>
      </c>
      <c r="N1952" s="13" t="s">
        <v>2226</v>
      </c>
      <c r="O1952" s="25">
        <f t="shared" si="120"/>
        <v>348</v>
      </c>
      <c r="P1952" s="13">
        <f t="shared" si="121"/>
        <v>0</v>
      </c>
      <c r="Q1952" s="13">
        <f t="shared" si="122"/>
        <v>1</v>
      </c>
      <c r="R1952" s="13" t="str">
        <f t="shared" si="123"/>
        <v>Non diskon</v>
      </c>
    </row>
    <row r="1953" spans="1:18" x14ac:dyDescent="0.25">
      <c r="A1953" s="13" t="s">
        <v>1965</v>
      </c>
      <c r="B1953" s="13" t="s">
        <v>2193</v>
      </c>
      <c r="C1953" s="13" t="s">
        <v>2200</v>
      </c>
      <c r="D1953" s="13" t="s">
        <v>2204</v>
      </c>
      <c r="E1953" s="13" t="s">
        <v>2212</v>
      </c>
      <c r="F1953" s="13" t="s">
        <v>2219</v>
      </c>
      <c r="G1953" s="13">
        <v>81.47</v>
      </c>
      <c r="H1953" s="13">
        <v>32</v>
      </c>
      <c r="I1953" s="13">
        <v>55.4</v>
      </c>
      <c r="J1953" s="24">
        <v>45536</v>
      </c>
      <c r="K1953" s="13">
        <v>2</v>
      </c>
      <c r="L1953" s="44">
        <v>1.1000000000000001</v>
      </c>
      <c r="M1953" s="13" t="b">
        <v>0</v>
      </c>
      <c r="O1953" s="25">
        <f t="shared" si="120"/>
        <v>366</v>
      </c>
      <c r="P1953" s="13">
        <f t="shared" si="121"/>
        <v>64</v>
      </c>
      <c r="Q1953" s="13" t="str">
        <f t="shared" si="122"/>
        <v/>
      </c>
      <c r="R1953" s="13" t="str">
        <f t="shared" si="123"/>
        <v>Diskon</v>
      </c>
    </row>
    <row r="1954" spans="1:18" x14ac:dyDescent="0.25">
      <c r="A1954" s="13" t="s">
        <v>1966</v>
      </c>
      <c r="B1954" s="13" t="s">
        <v>2190</v>
      </c>
      <c r="C1954" s="13" t="s">
        <v>2198</v>
      </c>
      <c r="D1954" s="13" t="s">
        <v>2205</v>
      </c>
      <c r="E1954" s="13" t="s">
        <v>2209</v>
      </c>
      <c r="F1954" s="13" t="s">
        <v>2219</v>
      </c>
      <c r="G1954" s="13">
        <v>107.67</v>
      </c>
      <c r="H1954" s="13">
        <v>20.3</v>
      </c>
      <c r="I1954" s="13">
        <v>85.81</v>
      </c>
      <c r="J1954" s="24">
        <v>45875</v>
      </c>
      <c r="K1954" s="13">
        <v>16</v>
      </c>
      <c r="L1954" s="44">
        <v>4.3</v>
      </c>
      <c r="M1954" s="13" t="b">
        <v>0</v>
      </c>
      <c r="O1954" s="25">
        <f t="shared" si="120"/>
        <v>27</v>
      </c>
      <c r="P1954" s="13">
        <f t="shared" si="121"/>
        <v>324.8</v>
      </c>
      <c r="Q1954" s="13" t="str">
        <f t="shared" si="122"/>
        <v/>
      </c>
      <c r="R1954" s="13" t="str">
        <f t="shared" si="123"/>
        <v>Diskon</v>
      </c>
    </row>
    <row r="1955" spans="1:18" x14ac:dyDescent="0.25">
      <c r="A1955" s="13" t="s">
        <v>1967</v>
      </c>
      <c r="B1955" s="13" t="s">
        <v>2191</v>
      </c>
      <c r="C1955" s="13" t="s">
        <v>2198</v>
      </c>
      <c r="D1955" s="13" t="s">
        <v>2207</v>
      </c>
      <c r="E1955" s="13" t="s">
        <v>2208</v>
      </c>
      <c r="F1955" s="13" t="s">
        <v>2223</v>
      </c>
      <c r="G1955" s="13">
        <v>88.64</v>
      </c>
      <c r="H1955" s="13">
        <v>0</v>
      </c>
      <c r="I1955" s="13">
        <v>88.64</v>
      </c>
      <c r="J1955" s="24">
        <v>45875</v>
      </c>
      <c r="K1955" s="13">
        <v>33</v>
      </c>
      <c r="L1955" s="44">
        <v>2.953125</v>
      </c>
      <c r="M1955" s="13" t="b">
        <v>0</v>
      </c>
      <c r="O1955" s="25">
        <f t="shared" si="120"/>
        <v>27</v>
      </c>
      <c r="P1955" s="13">
        <f t="shared" si="121"/>
        <v>0</v>
      </c>
      <c r="Q1955" s="13" t="str">
        <f t="shared" si="122"/>
        <v/>
      </c>
      <c r="R1955" s="13" t="str">
        <f t="shared" si="123"/>
        <v>Non diskon</v>
      </c>
    </row>
    <row r="1956" spans="1:18" x14ac:dyDescent="0.25">
      <c r="A1956" s="13" t="s">
        <v>1968</v>
      </c>
      <c r="B1956" s="13" t="s">
        <v>2192</v>
      </c>
      <c r="C1956" s="13" t="s">
        <v>2196</v>
      </c>
      <c r="D1956" s="13" t="s">
        <v>2205</v>
      </c>
      <c r="F1956" s="13" t="s">
        <v>2214</v>
      </c>
      <c r="G1956" s="13">
        <v>17.5</v>
      </c>
      <c r="H1956" s="13">
        <v>14.4</v>
      </c>
      <c r="I1956" s="13">
        <v>14.98</v>
      </c>
      <c r="J1956" s="24">
        <v>45875</v>
      </c>
      <c r="K1956" s="13">
        <v>16</v>
      </c>
      <c r="L1956" s="44">
        <v>3.1</v>
      </c>
      <c r="M1956" s="13" t="b">
        <v>0</v>
      </c>
      <c r="O1956" s="25">
        <f t="shared" si="120"/>
        <v>27</v>
      </c>
      <c r="P1956" s="13">
        <f t="shared" si="121"/>
        <v>230.4</v>
      </c>
      <c r="Q1956" s="13" t="str">
        <f t="shared" si="122"/>
        <v/>
      </c>
      <c r="R1956" s="13" t="str">
        <f t="shared" si="123"/>
        <v>Diskon</v>
      </c>
    </row>
    <row r="1957" spans="1:18" x14ac:dyDescent="0.25">
      <c r="A1957" s="13" t="s">
        <v>1969</v>
      </c>
      <c r="B1957" s="13" t="s">
        <v>2190</v>
      </c>
      <c r="C1957" s="13" t="s">
        <v>2200</v>
      </c>
      <c r="D1957" s="13" t="s">
        <v>2205</v>
      </c>
      <c r="E1957" s="13" t="s">
        <v>2208</v>
      </c>
      <c r="F1957" s="13" t="s">
        <v>2218</v>
      </c>
      <c r="G1957" s="13">
        <v>205.37</v>
      </c>
      <c r="H1957" s="13">
        <v>0</v>
      </c>
      <c r="I1957" s="13">
        <v>205.37</v>
      </c>
      <c r="J1957" s="24">
        <v>45875</v>
      </c>
      <c r="K1957" s="13">
        <v>25</v>
      </c>
      <c r="L1957" s="44">
        <v>2</v>
      </c>
      <c r="M1957" s="13" t="b">
        <v>1</v>
      </c>
      <c r="N1957" s="13" t="s">
        <v>2227</v>
      </c>
      <c r="O1957" s="25">
        <f t="shared" si="120"/>
        <v>27</v>
      </c>
      <c r="P1957" s="13">
        <f t="shared" si="121"/>
        <v>0</v>
      </c>
      <c r="Q1957" s="13">
        <f t="shared" si="122"/>
        <v>1</v>
      </c>
      <c r="R1957" s="13" t="str">
        <f t="shared" si="123"/>
        <v>Non diskon</v>
      </c>
    </row>
    <row r="1958" spans="1:18" x14ac:dyDescent="0.25">
      <c r="A1958" s="13" t="s">
        <v>1970</v>
      </c>
      <c r="B1958" s="13" t="s">
        <v>2195</v>
      </c>
      <c r="C1958" s="13" t="s">
        <v>2199</v>
      </c>
      <c r="D1958" s="13" t="s">
        <v>2205</v>
      </c>
      <c r="E1958" s="13" t="s">
        <v>2212</v>
      </c>
      <c r="F1958" s="13" t="s">
        <v>2221</v>
      </c>
      <c r="G1958" s="13">
        <v>111.66</v>
      </c>
      <c r="H1958" s="13">
        <v>0</v>
      </c>
      <c r="I1958" s="13">
        <v>111.66</v>
      </c>
      <c r="J1958" s="24">
        <v>45875</v>
      </c>
      <c r="K1958" s="13">
        <v>26</v>
      </c>
      <c r="L1958" s="44">
        <v>1.4</v>
      </c>
      <c r="M1958" s="13" t="b">
        <v>0</v>
      </c>
      <c r="O1958" s="25">
        <f t="shared" si="120"/>
        <v>27</v>
      </c>
      <c r="P1958" s="13">
        <f t="shared" si="121"/>
        <v>0</v>
      </c>
      <c r="Q1958" s="13" t="str">
        <f t="shared" si="122"/>
        <v/>
      </c>
      <c r="R1958" s="13" t="str">
        <f t="shared" si="123"/>
        <v>Non diskon</v>
      </c>
    </row>
    <row r="1959" spans="1:18" x14ac:dyDescent="0.25">
      <c r="A1959" s="13" t="s">
        <v>1971</v>
      </c>
      <c r="B1959" s="13" t="s">
        <v>2193</v>
      </c>
      <c r="C1959" s="13" t="s">
        <v>2199</v>
      </c>
      <c r="D1959" s="13" t="s">
        <v>2207</v>
      </c>
      <c r="E1959" s="13" t="s">
        <v>2210</v>
      </c>
      <c r="F1959" s="13" t="s">
        <v>2215</v>
      </c>
      <c r="G1959" s="13">
        <v>184.87</v>
      </c>
      <c r="H1959" s="13">
        <v>56.4</v>
      </c>
      <c r="I1959" s="13">
        <v>80.599999999999994</v>
      </c>
      <c r="J1959" s="24">
        <v>45875</v>
      </c>
      <c r="K1959" s="13">
        <v>10</v>
      </c>
      <c r="L1959" s="44">
        <v>3.7</v>
      </c>
      <c r="M1959" s="13" t="b">
        <v>0</v>
      </c>
      <c r="O1959" s="25">
        <f t="shared" si="120"/>
        <v>27</v>
      </c>
      <c r="P1959" s="13">
        <f t="shared" si="121"/>
        <v>564</v>
      </c>
      <c r="Q1959" s="13" t="str">
        <f t="shared" si="122"/>
        <v/>
      </c>
      <c r="R1959" s="13" t="str">
        <f t="shared" si="123"/>
        <v>Diskon</v>
      </c>
    </row>
    <row r="1960" spans="1:18" x14ac:dyDescent="0.25">
      <c r="A1960" s="13" t="s">
        <v>1972</v>
      </c>
      <c r="B1960" s="13" t="s">
        <v>2194</v>
      </c>
      <c r="C1960" s="13" t="s">
        <v>2196</v>
      </c>
      <c r="D1960" s="13" t="s">
        <v>2204</v>
      </c>
      <c r="E1960" s="13" t="s">
        <v>2209</v>
      </c>
      <c r="F1960" s="13" t="s">
        <v>2220</v>
      </c>
      <c r="G1960" s="13">
        <v>84.58</v>
      </c>
      <c r="H1960" s="13">
        <v>0</v>
      </c>
      <c r="I1960" s="13">
        <v>84.58</v>
      </c>
      <c r="J1960" s="24">
        <v>45674</v>
      </c>
      <c r="K1960" s="13">
        <v>33</v>
      </c>
      <c r="L1960" s="44">
        <v>4.5</v>
      </c>
      <c r="M1960" s="13" t="b">
        <v>0</v>
      </c>
      <c r="O1960" s="25">
        <f t="shared" si="120"/>
        <v>228</v>
      </c>
      <c r="P1960" s="13">
        <f t="shared" si="121"/>
        <v>0</v>
      </c>
      <c r="Q1960" s="13" t="str">
        <f t="shared" si="122"/>
        <v/>
      </c>
      <c r="R1960" s="13" t="str">
        <f t="shared" si="123"/>
        <v>Non diskon</v>
      </c>
    </row>
    <row r="1961" spans="1:18" x14ac:dyDescent="0.25">
      <c r="A1961" s="13" t="s">
        <v>1973</v>
      </c>
      <c r="B1961" s="13" t="s">
        <v>2194</v>
      </c>
      <c r="C1961" s="13" t="s">
        <v>2203</v>
      </c>
      <c r="D1961" s="13" t="s">
        <v>2207</v>
      </c>
      <c r="E1961" s="13" t="s">
        <v>2211</v>
      </c>
      <c r="F1961" s="13" t="s">
        <v>2217</v>
      </c>
      <c r="G1961" s="13">
        <v>66.739999999999995</v>
      </c>
      <c r="H1961" s="13">
        <v>0</v>
      </c>
      <c r="I1961" s="13">
        <v>66.739999999999995</v>
      </c>
      <c r="J1961" s="24">
        <v>45875</v>
      </c>
      <c r="K1961" s="13">
        <v>26</v>
      </c>
      <c r="L1961" s="44">
        <v>4.5999999999999996</v>
      </c>
      <c r="M1961" s="13" t="b">
        <v>0</v>
      </c>
      <c r="O1961" s="25">
        <f t="shared" si="120"/>
        <v>27</v>
      </c>
      <c r="P1961" s="13">
        <f t="shared" si="121"/>
        <v>0</v>
      </c>
      <c r="Q1961" s="13" t="str">
        <f t="shared" si="122"/>
        <v/>
      </c>
      <c r="R1961" s="13" t="str">
        <f t="shared" si="123"/>
        <v>Non diskon</v>
      </c>
    </row>
    <row r="1962" spans="1:18" x14ac:dyDescent="0.25">
      <c r="A1962" s="13" t="s">
        <v>1974</v>
      </c>
      <c r="B1962" s="13" t="s">
        <v>2193</v>
      </c>
      <c r="C1962" s="13" t="s">
        <v>2200</v>
      </c>
      <c r="D1962" s="13" t="s">
        <v>2207</v>
      </c>
      <c r="E1962" s="13" t="s">
        <v>2213</v>
      </c>
      <c r="F1962" s="13" t="s">
        <v>2220</v>
      </c>
      <c r="G1962" s="13">
        <v>104.19</v>
      </c>
      <c r="H1962" s="13">
        <v>0</v>
      </c>
      <c r="I1962" s="13">
        <v>104.19</v>
      </c>
      <c r="J1962" s="24">
        <v>45875</v>
      </c>
      <c r="K1962" s="13">
        <v>4</v>
      </c>
      <c r="L1962" s="44">
        <v>4.7</v>
      </c>
      <c r="M1962" s="13" t="b">
        <v>0</v>
      </c>
      <c r="O1962" s="25">
        <f t="shared" si="120"/>
        <v>27</v>
      </c>
      <c r="P1962" s="13">
        <f t="shared" si="121"/>
        <v>0</v>
      </c>
      <c r="Q1962" s="13" t="str">
        <f t="shared" si="122"/>
        <v/>
      </c>
      <c r="R1962" s="13" t="str">
        <f t="shared" si="123"/>
        <v>Non diskon</v>
      </c>
    </row>
    <row r="1963" spans="1:18" x14ac:dyDescent="0.25">
      <c r="A1963" s="13" t="s">
        <v>1975</v>
      </c>
      <c r="B1963" s="13" t="s">
        <v>2190</v>
      </c>
      <c r="C1963" s="13" t="s">
        <v>2197</v>
      </c>
      <c r="D1963" s="13" t="s">
        <v>2207</v>
      </c>
      <c r="E1963" s="13" t="s">
        <v>2213</v>
      </c>
      <c r="F1963" s="13" t="s">
        <v>2220</v>
      </c>
      <c r="G1963" s="13">
        <v>216.73</v>
      </c>
      <c r="H1963" s="13">
        <v>0</v>
      </c>
      <c r="I1963" s="13">
        <v>216.73</v>
      </c>
      <c r="J1963" s="24">
        <v>45875</v>
      </c>
      <c r="K1963" s="13">
        <v>5</v>
      </c>
      <c r="L1963" s="44">
        <v>2.7</v>
      </c>
      <c r="M1963" s="13" t="b">
        <v>1</v>
      </c>
      <c r="N1963" s="13" t="s">
        <v>2230</v>
      </c>
      <c r="O1963" s="25">
        <f t="shared" si="120"/>
        <v>27</v>
      </c>
      <c r="P1963" s="13">
        <f t="shared" si="121"/>
        <v>0</v>
      </c>
      <c r="Q1963" s="13">
        <f t="shared" si="122"/>
        <v>1</v>
      </c>
      <c r="R1963" s="13" t="str">
        <f t="shared" si="123"/>
        <v>Non diskon</v>
      </c>
    </row>
    <row r="1964" spans="1:18" x14ac:dyDescent="0.25">
      <c r="A1964" s="13" t="s">
        <v>1976</v>
      </c>
      <c r="B1964" s="13" t="s">
        <v>2195</v>
      </c>
      <c r="C1964" s="13" t="s">
        <v>2199</v>
      </c>
      <c r="D1964" s="13" t="s">
        <v>2207</v>
      </c>
      <c r="E1964" s="13" t="s">
        <v>2211</v>
      </c>
      <c r="F1964" s="13" t="s">
        <v>2221</v>
      </c>
      <c r="G1964" s="13">
        <v>87.82</v>
      </c>
      <c r="H1964" s="13">
        <v>0</v>
      </c>
      <c r="I1964" s="13">
        <v>87.82</v>
      </c>
      <c r="J1964" s="24">
        <v>45875</v>
      </c>
      <c r="K1964" s="13">
        <v>24</v>
      </c>
      <c r="L1964" s="44">
        <v>4.2</v>
      </c>
      <c r="M1964" s="13" t="b">
        <v>0</v>
      </c>
      <c r="O1964" s="25">
        <f t="shared" si="120"/>
        <v>27</v>
      </c>
      <c r="P1964" s="13">
        <f t="shared" si="121"/>
        <v>0</v>
      </c>
      <c r="Q1964" s="13" t="str">
        <f t="shared" si="122"/>
        <v/>
      </c>
      <c r="R1964" s="13" t="str">
        <f t="shared" si="123"/>
        <v>Non diskon</v>
      </c>
    </row>
    <row r="1965" spans="1:18" x14ac:dyDescent="0.25">
      <c r="A1965" s="13" t="s">
        <v>1977</v>
      </c>
      <c r="B1965" s="13" t="s">
        <v>2193</v>
      </c>
      <c r="C1965" s="13" t="s">
        <v>2196</v>
      </c>
      <c r="D1965" s="13" t="s">
        <v>2207</v>
      </c>
      <c r="E1965" s="13" t="s">
        <v>2209</v>
      </c>
      <c r="F1965" s="13" t="s">
        <v>2220</v>
      </c>
      <c r="G1965" s="13">
        <v>81.59</v>
      </c>
      <c r="H1965" s="13">
        <v>0</v>
      </c>
      <c r="I1965" s="13">
        <v>81.59</v>
      </c>
      <c r="J1965" s="24">
        <v>45875</v>
      </c>
      <c r="K1965" s="13">
        <v>5</v>
      </c>
      <c r="L1965" s="44">
        <v>2.5</v>
      </c>
      <c r="M1965" s="13" t="b">
        <v>0</v>
      </c>
      <c r="O1965" s="25">
        <f t="shared" si="120"/>
        <v>27</v>
      </c>
      <c r="P1965" s="13">
        <f t="shared" si="121"/>
        <v>0</v>
      </c>
      <c r="Q1965" s="13" t="str">
        <f t="shared" si="122"/>
        <v/>
      </c>
      <c r="R1965" s="13" t="str">
        <f t="shared" si="123"/>
        <v>Non diskon</v>
      </c>
    </row>
    <row r="1966" spans="1:18" x14ac:dyDescent="0.25">
      <c r="A1966" s="13" t="s">
        <v>1978</v>
      </c>
      <c r="B1966" s="13" t="s">
        <v>2190</v>
      </c>
      <c r="C1966" s="13" t="s">
        <v>2202</v>
      </c>
      <c r="D1966" s="13" t="s">
        <v>2207</v>
      </c>
      <c r="F1966" s="13" t="s">
        <v>2219</v>
      </c>
      <c r="G1966" s="13">
        <v>93.14</v>
      </c>
      <c r="H1966" s="13">
        <v>32.799999999999997</v>
      </c>
      <c r="I1966" s="13">
        <v>62.59</v>
      </c>
      <c r="J1966" s="24">
        <v>45875</v>
      </c>
      <c r="K1966" s="13">
        <v>45</v>
      </c>
      <c r="L1966" s="44">
        <v>4.5</v>
      </c>
      <c r="M1966" s="13" t="b">
        <v>0</v>
      </c>
      <c r="O1966" s="25">
        <f t="shared" si="120"/>
        <v>27</v>
      </c>
      <c r="P1966" s="13">
        <f t="shared" si="121"/>
        <v>1475.9999999999998</v>
      </c>
      <c r="Q1966" s="13" t="str">
        <f t="shared" si="122"/>
        <v/>
      </c>
      <c r="R1966" s="13" t="str">
        <f t="shared" si="123"/>
        <v>Diskon</v>
      </c>
    </row>
    <row r="1967" spans="1:18" x14ac:dyDescent="0.25">
      <c r="A1967" s="13" t="s">
        <v>1979</v>
      </c>
      <c r="B1967" s="13" t="s">
        <v>2194</v>
      </c>
      <c r="C1967" s="13" t="s">
        <v>2202</v>
      </c>
      <c r="D1967" s="13" t="s">
        <v>2204</v>
      </c>
      <c r="E1967" s="13" t="s">
        <v>2212</v>
      </c>
      <c r="F1967" s="13" t="s">
        <v>2218</v>
      </c>
      <c r="G1967" s="13">
        <v>96.73</v>
      </c>
      <c r="H1967" s="13">
        <v>0</v>
      </c>
      <c r="I1967" s="13">
        <v>96.73</v>
      </c>
      <c r="J1967" s="24">
        <v>45605</v>
      </c>
      <c r="K1967" s="13">
        <v>18</v>
      </c>
      <c r="L1967" s="44">
        <v>4.8</v>
      </c>
      <c r="M1967" s="13" t="b">
        <v>0</v>
      </c>
      <c r="O1967" s="25">
        <f t="shared" si="120"/>
        <v>297</v>
      </c>
      <c r="P1967" s="13">
        <f t="shared" si="121"/>
        <v>0</v>
      </c>
      <c r="Q1967" s="13" t="str">
        <f t="shared" si="122"/>
        <v/>
      </c>
      <c r="R1967" s="13" t="str">
        <f t="shared" si="123"/>
        <v>Non diskon</v>
      </c>
    </row>
    <row r="1968" spans="1:18" x14ac:dyDescent="0.25">
      <c r="A1968" s="13" t="s">
        <v>1980</v>
      </c>
      <c r="B1968" s="13" t="s">
        <v>2192</v>
      </c>
      <c r="C1968" s="13" t="s">
        <v>2203</v>
      </c>
      <c r="D1968" s="13" t="s">
        <v>2205</v>
      </c>
      <c r="F1968" s="13" t="s">
        <v>2219</v>
      </c>
      <c r="G1968" s="13">
        <v>19.34</v>
      </c>
      <c r="H1968" s="13">
        <v>0</v>
      </c>
      <c r="I1968" s="13">
        <v>19.34</v>
      </c>
      <c r="J1968" s="24">
        <v>45875</v>
      </c>
      <c r="K1968" s="13">
        <v>19</v>
      </c>
      <c r="L1968" s="44">
        <v>2.8636363636363633</v>
      </c>
      <c r="M1968" s="13" t="b">
        <v>0</v>
      </c>
      <c r="O1968" s="25">
        <f t="shared" si="120"/>
        <v>27</v>
      </c>
      <c r="P1968" s="13">
        <f t="shared" si="121"/>
        <v>0</v>
      </c>
      <c r="Q1968" s="13" t="str">
        <f t="shared" si="122"/>
        <v/>
      </c>
      <c r="R1968" s="13" t="str">
        <f t="shared" si="123"/>
        <v>Non diskon</v>
      </c>
    </row>
    <row r="1969" spans="1:18" x14ac:dyDescent="0.25">
      <c r="A1969" s="13" t="s">
        <v>1981</v>
      </c>
      <c r="B1969" s="13" t="s">
        <v>2193</v>
      </c>
      <c r="C1969" s="13" t="s">
        <v>2196</v>
      </c>
      <c r="D1969" s="13" t="s">
        <v>2204</v>
      </c>
      <c r="E1969" s="13" t="s">
        <v>2210</v>
      </c>
      <c r="F1969" s="13" t="s">
        <v>2214</v>
      </c>
      <c r="G1969" s="13">
        <v>113.88</v>
      </c>
      <c r="H1969" s="13">
        <v>31.1</v>
      </c>
      <c r="I1969" s="13">
        <v>78.459999999999994</v>
      </c>
      <c r="J1969" s="24">
        <v>45818</v>
      </c>
      <c r="K1969" s="13">
        <v>22</v>
      </c>
      <c r="L1969" s="44">
        <v>3.1</v>
      </c>
      <c r="M1969" s="13" t="b">
        <v>0</v>
      </c>
      <c r="O1969" s="25">
        <f t="shared" si="120"/>
        <v>84</v>
      </c>
      <c r="P1969" s="13">
        <f t="shared" si="121"/>
        <v>684.2</v>
      </c>
      <c r="Q1969" s="13" t="str">
        <f t="shared" si="122"/>
        <v/>
      </c>
      <c r="R1969" s="13" t="str">
        <f t="shared" si="123"/>
        <v>Diskon</v>
      </c>
    </row>
    <row r="1970" spans="1:18" x14ac:dyDescent="0.25">
      <c r="A1970" s="13" t="s">
        <v>1982</v>
      </c>
      <c r="B1970" s="13" t="s">
        <v>2195</v>
      </c>
      <c r="C1970" s="13" t="s">
        <v>2196</v>
      </c>
      <c r="D1970" s="13" t="s">
        <v>2204</v>
      </c>
      <c r="E1970" s="13" t="s">
        <v>2208</v>
      </c>
      <c r="F1970" s="13" t="s">
        <v>2222</v>
      </c>
      <c r="G1970" s="13">
        <v>90.32</v>
      </c>
      <c r="H1970" s="13">
        <v>0</v>
      </c>
      <c r="I1970" s="13">
        <v>90.32</v>
      </c>
      <c r="J1970" s="24">
        <v>45742</v>
      </c>
      <c r="K1970" s="13">
        <v>41</v>
      </c>
      <c r="L1970" s="44">
        <v>2.8</v>
      </c>
      <c r="M1970" s="13" t="b">
        <v>0</v>
      </c>
      <c r="O1970" s="25">
        <f t="shared" si="120"/>
        <v>160</v>
      </c>
      <c r="P1970" s="13">
        <f t="shared" si="121"/>
        <v>0</v>
      </c>
      <c r="Q1970" s="13" t="str">
        <f t="shared" si="122"/>
        <v/>
      </c>
      <c r="R1970" s="13" t="str">
        <f t="shared" si="123"/>
        <v>Non diskon</v>
      </c>
    </row>
    <row r="1971" spans="1:18" x14ac:dyDescent="0.25">
      <c r="A1971" s="13" t="s">
        <v>1983</v>
      </c>
      <c r="B1971" s="13" t="s">
        <v>2191</v>
      </c>
      <c r="C1971" s="13" t="s">
        <v>2198</v>
      </c>
      <c r="D1971" s="13" t="s">
        <v>2207</v>
      </c>
      <c r="E1971" s="13" t="s">
        <v>2209</v>
      </c>
      <c r="F1971" s="13" t="s">
        <v>2218</v>
      </c>
      <c r="G1971" s="13">
        <v>38.119999999999997</v>
      </c>
      <c r="H1971" s="13">
        <v>0</v>
      </c>
      <c r="I1971" s="13">
        <v>38.119999999999997</v>
      </c>
      <c r="J1971" s="24">
        <v>45875</v>
      </c>
      <c r="K1971" s="13">
        <v>44</v>
      </c>
      <c r="L1971" s="44">
        <v>2.953125</v>
      </c>
      <c r="M1971" s="13" t="b">
        <v>0</v>
      </c>
      <c r="O1971" s="25">
        <f t="shared" si="120"/>
        <v>27</v>
      </c>
      <c r="P1971" s="13">
        <f t="shared" si="121"/>
        <v>0</v>
      </c>
      <c r="Q1971" s="13" t="str">
        <f t="shared" si="122"/>
        <v/>
      </c>
      <c r="R1971" s="13" t="str">
        <f t="shared" si="123"/>
        <v>Non diskon</v>
      </c>
    </row>
    <row r="1972" spans="1:18" x14ac:dyDescent="0.25">
      <c r="A1972" s="13" t="s">
        <v>1984</v>
      </c>
      <c r="B1972" s="13" t="s">
        <v>2193</v>
      </c>
      <c r="C1972" s="13" t="s">
        <v>2198</v>
      </c>
      <c r="D1972" s="13" t="s">
        <v>2207</v>
      </c>
      <c r="E1972" s="13" t="s">
        <v>2210</v>
      </c>
      <c r="F1972" s="13" t="s">
        <v>2219</v>
      </c>
      <c r="G1972" s="13">
        <v>175.31</v>
      </c>
      <c r="H1972" s="13">
        <v>0</v>
      </c>
      <c r="I1972" s="13">
        <v>175.31</v>
      </c>
      <c r="J1972" s="24">
        <v>45875</v>
      </c>
      <c r="K1972" s="13">
        <v>13</v>
      </c>
      <c r="L1972" s="44">
        <v>3.1936170212765949</v>
      </c>
      <c r="M1972" s="13" t="b">
        <v>0</v>
      </c>
      <c r="O1972" s="25">
        <f t="shared" si="120"/>
        <v>27</v>
      </c>
      <c r="P1972" s="13">
        <f t="shared" si="121"/>
        <v>0</v>
      </c>
      <c r="Q1972" s="13" t="str">
        <f t="shared" si="122"/>
        <v/>
      </c>
      <c r="R1972" s="13" t="str">
        <f t="shared" si="123"/>
        <v>Non diskon</v>
      </c>
    </row>
    <row r="1973" spans="1:18" x14ac:dyDescent="0.25">
      <c r="A1973" s="13" t="s">
        <v>1985</v>
      </c>
      <c r="B1973" s="13" t="s">
        <v>2195</v>
      </c>
      <c r="C1973" s="13" t="s">
        <v>2196</v>
      </c>
      <c r="D1973" s="13" t="s">
        <v>2204</v>
      </c>
      <c r="E1973" s="13" t="s">
        <v>2209</v>
      </c>
      <c r="F1973" s="13" t="s">
        <v>2214</v>
      </c>
      <c r="G1973" s="13">
        <v>171.92</v>
      </c>
      <c r="H1973" s="13">
        <v>0</v>
      </c>
      <c r="I1973" s="13">
        <v>171.92</v>
      </c>
      <c r="J1973" s="24">
        <v>45816</v>
      </c>
      <c r="K1973" s="13">
        <v>12</v>
      </c>
      <c r="L1973" s="44">
        <v>1.3</v>
      </c>
      <c r="M1973" s="13" t="b">
        <v>0</v>
      </c>
      <c r="O1973" s="25">
        <f t="shared" si="120"/>
        <v>86</v>
      </c>
      <c r="P1973" s="13">
        <f t="shared" si="121"/>
        <v>0</v>
      </c>
      <c r="Q1973" s="13" t="str">
        <f t="shared" si="122"/>
        <v/>
      </c>
      <c r="R1973" s="13" t="str">
        <f t="shared" si="123"/>
        <v>Non diskon</v>
      </c>
    </row>
    <row r="1974" spans="1:18" x14ac:dyDescent="0.25">
      <c r="A1974" s="13" t="s">
        <v>1986</v>
      </c>
      <c r="B1974" s="13" t="s">
        <v>2192</v>
      </c>
      <c r="C1974" s="13" t="s">
        <v>2202</v>
      </c>
      <c r="D1974" s="13" t="s">
        <v>2207</v>
      </c>
      <c r="F1974" s="13" t="s">
        <v>2219</v>
      </c>
      <c r="G1974" s="13">
        <v>35.6</v>
      </c>
      <c r="H1974" s="13">
        <v>0</v>
      </c>
      <c r="I1974" s="13">
        <v>35.6</v>
      </c>
      <c r="J1974" s="24">
        <v>45875</v>
      </c>
      <c r="K1974" s="13">
        <v>24</v>
      </c>
      <c r="L1974" s="44">
        <v>3.1</v>
      </c>
      <c r="M1974" s="13" t="b">
        <v>0</v>
      </c>
      <c r="O1974" s="25">
        <f t="shared" si="120"/>
        <v>27</v>
      </c>
      <c r="P1974" s="13">
        <f t="shared" si="121"/>
        <v>0</v>
      </c>
      <c r="Q1974" s="13" t="str">
        <f t="shared" si="122"/>
        <v/>
      </c>
      <c r="R1974" s="13" t="str">
        <f t="shared" si="123"/>
        <v>Non diskon</v>
      </c>
    </row>
    <row r="1975" spans="1:18" x14ac:dyDescent="0.25">
      <c r="A1975" s="13" t="s">
        <v>1987</v>
      </c>
      <c r="B1975" s="13" t="s">
        <v>2194</v>
      </c>
      <c r="C1975" s="13" t="s">
        <v>2200</v>
      </c>
      <c r="D1975" s="13" t="s">
        <v>2207</v>
      </c>
      <c r="E1975" s="13" t="s">
        <v>2213</v>
      </c>
      <c r="F1975" s="13" t="s">
        <v>2222</v>
      </c>
      <c r="G1975" s="13">
        <v>81.7</v>
      </c>
      <c r="H1975" s="13">
        <v>0</v>
      </c>
      <c r="I1975" s="13">
        <v>81.7</v>
      </c>
      <c r="J1975" s="24">
        <v>45875</v>
      </c>
      <c r="K1975" s="13">
        <v>33</v>
      </c>
      <c r="L1975" s="44">
        <v>3.0659090909090896</v>
      </c>
      <c r="M1975" s="13" t="b">
        <v>1</v>
      </c>
      <c r="N1975" s="13" t="s">
        <v>2230</v>
      </c>
      <c r="O1975" s="25">
        <f t="shared" si="120"/>
        <v>27</v>
      </c>
      <c r="P1975" s="13">
        <f t="shared" si="121"/>
        <v>0</v>
      </c>
      <c r="Q1975" s="13">
        <f t="shared" si="122"/>
        <v>1</v>
      </c>
      <c r="R1975" s="13" t="str">
        <f t="shared" si="123"/>
        <v>Non diskon</v>
      </c>
    </row>
    <row r="1976" spans="1:18" x14ac:dyDescent="0.25">
      <c r="A1976" s="13" t="s">
        <v>1988</v>
      </c>
      <c r="B1976" s="13" t="s">
        <v>2194</v>
      </c>
      <c r="C1976" s="13" t="s">
        <v>2198</v>
      </c>
      <c r="D1976" s="13" t="s">
        <v>2207</v>
      </c>
      <c r="F1976" s="13" t="s">
        <v>2223</v>
      </c>
      <c r="G1976" s="13">
        <v>29.7</v>
      </c>
      <c r="H1976" s="13">
        <v>0</v>
      </c>
      <c r="I1976" s="13">
        <v>29.7</v>
      </c>
      <c r="J1976" s="24">
        <v>45875</v>
      </c>
      <c r="K1976" s="13">
        <v>16</v>
      </c>
      <c r="L1976" s="44">
        <v>2.7</v>
      </c>
      <c r="M1976" s="13" t="b">
        <v>0</v>
      </c>
      <c r="O1976" s="25">
        <f t="shared" si="120"/>
        <v>27</v>
      </c>
      <c r="P1976" s="13">
        <f t="shared" si="121"/>
        <v>0</v>
      </c>
      <c r="Q1976" s="13" t="str">
        <f t="shared" si="122"/>
        <v/>
      </c>
      <c r="R1976" s="13" t="str">
        <f t="shared" si="123"/>
        <v>Non diskon</v>
      </c>
    </row>
    <row r="1977" spans="1:18" x14ac:dyDescent="0.25">
      <c r="A1977" s="13" t="s">
        <v>1989</v>
      </c>
      <c r="B1977" s="13" t="s">
        <v>2190</v>
      </c>
      <c r="C1977" s="13" t="s">
        <v>2199</v>
      </c>
      <c r="D1977" s="13" t="s">
        <v>2205</v>
      </c>
      <c r="E1977" s="13" t="s">
        <v>2210</v>
      </c>
      <c r="F1977" s="13" t="s">
        <v>2224</v>
      </c>
      <c r="G1977" s="13">
        <v>239.65</v>
      </c>
      <c r="H1977" s="13">
        <v>0</v>
      </c>
      <c r="I1977" s="13">
        <v>239.65</v>
      </c>
      <c r="J1977" s="24">
        <v>45875</v>
      </c>
      <c r="K1977" s="13">
        <v>27</v>
      </c>
      <c r="L1977" s="44">
        <v>2.9</v>
      </c>
      <c r="M1977" s="13" t="b">
        <v>0</v>
      </c>
      <c r="O1977" s="25">
        <f t="shared" si="120"/>
        <v>27</v>
      </c>
      <c r="P1977" s="13">
        <f t="shared" si="121"/>
        <v>0</v>
      </c>
      <c r="Q1977" s="13" t="str">
        <f t="shared" si="122"/>
        <v/>
      </c>
      <c r="R1977" s="13" t="str">
        <f t="shared" si="123"/>
        <v>Non diskon</v>
      </c>
    </row>
    <row r="1978" spans="1:18" x14ac:dyDescent="0.25">
      <c r="A1978" s="13" t="s">
        <v>1990</v>
      </c>
      <c r="B1978" s="13" t="s">
        <v>2191</v>
      </c>
      <c r="C1978" s="13" t="s">
        <v>2200</v>
      </c>
      <c r="D1978" s="13" t="s">
        <v>2206</v>
      </c>
      <c r="E1978" s="13" t="s">
        <v>2213</v>
      </c>
      <c r="F1978" s="13" t="s">
        <v>2214</v>
      </c>
      <c r="G1978" s="13">
        <v>90.41</v>
      </c>
      <c r="H1978" s="13">
        <v>0</v>
      </c>
      <c r="I1978" s="13">
        <v>90.41</v>
      </c>
      <c r="J1978" s="24">
        <v>45875</v>
      </c>
      <c r="K1978" s="13">
        <v>11</v>
      </c>
      <c r="L1978" s="44">
        <v>2.9657142857142857</v>
      </c>
      <c r="M1978" s="13" t="b">
        <v>0</v>
      </c>
      <c r="O1978" s="25">
        <f t="shared" si="120"/>
        <v>27</v>
      </c>
      <c r="P1978" s="13">
        <f t="shared" si="121"/>
        <v>0</v>
      </c>
      <c r="Q1978" s="13" t="str">
        <f t="shared" si="122"/>
        <v/>
      </c>
      <c r="R1978" s="13" t="str">
        <f t="shared" si="123"/>
        <v>Non diskon</v>
      </c>
    </row>
    <row r="1979" spans="1:18" x14ac:dyDescent="0.25">
      <c r="A1979" s="13" t="s">
        <v>1991</v>
      </c>
      <c r="B1979" s="13" t="s">
        <v>2195</v>
      </c>
      <c r="C1979" s="13" t="s">
        <v>2201</v>
      </c>
      <c r="D1979" s="13" t="s">
        <v>2205</v>
      </c>
      <c r="E1979" s="13" t="s">
        <v>2208</v>
      </c>
      <c r="F1979" s="13" t="s">
        <v>2217</v>
      </c>
      <c r="G1979" s="13">
        <v>81.78</v>
      </c>
      <c r="H1979" s="13">
        <v>10</v>
      </c>
      <c r="I1979" s="13">
        <v>73.599999999999994</v>
      </c>
      <c r="J1979" s="24">
        <v>45875</v>
      </c>
      <c r="K1979" s="13">
        <v>24</v>
      </c>
      <c r="L1979" s="44">
        <v>1.2</v>
      </c>
      <c r="M1979" s="13" t="b">
        <v>0</v>
      </c>
      <c r="O1979" s="25">
        <f t="shared" si="120"/>
        <v>27</v>
      </c>
      <c r="P1979" s="13">
        <f t="shared" si="121"/>
        <v>240</v>
      </c>
      <c r="Q1979" s="13" t="str">
        <f t="shared" si="122"/>
        <v/>
      </c>
      <c r="R1979" s="13" t="str">
        <f t="shared" si="123"/>
        <v>Diskon</v>
      </c>
    </row>
    <row r="1980" spans="1:18" x14ac:dyDescent="0.25">
      <c r="A1980" s="13" t="s">
        <v>1992</v>
      </c>
      <c r="B1980" s="13" t="s">
        <v>2190</v>
      </c>
      <c r="C1980" s="13" t="s">
        <v>2203</v>
      </c>
      <c r="D1980" s="13" t="s">
        <v>2205</v>
      </c>
      <c r="E1980" s="13" t="s">
        <v>2209</v>
      </c>
      <c r="F1980" s="13" t="s">
        <v>2216</v>
      </c>
      <c r="G1980" s="13">
        <v>142.55000000000001</v>
      </c>
      <c r="H1980" s="13">
        <v>0</v>
      </c>
      <c r="I1980" s="13">
        <v>142.55000000000001</v>
      </c>
      <c r="J1980" s="24">
        <v>45875</v>
      </c>
      <c r="K1980" s="13">
        <v>21</v>
      </c>
      <c r="L1980" s="44">
        <v>4.5</v>
      </c>
      <c r="M1980" s="13" t="b">
        <v>0</v>
      </c>
      <c r="O1980" s="25">
        <f t="shared" si="120"/>
        <v>27</v>
      </c>
      <c r="P1980" s="13">
        <f t="shared" si="121"/>
        <v>0</v>
      </c>
      <c r="Q1980" s="13" t="str">
        <f t="shared" si="122"/>
        <v/>
      </c>
      <c r="R1980" s="13" t="str">
        <f t="shared" si="123"/>
        <v>Non diskon</v>
      </c>
    </row>
    <row r="1981" spans="1:18" x14ac:dyDescent="0.25">
      <c r="A1981" s="13" t="s">
        <v>1993</v>
      </c>
      <c r="B1981" s="13" t="s">
        <v>2195</v>
      </c>
      <c r="C1981" s="13" t="s">
        <v>2202</v>
      </c>
      <c r="D1981" s="13" t="s">
        <v>2206</v>
      </c>
      <c r="E1981" s="13" t="s">
        <v>2210</v>
      </c>
      <c r="F1981" s="13" t="s">
        <v>2216</v>
      </c>
      <c r="G1981" s="13">
        <v>53.13</v>
      </c>
      <c r="H1981" s="13">
        <v>0</v>
      </c>
      <c r="I1981" s="13">
        <v>53.13</v>
      </c>
      <c r="J1981" s="24">
        <v>45875</v>
      </c>
      <c r="K1981" s="13">
        <v>5</v>
      </c>
      <c r="L1981" s="44">
        <v>4.5999999999999996</v>
      </c>
      <c r="M1981" s="13" t="b">
        <v>0</v>
      </c>
      <c r="O1981" s="25">
        <f t="shared" si="120"/>
        <v>27</v>
      </c>
      <c r="P1981" s="13">
        <f t="shared" si="121"/>
        <v>0</v>
      </c>
      <c r="Q1981" s="13" t="str">
        <f t="shared" si="122"/>
        <v/>
      </c>
      <c r="R1981" s="13" t="str">
        <f t="shared" si="123"/>
        <v>Non diskon</v>
      </c>
    </row>
    <row r="1982" spans="1:18" x14ac:dyDescent="0.25">
      <c r="A1982" s="13" t="s">
        <v>1994</v>
      </c>
      <c r="B1982" s="13" t="s">
        <v>2194</v>
      </c>
      <c r="C1982" s="13" t="s">
        <v>2203</v>
      </c>
      <c r="D1982" s="13" t="s">
        <v>2207</v>
      </c>
      <c r="E1982" s="13" t="s">
        <v>2209</v>
      </c>
      <c r="F1982" s="13" t="s">
        <v>2222</v>
      </c>
      <c r="G1982" s="13">
        <v>80.81</v>
      </c>
      <c r="H1982" s="13">
        <v>0</v>
      </c>
      <c r="I1982" s="13">
        <v>80.81</v>
      </c>
      <c r="J1982" s="24">
        <v>45875</v>
      </c>
      <c r="K1982" s="13">
        <v>15</v>
      </c>
      <c r="L1982" s="44">
        <v>4.5999999999999996</v>
      </c>
      <c r="M1982" s="13" t="b">
        <v>0</v>
      </c>
      <c r="O1982" s="25">
        <f t="shared" si="120"/>
        <v>27</v>
      </c>
      <c r="P1982" s="13">
        <f t="shared" si="121"/>
        <v>0</v>
      </c>
      <c r="Q1982" s="13" t="str">
        <f t="shared" si="122"/>
        <v/>
      </c>
      <c r="R1982" s="13" t="str">
        <f t="shared" si="123"/>
        <v>Non diskon</v>
      </c>
    </row>
    <row r="1983" spans="1:18" x14ac:dyDescent="0.25">
      <c r="A1983" s="13" t="s">
        <v>1995</v>
      </c>
      <c r="B1983" s="13" t="s">
        <v>2191</v>
      </c>
      <c r="C1983" s="13" t="s">
        <v>2197</v>
      </c>
      <c r="D1983" s="13" t="s">
        <v>2206</v>
      </c>
      <c r="E1983" s="13" t="s">
        <v>2213</v>
      </c>
      <c r="F1983" s="13" t="s">
        <v>2222</v>
      </c>
      <c r="G1983" s="13">
        <v>89.39</v>
      </c>
      <c r="H1983" s="13">
        <v>0</v>
      </c>
      <c r="I1983" s="13">
        <v>89.39</v>
      </c>
      <c r="J1983" s="24">
        <v>45875</v>
      </c>
      <c r="K1983" s="13">
        <v>33</v>
      </c>
      <c r="L1983" s="44">
        <v>4.2</v>
      </c>
      <c r="M1983" s="13" t="b">
        <v>0</v>
      </c>
      <c r="O1983" s="25">
        <f t="shared" si="120"/>
        <v>27</v>
      </c>
      <c r="P1983" s="13">
        <f t="shared" si="121"/>
        <v>0</v>
      </c>
      <c r="Q1983" s="13" t="str">
        <f t="shared" si="122"/>
        <v/>
      </c>
      <c r="R1983" s="13" t="str">
        <f t="shared" si="123"/>
        <v>Non diskon</v>
      </c>
    </row>
    <row r="1984" spans="1:18" x14ac:dyDescent="0.25">
      <c r="A1984" s="13" t="s">
        <v>1996</v>
      </c>
      <c r="B1984" s="13" t="s">
        <v>2194</v>
      </c>
      <c r="C1984" s="13" t="s">
        <v>2199</v>
      </c>
      <c r="D1984" s="13" t="s">
        <v>2207</v>
      </c>
      <c r="E1984" s="13" t="s">
        <v>2210</v>
      </c>
      <c r="F1984" s="13" t="s">
        <v>2219</v>
      </c>
      <c r="G1984" s="13">
        <v>37.9</v>
      </c>
      <c r="H1984" s="13">
        <v>37.9</v>
      </c>
      <c r="I1984" s="13">
        <v>23.54</v>
      </c>
      <c r="J1984" s="24">
        <v>45875</v>
      </c>
      <c r="K1984" s="13">
        <v>34</v>
      </c>
      <c r="L1984" s="44">
        <v>1.3</v>
      </c>
      <c r="M1984" s="13" t="b">
        <v>0</v>
      </c>
      <c r="O1984" s="25">
        <f t="shared" si="120"/>
        <v>27</v>
      </c>
      <c r="P1984" s="13">
        <f t="shared" si="121"/>
        <v>1288.5999999999999</v>
      </c>
      <c r="Q1984" s="13" t="str">
        <f t="shared" si="122"/>
        <v/>
      </c>
      <c r="R1984" s="13" t="str">
        <f t="shared" si="123"/>
        <v>Diskon</v>
      </c>
    </row>
    <row r="1985" spans="1:18" x14ac:dyDescent="0.25">
      <c r="A1985" s="13" t="s">
        <v>1997</v>
      </c>
      <c r="B1985" s="13" t="s">
        <v>2192</v>
      </c>
      <c r="C1985" s="13" t="s">
        <v>2199</v>
      </c>
      <c r="D1985" s="13" t="s">
        <v>2204</v>
      </c>
      <c r="F1985" s="13" t="s">
        <v>2224</v>
      </c>
      <c r="G1985" s="13">
        <v>44.49</v>
      </c>
      <c r="H1985" s="13">
        <v>0</v>
      </c>
      <c r="I1985" s="13">
        <v>44.49</v>
      </c>
      <c r="J1985" s="24">
        <v>45835</v>
      </c>
      <c r="K1985" s="13">
        <v>34</v>
      </c>
      <c r="L1985" s="44">
        <v>2.1</v>
      </c>
      <c r="M1985" s="13" t="b">
        <v>0</v>
      </c>
      <c r="O1985" s="25">
        <f t="shared" si="120"/>
        <v>67</v>
      </c>
      <c r="P1985" s="13">
        <f t="shared" si="121"/>
        <v>0</v>
      </c>
      <c r="Q1985" s="13" t="str">
        <f t="shared" si="122"/>
        <v/>
      </c>
      <c r="R1985" s="13" t="str">
        <f t="shared" si="123"/>
        <v>Non diskon</v>
      </c>
    </row>
    <row r="1986" spans="1:18" x14ac:dyDescent="0.25">
      <c r="A1986" s="13" t="s">
        <v>1998</v>
      </c>
      <c r="B1986" s="13" t="s">
        <v>2191</v>
      </c>
      <c r="C1986" s="13" t="s">
        <v>2199</v>
      </c>
      <c r="D1986" s="13" t="s">
        <v>2207</v>
      </c>
      <c r="E1986" s="13" t="s">
        <v>2209</v>
      </c>
      <c r="F1986" s="13" t="s">
        <v>2221</v>
      </c>
      <c r="G1986" s="13">
        <v>111.7</v>
      </c>
      <c r="H1986" s="13">
        <v>0</v>
      </c>
      <c r="I1986" s="13">
        <v>111.7</v>
      </c>
      <c r="J1986" s="24">
        <v>45875</v>
      </c>
      <c r="K1986" s="13">
        <v>2</v>
      </c>
      <c r="L1986" s="44">
        <v>2.9742857142857138</v>
      </c>
      <c r="M1986" s="13" t="b">
        <v>1</v>
      </c>
      <c r="N1986" s="13" t="s">
        <v>2226</v>
      </c>
      <c r="O1986" s="25">
        <f t="shared" si="120"/>
        <v>27</v>
      </c>
      <c r="P1986" s="13">
        <f t="shared" si="121"/>
        <v>0</v>
      </c>
      <c r="Q1986" s="13">
        <f t="shared" si="122"/>
        <v>1</v>
      </c>
      <c r="R1986" s="13" t="str">
        <f t="shared" si="123"/>
        <v>Non diskon</v>
      </c>
    </row>
    <row r="1987" spans="1:18" x14ac:dyDescent="0.25">
      <c r="A1987" s="13" t="s">
        <v>1999</v>
      </c>
      <c r="B1987" s="13" t="s">
        <v>2191</v>
      </c>
      <c r="C1987" s="13" t="s">
        <v>2200</v>
      </c>
      <c r="D1987" s="13" t="s">
        <v>2204</v>
      </c>
      <c r="E1987" s="13" t="s">
        <v>2209</v>
      </c>
      <c r="F1987" s="13" t="s">
        <v>2222</v>
      </c>
      <c r="G1987" s="13">
        <v>109.76</v>
      </c>
      <c r="H1987" s="13">
        <v>0</v>
      </c>
      <c r="I1987" s="13">
        <v>109.76</v>
      </c>
      <c r="J1987" s="24">
        <v>45669</v>
      </c>
      <c r="K1987" s="13">
        <v>23</v>
      </c>
      <c r="L1987" s="44">
        <v>2</v>
      </c>
      <c r="M1987" s="13" t="b">
        <v>1</v>
      </c>
      <c r="N1987" s="13" t="s">
        <v>2228</v>
      </c>
      <c r="O1987" s="25">
        <f t="shared" ref="O1987:O2050" si="124">DATE(2025,9,2)-J1987</f>
        <v>233</v>
      </c>
      <c r="P1987" s="13">
        <f t="shared" ref="P1987:P2050" si="125">H1987*K1987</f>
        <v>0</v>
      </c>
      <c r="Q1987" s="13">
        <f t="shared" ref="Q1987:Q2050" si="126">IF(M1987=FALSE,"",1)</f>
        <v>1</v>
      </c>
      <c r="R1987" s="13" t="str">
        <f t="shared" ref="R1987:R2050" si="127">IF(H1987=0,"Non diskon","Diskon")</f>
        <v>Non diskon</v>
      </c>
    </row>
    <row r="1988" spans="1:18" x14ac:dyDescent="0.25">
      <c r="A1988" s="13" t="s">
        <v>2000</v>
      </c>
      <c r="B1988" s="13" t="s">
        <v>2192</v>
      </c>
      <c r="C1988" s="13" t="s">
        <v>2197</v>
      </c>
      <c r="D1988" s="13" t="s">
        <v>2206</v>
      </c>
      <c r="F1988" s="13" t="s">
        <v>2222</v>
      </c>
      <c r="G1988" s="13">
        <v>33</v>
      </c>
      <c r="H1988" s="13">
        <v>0</v>
      </c>
      <c r="I1988" s="13">
        <v>33</v>
      </c>
      <c r="J1988" s="24">
        <v>45875</v>
      </c>
      <c r="K1988" s="13">
        <v>50</v>
      </c>
      <c r="L1988" s="44">
        <v>4</v>
      </c>
      <c r="M1988" s="13" t="b">
        <v>0</v>
      </c>
      <c r="O1988" s="25">
        <f t="shared" si="124"/>
        <v>27</v>
      </c>
      <c r="P1988" s="13">
        <f t="shared" si="125"/>
        <v>0</v>
      </c>
      <c r="Q1988" s="13" t="str">
        <f t="shared" si="126"/>
        <v/>
      </c>
      <c r="R1988" s="13" t="str">
        <f t="shared" si="127"/>
        <v>Non diskon</v>
      </c>
    </row>
    <row r="1989" spans="1:18" x14ac:dyDescent="0.25">
      <c r="A1989" s="13" t="s">
        <v>2001</v>
      </c>
      <c r="B1989" s="13" t="s">
        <v>2193</v>
      </c>
      <c r="C1989" s="13" t="s">
        <v>2201</v>
      </c>
      <c r="D1989" s="13" t="s">
        <v>2205</v>
      </c>
      <c r="E1989" s="13" t="s">
        <v>2213</v>
      </c>
      <c r="F1989" s="13" t="s">
        <v>2220</v>
      </c>
      <c r="G1989" s="13">
        <v>150.65</v>
      </c>
      <c r="H1989" s="13">
        <v>8.9</v>
      </c>
      <c r="I1989" s="13">
        <v>137.24</v>
      </c>
      <c r="J1989" s="24">
        <v>45875</v>
      </c>
      <c r="K1989" s="13">
        <v>43</v>
      </c>
      <c r="L1989" s="44">
        <v>3.4</v>
      </c>
      <c r="M1989" s="13" t="b">
        <v>0</v>
      </c>
      <c r="O1989" s="25">
        <f t="shared" si="124"/>
        <v>27</v>
      </c>
      <c r="P1989" s="13">
        <f t="shared" si="125"/>
        <v>382.7</v>
      </c>
      <c r="Q1989" s="13" t="str">
        <f t="shared" si="126"/>
        <v/>
      </c>
      <c r="R1989" s="13" t="str">
        <f t="shared" si="127"/>
        <v>Diskon</v>
      </c>
    </row>
    <row r="1990" spans="1:18" x14ac:dyDescent="0.25">
      <c r="A1990" s="13" t="s">
        <v>2002</v>
      </c>
      <c r="B1990" s="13" t="s">
        <v>2194</v>
      </c>
      <c r="C1990" s="13" t="s">
        <v>2196</v>
      </c>
      <c r="D1990" s="13" t="s">
        <v>2206</v>
      </c>
      <c r="E1990" s="13" t="s">
        <v>2210</v>
      </c>
      <c r="F1990" s="13" t="s">
        <v>2220</v>
      </c>
      <c r="G1990" s="13">
        <v>66.34</v>
      </c>
      <c r="H1990" s="13">
        <v>19</v>
      </c>
      <c r="I1990" s="13">
        <v>53.74</v>
      </c>
      <c r="J1990" s="24">
        <v>45875</v>
      </c>
      <c r="K1990" s="13">
        <v>42</v>
      </c>
      <c r="L1990" s="44">
        <v>1.9</v>
      </c>
      <c r="M1990" s="13" t="b">
        <v>0</v>
      </c>
      <c r="O1990" s="25">
        <f t="shared" si="124"/>
        <v>27</v>
      </c>
      <c r="P1990" s="13">
        <f t="shared" si="125"/>
        <v>798</v>
      </c>
      <c r="Q1990" s="13" t="str">
        <f t="shared" si="126"/>
        <v/>
      </c>
      <c r="R1990" s="13" t="str">
        <f t="shared" si="127"/>
        <v>Diskon</v>
      </c>
    </row>
    <row r="1991" spans="1:18" x14ac:dyDescent="0.25">
      <c r="A1991" s="13" t="s">
        <v>2003</v>
      </c>
      <c r="B1991" s="13" t="s">
        <v>2194</v>
      </c>
      <c r="C1991" s="13" t="s">
        <v>2202</v>
      </c>
      <c r="D1991" s="13" t="s">
        <v>2204</v>
      </c>
      <c r="E1991" s="13" t="s">
        <v>2213</v>
      </c>
      <c r="F1991" s="13" t="s">
        <v>2215</v>
      </c>
      <c r="G1991" s="13">
        <v>27.89</v>
      </c>
      <c r="H1991" s="13">
        <v>17.399999999999999</v>
      </c>
      <c r="I1991" s="13">
        <v>23.04</v>
      </c>
      <c r="J1991" s="24">
        <v>45541</v>
      </c>
      <c r="K1991" s="13">
        <v>43</v>
      </c>
      <c r="L1991" s="44">
        <v>2.1</v>
      </c>
      <c r="M1991" s="13" t="b">
        <v>0</v>
      </c>
      <c r="O1991" s="25">
        <f t="shared" si="124"/>
        <v>361</v>
      </c>
      <c r="P1991" s="13">
        <f t="shared" si="125"/>
        <v>748.19999999999993</v>
      </c>
      <c r="Q1991" s="13" t="str">
        <f t="shared" si="126"/>
        <v/>
      </c>
      <c r="R1991" s="13" t="str">
        <f t="shared" si="127"/>
        <v>Diskon</v>
      </c>
    </row>
    <row r="1992" spans="1:18" x14ac:dyDescent="0.25">
      <c r="A1992" s="13" t="s">
        <v>2004</v>
      </c>
      <c r="B1992" s="13" t="s">
        <v>2192</v>
      </c>
      <c r="C1992" s="13" t="s">
        <v>2197</v>
      </c>
      <c r="D1992" s="13" t="s">
        <v>2207</v>
      </c>
      <c r="F1992" s="13" t="s">
        <v>2218</v>
      </c>
      <c r="G1992" s="13">
        <v>60.18</v>
      </c>
      <c r="H1992" s="13">
        <v>0</v>
      </c>
      <c r="I1992" s="13">
        <v>60.18</v>
      </c>
      <c r="J1992" s="24">
        <v>45875</v>
      </c>
      <c r="K1992" s="13">
        <v>36</v>
      </c>
      <c r="L1992" s="44">
        <v>1.4</v>
      </c>
      <c r="M1992" s="13" t="b">
        <v>0</v>
      </c>
      <c r="O1992" s="25">
        <f t="shared" si="124"/>
        <v>27</v>
      </c>
      <c r="P1992" s="13">
        <f t="shared" si="125"/>
        <v>0</v>
      </c>
      <c r="Q1992" s="13" t="str">
        <f t="shared" si="126"/>
        <v/>
      </c>
      <c r="R1992" s="13" t="str">
        <f t="shared" si="127"/>
        <v>Non diskon</v>
      </c>
    </row>
    <row r="1993" spans="1:18" x14ac:dyDescent="0.25">
      <c r="A1993" s="13" t="s">
        <v>2005</v>
      </c>
      <c r="B1993" s="13" t="s">
        <v>2191</v>
      </c>
      <c r="C1993" s="13" t="s">
        <v>2196</v>
      </c>
      <c r="D1993" s="13" t="s">
        <v>2206</v>
      </c>
      <c r="E1993" s="13" t="s">
        <v>2208</v>
      </c>
      <c r="F1993" s="13" t="s">
        <v>2214</v>
      </c>
      <c r="G1993" s="13">
        <v>54.26</v>
      </c>
      <c r="H1993" s="13">
        <v>18.399999999999999</v>
      </c>
      <c r="I1993" s="13">
        <v>44.28</v>
      </c>
      <c r="J1993" s="24">
        <v>45875</v>
      </c>
      <c r="K1993" s="13">
        <v>29</v>
      </c>
      <c r="L1993" s="44">
        <v>2.6</v>
      </c>
      <c r="M1993" s="13" t="b">
        <v>0</v>
      </c>
      <c r="O1993" s="25">
        <f t="shared" si="124"/>
        <v>27</v>
      </c>
      <c r="P1993" s="13">
        <f t="shared" si="125"/>
        <v>533.59999999999991</v>
      </c>
      <c r="Q1993" s="13" t="str">
        <f t="shared" si="126"/>
        <v/>
      </c>
      <c r="R1993" s="13" t="str">
        <f t="shared" si="127"/>
        <v>Diskon</v>
      </c>
    </row>
    <row r="1994" spans="1:18" x14ac:dyDescent="0.25">
      <c r="A1994" s="13" t="s">
        <v>2006</v>
      </c>
      <c r="B1994" s="13" t="s">
        <v>2193</v>
      </c>
      <c r="C1994" s="13" t="s">
        <v>2197</v>
      </c>
      <c r="D1994" s="13" t="s">
        <v>2204</v>
      </c>
      <c r="E1994" s="13" t="s">
        <v>2210</v>
      </c>
      <c r="F1994" s="13" t="s">
        <v>2214</v>
      </c>
      <c r="G1994" s="13">
        <v>78.44</v>
      </c>
      <c r="H1994" s="13">
        <v>0</v>
      </c>
      <c r="I1994" s="13">
        <v>78.44</v>
      </c>
      <c r="J1994" s="24">
        <v>45555</v>
      </c>
      <c r="K1994" s="13">
        <v>42</v>
      </c>
      <c r="L1994" s="44">
        <v>2.8205128205128198</v>
      </c>
      <c r="M1994" s="13" t="b">
        <v>1</v>
      </c>
      <c r="N1994" s="13" t="s">
        <v>2228</v>
      </c>
      <c r="O1994" s="25">
        <f t="shared" si="124"/>
        <v>347</v>
      </c>
      <c r="P1994" s="13">
        <f t="shared" si="125"/>
        <v>0</v>
      </c>
      <c r="Q1994" s="13">
        <f t="shared" si="126"/>
        <v>1</v>
      </c>
      <c r="R1994" s="13" t="str">
        <f t="shared" si="127"/>
        <v>Non diskon</v>
      </c>
    </row>
    <row r="1995" spans="1:18" x14ac:dyDescent="0.25">
      <c r="A1995" s="13" t="s">
        <v>2007</v>
      </c>
      <c r="B1995" s="13" t="s">
        <v>2190</v>
      </c>
      <c r="C1995" s="13" t="s">
        <v>2200</v>
      </c>
      <c r="D1995" s="13" t="s">
        <v>2206</v>
      </c>
      <c r="E1995" s="13" t="s">
        <v>2212</v>
      </c>
      <c r="F1995" s="13" t="s">
        <v>2216</v>
      </c>
      <c r="G1995" s="13">
        <v>183.05</v>
      </c>
      <c r="H1995" s="13">
        <v>0</v>
      </c>
      <c r="I1995" s="13">
        <v>183.05</v>
      </c>
      <c r="J1995" s="24">
        <v>45875</v>
      </c>
      <c r="K1995" s="13">
        <v>4</v>
      </c>
      <c r="L1995" s="44">
        <v>4.5999999999999996</v>
      </c>
      <c r="M1995" s="13" t="b">
        <v>0</v>
      </c>
      <c r="O1995" s="25">
        <f t="shared" si="124"/>
        <v>27</v>
      </c>
      <c r="P1995" s="13">
        <f t="shared" si="125"/>
        <v>0</v>
      </c>
      <c r="Q1995" s="13" t="str">
        <f t="shared" si="126"/>
        <v/>
      </c>
      <c r="R1995" s="13" t="str">
        <f t="shared" si="127"/>
        <v>Non diskon</v>
      </c>
    </row>
    <row r="1996" spans="1:18" x14ac:dyDescent="0.25">
      <c r="A1996" s="13" t="s">
        <v>2008</v>
      </c>
      <c r="B1996" s="13" t="s">
        <v>2193</v>
      </c>
      <c r="C1996" s="13" t="s">
        <v>2197</v>
      </c>
      <c r="D1996" s="13" t="s">
        <v>2204</v>
      </c>
      <c r="E1996" s="13" t="s">
        <v>2213</v>
      </c>
      <c r="F1996" s="13" t="s">
        <v>2218</v>
      </c>
      <c r="G1996" s="13">
        <v>76.3</v>
      </c>
      <c r="H1996" s="13">
        <v>0</v>
      </c>
      <c r="I1996" s="13">
        <v>76.3</v>
      </c>
      <c r="J1996" s="24">
        <v>45841</v>
      </c>
      <c r="K1996" s="13">
        <v>35</v>
      </c>
      <c r="L1996" s="44">
        <v>2.6</v>
      </c>
      <c r="M1996" s="13" t="b">
        <v>0</v>
      </c>
      <c r="O1996" s="25">
        <f t="shared" si="124"/>
        <v>61</v>
      </c>
      <c r="P1996" s="13">
        <f t="shared" si="125"/>
        <v>0</v>
      </c>
      <c r="Q1996" s="13" t="str">
        <f t="shared" si="126"/>
        <v/>
      </c>
      <c r="R1996" s="13" t="str">
        <f t="shared" si="127"/>
        <v>Non diskon</v>
      </c>
    </row>
    <row r="1997" spans="1:18" x14ac:dyDescent="0.25">
      <c r="A1997" s="13" t="s">
        <v>2009</v>
      </c>
      <c r="B1997" s="13" t="s">
        <v>2191</v>
      </c>
      <c r="C1997" s="13" t="s">
        <v>2196</v>
      </c>
      <c r="D1997" s="13" t="s">
        <v>2204</v>
      </c>
      <c r="E1997" s="13" t="s">
        <v>2212</v>
      </c>
      <c r="F1997" s="13" t="s">
        <v>2223</v>
      </c>
      <c r="G1997" s="13">
        <v>84.21</v>
      </c>
      <c r="H1997" s="13">
        <v>0</v>
      </c>
      <c r="I1997" s="13">
        <v>84.21</v>
      </c>
      <c r="J1997" s="24">
        <v>45672</v>
      </c>
      <c r="K1997" s="13">
        <v>43</v>
      </c>
      <c r="L1997" s="44">
        <v>3.4</v>
      </c>
      <c r="M1997" s="13" t="b">
        <v>0</v>
      </c>
      <c r="O1997" s="25">
        <f t="shared" si="124"/>
        <v>230</v>
      </c>
      <c r="P1997" s="13">
        <f t="shared" si="125"/>
        <v>0</v>
      </c>
      <c r="Q1997" s="13" t="str">
        <f t="shared" si="126"/>
        <v/>
      </c>
      <c r="R1997" s="13" t="str">
        <f t="shared" si="127"/>
        <v>Non diskon</v>
      </c>
    </row>
    <row r="1998" spans="1:18" x14ac:dyDescent="0.25">
      <c r="A1998" s="13" t="s">
        <v>2010</v>
      </c>
      <c r="B1998" s="13" t="s">
        <v>2192</v>
      </c>
      <c r="C1998" s="13" t="s">
        <v>2201</v>
      </c>
      <c r="D1998" s="13" t="s">
        <v>2204</v>
      </c>
      <c r="F1998" s="13" t="s">
        <v>2218</v>
      </c>
      <c r="G1998" s="13">
        <v>77.34</v>
      </c>
      <c r="H1998" s="13">
        <v>0</v>
      </c>
      <c r="I1998" s="13">
        <v>77.34</v>
      </c>
      <c r="J1998" s="24">
        <v>45667</v>
      </c>
      <c r="K1998" s="13">
        <v>27</v>
      </c>
      <c r="L1998" s="44">
        <v>3.2731707317073173</v>
      </c>
      <c r="M1998" s="13" t="b">
        <v>0</v>
      </c>
      <c r="O1998" s="25">
        <f t="shared" si="124"/>
        <v>235</v>
      </c>
      <c r="P1998" s="13">
        <f t="shared" si="125"/>
        <v>0</v>
      </c>
      <c r="Q1998" s="13" t="str">
        <f t="shared" si="126"/>
        <v/>
      </c>
      <c r="R1998" s="13" t="str">
        <f t="shared" si="127"/>
        <v>Non diskon</v>
      </c>
    </row>
    <row r="1999" spans="1:18" x14ac:dyDescent="0.25">
      <c r="A1999" s="13" t="s">
        <v>2011</v>
      </c>
      <c r="B1999" s="13" t="s">
        <v>2195</v>
      </c>
      <c r="C1999" s="13" t="s">
        <v>2196</v>
      </c>
      <c r="D1999" s="13" t="s">
        <v>2204</v>
      </c>
      <c r="E1999" s="13" t="s">
        <v>2210</v>
      </c>
      <c r="F1999" s="13" t="s">
        <v>2222</v>
      </c>
      <c r="G1999" s="13">
        <v>122.82</v>
      </c>
      <c r="H1999" s="13">
        <v>45.4</v>
      </c>
      <c r="I1999" s="13">
        <v>67.06</v>
      </c>
      <c r="J1999" s="24">
        <v>45534</v>
      </c>
      <c r="K1999" s="13">
        <v>9</v>
      </c>
      <c r="L1999" s="44">
        <v>3.1</v>
      </c>
      <c r="M1999" s="13" t="b">
        <v>0</v>
      </c>
      <c r="O1999" s="25">
        <f t="shared" si="124"/>
        <v>368</v>
      </c>
      <c r="P1999" s="13">
        <f t="shared" si="125"/>
        <v>408.59999999999997</v>
      </c>
      <c r="Q1999" s="13" t="str">
        <f t="shared" si="126"/>
        <v/>
      </c>
      <c r="R1999" s="13" t="str">
        <f t="shared" si="127"/>
        <v>Diskon</v>
      </c>
    </row>
    <row r="2000" spans="1:18" x14ac:dyDescent="0.25">
      <c r="A2000" s="13" t="s">
        <v>2012</v>
      </c>
      <c r="B2000" s="13" t="s">
        <v>2195</v>
      </c>
      <c r="C2000" s="13" t="s">
        <v>2199</v>
      </c>
      <c r="D2000" s="13" t="s">
        <v>2205</v>
      </c>
      <c r="E2000" s="13" t="s">
        <v>2211</v>
      </c>
      <c r="F2000" s="13" t="s">
        <v>2219</v>
      </c>
      <c r="G2000" s="13">
        <v>103.85</v>
      </c>
      <c r="H2000" s="13">
        <v>0</v>
      </c>
      <c r="I2000" s="13">
        <v>103.85</v>
      </c>
      <c r="J2000" s="24">
        <v>45875</v>
      </c>
      <c r="K2000" s="13">
        <v>26</v>
      </c>
      <c r="L2000" s="44">
        <v>3.1</v>
      </c>
      <c r="M2000" s="13" t="b">
        <v>0</v>
      </c>
      <c r="O2000" s="25">
        <f t="shared" si="124"/>
        <v>27</v>
      </c>
      <c r="P2000" s="13">
        <f t="shared" si="125"/>
        <v>0</v>
      </c>
      <c r="Q2000" s="13" t="str">
        <f t="shared" si="126"/>
        <v/>
      </c>
      <c r="R2000" s="13" t="str">
        <f t="shared" si="127"/>
        <v>Non diskon</v>
      </c>
    </row>
    <row r="2001" spans="1:18" x14ac:dyDescent="0.25">
      <c r="A2001" s="13" t="s">
        <v>2013</v>
      </c>
      <c r="B2001" s="13" t="s">
        <v>2194</v>
      </c>
      <c r="C2001" s="13" t="s">
        <v>2200</v>
      </c>
      <c r="D2001" s="13" t="s">
        <v>2206</v>
      </c>
      <c r="E2001" s="13" t="s">
        <v>2211</v>
      </c>
      <c r="F2001" s="13" t="s">
        <v>2214</v>
      </c>
      <c r="G2001" s="13">
        <v>117.73</v>
      </c>
      <c r="H2001" s="13">
        <v>41.3</v>
      </c>
      <c r="I2001" s="13">
        <v>69.11</v>
      </c>
      <c r="J2001" s="24">
        <v>45875</v>
      </c>
      <c r="K2001" s="13">
        <v>8</v>
      </c>
      <c r="L2001" s="44">
        <v>3.0659090909090896</v>
      </c>
      <c r="M2001" s="13" t="b">
        <v>0</v>
      </c>
      <c r="O2001" s="25">
        <f t="shared" si="124"/>
        <v>27</v>
      </c>
      <c r="P2001" s="13">
        <f t="shared" si="125"/>
        <v>330.4</v>
      </c>
      <c r="Q2001" s="13" t="str">
        <f t="shared" si="126"/>
        <v/>
      </c>
      <c r="R2001" s="13" t="str">
        <f t="shared" si="127"/>
        <v>Diskon</v>
      </c>
    </row>
    <row r="2002" spans="1:18" x14ac:dyDescent="0.25">
      <c r="A2002" s="13" t="s">
        <v>2014</v>
      </c>
      <c r="B2002" s="13" t="s">
        <v>2195</v>
      </c>
      <c r="C2002" s="13" t="s">
        <v>2203</v>
      </c>
      <c r="D2002" s="13" t="s">
        <v>2206</v>
      </c>
      <c r="E2002" s="13" t="s">
        <v>2208</v>
      </c>
      <c r="F2002" s="13" t="s">
        <v>2220</v>
      </c>
      <c r="G2002" s="13">
        <v>115.98</v>
      </c>
      <c r="H2002" s="13">
        <v>0</v>
      </c>
      <c r="I2002" s="13">
        <v>115.98</v>
      </c>
      <c r="J2002" s="24">
        <v>45875</v>
      </c>
      <c r="K2002" s="13">
        <v>42</v>
      </c>
      <c r="L2002" s="44">
        <v>3.7</v>
      </c>
      <c r="M2002" s="13" t="b">
        <v>0</v>
      </c>
      <c r="O2002" s="25">
        <f t="shared" si="124"/>
        <v>27</v>
      </c>
      <c r="P2002" s="13">
        <f t="shared" si="125"/>
        <v>0</v>
      </c>
      <c r="Q2002" s="13" t="str">
        <f t="shared" si="126"/>
        <v/>
      </c>
      <c r="R2002" s="13" t="str">
        <f t="shared" si="127"/>
        <v>Non diskon</v>
      </c>
    </row>
    <row r="2003" spans="1:18" x14ac:dyDescent="0.25">
      <c r="A2003" s="13" t="s">
        <v>2015</v>
      </c>
      <c r="B2003" s="13" t="s">
        <v>2195</v>
      </c>
      <c r="C2003" s="13" t="s">
        <v>2196</v>
      </c>
      <c r="D2003" s="13" t="s">
        <v>2206</v>
      </c>
      <c r="E2003" s="13" t="s">
        <v>2209</v>
      </c>
      <c r="F2003" s="13" t="s">
        <v>2222</v>
      </c>
      <c r="G2003" s="13">
        <v>175.43</v>
      </c>
      <c r="H2003" s="13">
        <v>0</v>
      </c>
      <c r="I2003" s="13">
        <v>175.43</v>
      </c>
      <c r="J2003" s="24">
        <v>45875</v>
      </c>
      <c r="K2003" s="13">
        <v>3</v>
      </c>
      <c r="L2003" s="44">
        <v>1.8</v>
      </c>
      <c r="M2003" s="13" t="b">
        <v>1</v>
      </c>
      <c r="N2003" s="13" t="s">
        <v>2225</v>
      </c>
      <c r="O2003" s="25">
        <f t="shared" si="124"/>
        <v>27</v>
      </c>
      <c r="P2003" s="13">
        <f t="shared" si="125"/>
        <v>0</v>
      </c>
      <c r="Q2003" s="13">
        <f t="shared" si="126"/>
        <v>1</v>
      </c>
      <c r="R2003" s="13" t="str">
        <f t="shared" si="127"/>
        <v>Non diskon</v>
      </c>
    </row>
    <row r="2004" spans="1:18" x14ac:dyDescent="0.25">
      <c r="A2004" s="13" t="s">
        <v>2016</v>
      </c>
      <c r="B2004" s="13" t="s">
        <v>2190</v>
      </c>
      <c r="C2004" s="13" t="s">
        <v>2202</v>
      </c>
      <c r="D2004" s="13" t="s">
        <v>2204</v>
      </c>
      <c r="E2004" s="13" t="s">
        <v>2210</v>
      </c>
      <c r="F2004" s="13" t="s">
        <v>2220</v>
      </c>
      <c r="G2004" s="13">
        <v>162.81</v>
      </c>
      <c r="H2004" s="13">
        <v>0</v>
      </c>
      <c r="I2004" s="13">
        <v>162.81</v>
      </c>
      <c r="J2004" s="24">
        <v>45667</v>
      </c>
      <c r="K2004" s="13">
        <v>40</v>
      </c>
      <c r="L2004" s="44">
        <v>2.1</v>
      </c>
      <c r="M2004" s="13" t="b">
        <v>0</v>
      </c>
      <c r="O2004" s="25">
        <f t="shared" si="124"/>
        <v>235</v>
      </c>
      <c r="P2004" s="13">
        <f t="shared" si="125"/>
        <v>0</v>
      </c>
      <c r="Q2004" s="13" t="str">
        <f t="shared" si="126"/>
        <v/>
      </c>
      <c r="R2004" s="13" t="str">
        <f t="shared" si="127"/>
        <v>Non diskon</v>
      </c>
    </row>
    <row r="2005" spans="1:18" x14ac:dyDescent="0.25">
      <c r="A2005" s="13" t="s">
        <v>2017</v>
      </c>
      <c r="B2005" s="13" t="s">
        <v>2195</v>
      </c>
      <c r="C2005" s="13" t="s">
        <v>2197</v>
      </c>
      <c r="D2005" s="13" t="s">
        <v>2204</v>
      </c>
      <c r="E2005" s="13" t="s">
        <v>2209</v>
      </c>
      <c r="F2005" s="13" t="s">
        <v>2223</v>
      </c>
      <c r="G2005" s="13">
        <v>146.68</v>
      </c>
      <c r="H2005" s="13">
        <v>0</v>
      </c>
      <c r="I2005" s="13">
        <v>146.68</v>
      </c>
      <c r="J2005" s="24">
        <v>45511</v>
      </c>
      <c r="K2005" s="13">
        <v>8</v>
      </c>
      <c r="L2005" s="44">
        <v>3.1666666666666665</v>
      </c>
      <c r="M2005" s="13" t="b">
        <v>0</v>
      </c>
      <c r="O2005" s="25">
        <f t="shared" si="124"/>
        <v>391</v>
      </c>
      <c r="P2005" s="13">
        <f t="shared" si="125"/>
        <v>0</v>
      </c>
      <c r="Q2005" s="13" t="str">
        <f t="shared" si="126"/>
        <v/>
      </c>
      <c r="R2005" s="13" t="str">
        <f t="shared" si="127"/>
        <v>Non diskon</v>
      </c>
    </row>
    <row r="2006" spans="1:18" x14ac:dyDescent="0.25">
      <c r="A2006" s="13" t="s">
        <v>2018</v>
      </c>
      <c r="B2006" s="13" t="s">
        <v>2195</v>
      </c>
      <c r="C2006" s="13" t="s">
        <v>2200</v>
      </c>
      <c r="D2006" s="13" t="s">
        <v>2206</v>
      </c>
      <c r="E2006" s="13" t="s">
        <v>2209</v>
      </c>
      <c r="F2006" s="13" t="s">
        <v>2215</v>
      </c>
      <c r="G2006" s="13">
        <v>82.9</v>
      </c>
      <c r="H2006" s="13">
        <v>42.2</v>
      </c>
      <c r="I2006" s="13">
        <v>47.92</v>
      </c>
      <c r="J2006" s="24">
        <v>45875</v>
      </c>
      <c r="K2006" s="13">
        <v>4</v>
      </c>
      <c r="L2006" s="44">
        <v>2.1</v>
      </c>
      <c r="M2006" s="13" t="b">
        <v>0</v>
      </c>
      <c r="O2006" s="25">
        <f t="shared" si="124"/>
        <v>27</v>
      </c>
      <c r="P2006" s="13">
        <f t="shared" si="125"/>
        <v>168.8</v>
      </c>
      <c r="Q2006" s="13" t="str">
        <f t="shared" si="126"/>
        <v/>
      </c>
      <c r="R2006" s="13" t="str">
        <f t="shared" si="127"/>
        <v>Diskon</v>
      </c>
    </row>
    <row r="2007" spans="1:18" x14ac:dyDescent="0.25">
      <c r="A2007" s="13" t="s">
        <v>2019</v>
      </c>
      <c r="B2007" s="13" t="s">
        <v>2191</v>
      </c>
      <c r="C2007" s="13" t="s">
        <v>2196</v>
      </c>
      <c r="D2007" s="13" t="s">
        <v>2206</v>
      </c>
      <c r="E2007" s="13" t="s">
        <v>2212</v>
      </c>
      <c r="F2007" s="13" t="s">
        <v>2217</v>
      </c>
      <c r="G2007" s="13">
        <v>92.9</v>
      </c>
      <c r="H2007" s="13">
        <v>0</v>
      </c>
      <c r="I2007" s="13">
        <v>92.9</v>
      </c>
      <c r="J2007" s="24">
        <v>45875</v>
      </c>
      <c r="K2007" s="13">
        <v>30</v>
      </c>
      <c r="L2007" s="44">
        <v>2.9181818181818175</v>
      </c>
      <c r="M2007" s="13" t="b">
        <v>0</v>
      </c>
      <c r="O2007" s="25">
        <f t="shared" si="124"/>
        <v>27</v>
      </c>
      <c r="P2007" s="13">
        <f t="shared" si="125"/>
        <v>0</v>
      </c>
      <c r="Q2007" s="13" t="str">
        <f t="shared" si="126"/>
        <v/>
      </c>
      <c r="R2007" s="13" t="str">
        <f t="shared" si="127"/>
        <v>Non diskon</v>
      </c>
    </row>
    <row r="2008" spans="1:18" x14ac:dyDescent="0.25">
      <c r="A2008" s="13" t="s">
        <v>2020</v>
      </c>
      <c r="B2008" s="13" t="s">
        <v>2195</v>
      </c>
      <c r="C2008" s="13" t="s">
        <v>2198</v>
      </c>
      <c r="D2008" s="13" t="s">
        <v>2205</v>
      </c>
      <c r="E2008" s="13" t="s">
        <v>2211</v>
      </c>
      <c r="F2008" s="13" t="s">
        <v>2219</v>
      </c>
      <c r="G2008" s="13">
        <v>133.88999999999999</v>
      </c>
      <c r="H2008" s="13">
        <v>5.7</v>
      </c>
      <c r="I2008" s="13">
        <v>126.26</v>
      </c>
      <c r="J2008" s="24">
        <v>45875</v>
      </c>
      <c r="K2008" s="13">
        <v>17</v>
      </c>
      <c r="L2008" s="44">
        <v>3.4</v>
      </c>
      <c r="M2008" s="13" t="b">
        <v>1</v>
      </c>
      <c r="N2008" s="13" t="s">
        <v>2226</v>
      </c>
      <c r="O2008" s="25">
        <f t="shared" si="124"/>
        <v>27</v>
      </c>
      <c r="P2008" s="13">
        <f t="shared" si="125"/>
        <v>96.9</v>
      </c>
      <c r="Q2008" s="13">
        <f t="shared" si="126"/>
        <v>1</v>
      </c>
      <c r="R2008" s="13" t="str">
        <f t="shared" si="127"/>
        <v>Diskon</v>
      </c>
    </row>
    <row r="2009" spans="1:18" x14ac:dyDescent="0.25">
      <c r="A2009" s="13" t="s">
        <v>2021</v>
      </c>
      <c r="B2009" s="13" t="s">
        <v>2195</v>
      </c>
      <c r="C2009" s="13" t="s">
        <v>2201</v>
      </c>
      <c r="D2009" s="13" t="s">
        <v>2205</v>
      </c>
      <c r="E2009" s="13" t="s">
        <v>2211</v>
      </c>
      <c r="F2009" s="13" t="s">
        <v>2221</v>
      </c>
      <c r="G2009" s="13">
        <v>89.1</v>
      </c>
      <c r="H2009" s="13">
        <v>0</v>
      </c>
      <c r="I2009" s="13">
        <v>89.1</v>
      </c>
      <c r="J2009" s="24">
        <v>45875</v>
      </c>
      <c r="K2009" s="13">
        <v>8</v>
      </c>
      <c r="L2009" s="44">
        <v>2.2000000000000002</v>
      </c>
      <c r="M2009" s="13" t="b">
        <v>0</v>
      </c>
      <c r="O2009" s="25">
        <f t="shared" si="124"/>
        <v>27</v>
      </c>
      <c r="P2009" s="13">
        <f t="shared" si="125"/>
        <v>0</v>
      </c>
      <c r="Q2009" s="13" t="str">
        <f t="shared" si="126"/>
        <v/>
      </c>
      <c r="R2009" s="13" t="str">
        <f t="shared" si="127"/>
        <v>Non diskon</v>
      </c>
    </row>
    <row r="2010" spans="1:18" x14ac:dyDescent="0.25">
      <c r="A2010" s="13" t="s">
        <v>2022</v>
      </c>
      <c r="B2010" s="13" t="s">
        <v>2190</v>
      </c>
      <c r="C2010" s="13" t="s">
        <v>2198</v>
      </c>
      <c r="D2010" s="13" t="s">
        <v>2205</v>
      </c>
      <c r="E2010" s="13" t="s">
        <v>2208</v>
      </c>
      <c r="F2010" s="13" t="s">
        <v>2221</v>
      </c>
      <c r="G2010" s="13">
        <v>175.62</v>
      </c>
      <c r="H2010" s="13">
        <v>3.2</v>
      </c>
      <c r="I2010" s="13">
        <v>170</v>
      </c>
      <c r="J2010" s="24">
        <v>45875</v>
      </c>
      <c r="K2010" s="13">
        <v>46</v>
      </c>
      <c r="L2010" s="44">
        <v>3.0177777777777774</v>
      </c>
      <c r="M2010" s="13" t="b">
        <v>0</v>
      </c>
      <c r="O2010" s="25">
        <f t="shared" si="124"/>
        <v>27</v>
      </c>
      <c r="P2010" s="13">
        <f t="shared" si="125"/>
        <v>147.20000000000002</v>
      </c>
      <c r="Q2010" s="13" t="str">
        <f t="shared" si="126"/>
        <v/>
      </c>
      <c r="R2010" s="13" t="str">
        <f t="shared" si="127"/>
        <v>Diskon</v>
      </c>
    </row>
    <row r="2011" spans="1:18" x14ac:dyDescent="0.25">
      <c r="A2011" s="13" t="s">
        <v>2023</v>
      </c>
      <c r="B2011" s="13" t="s">
        <v>2195</v>
      </c>
      <c r="C2011" s="13" t="s">
        <v>2200</v>
      </c>
      <c r="D2011" s="13" t="s">
        <v>2207</v>
      </c>
      <c r="E2011" s="13" t="s">
        <v>2209</v>
      </c>
      <c r="F2011" s="13" t="s">
        <v>2216</v>
      </c>
      <c r="G2011" s="13">
        <v>154.02000000000001</v>
      </c>
      <c r="H2011" s="13">
        <v>0</v>
      </c>
      <c r="I2011" s="13">
        <v>154.02000000000001</v>
      </c>
      <c r="J2011" s="24">
        <v>45875</v>
      </c>
      <c r="K2011" s="13">
        <v>21</v>
      </c>
      <c r="L2011" s="44">
        <v>3.3</v>
      </c>
      <c r="M2011" s="13" t="b">
        <v>0</v>
      </c>
      <c r="O2011" s="25">
        <f t="shared" si="124"/>
        <v>27</v>
      </c>
      <c r="P2011" s="13">
        <f t="shared" si="125"/>
        <v>0</v>
      </c>
      <c r="Q2011" s="13" t="str">
        <f t="shared" si="126"/>
        <v/>
      </c>
      <c r="R2011" s="13" t="str">
        <f t="shared" si="127"/>
        <v>Non diskon</v>
      </c>
    </row>
    <row r="2012" spans="1:18" x14ac:dyDescent="0.25">
      <c r="A2012" s="13" t="s">
        <v>2024</v>
      </c>
      <c r="B2012" s="13" t="s">
        <v>2190</v>
      </c>
      <c r="C2012" s="13" t="s">
        <v>2196</v>
      </c>
      <c r="D2012" s="13" t="s">
        <v>2206</v>
      </c>
      <c r="E2012" s="13" t="s">
        <v>2210</v>
      </c>
      <c r="F2012" s="13" t="s">
        <v>2221</v>
      </c>
      <c r="G2012" s="13">
        <v>215.1</v>
      </c>
      <c r="H2012" s="13">
        <v>0</v>
      </c>
      <c r="I2012" s="13">
        <v>215.1</v>
      </c>
      <c r="J2012" s="24">
        <v>45875</v>
      </c>
      <c r="K2012" s="13">
        <v>16</v>
      </c>
      <c r="L2012" s="44">
        <v>2.5</v>
      </c>
      <c r="M2012" s="13" t="b">
        <v>0</v>
      </c>
      <c r="O2012" s="25">
        <f t="shared" si="124"/>
        <v>27</v>
      </c>
      <c r="P2012" s="13">
        <f t="shared" si="125"/>
        <v>0</v>
      </c>
      <c r="Q2012" s="13" t="str">
        <f t="shared" si="126"/>
        <v/>
      </c>
      <c r="R2012" s="13" t="str">
        <f t="shared" si="127"/>
        <v>Non diskon</v>
      </c>
    </row>
    <row r="2013" spans="1:18" x14ac:dyDescent="0.25">
      <c r="A2013" s="13" t="s">
        <v>2025</v>
      </c>
      <c r="B2013" s="13" t="s">
        <v>2191</v>
      </c>
      <c r="C2013" s="13" t="s">
        <v>2201</v>
      </c>
      <c r="D2013" s="13" t="s">
        <v>2206</v>
      </c>
      <c r="E2013" s="13" t="s">
        <v>2213</v>
      </c>
      <c r="F2013" s="13" t="s">
        <v>2224</v>
      </c>
      <c r="G2013" s="13">
        <v>40.28</v>
      </c>
      <c r="H2013" s="13">
        <v>0</v>
      </c>
      <c r="I2013" s="13">
        <v>40.28</v>
      </c>
      <c r="J2013" s="24">
        <v>45875</v>
      </c>
      <c r="K2013" s="13">
        <v>35</v>
      </c>
      <c r="L2013" s="44">
        <v>3.8</v>
      </c>
      <c r="M2013" s="13" t="b">
        <v>0</v>
      </c>
      <c r="O2013" s="25">
        <f t="shared" si="124"/>
        <v>27</v>
      </c>
      <c r="P2013" s="13">
        <f t="shared" si="125"/>
        <v>0</v>
      </c>
      <c r="Q2013" s="13" t="str">
        <f t="shared" si="126"/>
        <v/>
      </c>
      <c r="R2013" s="13" t="str">
        <f t="shared" si="127"/>
        <v>Non diskon</v>
      </c>
    </row>
    <row r="2014" spans="1:18" x14ac:dyDescent="0.25">
      <c r="A2014" s="13" t="s">
        <v>2026</v>
      </c>
      <c r="B2014" s="13" t="s">
        <v>2192</v>
      </c>
      <c r="C2014" s="13" t="s">
        <v>2203</v>
      </c>
      <c r="D2014" s="13" t="s">
        <v>2206</v>
      </c>
      <c r="F2014" s="13" t="s">
        <v>2218</v>
      </c>
      <c r="G2014" s="13">
        <v>25.95</v>
      </c>
      <c r="H2014" s="13">
        <v>18.8</v>
      </c>
      <c r="I2014" s="13">
        <v>21.07</v>
      </c>
      <c r="J2014" s="24">
        <v>45875</v>
      </c>
      <c r="K2014" s="13">
        <v>1</v>
      </c>
      <c r="L2014" s="44">
        <v>4</v>
      </c>
      <c r="M2014" s="13" t="b">
        <v>0</v>
      </c>
      <c r="O2014" s="25">
        <f t="shared" si="124"/>
        <v>27</v>
      </c>
      <c r="P2014" s="13">
        <f t="shared" si="125"/>
        <v>18.8</v>
      </c>
      <c r="Q2014" s="13" t="str">
        <f t="shared" si="126"/>
        <v/>
      </c>
      <c r="R2014" s="13" t="str">
        <f t="shared" si="127"/>
        <v>Diskon</v>
      </c>
    </row>
    <row r="2015" spans="1:18" x14ac:dyDescent="0.25">
      <c r="A2015" s="13" t="s">
        <v>2027</v>
      </c>
      <c r="B2015" s="13" t="s">
        <v>2192</v>
      </c>
      <c r="C2015" s="13" t="s">
        <v>2197</v>
      </c>
      <c r="D2015" s="13" t="s">
        <v>2206</v>
      </c>
      <c r="F2015" s="13" t="s">
        <v>2222</v>
      </c>
      <c r="G2015" s="13">
        <v>21.26</v>
      </c>
      <c r="H2015" s="13">
        <v>50.7</v>
      </c>
      <c r="I2015" s="13">
        <v>10.48</v>
      </c>
      <c r="J2015" s="24">
        <v>45875</v>
      </c>
      <c r="K2015" s="13">
        <v>39</v>
      </c>
      <c r="L2015" s="44">
        <v>4.3</v>
      </c>
      <c r="M2015" s="13" t="b">
        <v>0</v>
      </c>
      <c r="O2015" s="25">
        <f t="shared" si="124"/>
        <v>27</v>
      </c>
      <c r="P2015" s="13">
        <f t="shared" si="125"/>
        <v>1977.3000000000002</v>
      </c>
      <c r="Q2015" s="13" t="str">
        <f t="shared" si="126"/>
        <v/>
      </c>
      <c r="R2015" s="13" t="str">
        <f t="shared" si="127"/>
        <v>Diskon</v>
      </c>
    </row>
    <row r="2016" spans="1:18" x14ac:dyDescent="0.25">
      <c r="A2016" s="13" t="s">
        <v>2028</v>
      </c>
      <c r="B2016" s="13" t="s">
        <v>2195</v>
      </c>
      <c r="C2016" s="13" t="s">
        <v>2196</v>
      </c>
      <c r="D2016" s="13" t="s">
        <v>2204</v>
      </c>
      <c r="E2016" s="13" t="s">
        <v>2212</v>
      </c>
      <c r="F2016" s="13" t="s">
        <v>2219</v>
      </c>
      <c r="G2016" s="13">
        <v>146.07</v>
      </c>
      <c r="H2016" s="13">
        <v>0</v>
      </c>
      <c r="I2016" s="13">
        <v>146.07</v>
      </c>
      <c r="J2016" s="24">
        <v>45847</v>
      </c>
      <c r="K2016" s="13">
        <v>33</v>
      </c>
      <c r="L2016" s="44">
        <v>3.7</v>
      </c>
      <c r="M2016" s="13" t="b">
        <v>0</v>
      </c>
      <c r="O2016" s="25">
        <f t="shared" si="124"/>
        <v>55</v>
      </c>
      <c r="P2016" s="13">
        <f t="shared" si="125"/>
        <v>0</v>
      </c>
      <c r="Q2016" s="13" t="str">
        <f t="shared" si="126"/>
        <v/>
      </c>
      <c r="R2016" s="13" t="str">
        <f t="shared" si="127"/>
        <v>Non diskon</v>
      </c>
    </row>
    <row r="2017" spans="1:18" x14ac:dyDescent="0.25">
      <c r="A2017" s="13" t="s">
        <v>2029</v>
      </c>
      <c r="B2017" s="13" t="s">
        <v>2195</v>
      </c>
      <c r="C2017" s="13" t="s">
        <v>2201</v>
      </c>
      <c r="D2017" s="13" t="s">
        <v>2204</v>
      </c>
      <c r="E2017" s="13" t="s">
        <v>2210</v>
      </c>
      <c r="F2017" s="13" t="s">
        <v>2218</v>
      </c>
      <c r="G2017" s="13">
        <v>135.97</v>
      </c>
      <c r="H2017" s="13">
        <v>0</v>
      </c>
      <c r="I2017" s="13">
        <v>135.97</v>
      </c>
      <c r="J2017" s="24">
        <v>45545</v>
      </c>
      <c r="K2017" s="13">
        <v>30</v>
      </c>
      <c r="L2017" s="44">
        <v>1.1000000000000001</v>
      </c>
      <c r="M2017" s="13" t="b">
        <v>0</v>
      </c>
      <c r="O2017" s="25">
        <f t="shared" si="124"/>
        <v>357</v>
      </c>
      <c r="P2017" s="13">
        <f t="shared" si="125"/>
        <v>0</v>
      </c>
      <c r="Q2017" s="13" t="str">
        <f t="shared" si="126"/>
        <v/>
      </c>
      <c r="R2017" s="13" t="str">
        <f t="shared" si="127"/>
        <v>Non diskon</v>
      </c>
    </row>
    <row r="2018" spans="1:18" x14ac:dyDescent="0.25">
      <c r="A2018" s="13" t="s">
        <v>2030</v>
      </c>
      <c r="B2018" s="13" t="s">
        <v>2193</v>
      </c>
      <c r="C2018" s="13" t="s">
        <v>2196</v>
      </c>
      <c r="D2018" s="13" t="s">
        <v>2204</v>
      </c>
      <c r="E2018" s="13" t="s">
        <v>2209</v>
      </c>
      <c r="F2018" s="13" t="s">
        <v>2220</v>
      </c>
      <c r="G2018" s="13">
        <v>84.88</v>
      </c>
      <c r="H2018" s="13">
        <v>7.4</v>
      </c>
      <c r="I2018" s="13">
        <v>78.599999999999994</v>
      </c>
      <c r="J2018" s="24">
        <v>45742</v>
      </c>
      <c r="K2018" s="13">
        <v>42</v>
      </c>
      <c r="L2018" s="44">
        <v>3.4</v>
      </c>
      <c r="M2018" s="13" t="b">
        <v>0</v>
      </c>
      <c r="O2018" s="25">
        <f t="shared" si="124"/>
        <v>160</v>
      </c>
      <c r="P2018" s="13">
        <f t="shared" si="125"/>
        <v>310.8</v>
      </c>
      <c r="Q2018" s="13" t="str">
        <f t="shared" si="126"/>
        <v/>
      </c>
      <c r="R2018" s="13" t="str">
        <f t="shared" si="127"/>
        <v>Diskon</v>
      </c>
    </row>
    <row r="2019" spans="1:18" x14ac:dyDescent="0.25">
      <c r="A2019" s="13" t="s">
        <v>2031</v>
      </c>
      <c r="B2019" s="13" t="s">
        <v>2193</v>
      </c>
      <c r="C2019" s="13" t="s">
        <v>2200</v>
      </c>
      <c r="D2019" s="13" t="s">
        <v>2205</v>
      </c>
      <c r="E2019" s="13" t="s">
        <v>2212</v>
      </c>
      <c r="F2019" s="13" t="s">
        <v>2221</v>
      </c>
      <c r="G2019" s="13">
        <v>159.25</v>
      </c>
      <c r="H2019" s="13">
        <v>5.5</v>
      </c>
      <c r="I2019" s="13">
        <v>150.49</v>
      </c>
      <c r="J2019" s="24">
        <v>45875</v>
      </c>
      <c r="K2019" s="13">
        <v>8</v>
      </c>
      <c r="L2019" s="44">
        <v>3.3021276595744684</v>
      </c>
      <c r="M2019" s="13" t="b">
        <v>0</v>
      </c>
      <c r="O2019" s="25">
        <f t="shared" si="124"/>
        <v>27</v>
      </c>
      <c r="P2019" s="13">
        <f t="shared" si="125"/>
        <v>44</v>
      </c>
      <c r="Q2019" s="13" t="str">
        <f t="shared" si="126"/>
        <v/>
      </c>
      <c r="R2019" s="13" t="str">
        <f t="shared" si="127"/>
        <v>Diskon</v>
      </c>
    </row>
    <row r="2020" spans="1:18" x14ac:dyDescent="0.25">
      <c r="A2020" s="13" t="s">
        <v>2032</v>
      </c>
      <c r="B2020" s="13" t="s">
        <v>2194</v>
      </c>
      <c r="C2020" s="13" t="s">
        <v>2201</v>
      </c>
      <c r="D2020" s="13" t="s">
        <v>2205</v>
      </c>
      <c r="E2020" s="13" t="s">
        <v>2213</v>
      </c>
      <c r="F2020" s="13" t="s">
        <v>2224</v>
      </c>
      <c r="G2020" s="13">
        <v>84.29</v>
      </c>
      <c r="H2020" s="13">
        <v>0</v>
      </c>
      <c r="I2020" s="13">
        <v>84.29</v>
      </c>
      <c r="J2020" s="24">
        <v>45875</v>
      </c>
      <c r="K2020" s="13">
        <v>4</v>
      </c>
      <c r="L2020" s="44">
        <v>2.8</v>
      </c>
      <c r="M2020" s="13" t="b">
        <v>0</v>
      </c>
      <c r="O2020" s="25">
        <f t="shared" si="124"/>
        <v>27</v>
      </c>
      <c r="P2020" s="13">
        <f t="shared" si="125"/>
        <v>0</v>
      </c>
      <c r="Q2020" s="13" t="str">
        <f t="shared" si="126"/>
        <v/>
      </c>
      <c r="R2020" s="13" t="str">
        <f t="shared" si="127"/>
        <v>Non diskon</v>
      </c>
    </row>
    <row r="2021" spans="1:18" x14ac:dyDescent="0.25">
      <c r="A2021" s="13" t="s">
        <v>2033</v>
      </c>
      <c r="B2021" s="13" t="s">
        <v>2192</v>
      </c>
      <c r="C2021" s="13" t="s">
        <v>2203</v>
      </c>
      <c r="D2021" s="13" t="s">
        <v>2205</v>
      </c>
      <c r="F2021" s="13" t="s">
        <v>2214</v>
      </c>
      <c r="G2021" s="13">
        <v>38.86</v>
      </c>
      <c r="H2021" s="13">
        <v>0</v>
      </c>
      <c r="I2021" s="13">
        <v>38.86</v>
      </c>
      <c r="J2021" s="24">
        <v>45875</v>
      </c>
      <c r="K2021" s="13">
        <v>44</v>
      </c>
      <c r="L2021" s="44">
        <v>2.8636363636363633</v>
      </c>
      <c r="M2021" s="13" t="b">
        <v>0</v>
      </c>
      <c r="O2021" s="25">
        <f t="shared" si="124"/>
        <v>27</v>
      </c>
      <c r="P2021" s="13">
        <f t="shared" si="125"/>
        <v>0</v>
      </c>
      <c r="Q2021" s="13" t="str">
        <f t="shared" si="126"/>
        <v/>
      </c>
      <c r="R2021" s="13" t="str">
        <f t="shared" si="127"/>
        <v>Non diskon</v>
      </c>
    </row>
    <row r="2022" spans="1:18" x14ac:dyDescent="0.25">
      <c r="A2022" s="13" t="s">
        <v>2034</v>
      </c>
      <c r="B2022" s="13" t="s">
        <v>2191</v>
      </c>
      <c r="C2022" s="13" t="s">
        <v>2198</v>
      </c>
      <c r="D2022" s="13" t="s">
        <v>2207</v>
      </c>
      <c r="E2022" s="13" t="s">
        <v>2213</v>
      </c>
      <c r="F2022" s="13" t="s">
        <v>2219</v>
      </c>
      <c r="G2022" s="13">
        <v>38.72</v>
      </c>
      <c r="H2022" s="13">
        <v>0</v>
      </c>
      <c r="I2022" s="13">
        <v>38.72</v>
      </c>
      <c r="J2022" s="24">
        <v>45875</v>
      </c>
      <c r="K2022" s="13">
        <v>35</v>
      </c>
      <c r="L2022" s="44">
        <v>4</v>
      </c>
      <c r="M2022" s="13" t="b">
        <v>0</v>
      </c>
      <c r="O2022" s="25">
        <f t="shared" si="124"/>
        <v>27</v>
      </c>
      <c r="P2022" s="13">
        <f t="shared" si="125"/>
        <v>0</v>
      </c>
      <c r="Q2022" s="13" t="str">
        <f t="shared" si="126"/>
        <v/>
      </c>
      <c r="R2022" s="13" t="str">
        <f t="shared" si="127"/>
        <v>Non diskon</v>
      </c>
    </row>
    <row r="2023" spans="1:18" x14ac:dyDescent="0.25">
      <c r="A2023" s="13" t="s">
        <v>2035</v>
      </c>
      <c r="B2023" s="13" t="s">
        <v>2195</v>
      </c>
      <c r="C2023" s="13" t="s">
        <v>2196</v>
      </c>
      <c r="D2023" s="13" t="s">
        <v>2205</v>
      </c>
      <c r="E2023" s="13" t="s">
        <v>2212</v>
      </c>
      <c r="F2023" s="13" t="s">
        <v>2216</v>
      </c>
      <c r="G2023" s="13">
        <v>177.1</v>
      </c>
      <c r="H2023" s="13">
        <v>0</v>
      </c>
      <c r="I2023" s="13">
        <v>177.1</v>
      </c>
      <c r="J2023" s="24">
        <v>45875</v>
      </c>
      <c r="K2023" s="13">
        <v>49</v>
      </c>
      <c r="L2023" s="44">
        <v>1.6</v>
      </c>
      <c r="M2023" s="13" t="b">
        <v>0</v>
      </c>
      <c r="O2023" s="25">
        <f t="shared" si="124"/>
        <v>27</v>
      </c>
      <c r="P2023" s="13">
        <f t="shared" si="125"/>
        <v>0</v>
      </c>
      <c r="Q2023" s="13" t="str">
        <f t="shared" si="126"/>
        <v/>
      </c>
      <c r="R2023" s="13" t="str">
        <f t="shared" si="127"/>
        <v>Non diskon</v>
      </c>
    </row>
    <row r="2024" spans="1:18" x14ac:dyDescent="0.25">
      <c r="A2024" s="13" t="s">
        <v>2036</v>
      </c>
      <c r="B2024" s="13" t="s">
        <v>2194</v>
      </c>
      <c r="C2024" s="13" t="s">
        <v>2203</v>
      </c>
      <c r="D2024" s="13" t="s">
        <v>2204</v>
      </c>
      <c r="E2024" s="13" t="s">
        <v>2212</v>
      </c>
      <c r="F2024" s="13" t="s">
        <v>2218</v>
      </c>
      <c r="G2024" s="13">
        <v>31.49</v>
      </c>
      <c r="H2024" s="13">
        <v>0</v>
      </c>
      <c r="I2024" s="13">
        <v>31.49</v>
      </c>
      <c r="J2024" s="24">
        <v>45584</v>
      </c>
      <c r="K2024" s="13">
        <v>28</v>
      </c>
      <c r="L2024" s="44">
        <v>3.1021739130434773</v>
      </c>
      <c r="M2024" s="13" t="b">
        <v>0</v>
      </c>
      <c r="O2024" s="25">
        <f t="shared" si="124"/>
        <v>318</v>
      </c>
      <c r="P2024" s="13">
        <f t="shared" si="125"/>
        <v>0</v>
      </c>
      <c r="Q2024" s="13" t="str">
        <f t="shared" si="126"/>
        <v/>
      </c>
      <c r="R2024" s="13" t="str">
        <f t="shared" si="127"/>
        <v>Non diskon</v>
      </c>
    </row>
    <row r="2025" spans="1:18" x14ac:dyDescent="0.25">
      <c r="A2025" s="13" t="s">
        <v>2037</v>
      </c>
      <c r="B2025" s="13" t="s">
        <v>2191</v>
      </c>
      <c r="C2025" s="13" t="s">
        <v>2197</v>
      </c>
      <c r="D2025" s="13" t="s">
        <v>2207</v>
      </c>
      <c r="F2025" s="13" t="s">
        <v>2215</v>
      </c>
      <c r="G2025" s="13">
        <v>118.14</v>
      </c>
      <c r="H2025" s="13">
        <v>0</v>
      </c>
      <c r="I2025" s="13">
        <v>118.14</v>
      </c>
      <c r="J2025" s="24">
        <v>45875</v>
      </c>
      <c r="K2025" s="13">
        <v>33</v>
      </c>
      <c r="L2025" s="44">
        <v>2.4</v>
      </c>
      <c r="M2025" s="13" t="b">
        <v>0</v>
      </c>
      <c r="O2025" s="25">
        <f t="shared" si="124"/>
        <v>27</v>
      </c>
      <c r="P2025" s="13">
        <f t="shared" si="125"/>
        <v>0</v>
      </c>
      <c r="Q2025" s="13" t="str">
        <f t="shared" si="126"/>
        <v/>
      </c>
      <c r="R2025" s="13" t="str">
        <f t="shared" si="127"/>
        <v>Non diskon</v>
      </c>
    </row>
    <row r="2026" spans="1:18" x14ac:dyDescent="0.25">
      <c r="A2026" s="13" t="s">
        <v>2038</v>
      </c>
      <c r="B2026" s="13" t="s">
        <v>2191</v>
      </c>
      <c r="C2026" s="13" t="s">
        <v>2202</v>
      </c>
      <c r="D2026" s="13" t="s">
        <v>2204</v>
      </c>
      <c r="E2026" s="13" t="s">
        <v>2210</v>
      </c>
      <c r="F2026" s="13" t="s">
        <v>2220</v>
      </c>
      <c r="G2026" s="13">
        <v>26.51</v>
      </c>
      <c r="H2026" s="13">
        <v>24</v>
      </c>
      <c r="I2026" s="13">
        <v>20.149999999999999</v>
      </c>
      <c r="J2026" s="24">
        <v>45801</v>
      </c>
      <c r="K2026" s="13">
        <v>1</v>
      </c>
      <c r="L2026" s="44">
        <v>4.7</v>
      </c>
      <c r="M2026" s="13" t="b">
        <v>0</v>
      </c>
      <c r="O2026" s="25">
        <f t="shared" si="124"/>
        <v>101</v>
      </c>
      <c r="P2026" s="13">
        <f t="shared" si="125"/>
        <v>24</v>
      </c>
      <c r="Q2026" s="13" t="str">
        <f t="shared" si="126"/>
        <v/>
      </c>
      <c r="R2026" s="13" t="str">
        <f t="shared" si="127"/>
        <v>Diskon</v>
      </c>
    </row>
    <row r="2027" spans="1:18" x14ac:dyDescent="0.25">
      <c r="A2027" s="13" t="s">
        <v>2039</v>
      </c>
      <c r="B2027" s="13" t="s">
        <v>2191</v>
      </c>
      <c r="C2027" s="13" t="s">
        <v>2203</v>
      </c>
      <c r="D2027" s="13" t="s">
        <v>2206</v>
      </c>
      <c r="E2027" s="13" t="s">
        <v>2209</v>
      </c>
      <c r="F2027" s="13" t="s">
        <v>2219</v>
      </c>
      <c r="G2027" s="13">
        <v>29.61</v>
      </c>
      <c r="H2027" s="13">
        <v>0</v>
      </c>
      <c r="I2027" s="13">
        <v>29.61</v>
      </c>
      <c r="J2027" s="24">
        <v>45875</v>
      </c>
      <c r="K2027" s="13">
        <v>9</v>
      </c>
      <c r="L2027" s="44">
        <v>1</v>
      </c>
      <c r="M2027" s="13" t="b">
        <v>0</v>
      </c>
      <c r="O2027" s="25">
        <f t="shared" si="124"/>
        <v>27</v>
      </c>
      <c r="P2027" s="13">
        <f t="shared" si="125"/>
        <v>0</v>
      </c>
      <c r="Q2027" s="13" t="str">
        <f t="shared" si="126"/>
        <v/>
      </c>
      <c r="R2027" s="13" t="str">
        <f t="shared" si="127"/>
        <v>Non diskon</v>
      </c>
    </row>
    <row r="2028" spans="1:18" x14ac:dyDescent="0.25">
      <c r="A2028" s="13" t="s">
        <v>2040</v>
      </c>
      <c r="B2028" s="13" t="s">
        <v>2190</v>
      </c>
      <c r="C2028" s="13" t="s">
        <v>2201</v>
      </c>
      <c r="D2028" s="13" t="s">
        <v>2207</v>
      </c>
      <c r="E2028" s="13" t="s">
        <v>2210</v>
      </c>
      <c r="F2028" s="13" t="s">
        <v>2218</v>
      </c>
      <c r="G2028" s="13">
        <v>244.13</v>
      </c>
      <c r="H2028" s="13">
        <v>0</v>
      </c>
      <c r="I2028" s="13">
        <v>244.13</v>
      </c>
      <c r="J2028" s="24">
        <v>45875</v>
      </c>
      <c r="K2028" s="13">
        <v>2</v>
      </c>
      <c r="L2028" s="44">
        <v>3.5</v>
      </c>
      <c r="M2028" s="13" t="b">
        <v>1</v>
      </c>
      <c r="N2028" s="13" t="s">
        <v>2226</v>
      </c>
      <c r="O2028" s="25">
        <f t="shared" si="124"/>
        <v>27</v>
      </c>
      <c r="P2028" s="13">
        <f t="shared" si="125"/>
        <v>0</v>
      </c>
      <c r="Q2028" s="13">
        <f t="shared" si="126"/>
        <v>1</v>
      </c>
      <c r="R2028" s="13" t="str">
        <f t="shared" si="127"/>
        <v>Non diskon</v>
      </c>
    </row>
    <row r="2029" spans="1:18" x14ac:dyDescent="0.25">
      <c r="A2029" s="13" t="s">
        <v>2041</v>
      </c>
      <c r="B2029" s="13" t="s">
        <v>2192</v>
      </c>
      <c r="C2029" s="13" t="s">
        <v>2202</v>
      </c>
      <c r="D2029" s="13" t="s">
        <v>2204</v>
      </c>
      <c r="F2029" s="13" t="s">
        <v>2217</v>
      </c>
      <c r="G2029" s="13">
        <v>16.54</v>
      </c>
      <c r="H2029" s="13">
        <v>0</v>
      </c>
      <c r="I2029" s="13">
        <v>16.54</v>
      </c>
      <c r="J2029" s="24">
        <v>45773</v>
      </c>
      <c r="K2029" s="13">
        <v>30</v>
      </c>
      <c r="L2029" s="44">
        <v>3.2720930232558145</v>
      </c>
      <c r="M2029" s="13" t="b">
        <v>0</v>
      </c>
      <c r="O2029" s="25">
        <f t="shared" si="124"/>
        <v>129</v>
      </c>
      <c r="P2029" s="13">
        <f t="shared" si="125"/>
        <v>0</v>
      </c>
      <c r="Q2029" s="13" t="str">
        <f t="shared" si="126"/>
        <v/>
      </c>
      <c r="R2029" s="13" t="str">
        <f t="shared" si="127"/>
        <v>Non diskon</v>
      </c>
    </row>
    <row r="2030" spans="1:18" x14ac:dyDescent="0.25">
      <c r="A2030" s="13" t="s">
        <v>2042</v>
      </c>
      <c r="B2030" s="13" t="s">
        <v>2191</v>
      </c>
      <c r="C2030" s="13" t="s">
        <v>2196</v>
      </c>
      <c r="D2030" s="13" t="s">
        <v>2206</v>
      </c>
      <c r="E2030" s="13" t="s">
        <v>2210</v>
      </c>
      <c r="F2030" s="13" t="s">
        <v>2217</v>
      </c>
      <c r="G2030" s="13">
        <v>100.98</v>
      </c>
      <c r="H2030" s="13">
        <v>0</v>
      </c>
      <c r="I2030" s="13">
        <v>100.98</v>
      </c>
      <c r="J2030" s="24">
        <v>45875</v>
      </c>
      <c r="K2030" s="13">
        <v>41</v>
      </c>
      <c r="L2030" s="44">
        <v>2.9181818181818175</v>
      </c>
      <c r="M2030" s="13" t="b">
        <v>0</v>
      </c>
      <c r="O2030" s="25">
        <f t="shared" si="124"/>
        <v>27</v>
      </c>
      <c r="P2030" s="13">
        <f t="shared" si="125"/>
        <v>0</v>
      </c>
      <c r="Q2030" s="13" t="str">
        <f t="shared" si="126"/>
        <v/>
      </c>
      <c r="R2030" s="13" t="str">
        <f t="shared" si="127"/>
        <v>Non diskon</v>
      </c>
    </row>
    <row r="2031" spans="1:18" x14ac:dyDescent="0.25">
      <c r="A2031" s="13" t="s">
        <v>2043</v>
      </c>
      <c r="B2031" s="13" t="s">
        <v>2190</v>
      </c>
      <c r="C2031" s="13" t="s">
        <v>2197</v>
      </c>
      <c r="D2031" s="13" t="s">
        <v>2205</v>
      </c>
      <c r="F2031" s="13" t="s">
        <v>2218</v>
      </c>
      <c r="G2031" s="13">
        <v>175.42</v>
      </c>
      <c r="H2031" s="13">
        <v>0</v>
      </c>
      <c r="I2031" s="13">
        <v>175.42</v>
      </c>
      <c r="J2031" s="24">
        <v>45875</v>
      </c>
      <c r="K2031" s="13">
        <v>5</v>
      </c>
      <c r="L2031" s="44">
        <v>3.6</v>
      </c>
      <c r="M2031" s="13" t="b">
        <v>0</v>
      </c>
      <c r="O2031" s="25">
        <f t="shared" si="124"/>
        <v>27</v>
      </c>
      <c r="P2031" s="13">
        <f t="shared" si="125"/>
        <v>0</v>
      </c>
      <c r="Q2031" s="13" t="str">
        <f t="shared" si="126"/>
        <v/>
      </c>
      <c r="R2031" s="13" t="str">
        <f t="shared" si="127"/>
        <v>Non diskon</v>
      </c>
    </row>
    <row r="2032" spans="1:18" x14ac:dyDescent="0.25">
      <c r="A2032" s="13" t="s">
        <v>2044</v>
      </c>
      <c r="B2032" s="13" t="s">
        <v>2195</v>
      </c>
      <c r="C2032" s="13" t="s">
        <v>2201</v>
      </c>
      <c r="D2032" s="13" t="s">
        <v>2204</v>
      </c>
      <c r="E2032" s="13" t="s">
        <v>2211</v>
      </c>
      <c r="F2032" s="13" t="s">
        <v>2215</v>
      </c>
      <c r="G2032" s="13">
        <v>133.15</v>
      </c>
      <c r="H2032" s="13">
        <v>20.3</v>
      </c>
      <c r="I2032" s="13">
        <v>106.12</v>
      </c>
      <c r="J2032" s="24">
        <v>45811</v>
      </c>
      <c r="K2032" s="13">
        <v>9</v>
      </c>
      <c r="L2032" s="44">
        <v>3.2</v>
      </c>
      <c r="M2032" s="13" t="b">
        <v>0</v>
      </c>
      <c r="O2032" s="25">
        <f t="shared" si="124"/>
        <v>91</v>
      </c>
      <c r="P2032" s="13">
        <f t="shared" si="125"/>
        <v>182.70000000000002</v>
      </c>
      <c r="Q2032" s="13" t="str">
        <f t="shared" si="126"/>
        <v/>
      </c>
      <c r="R2032" s="13" t="str">
        <f t="shared" si="127"/>
        <v>Diskon</v>
      </c>
    </row>
    <row r="2033" spans="1:18" x14ac:dyDescent="0.25">
      <c r="A2033" s="13" t="s">
        <v>2045</v>
      </c>
      <c r="B2033" s="13" t="s">
        <v>2195</v>
      </c>
      <c r="C2033" s="13" t="s">
        <v>2197</v>
      </c>
      <c r="D2033" s="13" t="s">
        <v>2206</v>
      </c>
      <c r="F2033" s="13" t="s">
        <v>2215</v>
      </c>
      <c r="G2033" s="13">
        <v>94.21</v>
      </c>
      <c r="H2033" s="13">
        <v>44.7</v>
      </c>
      <c r="I2033" s="13">
        <v>52.1</v>
      </c>
      <c r="J2033" s="24">
        <v>45875</v>
      </c>
      <c r="K2033" s="13">
        <v>48</v>
      </c>
      <c r="L2033" s="44">
        <v>4.3</v>
      </c>
      <c r="M2033" s="13" t="b">
        <v>0</v>
      </c>
      <c r="O2033" s="25">
        <f t="shared" si="124"/>
        <v>27</v>
      </c>
      <c r="P2033" s="13">
        <f t="shared" si="125"/>
        <v>2145.6000000000004</v>
      </c>
      <c r="Q2033" s="13" t="str">
        <f t="shared" si="126"/>
        <v/>
      </c>
      <c r="R2033" s="13" t="str">
        <f t="shared" si="127"/>
        <v>Diskon</v>
      </c>
    </row>
    <row r="2034" spans="1:18" x14ac:dyDescent="0.25">
      <c r="A2034" s="13" t="s">
        <v>2046</v>
      </c>
      <c r="B2034" s="13" t="s">
        <v>2191</v>
      </c>
      <c r="C2034" s="13" t="s">
        <v>2203</v>
      </c>
      <c r="D2034" s="13" t="s">
        <v>2205</v>
      </c>
      <c r="E2034" s="13" t="s">
        <v>2213</v>
      </c>
      <c r="F2034" s="13" t="s">
        <v>2215</v>
      </c>
      <c r="G2034" s="13">
        <v>115.44</v>
      </c>
      <c r="H2034" s="13">
        <v>0</v>
      </c>
      <c r="I2034" s="13">
        <v>115.44</v>
      </c>
      <c r="J2034" s="24">
        <v>45875</v>
      </c>
      <c r="K2034" s="13">
        <v>21</v>
      </c>
      <c r="L2034" s="44">
        <v>1.2</v>
      </c>
      <c r="M2034" s="13" t="b">
        <v>0</v>
      </c>
      <c r="O2034" s="25">
        <f t="shared" si="124"/>
        <v>27</v>
      </c>
      <c r="P2034" s="13">
        <f t="shared" si="125"/>
        <v>0</v>
      </c>
      <c r="Q2034" s="13" t="str">
        <f t="shared" si="126"/>
        <v/>
      </c>
      <c r="R2034" s="13" t="str">
        <f t="shared" si="127"/>
        <v>Non diskon</v>
      </c>
    </row>
    <row r="2035" spans="1:18" x14ac:dyDescent="0.25">
      <c r="A2035" s="13" t="s">
        <v>2047</v>
      </c>
      <c r="B2035" s="13" t="s">
        <v>2190</v>
      </c>
      <c r="C2035" s="13" t="s">
        <v>2196</v>
      </c>
      <c r="D2035" s="13" t="s">
        <v>2204</v>
      </c>
      <c r="E2035" s="13" t="s">
        <v>2210</v>
      </c>
      <c r="F2035" s="13" t="s">
        <v>2217</v>
      </c>
      <c r="G2035" s="13">
        <v>194.39</v>
      </c>
      <c r="H2035" s="13">
        <v>26.5</v>
      </c>
      <c r="I2035" s="13">
        <v>142.88</v>
      </c>
      <c r="J2035" s="24">
        <v>45762</v>
      </c>
      <c r="K2035" s="13">
        <v>12</v>
      </c>
      <c r="L2035" s="44">
        <v>1.2</v>
      </c>
      <c r="M2035" s="13" t="b">
        <v>0</v>
      </c>
      <c r="O2035" s="25">
        <f t="shared" si="124"/>
        <v>140</v>
      </c>
      <c r="P2035" s="13">
        <f t="shared" si="125"/>
        <v>318</v>
      </c>
      <c r="Q2035" s="13" t="str">
        <f t="shared" si="126"/>
        <v/>
      </c>
      <c r="R2035" s="13" t="str">
        <f t="shared" si="127"/>
        <v>Diskon</v>
      </c>
    </row>
    <row r="2036" spans="1:18" x14ac:dyDescent="0.25">
      <c r="A2036" s="13" t="s">
        <v>2048</v>
      </c>
      <c r="B2036" s="13" t="s">
        <v>2193</v>
      </c>
      <c r="C2036" s="13" t="s">
        <v>2198</v>
      </c>
      <c r="D2036" s="13" t="s">
        <v>2204</v>
      </c>
      <c r="E2036" s="13" t="s">
        <v>2209</v>
      </c>
      <c r="F2036" s="13" t="s">
        <v>2217</v>
      </c>
      <c r="G2036" s="13">
        <v>132.38999999999999</v>
      </c>
      <c r="H2036" s="13">
        <v>27.6</v>
      </c>
      <c r="I2036" s="13">
        <v>95.85</v>
      </c>
      <c r="J2036" s="24">
        <v>45596</v>
      </c>
      <c r="K2036" s="13">
        <v>16</v>
      </c>
      <c r="L2036" s="44">
        <v>3.1936170212765949</v>
      </c>
      <c r="M2036" s="13" t="b">
        <v>0</v>
      </c>
      <c r="O2036" s="25">
        <f t="shared" si="124"/>
        <v>306</v>
      </c>
      <c r="P2036" s="13">
        <f t="shared" si="125"/>
        <v>441.6</v>
      </c>
      <c r="Q2036" s="13" t="str">
        <f t="shared" si="126"/>
        <v/>
      </c>
      <c r="R2036" s="13" t="str">
        <f t="shared" si="127"/>
        <v>Diskon</v>
      </c>
    </row>
    <row r="2037" spans="1:18" x14ac:dyDescent="0.25">
      <c r="A2037" s="13" t="s">
        <v>2049</v>
      </c>
      <c r="B2037" s="13" t="s">
        <v>2192</v>
      </c>
      <c r="C2037" s="13" t="s">
        <v>2197</v>
      </c>
      <c r="D2037" s="13" t="s">
        <v>2204</v>
      </c>
      <c r="F2037" s="13" t="s">
        <v>2214</v>
      </c>
      <c r="G2037" s="13">
        <v>52.54</v>
      </c>
      <c r="H2037" s="13">
        <v>14.6</v>
      </c>
      <c r="I2037" s="13">
        <v>44.87</v>
      </c>
      <c r="J2037" s="24">
        <v>45552</v>
      </c>
      <c r="K2037" s="13">
        <v>7</v>
      </c>
      <c r="L2037" s="44">
        <v>1.4</v>
      </c>
      <c r="M2037" s="13" t="b">
        <v>0</v>
      </c>
      <c r="O2037" s="25">
        <f t="shared" si="124"/>
        <v>350</v>
      </c>
      <c r="P2037" s="13">
        <f t="shared" si="125"/>
        <v>102.2</v>
      </c>
      <c r="Q2037" s="13" t="str">
        <f t="shared" si="126"/>
        <v/>
      </c>
      <c r="R2037" s="13" t="str">
        <f t="shared" si="127"/>
        <v>Diskon</v>
      </c>
    </row>
    <row r="2038" spans="1:18" x14ac:dyDescent="0.25">
      <c r="A2038" s="13" t="s">
        <v>2050</v>
      </c>
      <c r="B2038" s="13" t="s">
        <v>2195</v>
      </c>
      <c r="C2038" s="13" t="s">
        <v>2197</v>
      </c>
      <c r="D2038" s="13" t="s">
        <v>2204</v>
      </c>
      <c r="E2038" s="13" t="s">
        <v>2208</v>
      </c>
      <c r="F2038" s="13" t="s">
        <v>2216</v>
      </c>
      <c r="G2038" s="13">
        <v>165.01</v>
      </c>
      <c r="H2038" s="13">
        <v>41.2</v>
      </c>
      <c r="I2038" s="13">
        <v>97.03</v>
      </c>
      <c r="J2038" s="24">
        <v>45584</v>
      </c>
      <c r="K2038" s="13">
        <v>22</v>
      </c>
      <c r="L2038" s="44">
        <v>3.1666666666666665</v>
      </c>
      <c r="M2038" s="13" t="b">
        <v>0</v>
      </c>
      <c r="O2038" s="25">
        <f t="shared" si="124"/>
        <v>318</v>
      </c>
      <c r="P2038" s="13">
        <f t="shared" si="125"/>
        <v>906.40000000000009</v>
      </c>
      <c r="Q2038" s="13" t="str">
        <f t="shared" si="126"/>
        <v/>
      </c>
      <c r="R2038" s="13" t="str">
        <f t="shared" si="127"/>
        <v>Diskon</v>
      </c>
    </row>
    <row r="2039" spans="1:18" x14ac:dyDescent="0.25">
      <c r="A2039" s="13" t="s">
        <v>2051</v>
      </c>
      <c r="B2039" s="13" t="s">
        <v>2192</v>
      </c>
      <c r="C2039" s="13" t="s">
        <v>2201</v>
      </c>
      <c r="D2039" s="13" t="s">
        <v>2204</v>
      </c>
      <c r="F2039" s="13" t="s">
        <v>2223</v>
      </c>
      <c r="G2039" s="13">
        <v>42.94</v>
      </c>
      <c r="H2039" s="13">
        <v>34.299999999999997</v>
      </c>
      <c r="I2039" s="13">
        <v>28.21</v>
      </c>
      <c r="J2039" s="24">
        <v>45648</v>
      </c>
      <c r="K2039" s="13">
        <v>41</v>
      </c>
      <c r="L2039" s="44">
        <v>3.2731707317073173</v>
      </c>
      <c r="M2039" s="13" t="b">
        <v>0</v>
      </c>
      <c r="O2039" s="25">
        <f t="shared" si="124"/>
        <v>254</v>
      </c>
      <c r="P2039" s="13">
        <f t="shared" si="125"/>
        <v>1406.3</v>
      </c>
      <c r="Q2039" s="13" t="str">
        <f t="shared" si="126"/>
        <v/>
      </c>
      <c r="R2039" s="13" t="str">
        <f t="shared" si="127"/>
        <v>Diskon</v>
      </c>
    </row>
    <row r="2040" spans="1:18" x14ac:dyDescent="0.25">
      <c r="A2040" s="13" t="s">
        <v>2052</v>
      </c>
      <c r="B2040" s="13" t="s">
        <v>2191</v>
      </c>
      <c r="C2040" s="13" t="s">
        <v>2197</v>
      </c>
      <c r="D2040" s="13" t="s">
        <v>2206</v>
      </c>
      <c r="E2040" s="13" t="s">
        <v>2208</v>
      </c>
      <c r="F2040" s="13" t="s">
        <v>2221</v>
      </c>
      <c r="G2040" s="13">
        <v>72.78</v>
      </c>
      <c r="H2040" s="13">
        <v>0</v>
      </c>
      <c r="I2040" s="13">
        <v>72.78</v>
      </c>
      <c r="J2040" s="24">
        <v>45875</v>
      </c>
      <c r="K2040" s="13">
        <v>49</v>
      </c>
      <c r="L2040" s="44">
        <v>3.1</v>
      </c>
      <c r="M2040" s="13" t="b">
        <v>0</v>
      </c>
      <c r="O2040" s="25">
        <f t="shared" si="124"/>
        <v>27</v>
      </c>
      <c r="P2040" s="13">
        <f t="shared" si="125"/>
        <v>0</v>
      </c>
      <c r="Q2040" s="13" t="str">
        <f t="shared" si="126"/>
        <v/>
      </c>
      <c r="R2040" s="13" t="str">
        <f t="shared" si="127"/>
        <v>Non diskon</v>
      </c>
    </row>
    <row r="2041" spans="1:18" x14ac:dyDescent="0.25">
      <c r="A2041" s="13" t="s">
        <v>2053</v>
      </c>
      <c r="B2041" s="13" t="s">
        <v>2193</v>
      </c>
      <c r="C2041" s="13" t="s">
        <v>2197</v>
      </c>
      <c r="D2041" s="13" t="s">
        <v>2206</v>
      </c>
      <c r="E2041" s="13" t="s">
        <v>2210</v>
      </c>
      <c r="F2041" s="13" t="s">
        <v>2214</v>
      </c>
      <c r="G2041" s="13">
        <v>189.32</v>
      </c>
      <c r="H2041" s="13">
        <v>0</v>
      </c>
      <c r="I2041" s="13">
        <v>189.32</v>
      </c>
      <c r="J2041" s="24">
        <v>45875</v>
      </c>
      <c r="K2041" s="13">
        <v>35</v>
      </c>
      <c r="L2041" s="44">
        <v>2.5</v>
      </c>
      <c r="M2041" s="13" t="b">
        <v>0</v>
      </c>
      <c r="O2041" s="25">
        <f t="shared" si="124"/>
        <v>27</v>
      </c>
      <c r="P2041" s="13">
        <f t="shared" si="125"/>
        <v>0</v>
      </c>
      <c r="Q2041" s="13" t="str">
        <f t="shared" si="126"/>
        <v/>
      </c>
      <c r="R2041" s="13" t="str">
        <f t="shared" si="127"/>
        <v>Non diskon</v>
      </c>
    </row>
    <row r="2042" spans="1:18" x14ac:dyDescent="0.25">
      <c r="A2042" s="13" t="s">
        <v>2054</v>
      </c>
      <c r="B2042" s="13" t="s">
        <v>2195</v>
      </c>
      <c r="C2042" s="13" t="s">
        <v>2201</v>
      </c>
      <c r="D2042" s="13" t="s">
        <v>2207</v>
      </c>
      <c r="E2042" s="13" t="s">
        <v>2208</v>
      </c>
      <c r="F2042" s="13" t="s">
        <v>2217</v>
      </c>
      <c r="G2042" s="13">
        <v>157</v>
      </c>
      <c r="H2042" s="13">
        <v>55.7</v>
      </c>
      <c r="I2042" s="13">
        <v>69.55</v>
      </c>
      <c r="J2042" s="24">
        <v>45875</v>
      </c>
      <c r="K2042" s="13">
        <v>6</v>
      </c>
      <c r="L2042" s="44">
        <v>2.1</v>
      </c>
      <c r="M2042" s="13" t="b">
        <v>0</v>
      </c>
      <c r="O2042" s="25">
        <f t="shared" si="124"/>
        <v>27</v>
      </c>
      <c r="P2042" s="13">
        <f t="shared" si="125"/>
        <v>334.20000000000005</v>
      </c>
      <c r="Q2042" s="13" t="str">
        <f t="shared" si="126"/>
        <v/>
      </c>
      <c r="R2042" s="13" t="str">
        <f t="shared" si="127"/>
        <v>Diskon</v>
      </c>
    </row>
    <row r="2043" spans="1:18" x14ac:dyDescent="0.25">
      <c r="A2043" s="13" t="s">
        <v>2055</v>
      </c>
      <c r="B2043" s="13" t="s">
        <v>2191</v>
      </c>
      <c r="C2043" s="13" t="s">
        <v>2202</v>
      </c>
      <c r="D2043" s="13" t="s">
        <v>2204</v>
      </c>
      <c r="E2043" s="13" t="s">
        <v>2210</v>
      </c>
      <c r="F2043" s="13" t="s">
        <v>2223</v>
      </c>
      <c r="G2043" s="13">
        <v>28.73</v>
      </c>
      <c r="H2043" s="13">
        <v>26.4</v>
      </c>
      <c r="I2043" s="13">
        <v>21.15</v>
      </c>
      <c r="J2043" s="24">
        <v>45575</v>
      </c>
      <c r="K2043" s="13">
        <v>47</v>
      </c>
      <c r="L2043" s="44">
        <v>2.2999999999999998</v>
      </c>
      <c r="M2043" s="13" t="b">
        <v>1</v>
      </c>
      <c r="N2043" s="13" t="s">
        <v>2226</v>
      </c>
      <c r="O2043" s="25">
        <f t="shared" si="124"/>
        <v>327</v>
      </c>
      <c r="P2043" s="13">
        <f t="shared" si="125"/>
        <v>1240.8</v>
      </c>
      <c r="Q2043" s="13">
        <f t="shared" si="126"/>
        <v>1</v>
      </c>
      <c r="R2043" s="13" t="str">
        <f t="shared" si="127"/>
        <v>Diskon</v>
      </c>
    </row>
    <row r="2044" spans="1:18" x14ac:dyDescent="0.25">
      <c r="A2044" s="13" t="s">
        <v>2056</v>
      </c>
      <c r="B2044" s="13" t="s">
        <v>2190</v>
      </c>
      <c r="C2044" s="13" t="s">
        <v>2203</v>
      </c>
      <c r="D2044" s="13" t="s">
        <v>2205</v>
      </c>
      <c r="E2044" s="13" t="s">
        <v>2209</v>
      </c>
      <c r="F2044" s="13" t="s">
        <v>2218</v>
      </c>
      <c r="G2044" s="13">
        <v>144.63999999999999</v>
      </c>
      <c r="H2044" s="13">
        <v>0</v>
      </c>
      <c r="I2044" s="13">
        <v>144.63999999999999</v>
      </c>
      <c r="J2044" s="24">
        <v>45875</v>
      </c>
      <c r="K2044" s="13">
        <v>0</v>
      </c>
      <c r="L2044" s="44">
        <v>4.5</v>
      </c>
      <c r="M2044" s="13" t="b">
        <v>0</v>
      </c>
      <c r="O2044" s="25">
        <f t="shared" si="124"/>
        <v>27</v>
      </c>
      <c r="P2044" s="13">
        <f t="shared" si="125"/>
        <v>0</v>
      </c>
      <c r="Q2044" s="13" t="str">
        <f t="shared" si="126"/>
        <v/>
      </c>
      <c r="R2044" s="13" t="str">
        <f t="shared" si="127"/>
        <v>Non diskon</v>
      </c>
    </row>
    <row r="2045" spans="1:18" x14ac:dyDescent="0.25">
      <c r="A2045" s="13" t="s">
        <v>2057</v>
      </c>
      <c r="B2045" s="13" t="s">
        <v>2193</v>
      </c>
      <c r="C2045" s="13" t="s">
        <v>2198</v>
      </c>
      <c r="D2045" s="13" t="s">
        <v>2206</v>
      </c>
      <c r="E2045" s="13" t="s">
        <v>2209</v>
      </c>
      <c r="F2045" s="13" t="s">
        <v>2219</v>
      </c>
      <c r="G2045" s="13">
        <v>180.99</v>
      </c>
      <c r="H2045" s="13">
        <v>0</v>
      </c>
      <c r="I2045" s="13">
        <v>180.99</v>
      </c>
      <c r="J2045" s="24">
        <v>45875</v>
      </c>
      <c r="K2045" s="13">
        <v>0</v>
      </c>
      <c r="L2045" s="44">
        <v>4.5</v>
      </c>
      <c r="M2045" s="13" t="b">
        <v>0</v>
      </c>
      <c r="O2045" s="25">
        <f t="shared" si="124"/>
        <v>27</v>
      </c>
      <c r="P2045" s="13">
        <f t="shared" si="125"/>
        <v>0</v>
      </c>
      <c r="Q2045" s="13" t="str">
        <f t="shared" si="126"/>
        <v/>
      </c>
      <c r="R2045" s="13" t="str">
        <f t="shared" si="127"/>
        <v>Non diskon</v>
      </c>
    </row>
    <row r="2046" spans="1:18" x14ac:dyDescent="0.25">
      <c r="A2046" s="13" t="s">
        <v>2058</v>
      </c>
      <c r="B2046" s="13" t="s">
        <v>2191</v>
      </c>
      <c r="C2046" s="13" t="s">
        <v>2201</v>
      </c>
      <c r="D2046" s="13" t="s">
        <v>2206</v>
      </c>
      <c r="E2046" s="13" t="s">
        <v>2213</v>
      </c>
      <c r="F2046" s="13" t="s">
        <v>2220</v>
      </c>
      <c r="G2046" s="13">
        <v>74.959999999999994</v>
      </c>
      <c r="H2046" s="13">
        <v>56.1</v>
      </c>
      <c r="I2046" s="13">
        <v>32.909999999999997</v>
      </c>
      <c r="J2046" s="24">
        <v>45875</v>
      </c>
      <c r="K2046" s="13">
        <v>16</v>
      </c>
      <c r="L2046" s="44">
        <v>2.9846153846153847</v>
      </c>
      <c r="M2046" s="13" t="b">
        <v>1</v>
      </c>
      <c r="N2046" s="13" t="s">
        <v>2230</v>
      </c>
      <c r="O2046" s="25">
        <f t="shared" si="124"/>
        <v>27</v>
      </c>
      <c r="P2046" s="13">
        <f t="shared" si="125"/>
        <v>897.6</v>
      </c>
      <c r="Q2046" s="13">
        <f t="shared" si="126"/>
        <v>1</v>
      </c>
      <c r="R2046" s="13" t="str">
        <f t="shared" si="127"/>
        <v>Diskon</v>
      </c>
    </row>
    <row r="2047" spans="1:18" x14ac:dyDescent="0.25">
      <c r="A2047" s="13" t="s">
        <v>2059</v>
      </c>
      <c r="B2047" s="13" t="s">
        <v>2195</v>
      </c>
      <c r="C2047" s="13" t="s">
        <v>2201</v>
      </c>
      <c r="D2047" s="13" t="s">
        <v>2206</v>
      </c>
      <c r="E2047" s="13" t="s">
        <v>2211</v>
      </c>
      <c r="F2047" s="13" t="s">
        <v>2222</v>
      </c>
      <c r="G2047" s="13">
        <v>63.46</v>
      </c>
      <c r="H2047" s="13">
        <v>0</v>
      </c>
      <c r="I2047" s="13">
        <v>63.46</v>
      </c>
      <c r="J2047" s="24">
        <v>45875</v>
      </c>
      <c r="K2047" s="13">
        <v>36</v>
      </c>
      <c r="L2047" s="44">
        <v>1.2</v>
      </c>
      <c r="M2047" s="13" t="b">
        <v>0</v>
      </c>
      <c r="O2047" s="25">
        <f t="shared" si="124"/>
        <v>27</v>
      </c>
      <c r="P2047" s="13">
        <f t="shared" si="125"/>
        <v>0</v>
      </c>
      <c r="Q2047" s="13" t="str">
        <f t="shared" si="126"/>
        <v/>
      </c>
      <c r="R2047" s="13" t="str">
        <f t="shared" si="127"/>
        <v>Non diskon</v>
      </c>
    </row>
    <row r="2048" spans="1:18" x14ac:dyDescent="0.25">
      <c r="A2048" s="13" t="s">
        <v>2060</v>
      </c>
      <c r="B2048" s="13" t="s">
        <v>2193</v>
      </c>
      <c r="C2048" s="13" t="s">
        <v>2199</v>
      </c>
      <c r="D2048" s="13" t="s">
        <v>2204</v>
      </c>
      <c r="E2048" s="13" t="s">
        <v>2210</v>
      </c>
      <c r="F2048" s="13" t="s">
        <v>2216</v>
      </c>
      <c r="G2048" s="13">
        <v>105.95</v>
      </c>
      <c r="H2048" s="13">
        <v>31.6</v>
      </c>
      <c r="I2048" s="13">
        <v>72.47</v>
      </c>
      <c r="J2048" s="24">
        <v>45748</v>
      </c>
      <c r="K2048" s="13">
        <v>38</v>
      </c>
      <c r="L2048" s="44">
        <v>3.5</v>
      </c>
      <c r="M2048" s="13" t="b">
        <v>0</v>
      </c>
      <c r="O2048" s="25">
        <f t="shared" si="124"/>
        <v>154</v>
      </c>
      <c r="P2048" s="13">
        <f t="shared" si="125"/>
        <v>1200.8</v>
      </c>
      <c r="Q2048" s="13" t="str">
        <f t="shared" si="126"/>
        <v/>
      </c>
      <c r="R2048" s="13" t="str">
        <f t="shared" si="127"/>
        <v>Diskon</v>
      </c>
    </row>
    <row r="2049" spans="1:18" x14ac:dyDescent="0.25">
      <c r="A2049" s="13" t="s">
        <v>2061</v>
      </c>
      <c r="B2049" s="13" t="s">
        <v>2195</v>
      </c>
      <c r="C2049" s="13" t="s">
        <v>2199</v>
      </c>
      <c r="D2049" s="13" t="s">
        <v>2207</v>
      </c>
      <c r="E2049" s="13" t="s">
        <v>2210</v>
      </c>
      <c r="F2049" s="13" t="s">
        <v>2222</v>
      </c>
      <c r="G2049" s="13">
        <v>86.55</v>
      </c>
      <c r="H2049" s="13">
        <v>24.5</v>
      </c>
      <c r="I2049" s="13">
        <v>65.349999999999994</v>
      </c>
      <c r="J2049" s="24">
        <v>45875</v>
      </c>
      <c r="K2049" s="13">
        <v>40</v>
      </c>
      <c r="L2049" s="44">
        <v>3.5</v>
      </c>
      <c r="M2049" s="13" t="b">
        <v>0</v>
      </c>
      <c r="O2049" s="25">
        <f t="shared" si="124"/>
        <v>27</v>
      </c>
      <c r="P2049" s="13">
        <f t="shared" si="125"/>
        <v>980</v>
      </c>
      <c r="Q2049" s="13" t="str">
        <f t="shared" si="126"/>
        <v/>
      </c>
      <c r="R2049" s="13" t="str">
        <f t="shared" si="127"/>
        <v>Diskon</v>
      </c>
    </row>
    <row r="2050" spans="1:18" x14ac:dyDescent="0.25">
      <c r="A2050" s="13" t="s">
        <v>2062</v>
      </c>
      <c r="B2050" s="13" t="s">
        <v>2194</v>
      </c>
      <c r="C2050" s="13" t="s">
        <v>2202</v>
      </c>
      <c r="D2050" s="13" t="s">
        <v>2206</v>
      </c>
      <c r="E2050" s="13" t="s">
        <v>2213</v>
      </c>
      <c r="F2050" s="13" t="s">
        <v>2222</v>
      </c>
      <c r="G2050" s="13">
        <v>90.97</v>
      </c>
      <c r="H2050" s="13">
        <v>10.8</v>
      </c>
      <c r="I2050" s="13">
        <v>81.150000000000006</v>
      </c>
      <c r="J2050" s="24">
        <v>45875</v>
      </c>
      <c r="K2050" s="13">
        <v>33</v>
      </c>
      <c r="L2050" s="44">
        <v>2.2000000000000002</v>
      </c>
      <c r="M2050" s="13" t="b">
        <v>1</v>
      </c>
      <c r="N2050" s="13" t="s">
        <v>2227</v>
      </c>
      <c r="O2050" s="25">
        <f t="shared" si="124"/>
        <v>27</v>
      </c>
      <c r="P2050" s="13">
        <f t="shared" si="125"/>
        <v>356.40000000000003</v>
      </c>
      <c r="Q2050" s="13">
        <f t="shared" si="126"/>
        <v>1</v>
      </c>
      <c r="R2050" s="13" t="str">
        <f t="shared" si="127"/>
        <v>Diskon</v>
      </c>
    </row>
    <row r="2051" spans="1:18" x14ac:dyDescent="0.25">
      <c r="A2051" s="13" t="s">
        <v>2063</v>
      </c>
      <c r="B2051" s="13" t="s">
        <v>2195</v>
      </c>
      <c r="C2051" s="13" t="s">
        <v>2199</v>
      </c>
      <c r="D2051" s="13" t="s">
        <v>2205</v>
      </c>
      <c r="E2051" s="13" t="s">
        <v>2209</v>
      </c>
      <c r="F2051" s="13" t="s">
        <v>2221</v>
      </c>
      <c r="G2051" s="13">
        <v>122.41</v>
      </c>
      <c r="H2051" s="13">
        <v>48.2</v>
      </c>
      <c r="I2051" s="13">
        <v>63.41</v>
      </c>
      <c r="J2051" s="24">
        <v>45875</v>
      </c>
      <c r="K2051" s="13">
        <v>49</v>
      </c>
      <c r="L2051" s="44">
        <v>4.5</v>
      </c>
      <c r="M2051" s="13" t="b">
        <v>0</v>
      </c>
      <c r="O2051" s="25">
        <f t="shared" ref="O2051:O2114" si="128">DATE(2025,9,2)-J2051</f>
        <v>27</v>
      </c>
      <c r="P2051" s="13">
        <f t="shared" ref="P2051:P2114" si="129">H2051*K2051</f>
        <v>2361.8000000000002</v>
      </c>
      <c r="Q2051" s="13" t="str">
        <f t="shared" ref="Q2051:Q2114" si="130">IF(M2051=FALSE,"",1)</f>
        <v/>
      </c>
      <c r="R2051" s="13" t="str">
        <f t="shared" ref="R2051:R2114" si="131">IF(H2051=0,"Non diskon","Diskon")</f>
        <v>Diskon</v>
      </c>
    </row>
    <row r="2052" spans="1:18" x14ac:dyDescent="0.25">
      <c r="A2052" s="13" t="s">
        <v>2064</v>
      </c>
      <c r="B2052" s="13" t="s">
        <v>2193</v>
      </c>
      <c r="C2052" s="13" t="s">
        <v>2198</v>
      </c>
      <c r="D2052" s="13" t="s">
        <v>2205</v>
      </c>
      <c r="E2052" s="13" t="s">
        <v>2211</v>
      </c>
      <c r="F2052" s="13" t="s">
        <v>2218</v>
      </c>
      <c r="G2052" s="13">
        <v>198.22</v>
      </c>
      <c r="H2052" s="13">
        <v>0</v>
      </c>
      <c r="I2052" s="13">
        <v>198.22</v>
      </c>
      <c r="J2052" s="24">
        <v>45875</v>
      </c>
      <c r="K2052" s="13">
        <v>12</v>
      </c>
      <c r="L2052" s="44">
        <v>3.1936170212765949</v>
      </c>
      <c r="M2052" s="13" t="b">
        <v>0</v>
      </c>
      <c r="O2052" s="25">
        <f t="shared" si="128"/>
        <v>27</v>
      </c>
      <c r="P2052" s="13">
        <f t="shared" si="129"/>
        <v>0</v>
      </c>
      <c r="Q2052" s="13" t="str">
        <f t="shared" si="130"/>
        <v/>
      </c>
      <c r="R2052" s="13" t="str">
        <f t="shared" si="131"/>
        <v>Non diskon</v>
      </c>
    </row>
    <row r="2053" spans="1:18" x14ac:dyDescent="0.25">
      <c r="A2053" s="13" t="s">
        <v>2065</v>
      </c>
      <c r="B2053" s="13" t="s">
        <v>2193</v>
      </c>
      <c r="C2053" s="13" t="s">
        <v>2196</v>
      </c>
      <c r="D2053" s="13" t="s">
        <v>2205</v>
      </c>
      <c r="E2053" s="13" t="s">
        <v>2213</v>
      </c>
      <c r="F2053" s="13" t="s">
        <v>2221</v>
      </c>
      <c r="G2053" s="13">
        <v>129.56</v>
      </c>
      <c r="H2053" s="13">
        <v>20.8</v>
      </c>
      <c r="I2053" s="13">
        <v>102.61</v>
      </c>
      <c r="J2053" s="24">
        <v>45875</v>
      </c>
      <c r="K2053" s="13">
        <v>3</v>
      </c>
      <c r="L2053" s="44">
        <v>2.9</v>
      </c>
      <c r="M2053" s="13" t="b">
        <v>0</v>
      </c>
      <c r="O2053" s="25">
        <f t="shared" si="128"/>
        <v>27</v>
      </c>
      <c r="P2053" s="13">
        <f t="shared" si="129"/>
        <v>62.400000000000006</v>
      </c>
      <c r="Q2053" s="13" t="str">
        <f t="shared" si="130"/>
        <v/>
      </c>
      <c r="R2053" s="13" t="str">
        <f t="shared" si="131"/>
        <v>Diskon</v>
      </c>
    </row>
    <row r="2054" spans="1:18" x14ac:dyDescent="0.25">
      <c r="A2054" s="13" t="s">
        <v>2066</v>
      </c>
      <c r="B2054" s="13" t="s">
        <v>2192</v>
      </c>
      <c r="C2054" s="13" t="s">
        <v>2196</v>
      </c>
      <c r="D2054" s="13" t="s">
        <v>2207</v>
      </c>
      <c r="F2054" s="13" t="s">
        <v>2215</v>
      </c>
      <c r="G2054" s="13">
        <v>49.31</v>
      </c>
      <c r="H2054" s="13">
        <v>0</v>
      </c>
      <c r="I2054" s="13">
        <v>49.31</v>
      </c>
      <c r="J2054" s="24">
        <v>45875</v>
      </c>
      <c r="K2054" s="13">
        <v>49</v>
      </c>
      <c r="L2054" s="44">
        <v>3.4</v>
      </c>
      <c r="M2054" s="13" t="b">
        <v>0</v>
      </c>
      <c r="O2054" s="25">
        <f t="shared" si="128"/>
        <v>27</v>
      </c>
      <c r="P2054" s="13">
        <f t="shared" si="129"/>
        <v>0</v>
      </c>
      <c r="Q2054" s="13" t="str">
        <f t="shared" si="130"/>
        <v/>
      </c>
      <c r="R2054" s="13" t="str">
        <f t="shared" si="131"/>
        <v>Non diskon</v>
      </c>
    </row>
    <row r="2055" spans="1:18" x14ac:dyDescent="0.25">
      <c r="A2055" s="13" t="s">
        <v>2067</v>
      </c>
      <c r="B2055" s="13" t="s">
        <v>2190</v>
      </c>
      <c r="C2055" s="13" t="s">
        <v>2197</v>
      </c>
      <c r="D2055" s="13" t="s">
        <v>2207</v>
      </c>
      <c r="E2055" s="13" t="s">
        <v>2210</v>
      </c>
      <c r="F2055" s="13" t="s">
        <v>2215</v>
      </c>
      <c r="G2055" s="13">
        <v>206.94</v>
      </c>
      <c r="H2055" s="13">
        <v>0</v>
      </c>
      <c r="I2055" s="13">
        <v>206.94</v>
      </c>
      <c r="J2055" s="24">
        <v>45875</v>
      </c>
      <c r="K2055" s="13">
        <v>43</v>
      </c>
      <c r="L2055" s="44">
        <v>3.3</v>
      </c>
      <c r="M2055" s="13" t="b">
        <v>0</v>
      </c>
      <c r="O2055" s="25">
        <f t="shared" si="128"/>
        <v>27</v>
      </c>
      <c r="P2055" s="13">
        <f t="shared" si="129"/>
        <v>0</v>
      </c>
      <c r="Q2055" s="13" t="str">
        <f t="shared" si="130"/>
        <v/>
      </c>
      <c r="R2055" s="13" t="str">
        <f t="shared" si="131"/>
        <v>Non diskon</v>
      </c>
    </row>
    <row r="2056" spans="1:18" x14ac:dyDescent="0.25">
      <c r="A2056" s="13" t="s">
        <v>2068</v>
      </c>
      <c r="B2056" s="13" t="s">
        <v>2192</v>
      </c>
      <c r="C2056" s="13" t="s">
        <v>2198</v>
      </c>
      <c r="D2056" s="13" t="s">
        <v>2207</v>
      </c>
      <c r="F2056" s="13" t="s">
        <v>2216</v>
      </c>
      <c r="G2056" s="13">
        <v>36.93</v>
      </c>
      <c r="H2056" s="13">
        <v>0</v>
      </c>
      <c r="I2056" s="13">
        <v>36.93</v>
      </c>
      <c r="J2056" s="24">
        <v>45875</v>
      </c>
      <c r="K2056" s="13">
        <v>18</v>
      </c>
      <c r="L2056" s="44">
        <v>2.8694444444444449</v>
      </c>
      <c r="M2056" s="13" t="b">
        <v>0</v>
      </c>
      <c r="O2056" s="25">
        <f t="shared" si="128"/>
        <v>27</v>
      </c>
      <c r="P2056" s="13">
        <f t="shared" si="129"/>
        <v>0</v>
      </c>
      <c r="Q2056" s="13" t="str">
        <f t="shared" si="130"/>
        <v/>
      </c>
      <c r="R2056" s="13" t="str">
        <f t="shared" si="131"/>
        <v>Non diskon</v>
      </c>
    </row>
    <row r="2057" spans="1:18" x14ac:dyDescent="0.25">
      <c r="A2057" s="13" t="s">
        <v>2069</v>
      </c>
      <c r="B2057" s="13" t="s">
        <v>2192</v>
      </c>
      <c r="C2057" s="13" t="s">
        <v>2197</v>
      </c>
      <c r="D2057" s="13" t="s">
        <v>2207</v>
      </c>
      <c r="F2057" s="13" t="s">
        <v>2220</v>
      </c>
      <c r="G2057" s="13">
        <v>21.85</v>
      </c>
      <c r="H2057" s="13">
        <v>12</v>
      </c>
      <c r="I2057" s="13">
        <v>19.23</v>
      </c>
      <c r="J2057" s="24">
        <v>45875</v>
      </c>
      <c r="K2057" s="13">
        <v>18</v>
      </c>
      <c r="L2057" s="44">
        <v>4.8</v>
      </c>
      <c r="M2057" s="13" t="b">
        <v>0</v>
      </c>
      <c r="O2057" s="25">
        <f t="shared" si="128"/>
        <v>27</v>
      </c>
      <c r="P2057" s="13">
        <f t="shared" si="129"/>
        <v>216</v>
      </c>
      <c r="Q2057" s="13" t="str">
        <f t="shared" si="130"/>
        <v/>
      </c>
      <c r="R2057" s="13" t="str">
        <f t="shared" si="131"/>
        <v>Diskon</v>
      </c>
    </row>
    <row r="2058" spans="1:18" x14ac:dyDescent="0.25">
      <c r="A2058" s="13" t="s">
        <v>2070</v>
      </c>
      <c r="B2058" s="13" t="s">
        <v>2193</v>
      </c>
      <c r="C2058" s="13" t="s">
        <v>2198</v>
      </c>
      <c r="D2058" s="13" t="s">
        <v>2205</v>
      </c>
      <c r="E2058" s="13" t="s">
        <v>2210</v>
      </c>
      <c r="F2058" s="13" t="s">
        <v>2224</v>
      </c>
      <c r="G2058" s="13">
        <v>174.65</v>
      </c>
      <c r="H2058" s="13">
        <v>43.8</v>
      </c>
      <c r="I2058" s="13">
        <v>98.15</v>
      </c>
      <c r="J2058" s="24">
        <v>45875</v>
      </c>
      <c r="K2058" s="13">
        <v>28</v>
      </c>
      <c r="L2058" s="44">
        <v>3.3</v>
      </c>
      <c r="M2058" s="13" t="b">
        <v>0</v>
      </c>
      <c r="O2058" s="25">
        <f t="shared" si="128"/>
        <v>27</v>
      </c>
      <c r="P2058" s="13">
        <f t="shared" si="129"/>
        <v>1226.3999999999999</v>
      </c>
      <c r="Q2058" s="13" t="str">
        <f t="shared" si="130"/>
        <v/>
      </c>
      <c r="R2058" s="13" t="str">
        <f t="shared" si="131"/>
        <v>Diskon</v>
      </c>
    </row>
    <row r="2059" spans="1:18" x14ac:dyDescent="0.25">
      <c r="A2059" s="13" t="s">
        <v>2071</v>
      </c>
      <c r="B2059" s="13" t="s">
        <v>2192</v>
      </c>
      <c r="C2059" s="13" t="s">
        <v>2199</v>
      </c>
      <c r="D2059" s="13" t="s">
        <v>2204</v>
      </c>
      <c r="F2059" s="13" t="s">
        <v>2215</v>
      </c>
      <c r="G2059" s="13">
        <v>19.96</v>
      </c>
      <c r="H2059" s="13">
        <v>0</v>
      </c>
      <c r="I2059" s="13">
        <v>19.96</v>
      </c>
      <c r="J2059" s="24">
        <v>45827</v>
      </c>
      <c r="K2059" s="13">
        <v>16</v>
      </c>
      <c r="L2059" s="44">
        <v>1.4</v>
      </c>
      <c r="M2059" s="13" t="b">
        <v>0</v>
      </c>
      <c r="O2059" s="25">
        <f t="shared" si="128"/>
        <v>75</v>
      </c>
      <c r="P2059" s="13">
        <f t="shared" si="129"/>
        <v>0</v>
      </c>
      <c r="Q2059" s="13" t="str">
        <f t="shared" si="130"/>
        <v/>
      </c>
      <c r="R2059" s="13" t="str">
        <f t="shared" si="131"/>
        <v>Non diskon</v>
      </c>
    </row>
    <row r="2060" spans="1:18" x14ac:dyDescent="0.25">
      <c r="A2060" s="13" t="s">
        <v>2072</v>
      </c>
      <c r="B2060" s="13" t="s">
        <v>2191</v>
      </c>
      <c r="C2060" s="13" t="s">
        <v>2200</v>
      </c>
      <c r="D2060" s="13" t="s">
        <v>2206</v>
      </c>
      <c r="E2060" s="13" t="s">
        <v>2213</v>
      </c>
      <c r="F2060" s="13" t="s">
        <v>2220</v>
      </c>
      <c r="G2060" s="13">
        <v>90.46</v>
      </c>
      <c r="H2060" s="13">
        <v>54.1</v>
      </c>
      <c r="I2060" s="13">
        <v>41.52</v>
      </c>
      <c r="J2060" s="24">
        <v>45875</v>
      </c>
      <c r="K2060" s="13">
        <v>15</v>
      </c>
      <c r="L2060" s="44">
        <v>2.5</v>
      </c>
      <c r="M2060" s="13" t="b">
        <v>0</v>
      </c>
      <c r="O2060" s="25">
        <f t="shared" si="128"/>
        <v>27</v>
      </c>
      <c r="P2060" s="13">
        <f t="shared" si="129"/>
        <v>811.5</v>
      </c>
      <c r="Q2060" s="13" t="str">
        <f t="shared" si="130"/>
        <v/>
      </c>
      <c r="R2060" s="13" t="str">
        <f t="shared" si="131"/>
        <v>Diskon</v>
      </c>
    </row>
    <row r="2061" spans="1:18" x14ac:dyDescent="0.25">
      <c r="A2061" s="13" t="s">
        <v>2073</v>
      </c>
      <c r="B2061" s="13" t="s">
        <v>2193</v>
      </c>
      <c r="C2061" s="13" t="s">
        <v>2200</v>
      </c>
      <c r="D2061" s="13" t="s">
        <v>2206</v>
      </c>
      <c r="E2061" s="13" t="s">
        <v>2209</v>
      </c>
      <c r="F2061" s="13" t="s">
        <v>2219</v>
      </c>
      <c r="G2061" s="13">
        <v>189.24</v>
      </c>
      <c r="H2061" s="13">
        <v>0</v>
      </c>
      <c r="I2061" s="13">
        <v>189.24</v>
      </c>
      <c r="J2061" s="24">
        <v>45875</v>
      </c>
      <c r="K2061" s="13">
        <v>25</v>
      </c>
      <c r="L2061" s="44">
        <v>3.6</v>
      </c>
      <c r="M2061" s="13" t="b">
        <v>1</v>
      </c>
      <c r="N2061" s="13" t="s">
        <v>2225</v>
      </c>
      <c r="O2061" s="25">
        <f t="shared" si="128"/>
        <v>27</v>
      </c>
      <c r="P2061" s="13">
        <f t="shared" si="129"/>
        <v>0</v>
      </c>
      <c r="Q2061" s="13">
        <f t="shared" si="130"/>
        <v>1</v>
      </c>
      <c r="R2061" s="13" t="str">
        <f t="shared" si="131"/>
        <v>Non diskon</v>
      </c>
    </row>
    <row r="2062" spans="1:18" x14ac:dyDescent="0.25">
      <c r="A2062" s="13" t="s">
        <v>2074</v>
      </c>
      <c r="B2062" s="13" t="s">
        <v>2190</v>
      </c>
      <c r="C2062" s="13" t="s">
        <v>2198</v>
      </c>
      <c r="D2062" s="13" t="s">
        <v>2207</v>
      </c>
      <c r="E2062" s="13" t="s">
        <v>2211</v>
      </c>
      <c r="F2062" s="13" t="s">
        <v>2216</v>
      </c>
      <c r="G2062" s="13">
        <v>231.24</v>
      </c>
      <c r="H2062" s="13">
        <v>44.6</v>
      </c>
      <c r="I2062" s="13">
        <v>128.11000000000001</v>
      </c>
      <c r="J2062" s="24">
        <v>45875</v>
      </c>
      <c r="K2062" s="13">
        <v>15</v>
      </c>
      <c r="L2062" s="44">
        <v>3.7</v>
      </c>
      <c r="M2062" s="13" t="b">
        <v>0</v>
      </c>
      <c r="O2062" s="25">
        <f t="shared" si="128"/>
        <v>27</v>
      </c>
      <c r="P2062" s="13">
        <f t="shared" si="129"/>
        <v>669</v>
      </c>
      <c r="Q2062" s="13" t="str">
        <f t="shared" si="130"/>
        <v/>
      </c>
      <c r="R2062" s="13" t="str">
        <f t="shared" si="131"/>
        <v>Diskon</v>
      </c>
    </row>
    <row r="2063" spans="1:18" x14ac:dyDescent="0.25">
      <c r="A2063" s="13" t="s">
        <v>2075</v>
      </c>
      <c r="B2063" s="13" t="s">
        <v>2192</v>
      </c>
      <c r="C2063" s="13" t="s">
        <v>2199</v>
      </c>
      <c r="D2063" s="13" t="s">
        <v>2206</v>
      </c>
      <c r="F2063" s="13" t="s">
        <v>2221</v>
      </c>
      <c r="G2063" s="13">
        <v>66.48</v>
      </c>
      <c r="H2063" s="13">
        <v>0</v>
      </c>
      <c r="I2063" s="13">
        <v>66.48</v>
      </c>
      <c r="J2063" s="24">
        <v>45875</v>
      </c>
      <c r="K2063" s="13">
        <v>38</v>
      </c>
      <c r="L2063" s="44">
        <v>1.4</v>
      </c>
      <c r="M2063" s="13" t="b">
        <v>0</v>
      </c>
      <c r="O2063" s="25">
        <f t="shared" si="128"/>
        <v>27</v>
      </c>
      <c r="P2063" s="13">
        <f t="shared" si="129"/>
        <v>0</v>
      </c>
      <c r="Q2063" s="13" t="str">
        <f t="shared" si="130"/>
        <v/>
      </c>
      <c r="R2063" s="13" t="str">
        <f t="shared" si="131"/>
        <v>Non diskon</v>
      </c>
    </row>
    <row r="2064" spans="1:18" x14ac:dyDescent="0.25">
      <c r="A2064" s="13" t="s">
        <v>2076</v>
      </c>
      <c r="B2064" s="13" t="s">
        <v>2192</v>
      </c>
      <c r="C2064" s="13" t="s">
        <v>2200</v>
      </c>
      <c r="D2064" s="13" t="s">
        <v>2206</v>
      </c>
      <c r="F2064" s="13" t="s">
        <v>2221</v>
      </c>
      <c r="G2064" s="13">
        <v>37.270000000000003</v>
      </c>
      <c r="H2064" s="13">
        <v>0</v>
      </c>
      <c r="I2064" s="13">
        <v>37.270000000000003</v>
      </c>
      <c r="J2064" s="24">
        <v>45875</v>
      </c>
      <c r="K2064" s="13">
        <v>15</v>
      </c>
      <c r="L2064" s="44">
        <v>3.8</v>
      </c>
      <c r="M2064" s="13" t="b">
        <v>0</v>
      </c>
      <c r="O2064" s="25">
        <f t="shared" si="128"/>
        <v>27</v>
      </c>
      <c r="P2064" s="13">
        <f t="shared" si="129"/>
        <v>0</v>
      </c>
      <c r="Q2064" s="13" t="str">
        <f t="shared" si="130"/>
        <v/>
      </c>
      <c r="R2064" s="13" t="str">
        <f t="shared" si="131"/>
        <v>Non diskon</v>
      </c>
    </row>
    <row r="2065" spans="1:18" x14ac:dyDescent="0.25">
      <c r="A2065" s="13" t="s">
        <v>2077</v>
      </c>
      <c r="B2065" s="13" t="s">
        <v>2193</v>
      </c>
      <c r="C2065" s="13" t="s">
        <v>2197</v>
      </c>
      <c r="D2065" s="13" t="s">
        <v>2204</v>
      </c>
      <c r="E2065" s="13" t="s">
        <v>2209</v>
      </c>
      <c r="F2065" s="13" t="s">
        <v>2224</v>
      </c>
      <c r="G2065" s="13">
        <v>178.05</v>
      </c>
      <c r="H2065" s="13">
        <v>0</v>
      </c>
      <c r="I2065" s="13">
        <v>178.05</v>
      </c>
      <c r="J2065" s="24">
        <v>45724</v>
      </c>
      <c r="K2065" s="13">
        <v>24</v>
      </c>
      <c r="L2065" s="44">
        <v>2.8205128205128198</v>
      </c>
      <c r="M2065" s="13" t="b">
        <v>0</v>
      </c>
      <c r="O2065" s="25">
        <f t="shared" si="128"/>
        <v>178</v>
      </c>
      <c r="P2065" s="13">
        <f t="shared" si="129"/>
        <v>0</v>
      </c>
      <c r="Q2065" s="13" t="str">
        <f t="shared" si="130"/>
        <v/>
      </c>
      <c r="R2065" s="13" t="str">
        <f t="shared" si="131"/>
        <v>Non diskon</v>
      </c>
    </row>
    <row r="2066" spans="1:18" x14ac:dyDescent="0.25">
      <c r="A2066" s="13" t="s">
        <v>2078</v>
      </c>
      <c r="B2066" s="13" t="s">
        <v>2191</v>
      </c>
      <c r="C2066" s="13" t="s">
        <v>2203</v>
      </c>
      <c r="D2066" s="13" t="s">
        <v>2204</v>
      </c>
      <c r="E2066" s="13" t="s">
        <v>2212</v>
      </c>
      <c r="F2066" s="13" t="s">
        <v>2215</v>
      </c>
      <c r="G2066" s="13">
        <v>73.760000000000005</v>
      </c>
      <c r="H2066" s="13">
        <v>0</v>
      </c>
      <c r="I2066" s="13">
        <v>73.760000000000005</v>
      </c>
      <c r="J2066" s="24">
        <v>45523</v>
      </c>
      <c r="K2066" s="13">
        <v>25</v>
      </c>
      <c r="L2066" s="44">
        <v>1.3</v>
      </c>
      <c r="M2066" s="13" t="b">
        <v>0</v>
      </c>
      <c r="O2066" s="25">
        <f t="shared" si="128"/>
        <v>379</v>
      </c>
      <c r="P2066" s="13">
        <f t="shared" si="129"/>
        <v>0</v>
      </c>
      <c r="Q2066" s="13" t="str">
        <f t="shared" si="130"/>
        <v/>
      </c>
      <c r="R2066" s="13" t="str">
        <f t="shared" si="131"/>
        <v>Non diskon</v>
      </c>
    </row>
    <row r="2067" spans="1:18" x14ac:dyDescent="0.25">
      <c r="A2067" s="13" t="s">
        <v>2079</v>
      </c>
      <c r="B2067" s="13" t="s">
        <v>2194</v>
      </c>
      <c r="C2067" s="13" t="s">
        <v>2196</v>
      </c>
      <c r="D2067" s="13" t="s">
        <v>2205</v>
      </c>
      <c r="E2067" s="13" t="s">
        <v>2208</v>
      </c>
      <c r="F2067" s="13" t="s">
        <v>2215</v>
      </c>
      <c r="G2067" s="13">
        <v>36.229999999999997</v>
      </c>
      <c r="H2067" s="13">
        <v>0</v>
      </c>
      <c r="I2067" s="13">
        <v>36.229999999999997</v>
      </c>
      <c r="J2067" s="24">
        <v>45875</v>
      </c>
      <c r="K2067" s="13">
        <v>49</v>
      </c>
      <c r="L2067" s="44">
        <v>2.9210526315789478</v>
      </c>
      <c r="M2067" s="13" t="b">
        <v>0</v>
      </c>
      <c r="O2067" s="25">
        <f t="shared" si="128"/>
        <v>27</v>
      </c>
      <c r="P2067" s="13">
        <f t="shared" si="129"/>
        <v>0</v>
      </c>
      <c r="Q2067" s="13" t="str">
        <f t="shared" si="130"/>
        <v/>
      </c>
      <c r="R2067" s="13" t="str">
        <f t="shared" si="131"/>
        <v>Non diskon</v>
      </c>
    </row>
    <row r="2068" spans="1:18" x14ac:dyDescent="0.25">
      <c r="A2068" s="13" t="s">
        <v>2080</v>
      </c>
      <c r="B2068" s="13" t="s">
        <v>2194</v>
      </c>
      <c r="C2068" s="13" t="s">
        <v>2200</v>
      </c>
      <c r="D2068" s="13" t="s">
        <v>2204</v>
      </c>
      <c r="E2068" s="13" t="s">
        <v>2210</v>
      </c>
      <c r="F2068" s="13" t="s">
        <v>2223</v>
      </c>
      <c r="G2068" s="13">
        <v>48.89</v>
      </c>
      <c r="H2068" s="13">
        <v>0</v>
      </c>
      <c r="I2068" s="13">
        <v>48.89</v>
      </c>
      <c r="J2068" s="24">
        <v>45636</v>
      </c>
      <c r="K2068" s="13">
        <v>9</v>
      </c>
      <c r="L2068" s="44">
        <v>3.1</v>
      </c>
      <c r="M2068" s="13" t="b">
        <v>0</v>
      </c>
      <c r="O2068" s="25">
        <f t="shared" si="128"/>
        <v>266</v>
      </c>
      <c r="P2068" s="13">
        <f t="shared" si="129"/>
        <v>0</v>
      </c>
      <c r="Q2068" s="13" t="str">
        <f t="shared" si="130"/>
        <v/>
      </c>
      <c r="R2068" s="13" t="str">
        <f t="shared" si="131"/>
        <v>Non diskon</v>
      </c>
    </row>
    <row r="2069" spans="1:18" x14ac:dyDescent="0.25">
      <c r="A2069" s="13" t="s">
        <v>2081</v>
      </c>
      <c r="B2069" s="13" t="s">
        <v>2191</v>
      </c>
      <c r="C2069" s="13" t="s">
        <v>2200</v>
      </c>
      <c r="D2069" s="13" t="s">
        <v>2205</v>
      </c>
      <c r="E2069" s="13" t="s">
        <v>2208</v>
      </c>
      <c r="F2069" s="13" t="s">
        <v>2215</v>
      </c>
      <c r="G2069" s="13">
        <v>94.15</v>
      </c>
      <c r="H2069" s="13">
        <v>31</v>
      </c>
      <c r="I2069" s="13">
        <v>64.959999999999994</v>
      </c>
      <c r="J2069" s="24">
        <v>45875</v>
      </c>
      <c r="K2069" s="13">
        <v>25</v>
      </c>
      <c r="L2069" s="44">
        <v>2.9657142857142857</v>
      </c>
      <c r="M2069" s="13" t="b">
        <v>0</v>
      </c>
      <c r="O2069" s="25">
        <f t="shared" si="128"/>
        <v>27</v>
      </c>
      <c r="P2069" s="13">
        <f t="shared" si="129"/>
        <v>775</v>
      </c>
      <c r="Q2069" s="13" t="str">
        <f t="shared" si="130"/>
        <v/>
      </c>
      <c r="R2069" s="13" t="str">
        <f t="shared" si="131"/>
        <v>Diskon</v>
      </c>
    </row>
    <row r="2070" spans="1:18" x14ac:dyDescent="0.25">
      <c r="A2070" s="13" t="s">
        <v>2082</v>
      </c>
      <c r="B2070" s="13" t="s">
        <v>2192</v>
      </c>
      <c r="C2070" s="13" t="s">
        <v>2203</v>
      </c>
      <c r="D2070" s="13" t="s">
        <v>2207</v>
      </c>
      <c r="F2070" s="13" t="s">
        <v>2224</v>
      </c>
      <c r="G2070" s="13">
        <v>27.7</v>
      </c>
      <c r="H2070" s="13">
        <v>0</v>
      </c>
      <c r="I2070" s="13">
        <v>27.7</v>
      </c>
      <c r="J2070" s="24">
        <v>45875</v>
      </c>
      <c r="K2070" s="13">
        <v>27</v>
      </c>
      <c r="L2070" s="44">
        <v>4.8</v>
      </c>
      <c r="M2070" s="13" t="b">
        <v>0</v>
      </c>
      <c r="O2070" s="25">
        <f t="shared" si="128"/>
        <v>27</v>
      </c>
      <c r="P2070" s="13">
        <f t="shared" si="129"/>
        <v>0</v>
      </c>
      <c r="Q2070" s="13" t="str">
        <f t="shared" si="130"/>
        <v/>
      </c>
      <c r="R2070" s="13" t="str">
        <f t="shared" si="131"/>
        <v>Non diskon</v>
      </c>
    </row>
    <row r="2071" spans="1:18" x14ac:dyDescent="0.25">
      <c r="A2071" s="13" t="s">
        <v>2083</v>
      </c>
      <c r="B2071" s="13" t="s">
        <v>2193</v>
      </c>
      <c r="C2071" s="13" t="s">
        <v>2200</v>
      </c>
      <c r="D2071" s="13" t="s">
        <v>2204</v>
      </c>
      <c r="E2071" s="13" t="s">
        <v>2211</v>
      </c>
      <c r="F2071" s="13" t="s">
        <v>2218</v>
      </c>
      <c r="G2071" s="13">
        <v>122.55</v>
      </c>
      <c r="H2071" s="13">
        <v>11.2</v>
      </c>
      <c r="I2071" s="13">
        <v>108.82</v>
      </c>
      <c r="J2071" s="24">
        <v>45567</v>
      </c>
      <c r="K2071" s="13">
        <v>23</v>
      </c>
      <c r="L2071" s="44">
        <v>3.3021276595744684</v>
      </c>
      <c r="M2071" s="13" t="b">
        <v>0</v>
      </c>
      <c r="O2071" s="25">
        <f t="shared" si="128"/>
        <v>335</v>
      </c>
      <c r="P2071" s="13">
        <f t="shared" si="129"/>
        <v>257.59999999999997</v>
      </c>
      <c r="Q2071" s="13" t="str">
        <f t="shared" si="130"/>
        <v/>
      </c>
      <c r="R2071" s="13" t="str">
        <f t="shared" si="131"/>
        <v>Diskon</v>
      </c>
    </row>
    <row r="2072" spans="1:18" x14ac:dyDescent="0.25">
      <c r="A2072" s="13" t="s">
        <v>2084</v>
      </c>
      <c r="B2072" s="13" t="s">
        <v>2195</v>
      </c>
      <c r="C2072" s="13" t="s">
        <v>2199</v>
      </c>
      <c r="D2072" s="13" t="s">
        <v>2204</v>
      </c>
      <c r="E2072" s="13" t="s">
        <v>2208</v>
      </c>
      <c r="F2072" s="13" t="s">
        <v>2215</v>
      </c>
      <c r="G2072" s="13">
        <v>173.77</v>
      </c>
      <c r="H2072" s="13">
        <v>17</v>
      </c>
      <c r="I2072" s="13">
        <v>144.22999999999999</v>
      </c>
      <c r="J2072" s="24">
        <v>45616</v>
      </c>
      <c r="K2072" s="13">
        <v>5</v>
      </c>
      <c r="L2072" s="44">
        <v>1.9</v>
      </c>
      <c r="M2072" s="13" t="b">
        <v>0</v>
      </c>
      <c r="O2072" s="25">
        <f t="shared" si="128"/>
        <v>286</v>
      </c>
      <c r="P2072" s="13">
        <f t="shared" si="129"/>
        <v>85</v>
      </c>
      <c r="Q2072" s="13" t="str">
        <f t="shared" si="130"/>
        <v/>
      </c>
      <c r="R2072" s="13" t="str">
        <f t="shared" si="131"/>
        <v>Diskon</v>
      </c>
    </row>
    <row r="2073" spans="1:18" x14ac:dyDescent="0.25">
      <c r="A2073" s="13" t="s">
        <v>2085</v>
      </c>
      <c r="B2073" s="13" t="s">
        <v>2192</v>
      </c>
      <c r="C2073" s="13" t="s">
        <v>2197</v>
      </c>
      <c r="D2073" s="13" t="s">
        <v>2207</v>
      </c>
      <c r="F2073" s="13" t="s">
        <v>2215</v>
      </c>
      <c r="G2073" s="13">
        <v>77.45</v>
      </c>
      <c r="H2073" s="13">
        <v>0</v>
      </c>
      <c r="I2073" s="13">
        <v>77.45</v>
      </c>
      <c r="J2073" s="24">
        <v>45875</v>
      </c>
      <c r="K2073" s="13">
        <v>0</v>
      </c>
      <c r="L2073" s="44">
        <v>3.1</v>
      </c>
      <c r="M2073" s="13" t="b">
        <v>0</v>
      </c>
      <c r="O2073" s="25">
        <f t="shared" si="128"/>
        <v>27</v>
      </c>
      <c r="P2073" s="13">
        <f t="shared" si="129"/>
        <v>0</v>
      </c>
      <c r="Q2073" s="13" t="str">
        <f t="shared" si="130"/>
        <v/>
      </c>
      <c r="R2073" s="13" t="str">
        <f t="shared" si="131"/>
        <v>Non diskon</v>
      </c>
    </row>
    <row r="2074" spans="1:18" x14ac:dyDescent="0.25">
      <c r="A2074" s="13" t="s">
        <v>2086</v>
      </c>
      <c r="B2074" s="13" t="s">
        <v>2194</v>
      </c>
      <c r="C2074" s="13" t="s">
        <v>2197</v>
      </c>
      <c r="D2074" s="13" t="s">
        <v>2205</v>
      </c>
      <c r="E2074" s="13" t="s">
        <v>2213</v>
      </c>
      <c r="F2074" s="13" t="s">
        <v>2216</v>
      </c>
      <c r="G2074" s="13">
        <v>34.159999999999997</v>
      </c>
      <c r="H2074" s="13">
        <v>0</v>
      </c>
      <c r="I2074" s="13">
        <v>34.159999999999997</v>
      </c>
      <c r="J2074" s="24">
        <v>45875</v>
      </c>
      <c r="K2074" s="13">
        <v>37</v>
      </c>
      <c r="L2074" s="44">
        <v>1.3</v>
      </c>
      <c r="M2074" s="13" t="b">
        <v>0</v>
      </c>
      <c r="O2074" s="25">
        <f t="shared" si="128"/>
        <v>27</v>
      </c>
      <c r="P2074" s="13">
        <f t="shared" si="129"/>
        <v>0</v>
      </c>
      <c r="Q2074" s="13" t="str">
        <f t="shared" si="130"/>
        <v/>
      </c>
      <c r="R2074" s="13" t="str">
        <f t="shared" si="131"/>
        <v>Non diskon</v>
      </c>
    </row>
    <row r="2075" spans="1:18" x14ac:dyDescent="0.25">
      <c r="A2075" s="13" t="s">
        <v>2087</v>
      </c>
      <c r="B2075" s="13" t="s">
        <v>2192</v>
      </c>
      <c r="C2075" s="13" t="s">
        <v>2203</v>
      </c>
      <c r="D2075" s="13" t="s">
        <v>2207</v>
      </c>
      <c r="F2075" s="13" t="s">
        <v>2217</v>
      </c>
      <c r="G2075" s="13">
        <v>71.3</v>
      </c>
      <c r="H2075" s="13">
        <v>0</v>
      </c>
      <c r="I2075" s="13">
        <v>71.3</v>
      </c>
      <c r="J2075" s="24">
        <v>45875</v>
      </c>
      <c r="K2075" s="13">
        <v>21</v>
      </c>
      <c r="L2075" s="44">
        <v>1.6</v>
      </c>
      <c r="M2075" s="13" t="b">
        <v>0</v>
      </c>
      <c r="O2075" s="25">
        <f t="shared" si="128"/>
        <v>27</v>
      </c>
      <c r="P2075" s="13">
        <f t="shared" si="129"/>
        <v>0</v>
      </c>
      <c r="Q2075" s="13" t="str">
        <f t="shared" si="130"/>
        <v/>
      </c>
      <c r="R2075" s="13" t="str">
        <f t="shared" si="131"/>
        <v>Non diskon</v>
      </c>
    </row>
    <row r="2076" spans="1:18" x14ac:dyDescent="0.25">
      <c r="A2076" s="13" t="s">
        <v>2088</v>
      </c>
      <c r="B2076" s="13" t="s">
        <v>2191</v>
      </c>
      <c r="C2076" s="13" t="s">
        <v>2200</v>
      </c>
      <c r="D2076" s="13" t="s">
        <v>2207</v>
      </c>
      <c r="E2076" s="13" t="s">
        <v>2213</v>
      </c>
      <c r="F2076" s="13" t="s">
        <v>2224</v>
      </c>
      <c r="G2076" s="13">
        <v>63.67</v>
      </c>
      <c r="H2076" s="13">
        <v>0</v>
      </c>
      <c r="I2076" s="13">
        <v>63.67</v>
      </c>
      <c r="J2076" s="24">
        <v>45875</v>
      </c>
      <c r="K2076" s="13">
        <v>18</v>
      </c>
      <c r="L2076" s="44">
        <v>1.6</v>
      </c>
      <c r="M2076" s="13" t="b">
        <v>0</v>
      </c>
      <c r="O2076" s="25">
        <f t="shared" si="128"/>
        <v>27</v>
      </c>
      <c r="P2076" s="13">
        <f t="shared" si="129"/>
        <v>0</v>
      </c>
      <c r="Q2076" s="13" t="str">
        <f t="shared" si="130"/>
        <v/>
      </c>
      <c r="R2076" s="13" t="str">
        <f t="shared" si="131"/>
        <v>Non diskon</v>
      </c>
    </row>
    <row r="2077" spans="1:18" x14ac:dyDescent="0.25">
      <c r="A2077" s="13" t="s">
        <v>2089</v>
      </c>
      <c r="B2077" s="13" t="s">
        <v>2190</v>
      </c>
      <c r="C2077" s="13" t="s">
        <v>2203</v>
      </c>
      <c r="D2077" s="13" t="s">
        <v>2206</v>
      </c>
      <c r="E2077" s="13" t="s">
        <v>2210</v>
      </c>
      <c r="F2077" s="13" t="s">
        <v>2218</v>
      </c>
      <c r="G2077" s="13">
        <v>249.98</v>
      </c>
      <c r="H2077" s="13">
        <v>0</v>
      </c>
      <c r="I2077" s="13">
        <v>249.98</v>
      </c>
      <c r="J2077" s="24">
        <v>45875</v>
      </c>
      <c r="K2077" s="13">
        <v>46</v>
      </c>
      <c r="L2077" s="44">
        <v>3.6</v>
      </c>
      <c r="M2077" s="13" t="b">
        <v>0</v>
      </c>
      <c r="O2077" s="25">
        <f t="shared" si="128"/>
        <v>27</v>
      </c>
      <c r="P2077" s="13">
        <f t="shared" si="129"/>
        <v>0</v>
      </c>
      <c r="Q2077" s="13" t="str">
        <f t="shared" si="130"/>
        <v/>
      </c>
      <c r="R2077" s="13" t="str">
        <f t="shared" si="131"/>
        <v>Non diskon</v>
      </c>
    </row>
    <row r="2078" spans="1:18" x14ac:dyDescent="0.25">
      <c r="A2078" s="13" t="s">
        <v>2090</v>
      </c>
      <c r="B2078" s="13" t="s">
        <v>2190</v>
      </c>
      <c r="C2078" s="13" t="s">
        <v>2201</v>
      </c>
      <c r="D2078" s="13" t="s">
        <v>2204</v>
      </c>
      <c r="E2078" s="13" t="s">
        <v>2208</v>
      </c>
      <c r="F2078" s="13" t="s">
        <v>2220</v>
      </c>
      <c r="G2078" s="13">
        <v>103.92</v>
      </c>
      <c r="H2078" s="13">
        <v>0</v>
      </c>
      <c r="I2078" s="13">
        <v>103.92</v>
      </c>
      <c r="J2078" s="24">
        <v>45589</v>
      </c>
      <c r="K2078" s="13">
        <v>5</v>
      </c>
      <c r="L2078" s="44">
        <v>3.0305555555555546</v>
      </c>
      <c r="M2078" s="13" t="b">
        <v>0</v>
      </c>
      <c r="O2078" s="25">
        <f t="shared" si="128"/>
        <v>313</v>
      </c>
      <c r="P2078" s="13">
        <f t="shared" si="129"/>
        <v>0</v>
      </c>
      <c r="Q2078" s="13" t="str">
        <f t="shared" si="130"/>
        <v/>
      </c>
      <c r="R2078" s="13" t="str">
        <f t="shared" si="131"/>
        <v>Non diskon</v>
      </c>
    </row>
    <row r="2079" spans="1:18" x14ac:dyDescent="0.25">
      <c r="A2079" s="13" t="s">
        <v>2091</v>
      </c>
      <c r="B2079" s="13" t="s">
        <v>2193</v>
      </c>
      <c r="C2079" s="13" t="s">
        <v>2197</v>
      </c>
      <c r="D2079" s="13" t="s">
        <v>2207</v>
      </c>
      <c r="E2079" s="13" t="s">
        <v>2208</v>
      </c>
      <c r="F2079" s="13" t="s">
        <v>2216</v>
      </c>
      <c r="G2079" s="13">
        <v>116.76</v>
      </c>
      <c r="H2079" s="13">
        <v>0</v>
      </c>
      <c r="I2079" s="13">
        <v>116.76</v>
      </c>
      <c r="J2079" s="24">
        <v>45875</v>
      </c>
      <c r="K2079" s="13">
        <v>13</v>
      </c>
      <c r="L2079" s="44">
        <v>2.8205128205128198</v>
      </c>
      <c r="M2079" s="13" t="b">
        <v>0</v>
      </c>
      <c r="O2079" s="25">
        <f t="shared" si="128"/>
        <v>27</v>
      </c>
      <c r="P2079" s="13">
        <f t="shared" si="129"/>
        <v>0</v>
      </c>
      <c r="Q2079" s="13" t="str">
        <f t="shared" si="130"/>
        <v/>
      </c>
      <c r="R2079" s="13" t="str">
        <f t="shared" si="131"/>
        <v>Non diskon</v>
      </c>
    </row>
    <row r="2080" spans="1:18" x14ac:dyDescent="0.25">
      <c r="A2080" s="13" t="s">
        <v>2092</v>
      </c>
      <c r="B2080" s="13" t="s">
        <v>2193</v>
      </c>
      <c r="C2080" s="13" t="s">
        <v>2202</v>
      </c>
      <c r="D2080" s="13" t="s">
        <v>2205</v>
      </c>
      <c r="E2080" s="13" t="s">
        <v>2211</v>
      </c>
      <c r="F2080" s="13" t="s">
        <v>2217</v>
      </c>
      <c r="G2080" s="13">
        <v>102.61</v>
      </c>
      <c r="H2080" s="13">
        <v>0</v>
      </c>
      <c r="I2080" s="13">
        <v>102.61</v>
      </c>
      <c r="J2080" s="24">
        <v>45875</v>
      </c>
      <c r="K2080" s="13">
        <v>47</v>
      </c>
      <c r="L2080" s="44">
        <v>3.5</v>
      </c>
      <c r="M2080" s="13" t="b">
        <v>0</v>
      </c>
      <c r="O2080" s="25">
        <f t="shared" si="128"/>
        <v>27</v>
      </c>
      <c r="P2080" s="13">
        <f t="shared" si="129"/>
        <v>0</v>
      </c>
      <c r="Q2080" s="13" t="str">
        <f t="shared" si="130"/>
        <v/>
      </c>
      <c r="R2080" s="13" t="str">
        <f t="shared" si="131"/>
        <v>Non diskon</v>
      </c>
    </row>
    <row r="2081" spans="1:18" x14ac:dyDescent="0.25">
      <c r="A2081" s="13" t="s">
        <v>2093</v>
      </c>
      <c r="B2081" s="13" t="s">
        <v>2192</v>
      </c>
      <c r="C2081" s="13" t="s">
        <v>2201</v>
      </c>
      <c r="D2081" s="13" t="s">
        <v>2204</v>
      </c>
      <c r="F2081" s="13" t="s">
        <v>2215</v>
      </c>
      <c r="G2081" s="13">
        <v>43.48</v>
      </c>
      <c r="H2081" s="13">
        <v>0</v>
      </c>
      <c r="I2081" s="13">
        <v>43.48</v>
      </c>
      <c r="J2081" s="24">
        <v>45527</v>
      </c>
      <c r="K2081" s="13">
        <v>11</v>
      </c>
      <c r="L2081" s="44">
        <v>4.7</v>
      </c>
      <c r="M2081" s="13" t="b">
        <v>0</v>
      </c>
      <c r="O2081" s="25">
        <f t="shared" si="128"/>
        <v>375</v>
      </c>
      <c r="P2081" s="13">
        <f t="shared" si="129"/>
        <v>0</v>
      </c>
      <c r="Q2081" s="13" t="str">
        <f t="shared" si="130"/>
        <v/>
      </c>
      <c r="R2081" s="13" t="str">
        <f t="shared" si="131"/>
        <v>Non diskon</v>
      </c>
    </row>
    <row r="2082" spans="1:18" x14ac:dyDescent="0.25">
      <c r="A2082" s="13" t="s">
        <v>2094</v>
      </c>
      <c r="B2082" s="13" t="s">
        <v>2192</v>
      </c>
      <c r="C2082" s="13" t="s">
        <v>2203</v>
      </c>
      <c r="D2082" s="13" t="s">
        <v>2205</v>
      </c>
      <c r="F2082" s="13" t="s">
        <v>2215</v>
      </c>
      <c r="G2082" s="13">
        <v>39.9</v>
      </c>
      <c r="H2082" s="13">
        <v>0</v>
      </c>
      <c r="I2082" s="13">
        <v>39.9</v>
      </c>
      <c r="J2082" s="24">
        <v>45875</v>
      </c>
      <c r="K2082" s="13">
        <v>6</v>
      </c>
      <c r="L2082" s="44">
        <v>2.4</v>
      </c>
      <c r="M2082" s="13" t="b">
        <v>1</v>
      </c>
      <c r="N2082" s="13" t="s">
        <v>2227</v>
      </c>
      <c r="O2082" s="25">
        <f t="shared" si="128"/>
        <v>27</v>
      </c>
      <c r="P2082" s="13">
        <f t="shared" si="129"/>
        <v>0</v>
      </c>
      <c r="Q2082" s="13">
        <f t="shared" si="130"/>
        <v>1</v>
      </c>
      <c r="R2082" s="13" t="str">
        <f t="shared" si="131"/>
        <v>Non diskon</v>
      </c>
    </row>
    <row r="2083" spans="1:18" x14ac:dyDescent="0.25">
      <c r="A2083" s="13" t="s">
        <v>2095</v>
      </c>
      <c r="B2083" s="13" t="s">
        <v>2194</v>
      </c>
      <c r="C2083" s="13" t="s">
        <v>2196</v>
      </c>
      <c r="D2083" s="13" t="s">
        <v>2204</v>
      </c>
      <c r="E2083" s="13" t="s">
        <v>2210</v>
      </c>
      <c r="F2083" s="13" t="s">
        <v>2215</v>
      </c>
      <c r="G2083" s="13">
        <v>86</v>
      </c>
      <c r="H2083" s="13">
        <v>36.700000000000003</v>
      </c>
      <c r="I2083" s="13">
        <v>54.44</v>
      </c>
      <c r="J2083" s="24">
        <v>45770</v>
      </c>
      <c r="K2083" s="13">
        <v>18</v>
      </c>
      <c r="L2083" s="44">
        <v>2.4</v>
      </c>
      <c r="M2083" s="13" t="b">
        <v>1</v>
      </c>
      <c r="N2083" s="13" t="s">
        <v>2226</v>
      </c>
      <c r="O2083" s="25">
        <f t="shared" si="128"/>
        <v>132</v>
      </c>
      <c r="P2083" s="13">
        <f t="shared" si="129"/>
        <v>660.6</v>
      </c>
      <c r="Q2083" s="13">
        <f t="shared" si="130"/>
        <v>1</v>
      </c>
      <c r="R2083" s="13" t="str">
        <f t="shared" si="131"/>
        <v>Diskon</v>
      </c>
    </row>
    <row r="2084" spans="1:18" x14ac:dyDescent="0.25">
      <c r="A2084" s="13" t="s">
        <v>2096</v>
      </c>
      <c r="B2084" s="13" t="s">
        <v>2193</v>
      </c>
      <c r="C2084" s="13" t="s">
        <v>2202</v>
      </c>
      <c r="D2084" s="13" t="s">
        <v>2207</v>
      </c>
      <c r="E2084" s="13" t="s">
        <v>2211</v>
      </c>
      <c r="F2084" s="13" t="s">
        <v>2219</v>
      </c>
      <c r="G2084" s="13">
        <v>154.47999999999999</v>
      </c>
      <c r="H2084" s="13">
        <v>58.5</v>
      </c>
      <c r="I2084" s="13">
        <v>64.11</v>
      </c>
      <c r="J2084" s="24">
        <v>45875</v>
      </c>
      <c r="K2084" s="13">
        <v>19</v>
      </c>
      <c r="L2084" s="44">
        <v>3.2</v>
      </c>
      <c r="M2084" s="13" t="b">
        <v>0</v>
      </c>
      <c r="O2084" s="25">
        <f t="shared" si="128"/>
        <v>27</v>
      </c>
      <c r="P2084" s="13">
        <f t="shared" si="129"/>
        <v>1111.5</v>
      </c>
      <c r="Q2084" s="13" t="str">
        <f t="shared" si="130"/>
        <v/>
      </c>
      <c r="R2084" s="13" t="str">
        <f t="shared" si="131"/>
        <v>Diskon</v>
      </c>
    </row>
    <row r="2085" spans="1:18" x14ac:dyDescent="0.25">
      <c r="A2085" s="13" t="s">
        <v>2097</v>
      </c>
      <c r="B2085" s="13" t="s">
        <v>2195</v>
      </c>
      <c r="C2085" s="13" t="s">
        <v>2202</v>
      </c>
      <c r="D2085" s="13" t="s">
        <v>2207</v>
      </c>
      <c r="E2085" s="13" t="s">
        <v>2210</v>
      </c>
      <c r="F2085" s="13" t="s">
        <v>2214</v>
      </c>
      <c r="G2085" s="13">
        <v>141.97</v>
      </c>
      <c r="H2085" s="13">
        <v>35.299999999999997</v>
      </c>
      <c r="I2085" s="13">
        <v>91.85</v>
      </c>
      <c r="J2085" s="24">
        <v>45875</v>
      </c>
      <c r="K2085" s="13">
        <v>12</v>
      </c>
      <c r="L2085" s="44">
        <v>2.6</v>
      </c>
      <c r="M2085" s="13" t="b">
        <v>0</v>
      </c>
      <c r="O2085" s="25">
        <f t="shared" si="128"/>
        <v>27</v>
      </c>
      <c r="P2085" s="13">
        <f t="shared" si="129"/>
        <v>423.59999999999997</v>
      </c>
      <c r="Q2085" s="13" t="str">
        <f t="shared" si="130"/>
        <v/>
      </c>
      <c r="R2085" s="13" t="str">
        <f t="shared" si="131"/>
        <v>Diskon</v>
      </c>
    </row>
    <row r="2086" spans="1:18" x14ac:dyDescent="0.25">
      <c r="A2086" s="13" t="s">
        <v>2098</v>
      </c>
      <c r="B2086" s="13" t="s">
        <v>2190</v>
      </c>
      <c r="C2086" s="13" t="s">
        <v>2202</v>
      </c>
      <c r="D2086" s="13" t="s">
        <v>2204</v>
      </c>
      <c r="E2086" s="13" t="s">
        <v>2212</v>
      </c>
      <c r="F2086" s="13" t="s">
        <v>2214</v>
      </c>
      <c r="G2086" s="13">
        <v>119.36</v>
      </c>
      <c r="H2086" s="13">
        <v>0</v>
      </c>
      <c r="I2086" s="13">
        <v>119.36</v>
      </c>
      <c r="J2086" s="24">
        <v>45840</v>
      </c>
      <c r="K2086" s="13">
        <v>30</v>
      </c>
      <c r="L2086" s="44">
        <v>2.7</v>
      </c>
      <c r="M2086" s="13" t="b">
        <v>1</v>
      </c>
      <c r="N2086" s="13" t="s">
        <v>2226</v>
      </c>
      <c r="O2086" s="25">
        <f t="shared" si="128"/>
        <v>62</v>
      </c>
      <c r="P2086" s="13">
        <f t="shared" si="129"/>
        <v>0</v>
      </c>
      <c r="Q2086" s="13">
        <f t="shared" si="130"/>
        <v>1</v>
      </c>
      <c r="R2086" s="13" t="str">
        <f t="shared" si="131"/>
        <v>Non diskon</v>
      </c>
    </row>
    <row r="2087" spans="1:18" x14ac:dyDescent="0.25">
      <c r="A2087" s="13" t="s">
        <v>2099</v>
      </c>
      <c r="B2087" s="13" t="s">
        <v>2192</v>
      </c>
      <c r="C2087" s="13" t="s">
        <v>2203</v>
      </c>
      <c r="D2087" s="13" t="s">
        <v>2207</v>
      </c>
      <c r="F2087" s="13" t="s">
        <v>2222</v>
      </c>
      <c r="G2087" s="13">
        <v>15.71</v>
      </c>
      <c r="H2087" s="13">
        <v>47.6</v>
      </c>
      <c r="I2087" s="13">
        <v>8.23</v>
      </c>
      <c r="J2087" s="24">
        <v>45875</v>
      </c>
      <c r="K2087" s="13">
        <v>42</v>
      </c>
      <c r="L2087" s="44">
        <v>2</v>
      </c>
      <c r="M2087" s="13" t="b">
        <v>0</v>
      </c>
      <c r="O2087" s="25">
        <f t="shared" si="128"/>
        <v>27</v>
      </c>
      <c r="P2087" s="13">
        <f t="shared" si="129"/>
        <v>1999.2</v>
      </c>
      <c r="Q2087" s="13" t="str">
        <f t="shared" si="130"/>
        <v/>
      </c>
      <c r="R2087" s="13" t="str">
        <f t="shared" si="131"/>
        <v>Diskon</v>
      </c>
    </row>
    <row r="2088" spans="1:18" x14ac:dyDescent="0.25">
      <c r="A2088" s="13" t="s">
        <v>2100</v>
      </c>
      <c r="B2088" s="13" t="s">
        <v>2193</v>
      </c>
      <c r="C2088" s="13" t="s">
        <v>2199</v>
      </c>
      <c r="D2088" s="13" t="s">
        <v>2205</v>
      </c>
      <c r="E2088" s="13" t="s">
        <v>2213</v>
      </c>
      <c r="F2088" s="13" t="s">
        <v>2216</v>
      </c>
      <c r="G2088" s="13">
        <v>89.12</v>
      </c>
      <c r="H2088" s="13">
        <v>0</v>
      </c>
      <c r="I2088" s="13">
        <v>89.12</v>
      </c>
      <c r="J2088" s="24">
        <v>45875</v>
      </c>
      <c r="K2088" s="13">
        <v>27</v>
      </c>
      <c r="L2088" s="44">
        <v>2.9804347826086954</v>
      </c>
      <c r="M2088" s="13" t="b">
        <v>1</v>
      </c>
      <c r="N2088" s="13" t="s">
        <v>2227</v>
      </c>
      <c r="O2088" s="25">
        <f t="shared" si="128"/>
        <v>27</v>
      </c>
      <c r="P2088" s="13">
        <f t="shared" si="129"/>
        <v>0</v>
      </c>
      <c r="Q2088" s="13">
        <f t="shared" si="130"/>
        <v>1</v>
      </c>
      <c r="R2088" s="13" t="str">
        <f t="shared" si="131"/>
        <v>Non diskon</v>
      </c>
    </row>
    <row r="2089" spans="1:18" x14ac:dyDescent="0.25">
      <c r="A2089" s="13" t="s">
        <v>2101</v>
      </c>
      <c r="B2089" s="13" t="s">
        <v>2194</v>
      </c>
      <c r="C2089" s="13" t="s">
        <v>2200</v>
      </c>
      <c r="D2089" s="13" t="s">
        <v>2206</v>
      </c>
      <c r="E2089" s="13" t="s">
        <v>2210</v>
      </c>
      <c r="F2089" s="13" t="s">
        <v>2219</v>
      </c>
      <c r="G2089" s="13">
        <v>30.43</v>
      </c>
      <c r="H2089" s="13">
        <v>0</v>
      </c>
      <c r="I2089" s="13">
        <v>30.43</v>
      </c>
      <c r="J2089" s="24">
        <v>45875</v>
      </c>
      <c r="K2089" s="13">
        <v>32</v>
      </c>
      <c r="L2089" s="44">
        <v>3.1</v>
      </c>
      <c r="M2089" s="13" t="b">
        <v>0</v>
      </c>
      <c r="O2089" s="25">
        <f t="shared" si="128"/>
        <v>27</v>
      </c>
      <c r="P2089" s="13">
        <f t="shared" si="129"/>
        <v>0</v>
      </c>
      <c r="Q2089" s="13" t="str">
        <f t="shared" si="130"/>
        <v/>
      </c>
      <c r="R2089" s="13" t="str">
        <f t="shared" si="131"/>
        <v>Non diskon</v>
      </c>
    </row>
    <row r="2090" spans="1:18" x14ac:dyDescent="0.25">
      <c r="A2090" s="13" t="s">
        <v>2102</v>
      </c>
      <c r="B2090" s="13" t="s">
        <v>2195</v>
      </c>
      <c r="C2090" s="13" t="s">
        <v>2203</v>
      </c>
      <c r="D2090" s="13" t="s">
        <v>2205</v>
      </c>
      <c r="E2090" s="13" t="s">
        <v>2212</v>
      </c>
      <c r="F2090" s="13" t="s">
        <v>2215</v>
      </c>
      <c r="G2090" s="13">
        <v>115.4</v>
      </c>
      <c r="H2090" s="13">
        <v>0</v>
      </c>
      <c r="I2090" s="13">
        <v>115.4</v>
      </c>
      <c r="J2090" s="24">
        <v>45875</v>
      </c>
      <c r="K2090" s="13">
        <v>7</v>
      </c>
      <c r="L2090" s="44">
        <v>4.5</v>
      </c>
      <c r="M2090" s="13" t="b">
        <v>0</v>
      </c>
      <c r="O2090" s="25">
        <f t="shared" si="128"/>
        <v>27</v>
      </c>
      <c r="P2090" s="13">
        <f t="shared" si="129"/>
        <v>0</v>
      </c>
      <c r="Q2090" s="13" t="str">
        <f t="shared" si="130"/>
        <v/>
      </c>
      <c r="R2090" s="13" t="str">
        <f t="shared" si="131"/>
        <v>Non diskon</v>
      </c>
    </row>
    <row r="2091" spans="1:18" x14ac:dyDescent="0.25">
      <c r="A2091" s="13" t="s">
        <v>2103</v>
      </c>
      <c r="B2091" s="13" t="s">
        <v>2190</v>
      </c>
      <c r="C2091" s="13" t="s">
        <v>2202</v>
      </c>
      <c r="D2091" s="13" t="s">
        <v>2205</v>
      </c>
      <c r="E2091" s="13" t="s">
        <v>2210</v>
      </c>
      <c r="F2091" s="13" t="s">
        <v>2214</v>
      </c>
      <c r="G2091" s="13">
        <v>155.19999999999999</v>
      </c>
      <c r="H2091" s="13">
        <v>0</v>
      </c>
      <c r="I2091" s="13">
        <v>155.19999999999999</v>
      </c>
      <c r="J2091" s="24">
        <v>45875</v>
      </c>
      <c r="K2091" s="13">
        <v>5</v>
      </c>
      <c r="L2091" s="44">
        <v>4.8</v>
      </c>
      <c r="M2091" s="13" t="b">
        <v>0</v>
      </c>
      <c r="O2091" s="25">
        <f t="shared" si="128"/>
        <v>27</v>
      </c>
      <c r="P2091" s="13">
        <f t="shared" si="129"/>
        <v>0</v>
      </c>
      <c r="Q2091" s="13" t="str">
        <f t="shared" si="130"/>
        <v/>
      </c>
      <c r="R2091" s="13" t="str">
        <f t="shared" si="131"/>
        <v>Non diskon</v>
      </c>
    </row>
    <row r="2092" spans="1:18" x14ac:dyDescent="0.25">
      <c r="A2092" s="13" t="s">
        <v>2104</v>
      </c>
      <c r="B2092" s="13" t="s">
        <v>2194</v>
      </c>
      <c r="C2092" s="13" t="s">
        <v>2203</v>
      </c>
      <c r="D2092" s="13" t="s">
        <v>2206</v>
      </c>
      <c r="E2092" s="13" t="s">
        <v>2209</v>
      </c>
      <c r="F2092" s="13" t="s">
        <v>2218</v>
      </c>
      <c r="G2092" s="13">
        <v>104.83</v>
      </c>
      <c r="H2092" s="13">
        <v>0</v>
      </c>
      <c r="I2092" s="13">
        <v>104.83</v>
      </c>
      <c r="J2092" s="24">
        <v>45875</v>
      </c>
      <c r="K2092" s="13">
        <v>26</v>
      </c>
      <c r="L2092" s="44">
        <v>4</v>
      </c>
      <c r="M2092" s="13" t="b">
        <v>0</v>
      </c>
      <c r="O2092" s="25">
        <f t="shared" si="128"/>
        <v>27</v>
      </c>
      <c r="P2092" s="13">
        <f t="shared" si="129"/>
        <v>0</v>
      </c>
      <c r="Q2092" s="13" t="str">
        <f t="shared" si="130"/>
        <v/>
      </c>
      <c r="R2092" s="13" t="str">
        <f t="shared" si="131"/>
        <v>Non diskon</v>
      </c>
    </row>
    <row r="2093" spans="1:18" x14ac:dyDescent="0.25">
      <c r="A2093" s="13" t="s">
        <v>2105</v>
      </c>
      <c r="B2093" s="13" t="s">
        <v>2192</v>
      </c>
      <c r="C2093" s="13" t="s">
        <v>2202</v>
      </c>
      <c r="D2093" s="13" t="s">
        <v>2207</v>
      </c>
      <c r="F2093" s="13" t="s">
        <v>2218</v>
      </c>
      <c r="G2093" s="13">
        <v>41.62</v>
      </c>
      <c r="H2093" s="13">
        <v>0</v>
      </c>
      <c r="I2093" s="13">
        <v>41.62</v>
      </c>
      <c r="J2093" s="24">
        <v>45875</v>
      </c>
      <c r="K2093" s="13">
        <v>33</v>
      </c>
      <c r="L2093" s="44">
        <v>3.2720930232558145</v>
      </c>
      <c r="M2093" s="13" t="b">
        <v>0</v>
      </c>
      <c r="O2093" s="25">
        <f t="shared" si="128"/>
        <v>27</v>
      </c>
      <c r="P2093" s="13">
        <f t="shared" si="129"/>
        <v>0</v>
      </c>
      <c r="Q2093" s="13" t="str">
        <f t="shared" si="130"/>
        <v/>
      </c>
      <c r="R2093" s="13" t="str">
        <f t="shared" si="131"/>
        <v>Non diskon</v>
      </c>
    </row>
    <row r="2094" spans="1:18" x14ac:dyDescent="0.25">
      <c r="A2094" s="13" t="s">
        <v>2106</v>
      </c>
      <c r="B2094" s="13" t="s">
        <v>2194</v>
      </c>
      <c r="C2094" s="13" t="s">
        <v>2201</v>
      </c>
      <c r="D2094" s="13" t="s">
        <v>2204</v>
      </c>
      <c r="E2094" s="13" t="s">
        <v>2213</v>
      </c>
      <c r="F2094" s="13" t="s">
        <v>2221</v>
      </c>
      <c r="G2094" s="13">
        <v>94.92</v>
      </c>
      <c r="H2094" s="13">
        <v>0</v>
      </c>
      <c r="I2094" s="13">
        <v>94.92</v>
      </c>
      <c r="J2094" s="24">
        <v>45564</v>
      </c>
      <c r="K2094" s="13">
        <v>20</v>
      </c>
      <c r="L2094" s="44">
        <v>2.2999999999999998</v>
      </c>
      <c r="M2094" s="13" t="b">
        <v>0</v>
      </c>
      <c r="O2094" s="25">
        <f t="shared" si="128"/>
        <v>338</v>
      </c>
      <c r="P2094" s="13">
        <f t="shared" si="129"/>
        <v>0</v>
      </c>
      <c r="Q2094" s="13" t="str">
        <f t="shared" si="130"/>
        <v/>
      </c>
      <c r="R2094" s="13" t="str">
        <f t="shared" si="131"/>
        <v>Non diskon</v>
      </c>
    </row>
    <row r="2095" spans="1:18" x14ac:dyDescent="0.25">
      <c r="A2095" s="13" t="s">
        <v>2107</v>
      </c>
      <c r="B2095" s="13" t="s">
        <v>2194</v>
      </c>
      <c r="C2095" s="13" t="s">
        <v>2199</v>
      </c>
      <c r="D2095" s="13" t="s">
        <v>2206</v>
      </c>
      <c r="E2095" s="13" t="s">
        <v>2211</v>
      </c>
      <c r="F2095" s="13" t="s">
        <v>2214</v>
      </c>
      <c r="G2095" s="13">
        <v>107.92</v>
      </c>
      <c r="H2095" s="13">
        <v>22.2</v>
      </c>
      <c r="I2095" s="13">
        <v>83.96</v>
      </c>
      <c r="J2095" s="24">
        <v>45875</v>
      </c>
      <c r="K2095" s="13">
        <v>35</v>
      </c>
      <c r="L2095" s="44">
        <v>3.7</v>
      </c>
      <c r="M2095" s="13" t="b">
        <v>0</v>
      </c>
      <c r="O2095" s="25">
        <f t="shared" si="128"/>
        <v>27</v>
      </c>
      <c r="P2095" s="13">
        <f t="shared" si="129"/>
        <v>777</v>
      </c>
      <c r="Q2095" s="13" t="str">
        <f t="shared" si="130"/>
        <v/>
      </c>
      <c r="R2095" s="13" t="str">
        <f t="shared" si="131"/>
        <v>Diskon</v>
      </c>
    </row>
    <row r="2096" spans="1:18" x14ac:dyDescent="0.25">
      <c r="A2096" s="13" t="s">
        <v>2108</v>
      </c>
      <c r="B2096" s="13" t="s">
        <v>2192</v>
      </c>
      <c r="C2096" s="13" t="s">
        <v>2203</v>
      </c>
      <c r="D2096" s="13" t="s">
        <v>2207</v>
      </c>
      <c r="F2096" s="13" t="s">
        <v>2220</v>
      </c>
      <c r="G2096" s="13">
        <v>45.52</v>
      </c>
      <c r="H2096" s="13">
        <v>0</v>
      </c>
      <c r="I2096" s="13">
        <v>45.52</v>
      </c>
      <c r="J2096" s="24">
        <v>45875</v>
      </c>
      <c r="K2096" s="13">
        <v>41</v>
      </c>
      <c r="L2096" s="44">
        <v>1.6</v>
      </c>
      <c r="M2096" s="13" t="b">
        <v>0</v>
      </c>
      <c r="O2096" s="25">
        <f t="shared" si="128"/>
        <v>27</v>
      </c>
      <c r="P2096" s="13">
        <f t="shared" si="129"/>
        <v>0</v>
      </c>
      <c r="Q2096" s="13" t="str">
        <f t="shared" si="130"/>
        <v/>
      </c>
      <c r="R2096" s="13" t="str">
        <f t="shared" si="131"/>
        <v>Non diskon</v>
      </c>
    </row>
    <row r="2097" spans="1:18" x14ac:dyDescent="0.25">
      <c r="A2097" s="13" t="s">
        <v>2109</v>
      </c>
      <c r="B2097" s="13" t="s">
        <v>2194</v>
      </c>
      <c r="C2097" s="13" t="s">
        <v>2202</v>
      </c>
      <c r="D2097" s="13" t="s">
        <v>2205</v>
      </c>
      <c r="E2097" s="13" t="s">
        <v>2213</v>
      </c>
      <c r="F2097" s="13" t="s">
        <v>2220</v>
      </c>
      <c r="G2097" s="13">
        <v>112.1</v>
      </c>
      <c r="H2097" s="13">
        <v>30.7</v>
      </c>
      <c r="I2097" s="13">
        <v>77.69</v>
      </c>
      <c r="J2097" s="24">
        <v>45875</v>
      </c>
      <c r="K2097" s="13">
        <v>10</v>
      </c>
      <c r="L2097" s="44">
        <v>1</v>
      </c>
      <c r="M2097" s="13" t="b">
        <v>0</v>
      </c>
      <c r="O2097" s="25">
        <f t="shared" si="128"/>
        <v>27</v>
      </c>
      <c r="P2097" s="13">
        <f t="shared" si="129"/>
        <v>307</v>
      </c>
      <c r="Q2097" s="13" t="str">
        <f t="shared" si="130"/>
        <v/>
      </c>
      <c r="R2097" s="13" t="str">
        <f t="shared" si="131"/>
        <v>Diskon</v>
      </c>
    </row>
    <row r="2098" spans="1:18" x14ac:dyDescent="0.25">
      <c r="A2098" s="13" t="s">
        <v>2110</v>
      </c>
      <c r="B2098" s="13" t="s">
        <v>2193</v>
      </c>
      <c r="C2098" s="13" t="s">
        <v>2197</v>
      </c>
      <c r="D2098" s="13" t="s">
        <v>2204</v>
      </c>
      <c r="E2098" s="13" t="s">
        <v>2209</v>
      </c>
      <c r="F2098" s="13" t="s">
        <v>2223</v>
      </c>
      <c r="G2098" s="13">
        <v>103.9</v>
      </c>
      <c r="H2098" s="13">
        <v>0</v>
      </c>
      <c r="I2098" s="13">
        <v>103.9</v>
      </c>
      <c r="J2098" s="24">
        <v>45861</v>
      </c>
      <c r="K2098" s="13">
        <v>27</v>
      </c>
      <c r="L2098" s="44">
        <v>2.1</v>
      </c>
      <c r="M2098" s="13" t="b">
        <v>0</v>
      </c>
      <c r="O2098" s="25">
        <f t="shared" si="128"/>
        <v>41</v>
      </c>
      <c r="P2098" s="13">
        <f t="shared" si="129"/>
        <v>0</v>
      </c>
      <c r="Q2098" s="13" t="str">
        <f t="shared" si="130"/>
        <v/>
      </c>
      <c r="R2098" s="13" t="str">
        <f t="shared" si="131"/>
        <v>Non diskon</v>
      </c>
    </row>
    <row r="2099" spans="1:18" x14ac:dyDescent="0.25">
      <c r="A2099" s="13" t="s">
        <v>2111</v>
      </c>
      <c r="B2099" s="13" t="s">
        <v>2190</v>
      </c>
      <c r="C2099" s="13" t="s">
        <v>2198</v>
      </c>
      <c r="D2099" s="13" t="s">
        <v>2205</v>
      </c>
      <c r="E2099" s="13" t="s">
        <v>2209</v>
      </c>
      <c r="F2099" s="13" t="s">
        <v>2215</v>
      </c>
      <c r="G2099" s="13">
        <v>168.02</v>
      </c>
      <c r="H2099" s="13">
        <v>0</v>
      </c>
      <c r="I2099" s="13">
        <v>168.02</v>
      </c>
      <c r="J2099" s="24">
        <v>45875</v>
      </c>
      <c r="K2099" s="13">
        <v>30</v>
      </c>
      <c r="L2099" s="44">
        <v>1.6</v>
      </c>
      <c r="M2099" s="13" t="b">
        <v>1</v>
      </c>
      <c r="N2099" s="13" t="s">
        <v>2226</v>
      </c>
      <c r="O2099" s="25">
        <f t="shared" si="128"/>
        <v>27</v>
      </c>
      <c r="P2099" s="13">
        <f t="shared" si="129"/>
        <v>0</v>
      </c>
      <c r="Q2099" s="13">
        <f t="shared" si="130"/>
        <v>1</v>
      </c>
      <c r="R2099" s="13" t="str">
        <f t="shared" si="131"/>
        <v>Non diskon</v>
      </c>
    </row>
    <row r="2100" spans="1:18" x14ac:dyDescent="0.25">
      <c r="A2100" s="13" t="s">
        <v>2112</v>
      </c>
      <c r="B2100" s="13" t="s">
        <v>2193</v>
      </c>
      <c r="C2100" s="13" t="s">
        <v>2199</v>
      </c>
      <c r="D2100" s="13" t="s">
        <v>2206</v>
      </c>
      <c r="E2100" s="13" t="s">
        <v>2213</v>
      </c>
      <c r="F2100" s="13" t="s">
        <v>2224</v>
      </c>
      <c r="G2100" s="13">
        <v>80.41</v>
      </c>
      <c r="H2100" s="13">
        <v>0</v>
      </c>
      <c r="I2100" s="13">
        <v>80.41</v>
      </c>
      <c r="J2100" s="24">
        <v>45875</v>
      </c>
      <c r="K2100" s="13">
        <v>46</v>
      </c>
      <c r="L2100" s="44">
        <v>2.8</v>
      </c>
      <c r="M2100" s="13" t="b">
        <v>0</v>
      </c>
      <c r="O2100" s="25">
        <f t="shared" si="128"/>
        <v>27</v>
      </c>
      <c r="P2100" s="13">
        <f t="shared" si="129"/>
        <v>0</v>
      </c>
      <c r="Q2100" s="13" t="str">
        <f t="shared" si="130"/>
        <v/>
      </c>
      <c r="R2100" s="13" t="str">
        <f t="shared" si="131"/>
        <v>Non diskon</v>
      </c>
    </row>
    <row r="2101" spans="1:18" x14ac:dyDescent="0.25">
      <c r="A2101" s="13" t="s">
        <v>2113</v>
      </c>
      <c r="B2101" s="13" t="s">
        <v>2194</v>
      </c>
      <c r="C2101" s="13" t="s">
        <v>2203</v>
      </c>
      <c r="D2101" s="13" t="s">
        <v>2204</v>
      </c>
      <c r="E2101" s="13" t="s">
        <v>2208</v>
      </c>
      <c r="F2101" s="13" t="s">
        <v>2220</v>
      </c>
      <c r="G2101" s="13">
        <v>102.76</v>
      </c>
      <c r="H2101" s="13">
        <v>0</v>
      </c>
      <c r="I2101" s="13">
        <v>102.76</v>
      </c>
      <c r="J2101" s="24">
        <v>45612</v>
      </c>
      <c r="K2101" s="13">
        <v>35</v>
      </c>
      <c r="L2101" s="44">
        <v>2.2000000000000002</v>
      </c>
      <c r="M2101" s="13" t="b">
        <v>0</v>
      </c>
      <c r="O2101" s="25">
        <f t="shared" si="128"/>
        <v>290</v>
      </c>
      <c r="P2101" s="13">
        <f t="shared" si="129"/>
        <v>0</v>
      </c>
      <c r="Q2101" s="13" t="str">
        <f t="shared" si="130"/>
        <v/>
      </c>
      <c r="R2101" s="13" t="str">
        <f t="shared" si="131"/>
        <v>Non diskon</v>
      </c>
    </row>
    <row r="2102" spans="1:18" x14ac:dyDescent="0.25">
      <c r="A2102" s="13" t="s">
        <v>2114</v>
      </c>
      <c r="B2102" s="13" t="s">
        <v>2191</v>
      </c>
      <c r="C2102" s="13" t="s">
        <v>2203</v>
      </c>
      <c r="D2102" s="13" t="s">
        <v>2206</v>
      </c>
      <c r="E2102" s="13" t="s">
        <v>2211</v>
      </c>
      <c r="F2102" s="13" t="s">
        <v>2216</v>
      </c>
      <c r="G2102" s="13">
        <v>81.2</v>
      </c>
      <c r="H2102" s="13">
        <v>0</v>
      </c>
      <c r="I2102" s="13">
        <v>81.2</v>
      </c>
      <c r="J2102" s="24">
        <v>45875</v>
      </c>
      <c r="K2102" s="13">
        <v>27</v>
      </c>
      <c r="L2102" s="44">
        <v>1.7</v>
      </c>
      <c r="M2102" s="13" t="b">
        <v>0</v>
      </c>
      <c r="O2102" s="25">
        <f t="shared" si="128"/>
        <v>27</v>
      </c>
      <c r="P2102" s="13">
        <f t="shared" si="129"/>
        <v>0</v>
      </c>
      <c r="Q2102" s="13" t="str">
        <f t="shared" si="130"/>
        <v/>
      </c>
      <c r="R2102" s="13" t="str">
        <f t="shared" si="131"/>
        <v>Non diskon</v>
      </c>
    </row>
    <row r="2103" spans="1:18" x14ac:dyDescent="0.25">
      <c r="A2103" s="13" t="s">
        <v>2115</v>
      </c>
      <c r="B2103" s="13" t="s">
        <v>2192</v>
      </c>
      <c r="C2103" s="13" t="s">
        <v>2197</v>
      </c>
      <c r="D2103" s="13" t="s">
        <v>2206</v>
      </c>
      <c r="F2103" s="13" t="s">
        <v>2218</v>
      </c>
      <c r="G2103" s="13">
        <v>68.95</v>
      </c>
      <c r="H2103" s="13">
        <v>0</v>
      </c>
      <c r="I2103" s="13">
        <v>68.95</v>
      </c>
      <c r="J2103" s="24">
        <v>45875</v>
      </c>
      <c r="K2103" s="13">
        <v>47</v>
      </c>
      <c r="L2103" s="44">
        <v>3.6</v>
      </c>
      <c r="M2103" s="13" t="b">
        <v>0</v>
      </c>
      <c r="O2103" s="25">
        <f t="shared" si="128"/>
        <v>27</v>
      </c>
      <c r="P2103" s="13">
        <f t="shared" si="129"/>
        <v>0</v>
      </c>
      <c r="Q2103" s="13" t="str">
        <f t="shared" si="130"/>
        <v/>
      </c>
      <c r="R2103" s="13" t="str">
        <f t="shared" si="131"/>
        <v>Non diskon</v>
      </c>
    </row>
    <row r="2104" spans="1:18" x14ac:dyDescent="0.25">
      <c r="A2104" s="13" t="s">
        <v>2116</v>
      </c>
      <c r="B2104" s="13" t="s">
        <v>2194</v>
      </c>
      <c r="C2104" s="13" t="s">
        <v>2196</v>
      </c>
      <c r="D2104" s="13" t="s">
        <v>2207</v>
      </c>
      <c r="E2104" s="13" t="s">
        <v>2212</v>
      </c>
      <c r="F2104" s="13" t="s">
        <v>2223</v>
      </c>
      <c r="G2104" s="13">
        <v>43.04</v>
      </c>
      <c r="H2104" s="13">
        <v>0</v>
      </c>
      <c r="I2104" s="13">
        <v>43.04</v>
      </c>
      <c r="J2104" s="24">
        <v>45875</v>
      </c>
      <c r="K2104" s="13">
        <v>26</v>
      </c>
      <c r="L2104" s="44">
        <v>4.8</v>
      </c>
      <c r="M2104" s="13" t="b">
        <v>1</v>
      </c>
      <c r="N2104" s="13" t="s">
        <v>2230</v>
      </c>
      <c r="O2104" s="25">
        <f t="shared" si="128"/>
        <v>27</v>
      </c>
      <c r="P2104" s="13">
        <f t="shared" si="129"/>
        <v>0</v>
      </c>
      <c r="Q2104" s="13">
        <f t="shared" si="130"/>
        <v>1</v>
      </c>
      <c r="R2104" s="13" t="str">
        <f t="shared" si="131"/>
        <v>Non diskon</v>
      </c>
    </row>
    <row r="2105" spans="1:18" x14ac:dyDescent="0.25">
      <c r="A2105" s="13" t="s">
        <v>2117</v>
      </c>
      <c r="B2105" s="13" t="s">
        <v>2191</v>
      </c>
      <c r="C2105" s="13" t="s">
        <v>2196</v>
      </c>
      <c r="D2105" s="13" t="s">
        <v>2204</v>
      </c>
      <c r="E2105" s="13" t="s">
        <v>2212</v>
      </c>
      <c r="F2105" s="13" t="s">
        <v>2221</v>
      </c>
      <c r="G2105" s="13">
        <v>81.819999999999993</v>
      </c>
      <c r="H2105" s="13">
        <v>0</v>
      </c>
      <c r="I2105" s="13">
        <v>81.819999999999993</v>
      </c>
      <c r="J2105" s="24">
        <v>45786</v>
      </c>
      <c r="K2105" s="13">
        <v>1</v>
      </c>
      <c r="L2105" s="44">
        <v>3.5</v>
      </c>
      <c r="M2105" s="13" t="b">
        <v>0</v>
      </c>
      <c r="O2105" s="25">
        <f t="shared" si="128"/>
        <v>116</v>
      </c>
      <c r="P2105" s="13">
        <f t="shared" si="129"/>
        <v>0</v>
      </c>
      <c r="Q2105" s="13" t="str">
        <f t="shared" si="130"/>
        <v/>
      </c>
      <c r="R2105" s="13" t="str">
        <f t="shared" si="131"/>
        <v>Non diskon</v>
      </c>
    </row>
    <row r="2106" spans="1:18" x14ac:dyDescent="0.25">
      <c r="A2106" s="13" t="s">
        <v>2118</v>
      </c>
      <c r="B2106" s="13" t="s">
        <v>2192</v>
      </c>
      <c r="C2106" s="13" t="s">
        <v>2199</v>
      </c>
      <c r="D2106" s="13" t="s">
        <v>2207</v>
      </c>
      <c r="F2106" s="13" t="s">
        <v>2219</v>
      </c>
      <c r="G2106" s="13">
        <v>53.7</v>
      </c>
      <c r="H2106" s="13">
        <v>0</v>
      </c>
      <c r="I2106" s="13">
        <v>53.7</v>
      </c>
      <c r="J2106" s="24">
        <v>45875</v>
      </c>
      <c r="K2106" s="13">
        <v>16</v>
      </c>
      <c r="L2106" s="44">
        <v>1.4</v>
      </c>
      <c r="M2106" s="13" t="b">
        <v>1</v>
      </c>
      <c r="N2106" s="13" t="s">
        <v>2227</v>
      </c>
      <c r="O2106" s="25">
        <f t="shared" si="128"/>
        <v>27</v>
      </c>
      <c r="P2106" s="13">
        <f t="shared" si="129"/>
        <v>0</v>
      </c>
      <c r="Q2106" s="13">
        <f t="shared" si="130"/>
        <v>1</v>
      </c>
      <c r="R2106" s="13" t="str">
        <f t="shared" si="131"/>
        <v>Non diskon</v>
      </c>
    </row>
    <row r="2107" spans="1:18" x14ac:dyDescent="0.25">
      <c r="A2107" s="13" t="s">
        <v>2119</v>
      </c>
      <c r="B2107" s="13" t="s">
        <v>2191</v>
      </c>
      <c r="C2107" s="13" t="s">
        <v>2199</v>
      </c>
      <c r="D2107" s="13" t="s">
        <v>2207</v>
      </c>
      <c r="E2107" s="13" t="s">
        <v>2209</v>
      </c>
      <c r="F2107" s="13" t="s">
        <v>2214</v>
      </c>
      <c r="G2107" s="13">
        <v>100.11</v>
      </c>
      <c r="H2107" s="13">
        <v>0</v>
      </c>
      <c r="I2107" s="13">
        <v>100.11</v>
      </c>
      <c r="J2107" s="24">
        <v>45875</v>
      </c>
      <c r="K2107" s="13">
        <v>41</v>
      </c>
      <c r="L2107" s="44">
        <v>4.7</v>
      </c>
      <c r="M2107" s="13" t="b">
        <v>0</v>
      </c>
      <c r="O2107" s="25">
        <f t="shared" si="128"/>
        <v>27</v>
      </c>
      <c r="P2107" s="13">
        <f t="shared" si="129"/>
        <v>0</v>
      </c>
      <c r="Q2107" s="13" t="str">
        <f t="shared" si="130"/>
        <v/>
      </c>
      <c r="R2107" s="13" t="str">
        <f t="shared" si="131"/>
        <v>Non diskon</v>
      </c>
    </row>
    <row r="2108" spans="1:18" x14ac:dyDescent="0.25">
      <c r="A2108" s="13" t="s">
        <v>2120</v>
      </c>
      <c r="B2108" s="13" t="s">
        <v>2192</v>
      </c>
      <c r="C2108" s="13" t="s">
        <v>2201</v>
      </c>
      <c r="D2108" s="13" t="s">
        <v>2205</v>
      </c>
      <c r="F2108" s="13" t="s">
        <v>2218</v>
      </c>
      <c r="G2108" s="13">
        <v>24.08</v>
      </c>
      <c r="H2108" s="13">
        <v>38.5</v>
      </c>
      <c r="I2108" s="13">
        <v>14.81</v>
      </c>
      <c r="J2108" s="24">
        <v>45875</v>
      </c>
      <c r="K2108" s="13">
        <v>43</v>
      </c>
      <c r="L2108" s="44">
        <v>4.0999999999999996</v>
      </c>
      <c r="M2108" s="13" t="b">
        <v>0</v>
      </c>
      <c r="O2108" s="25">
        <f t="shared" si="128"/>
        <v>27</v>
      </c>
      <c r="P2108" s="13">
        <f t="shared" si="129"/>
        <v>1655.5</v>
      </c>
      <c r="Q2108" s="13" t="str">
        <f t="shared" si="130"/>
        <v/>
      </c>
      <c r="R2108" s="13" t="str">
        <f t="shared" si="131"/>
        <v>Diskon</v>
      </c>
    </row>
    <row r="2109" spans="1:18" x14ac:dyDescent="0.25">
      <c r="A2109" s="13" t="s">
        <v>2121</v>
      </c>
      <c r="B2109" s="13" t="s">
        <v>2192</v>
      </c>
      <c r="C2109" s="13" t="s">
        <v>2201</v>
      </c>
      <c r="D2109" s="13" t="s">
        <v>2204</v>
      </c>
      <c r="F2109" s="13" t="s">
        <v>2214</v>
      </c>
      <c r="G2109" s="13">
        <v>74.77</v>
      </c>
      <c r="H2109" s="13">
        <v>0</v>
      </c>
      <c r="I2109" s="13">
        <v>74.77</v>
      </c>
      <c r="J2109" s="24">
        <v>45734</v>
      </c>
      <c r="K2109" s="13">
        <v>26</v>
      </c>
      <c r="L2109" s="44">
        <v>2.9</v>
      </c>
      <c r="M2109" s="13" t="b">
        <v>0</v>
      </c>
      <c r="O2109" s="25">
        <f t="shared" si="128"/>
        <v>168</v>
      </c>
      <c r="P2109" s="13">
        <f t="shared" si="129"/>
        <v>0</v>
      </c>
      <c r="Q2109" s="13" t="str">
        <f t="shared" si="130"/>
        <v/>
      </c>
      <c r="R2109" s="13" t="str">
        <f t="shared" si="131"/>
        <v>Non diskon</v>
      </c>
    </row>
    <row r="2110" spans="1:18" x14ac:dyDescent="0.25">
      <c r="A2110" s="13" t="s">
        <v>2122</v>
      </c>
      <c r="B2110" s="13" t="s">
        <v>2195</v>
      </c>
      <c r="C2110" s="13" t="s">
        <v>2200</v>
      </c>
      <c r="D2110" s="13" t="s">
        <v>2204</v>
      </c>
      <c r="E2110" s="13" t="s">
        <v>2208</v>
      </c>
      <c r="F2110" s="13" t="s">
        <v>2222</v>
      </c>
      <c r="G2110" s="13">
        <v>105.98</v>
      </c>
      <c r="H2110" s="13">
        <v>0</v>
      </c>
      <c r="I2110" s="13">
        <v>105.98</v>
      </c>
      <c r="J2110" s="24">
        <v>45567</v>
      </c>
      <c r="K2110" s="13">
        <v>32</v>
      </c>
      <c r="L2110" s="44">
        <v>2.5</v>
      </c>
      <c r="M2110" s="13" t="b">
        <v>1</v>
      </c>
      <c r="N2110" s="13" t="s">
        <v>2226</v>
      </c>
      <c r="O2110" s="25">
        <f t="shared" si="128"/>
        <v>335</v>
      </c>
      <c r="P2110" s="13">
        <f t="shared" si="129"/>
        <v>0</v>
      </c>
      <c r="Q2110" s="13">
        <f t="shared" si="130"/>
        <v>1</v>
      </c>
      <c r="R2110" s="13" t="str">
        <f t="shared" si="131"/>
        <v>Non diskon</v>
      </c>
    </row>
    <row r="2111" spans="1:18" x14ac:dyDescent="0.25">
      <c r="A2111" s="13" t="s">
        <v>2123</v>
      </c>
      <c r="B2111" s="13" t="s">
        <v>2193</v>
      </c>
      <c r="C2111" s="13" t="s">
        <v>2196</v>
      </c>
      <c r="D2111" s="13" t="s">
        <v>2207</v>
      </c>
      <c r="E2111" s="13" t="s">
        <v>2209</v>
      </c>
      <c r="F2111" s="13" t="s">
        <v>2217</v>
      </c>
      <c r="G2111" s="13">
        <v>81.650000000000006</v>
      </c>
      <c r="H2111" s="13">
        <v>7.7</v>
      </c>
      <c r="I2111" s="13">
        <v>75.36</v>
      </c>
      <c r="J2111" s="24">
        <v>45875</v>
      </c>
      <c r="K2111" s="13">
        <v>23</v>
      </c>
      <c r="L2111" s="44">
        <v>2.6</v>
      </c>
      <c r="M2111" s="13" t="b">
        <v>0</v>
      </c>
      <c r="O2111" s="25">
        <f t="shared" si="128"/>
        <v>27</v>
      </c>
      <c r="P2111" s="13">
        <f t="shared" si="129"/>
        <v>177.1</v>
      </c>
      <c r="Q2111" s="13" t="str">
        <f t="shared" si="130"/>
        <v/>
      </c>
      <c r="R2111" s="13" t="str">
        <f t="shared" si="131"/>
        <v>Diskon</v>
      </c>
    </row>
    <row r="2112" spans="1:18" x14ac:dyDescent="0.25">
      <c r="A2112" s="13" t="s">
        <v>2124</v>
      </c>
      <c r="B2112" s="13" t="s">
        <v>2193</v>
      </c>
      <c r="C2112" s="13" t="s">
        <v>2203</v>
      </c>
      <c r="D2112" s="13" t="s">
        <v>2206</v>
      </c>
      <c r="E2112" s="13" t="s">
        <v>2210</v>
      </c>
      <c r="F2112" s="13" t="s">
        <v>2216</v>
      </c>
      <c r="G2112" s="13">
        <v>92.66</v>
      </c>
      <c r="H2112" s="13">
        <v>8.3000000000000007</v>
      </c>
      <c r="I2112" s="13">
        <v>84.97</v>
      </c>
      <c r="J2112" s="24">
        <v>45875</v>
      </c>
      <c r="K2112" s="13">
        <v>5</v>
      </c>
      <c r="L2112" s="44">
        <v>3.3</v>
      </c>
      <c r="M2112" s="13" t="b">
        <v>0</v>
      </c>
      <c r="O2112" s="25">
        <f t="shared" si="128"/>
        <v>27</v>
      </c>
      <c r="P2112" s="13">
        <f t="shared" si="129"/>
        <v>41.5</v>
      </c>
      <c r="Q2112" s="13" t="str">
        <f t="shared" si="130"/>
        <v/>
      </c>
      <c r="R2112" s="13" t="str">
        <f t="shared" si="131"/>
        <v>Diskon</v>
      </c>
    </row>
    <row r="2113" spans="1:18" x14ac:dyDescent="0.25">
      <c r="A2113" s="13" t="s">
        <v>2125</v>
      </c>
      <c r="B2113" s="13" t="s">
        <v>2192</v>
      </c>
      <c r="C2113" s="13" t="s">
        <v>2199</v>
      </c>
      <c r="D2113" s="13" t="s">
        <v>2207</v>
      </c>
      <c r="F2113" s="13" t="s">
        <v>2224</v>
      </c>
      <c r="G2113" s="13">
        <v>41.04</v>
      </c>
      <c r="H2113" s="13">
        <v>0</v>
      </c>
      <c r="I2113" s="13">
        <v>41.04</v>
      </c>
      <c r="J2113" s="24">
        <v>45875</v>
      </c>
      <c r="K2113" s="13">
        <v>43</v>
      </c>
      <c r="L2113" s="44">
        <v>2.5131578947368416</v>
      </c>
      <c r="M2113" s="13" t="b">
        <v>0</v>
      </c>
      <c r="O2113" s="25">
        <f t="shared" si="128"/>
        <v>27</v>
      </c>
      <c r="P2113" s="13">
        <f t="shared" si="129"/>
        <v>0</v>
      </c>
      <c r="Q2113" s="13" t="str">
        <f t="shared" si="130"/>
        <v/>
      </c>
      <c r="R2113" s="13" t="str">
        <f t="shared" si="131"/>
        <v>Non diskon</v>
      </c>
    </row>
    <row r="2114" spans="1:18" x14ac:dyDescent="0.25">
      <c r="A2114" s="13" t="s">
        <v>2126</v>
      </c>
      <c r="B2114" s="13" t="s">
        <v>2190</v>
      </c>
      <c r="C2114" s="13" t="s">
        <v>2203</v>
      </c>
      <c r="D2114" s="13" t="s">
        <v>2206</v>
      </c>
      <c r="E2114" s="13" t="s">
        <v>2213</v>
      </c>
      <c r="F2114" s="13" t="s">
        <v>2215</v>
      </c>
      <c r="G2114" s="13">
        <v>169.98</v>
      </c>
      <c r="H2114" s="13">
        <v>5.8</v>
      </c>
      <c r="I2114" s="13">
        <v>160.12</v>
      </c>
      <c r="J2114" s="24">
        <v>45875</v>
      </c>
      <c r="K2114" s="13">
        <v>12</v>
      </c>
      <c r="L2114" s="44">
        <v>2.1</v>
      </c>
      <c r="M2114" s="13" t="b">
        <v>0</v>
      </c>
      <c r="O2114" s="25">
        <f t="shared" si="128"/>
        <v>27</v>
      </c>
      <c r="P2114" s="13">
        <f t="shared" si="129"/>
        <v>69.599999999999994</v>
      </c>
      <c r="Q2114" s="13" t="str">
        <f t="shared" si="130"/>
        <v/>
      </c>
      <c r="R2114" s="13" t="str">
        <f t="shared" si="131"/>
        <v>Diskon</v>
      </c>
    </row>
    <row r="2115" spans="1:18" x14ac:dyDescent="0.25">
      <c r="A2115" s="13" t="s">
        <v>2127</v>
      </c>
      <c r="B2115" s="13" t="s">
        <v>2192</v>
      </c>
      <c r="C2115" s="13" t="s">
        <v>2199</v>
      </c>
      <c r="D2115" s="13" t="s">
        <v>2205</v>
      </c>
      <c r="F2115" s="13" t="s">
        <v>2214</v>
      </c>
      <c r="G2115" s="13">
        <v>66.12</v>
      </c>
      <c r="H2115" s="13">
        <v>51</v>
      </c>
      <c r="I2115" s="13">
        <v>32.4</v>
      </c>
      <c r="J2115" s="24">
        <v>45875</v>
      </c>
      <c r="K2115" s="13">
        <v>17</v>
      </c>
      <c r="L2115" s="44">
        <v>2.2000000000000002</v>
      </c>
      <c r="M2115" s="13" t="b">
        <v>0</v>
      </c>
      <c r="O2115" s="25">
        <f t="shared" ref="O2115:O2177" si="132">DATE(2025,9,2)-J2115</f>
        <v>27</v>
      </c>
      <c r="P2115" s="13">
        <f t="shared" ref="P2115:P2177" si="133">H2115*K2115</f>
        <v>867</v>
      </c>
      <c r="Q2115" s="13" t="str">
        <f t="shared" ref="Q2115:Q2177" si="134">IF(M2115=FALSE,"",1)</f>
        <v/>
      </c>
      <c r="R2115" s="13" t="str">
        <f t="shared" ref="R2115:R2177" si="135">IF(H2115=0,"Non diskon","Diskon")</f>
        <v>Diskon</v>
      </c>
    </row>
    <row r="2116" spans="1:18" x14ac:dyDescent="0.25">
      <c r="A2116" s="13" t="s">
        <v>2128</v>
      </c>
      <c r="B2116" s="13" t="s">
        <v>2195</v>
      </c>
      <c r="C2116" s="13" t="s">
        <v>2198</v>
      </c>
      <c r="D2116" s="13" t="s">
        <v>2204</v>
      </c>
      <c r="E2116" s="13" t="s">
        <v>2210</v>
      </c>
      <c r="F2116" s="13" t="s">
        <v>2223</v>
      </c>
      <c r="G2116" s="13">
        <v>139.87</v>
      </c>
      <c r="H2116" s="13">
        <v>14.5</v>
      </c>
      <c r="I2116" s="13">
        <v>119.59</v>
      </c>
      <c r="J2116" s="24">
        <v>45548</v>
      </c>
      <c r="K2116" s="13">
        <v>13</v>
      </c>
      <c r="L2116" s="44">
        <v>1.3</v>
      </c>
      <c r="M2116" s="13" t="b">
        <v>0</v>
      </c>
      <c r="O2116" s="25">
        <f t="shared" si="132"/>
        <v>354</v>
      </c>
      <c r="P2116" s="13">
        <f t="shared" si="133"/>
        <v>188.5</v>
      </c>
      <c r="Q2116" s="13" t="str">
        <f t="shared" si="134"/>
        <v/>
      </c>
      <c r="R2116" s="13" t="str">
        <f t="shared" si="135"/>
        <v>Diskon</v>
      </c>
    </row>
    <row r="2117" spans="1:18" x14ac:dyDescent="0.25">
      <c r="A2117" s="13" t="s">
        <v>2129</v>
      </c>
      <c r="B2117" s="13" t="s">
        <v>2192</v>
      </c>
      <c r="C2117" s="13" t="s">
        <v>2196</v>
      </c>
      <c r="D2117" s="13" t="s">
        <v>2205</v>
      </c>
      <c r="F2117" s="13" t="s">
        <v>2215</v>
      </c>
      <c r="G2117" s="13">
        <v>70.23</v>
      </c>
      <c r="H2117" s="13">
        <v>49.9</v>
      </c>
      <c r="I2117" s="13">
        <v>35.19</v>
      </c>
      <c r="J2117" s="24">
        <v>45875</v>
      </c>
      <c r="K2117" s="13">
        <v>0</v>
      </c>
      <c r="L2117" s="44">
        <v>4.5999999999999996</v>
      </c>
      <c r="M2117" s="13" t="b">
        <v>1</v>
      </c>
      <c r="N2117" s="13" t="s">
        <v>2227</v>
      </c>
      <c r="O2117" s="25">
        <f t="shared" si="132"/>
        <v>27</v>
      </c>
      <c r="P2117" s="13">
        <f t="shared" si="133"/>
        <v>0</v>
      </c>
      <c r="Q2117" s="13">
        <f t="shared" si="134"/>
        <v>1</v>
      </c>
      <c r="R2117" s="13" t="str">
        <f t="shared" si="135"/>
        <v>Diskon</v>
      </c>
    </row>
    <row r="2118" spans="1:18" x14ac:dyDescent="0.25">
      <c r="A2118" s="13" t="s">
        <v>2130</v>
      </c>
      <c r="B2118" s="13" t="s">
        <v>2193</v>
      </c>
      <c r="C2118" s="13" t="s">
        <v>2196</v>
      </c>
      <c r="D2118" s="13" t="s">
        <v>2205</v>
      </c>
      <c r="E2118" s="13" t="s">
        <v>2208</v>
      </c>
      <c r="F2118" s="13" t="s">
        <v>2219</v>
      </c>
      <c r="G2118" s="13">
        <v>129.9</v>
      </c>
      <c r="H2118" s="13">
        <v>39.9</v>
      </c>
      <c r="I2118" s="13">
        <v>78.069999999999993</v>
      </c>
      <c r="J2118" s="24">
        <v>45875</v>
      </c>
      <c r="K2118" s="13">
        <v>28</v>
      </c>
      <c r="L2118" s="44">
        <v>1.3</v>
      </c>
      <c r="M2118" s="13" t="b">
        <v>0</v>
      </c>
      <c r="O2118" s="25">
        <f t="shared" si="132"/>
        <v>27</v>
      </c>
      <c r="P2118" s="13">
        <f t="shared" si="133"/>
        <v>1117.2</v>
      </c>
      <c r="Q2118" s="13" t="str">
        <f t="shared" si="134"/>
        <v/>
      </c>
      <c r="R2118" s="13" t="str">
        <f t="shared" si="135"/>
        <v>Diskon</v>
      </c>
    </row>
    <row r="2119" spans="1:18" x14ac:dyDescent="0.25">
      <c r="A2119" s="13" t="s">
        <v>2131</v>
      </c>
      <c r="B2119" s="13" t="s">
        <v>2194</v>
      </c>
      <c r="C2119" s="13" t="s">
        <v>2196</v>
      </c>
      <c r="D2119" s="13" t="s">
        <v>2204</v>
      </c>
      <c r="E2119" s="13" t="s">
        <v>2209</v>
      </c>
      <c r="F2119" s="13" t="s">
        <v>2221</v>
      </c>
      <c r="G2119" s="13">
        <v>75.78</v>
      </c>
      <c r="H2119" s="13">
        <v>0</v>
      </c>
      <c r="I2119" s="13">
        <v>75.78</v>
      </c>
      <c r="J2119" s="24">
        <v>45685</v>
      </c>
      <c r="K2119" s="13">
        <v>12</v>
      </c>
      <c r="L2119" s="44">
        <v>3.6</v>
      </c>
      <c r="M2119" s="13" t="b">
        <v>0</v>
      </c>
      <c r="O2119" s="25">
        <f t="shared" si="132"/>
        <v>217</v>
      </c>
      <c r="P2119" s="13">
        <f t="shared" si="133"/>
        <v>0</v>
      </c>
      <c r="Q2119" s="13" t="str">
        <f t="shared" si="134"/>
        <v/>
      </c>
      <c r="R2119" s="13" t="str">
        <f t="shared" si="135"/>
        <v>Non diskon</v>
      </c>
    </row>
    <row r="2120" spans="1:18" x14ac:dyDescent="0.25">
      <c r="A2120" s="13" t="s">
        <v>2132</v>
      </c>
      <c r="B2120" s="13" t="s">
        <v>2194</v>
      </c>
      <c r="C2120" s="13" t="s">
        <v>2200</v>
      </c>
      <c r="D2120" s="13" t="s">
        <v>2205</v>
      </c>
      <c r="E2120" s="13" t="s">
        <v>2213</v>
      </c>
      <c r="F2120" s="13" t="s">
        <v>2221</v>
      </c>
      <c r="G2120" s="13">
        <v>93.41</v>
      </c>
      <c r="H2120" s="13">
        <v>0</v>
      </c>
      <c r="I2120" s="13">
        <v>93.41</v>
      </c>
      <c r="J2120" s="24">
        <v>45875</v>
      </c>
      <c r="K2120" s="13">
        <v>4</v>
      </c>
      <c r="L2120" s="44">
        <v>3.2</v>
      </c>
      <c r="M2120" s="13" t="b">
        <v>1</v>
      </c>
      <c r="N2120" s="13" t="s">
        <v>2226</v>
      </c>
      <c r="O2120" s="25">
        <f t="shared" si="132"/>
        <v>27</v>
      </c>
      <c r="P2120" s="13">
        <f t="shared" si="133"/>
        <v>0</v>
      </c>
      <c r="Q2120" s="13">
        <f t="shared" si="134"/>
        <v>1</v>
      </c>
      <c r="R2120" s="13" t="str">
        <f t="shared" si="135"/>
        <v>Non diskon</v>
      </c>
    </row>
    <row r="2121" spans="1:18" x14ac:dyDescent="0.25">
      <c r="A2121" s="13" t="s">
        <v>2133</v>
      </c>
      <c r="B2121" s="13" t="s">
        <v>2191</v>
      </c>
      <c r="C2121" s="13" t="s">
        <v>2198</v>
      </c>
      <c r="D2121" s="13" t="s">
        <v>2204</v>
      </c>
      <c r="E2121" s="13" t="s">
        <v>2209</v>
      </c>
      <c r="F2121" s="13" t="s">
        <v>2214</v>
      </c>
      <c r="G2121" s="13">
        <v>66.900000000000006</v>
      </c>
      <c r="H2121" s="13">
        <v>0</v>
      </c>
      <c r="I2121" s="13">
        <v>66.900000000000006</v>
      </c>
      <c r="J2121" s="24">
        <v>45784</v>
      </c>
      <c r="K2121" s="13">
        <v>1</v>
      </c>
      <c r="L2121" s="44">
        <v>2.8</v>
      </c>
      <c r="M2121" s="13" t="b">
        <v>0</v>
      </c>
      <c r="O2121" s="25">
        <f t="shared" si="132"/>
        <v>118</v>
      </c>
      <c r="P2121" s="13">
        <f t="shared" si="133"/>
        <v>0</v>
      </c>
      <c r="Q2121" s="13" t="str">
        <f t="shared" si="134"/>
        <v/>
      </c>
      <c r="R2121" s="13" t="str">
        <f t="shared" si="135"/>
        <v>Non diskon</v>
      </c>
    </row>
    <row r="2122" spans="1:18" x14ac:dyDescent="0.25">
      <c r="A2122" s="13" t="s">
        <v>2134</v>
      </c>
      <c r="B2122" s="13" t="s">
        <v>2191</v>
      </c>
      <c r="C2122" s="13" t="s">
        <v>2199</v>
      </c>
      <c r="D2122" s="13" t="s">
        <v>2206</v>
      </c>
      <c r="E2122" s="13" t="s">
        <v>2209</v>
      </c>
      <c r="F2122" s="13" t="s">
        <v>2220</v>
      </c>
      <c r="G2122" s="13">
        <v>110.45</v>
      </c>
      <c r="H2122" s="13">
        <v>6.6</v>
      </c>
      <c r="I2122" s="13">
        <v>103.16</v>
      </c>
      <c r="J2122" s="24">
        <v>45875</v>
      </c>
      <c r="K2122" s="13">
        <v>6</v>
      </c>
      <c r="L2122" s="44">
        <v>2.9742857142857138</v>
      </c>
      <c r="M2122" s="13" t="b">
        <v>0</v>
      </c>
      <c r="O2122" s="25">
        <f t="shared" si="132"/>
        <v>27</v>
      </c>
      <c r="P2122" s="13">
        <f t="shared" si="133"/>
        <v>39.599999999999994</v>
      </c>
      <c r="Q2122" s="13" t="str">
        <f t="shared" si="134"/>
        <v/>
      </c>
      <c r="R2122" s="13" t="str">
        <f t="shared" si="135"/>
        <v>Diskon</v>
      </c>
    </row>
    <row r="2123" spans="1:18" x14ac:dyDescent="0.25">
      <c r="A2123" s="13" t="s">
        <v>2135</v>
      </c>
      <c r="B2123" s="13" t="s">
        <v>2194</v>
      </c>
      <c r="C2123" s="13" t="s">
        <v>2196</v>
      </c>
      <c r="D2123" s="13" t="s">
        <v>2206</v>
      </c>
      <c r="E2123" s="13" t="s">
        <v>2209</v>
      </c>
      <c r="F2123" s="13" t="s">
        <v>2218</v>
      </c>
      <c r="G2123" s="13">
        <v>52.73</v>
      </c>
      <c r="H2123" s="13">
        <v>0</v>
      </c>
      <c r="I2123" s="13">
        <v>52.73</v>
      </c>
      <c r="J2123" s="24">
        <v>45875</v>
      </c>
      <c r="K2123" s="13">
        <v>10</v>
      </c>
      <c r="L2123" s="44">
        <v>4.5</v>
      </c>
      <c r="M2123" s="13" t="b">
        <v>0</v>
      </c>
      <c r="O2123" s="25">
        <f t="shared" si="132"/>
        <v>27</v>
      </c>
      <c r="P2123" s="13">
        <f t="shared" si="133"/>
        <v>0</v>
      </c>
      <c r="Q2123" s="13" t="str">
        <f t="shared" si="134"/>
        <v/>
      </c>
      <c r="R2123" s="13" t="str">
        <f t="shared" si="135"/>
        <v>Non diskon</v>
      </c>
    </row>
    <row r="2124" spans="1:18" x14ac:dyDescent="0.25">
      <c r="A2124" s="13" t="s">
        <v>2136</v>
      </c>
      <c r="B2124" s="13" t="s">
        <v>2190</v>
      </c>
      <c r="C2124" s="13" t="s">
        <v>2201</v>
      </c>
      <c r="D2124" s="13" t="s">
        <v>2206</v>
      </c>
      <c r="E2124" s="13" t="s">
        <v>2209</v>
      </c>
      <c r="F2124" s="13" t="s">
        <v>2219</v>
      </c>
      <c r="G2124" s="13">
        <v>89.13</v>
      </c>
      <c r="H2124" s="13">
        <v>0</v>
      </c>
      <c r="I2124" s="13">
        <v>89.13</v>
      </c>
      <c r="J2124" s="24">
        <v>45875</v>
      </c>
      <c r="K2124" s="13">
        <v>17</v>
      </c>
      <c r="L2124" s="44">
        <v>4.0999999999999996</v>
      </c>
      <c r="M2124" s="13" t="b">
        <v>0</v>
      </c>
      <c r="O2124" s="25">
        <f t="shared" si="132"/>
        <v>27</v>
      </c>
      <c r="P2124" s="13">
        <f t="shared" si="133"/>
        <v>0</v>
      </c>
      <c r="Q2124" s="13" t="str">
        <f t="shared" si="134"/>
        <v/>
      </c>
      <c r="R2124" s="13" t="str">
        <f t="shared" si="135"/>
        <v>Non diskon</v>
      </c>
    </row>
    <row r="2125" spans="1:18" x14ac:dyDescent="0.25">
      <c r="A2125" s="13" t="s">
        <v>2137</v>
      </c>
      <c r="B2125" s="13" t="s">
        <v>2190</v>
      </c>
      <c r="C2125" s="13" t="s">
        <v>2198</v>
      </c>
      <c r="D2125" s="13" t="s">
        <v>2207</v>
      </c>
      <c r="E2125" s="13" t="s">
        <v>2209</v>
      </c>
      <c r="F2125" s="13" t="s">
        <v>2220</v>
      </c>
      <c r="G2125" s="13">
        <v>171.78</v>
      </c>
      <c r="H2125" s="13">
        <v>44.1</v>
      </c>
      <c r="I2125" s="13">
        <v>96.03</v>
      </c>
      <c r="J2125" s="24">
        <v>45875</v>
      </c>
      <c r="K2125" s="13">
        <v>25</v>
      </c>
      <c r="L2125" s="44">
        <v>3.0177777777777774</v>
      </c>
      <c r="M2125" s="13" t="b">
        <v>1</v>
      </c>
      <c r="N2125" s="13" t="s">
        <v>2225</v>
      </c>
      <c r="O2125" s="25">
        <f t="shared" si="132"/>
        <v>27</v>
      </c>
      <c r="P2125" s="13">
        <f t="shared" si="133"/>
        <v>1102.5</v>
      </c>
      <c r="Q2125" s="13">
        <f t="shared" si="134"/>
        <v>1</v>
      </c>
      <c r="R2125" s="13" t="str">
        <f t="shared" si="135"/>
        <v>Diskon</v>
      </c>
    </row>
    <row r="2126" spans="1:18" x14ac:dyDescent="0.25">
      <c r="A2126" s="13" t="s">
        <v>2138</v>
      </c>
      <c r="B2126" s="13" t="s">
        <v>2193</v>
      </c>
      <c r="C2126" s="13" t="s">
        <v>2202</v>
      </c>
      <c r="D2126" s="13" t="s">
        <v>2205</v>
      </c>
      <c r="E2126" s="13" t="s">
        <v>2213</v>
      </c>
      <c r="F2126" s="13" t="s">
        <v>2215</v>
      </c>
      <c r="G2126" s="13">
        <v>129</v>
      </c>
      <c r="H2126" s="13">
        <v>0</v>
      </c>
      <c r="I2126" s="13">
        <v>129</v>
      </c>
      <c r="J2126" s="24">
        <v>45875</v>
      </c>
      <c r="K2126" s="13">
        <v>13</v>
      </c>
      <c r="L2126" s="44">
        <v>3.8</v>
      </c>
      <c r="M2126" s="13" t="b">
        <v>1</v>
      </c>
      <c r="N2126" s="13" t="s">
        <v>2229</v>
      </c>
      <c r="O2126" s="25">
        <f t="shared" si="132"/>
        <v>27</v>
      </c>
      <c r="P2126" s="13">
        <f t="shared" si="133"/>
        <v>0</v>
      </c>
      <c r="Q2126" s="13">
        <f t="shared" si="134"/>
        <v>1</v>
      </c>
      <c r="R2126" s="13" t="str">
        <f t="shared" si="135"/>
        <v>Non diskon</v>
      </c>
    </row>
    <row r="2127" spans="1:18" x14ac:dyDescent="0.25">
      <c r="A2127" s="13" t="s">
        <v>2139</v>
      </c>
      <c r="B2127" s="13" t="s">
        <v>2193</v>
      </c>
      <c r="C2127" s="13" t="s">
        <v>2196</v>
      </c>
      <c r="D2127" s="13" t="s">
        <v>2207</v>
      </c>
      <c r="E2127" s="13" t="s">
        <v>2212</v>
      </c>
      <c r="F2127" s="13" t="s">
        <v>2224</v>
      </c>
      <c r="G2127" s="13">
        <v>160.59</v>
      </c>
      <c r="H2127" s="13">
        <v>0</v>
      </c>
      <c r="I2127" s="13">
        <v>160.59</v>
      </c>
      <c r="J2127" s="24">
        <v>45875</v>
      </c>
      <c r="K2127" s="13">
        <v>8</v>
      </c>
      <c r="L2127" s="44">
        <v>2.9</v>
      </c>
      <c r="M2127" s="13" t="b">
        <v>0</v>
      </c>
      <c r="O2127" s="25">
        <f t="shared" si="132"/>
        <v>27</v>
      </c>
      <c r="P2127" s="13">
        <f t="shared" si="133"/>
        <v>0</v>
      </c>
      <c r="Q2127" s="13" t="str">
        <f t="shared" si="134"/>
        <v/>
      </c>
      <c r="R2127" s="13" t="str">
        <f t="shared" si="135"/>
        <v>Non diskon</v>
      </c>
    </row>
    <row r="2128" spans="1:18" x14ac:dyDescent="0.25">
      <c r="A2128" s="13" t="s">
        <v>2140</v>
      </c>
      <c r="B2128" s="13" t="s">
        <v>2191</v>
      </c>
      <c r="C2128" s="13" t="s">
        <v>2198</v>
      </c>
      <c r="D2128" s="13" t="s">
        <v>2207</v>
      </c>
      <c r="E2128" s="13" t="s">
        <v>2209</v>
      </c>
      <c r="F2128" s="13" t="s">
        <v>2214</v>
      </c>
      <c r="G2128" s="13">
        <v>56.38</v>
      </c>
      <c r="H2128" s="13">
        <v>0</v>
      </c>
      <c r="I2128" s="13">
        <v>56.38</v>
      </c>
      <c r="J2128" s="24">
        <v>45875</v>
      </c>
      <c r="K2128" s="13">
        <v>9</v>
      </c>
      <c r="L2128" s="44">
        <v>2.953125</v>
      </c>
      <c r="M2128" s="13" t="b">
        <v>0</v>
      </c>
      <c r="O2128" s="25">
        <f t="shared" si="132"/>
        <v>27</v>
      </c>
      <c r="P2128" s="13">
        <f t="shared" si="133"/>
        <v>0</v>
      </c>
      <c r="Q2128" s="13" t="str">
        <f t="shared" si="134"/>
        <v/>
      </c>
      <c r="R2128" s="13" t="str">
        <f t="shared" si="135"/>
        <v>Non diskon</v>
      </c>
    </row>
    <row r="2129" spans="1:18" x14ac:dyDescent="0.25">
      <c r="A2129" s="13" t="s">
        <v>2141</v>
      </c>
      <c r="B2129" s="13" t="s">
        <v>2190</v>
      </c>
      <c r="C2129" s="13" t="s">
        <v>2202</v>
      </c>
      <c r="D2129" s="13" t="s">
        <v>2205</v>
      </c>
      <c r="E2129" s="13" t="s">
        <v>2209</v>
      </c>
      <c r="F2129" s="13" t="s">
        <v>2220</v>
      </c>
      <c r="G2129" s="13">
        <v>109.2</v>
      </c>
      <c r="H2129" s="13">
        <v>26.6</v>
      </c>
      <c r="I2129" s="13">
        <v>80.150000000000006</v>
      </c>
      <c r="J2129" s="24">
        <v>45875</v>
      </c>
      <c r="K2129" s="13">
        <v>21</v>
      </c>
      <c r="L2129" s="44">
        <v>3.9</v>
      </c>
      <c r="M2129" s="13" t="b">
        <v>1</v>
      </c>
      <c r="N2129" s="13" t="s">
        <v>2228</v>
      </c>
      <c r="O2129" s="25">
        <f t="shared" si="132"/>
        <v>27</v>
      </c>
      <c r="P2129" s="13">
        <f t="shared" si="133"/>
        <v>558.6</v>
      </c>
      <c r="Q2129" s="13">
        <f t="shared" si="134"/>
        <v>1</v>
      </c>
      <c r="R2129" s="13" t="str">
        <f t="shared" si="135"/>
        <v>Diskon</v>
      </c>
    </row>
    <row r="2130" spans="1:18" x14ac:dyDescent="0.25">
      <c r="A2130" s="13" t="s">
        <v>2142</v>
      </c>
      <c r="B2130" s="13" t="s">
        <v>2192</v>
      </c>
      <c r="C2130" s="13" t="s">
        <v>2197</v>
      </c>
      <c r="D2130" s="13" t="s">
        <v>2204</v>
      </c>
      <c r="F2130" s="13" t="s">
        <v>2215</v>
      </c>
      <c r="G2130" s="13">
        <v>21.43</v>
      </c>
      <c r="H2130" s="13">
        <v>0</v>
      </c>
      <c r="I2130" s="13">
        <v>21.43</v>
      </c>
      <c r="J2130" s="24">
        <v>45691</v>
      </c>
      <c r="K2130" s="13">
        <v>38</v>
      </c>
      <c r="L2130" s="44">
        <v>1.9</v>
      </c>
      <c r="M2130" s="13" t="b">
        <v>0</v>
      </c>
      <c r="O2130" s="25">
        <f t="shared" si="132"/>
        <v>211</v>
      </c>
      <c r="P2130" s="13">
        <f t="shared" si="133"/>
        <v>0</v>
      </c>
      <c r="Q2130" s="13" t="str">
        <f t="shared" si="134"/>
        <v/>
      </c>
      <c r="R2130" s="13" t="str">
        <f t="shared" si="135"/>
        <v>Non diskon</v>
      </c>
    </row>
    <row r="2131" spans="1:18" x14ac:dyDescent="0.25">
      <c r="A2131" s="13" t="s">
        <v>2143</v>
      </c>
      <c r="B2131" s="13" t="s">
        <v>2193</v>
      </c>
      <c r="C2131" s="13" t="s">
        <v>2200</v>
      </c>
      <c r="D2131" s="13" t="s">
        <v>2205</v>
      </c>
      <c r="E2131" s="13" t="s">
        <v>2213</v>
      </c>
      <c r="F2131" s="13" t="s">
        <v>2223</v>
      </c>
      <c r="G2131" s="13">
        <v>87.11</v>
      </c>
      <c r="H2131" s="13">
        <v>0</v>
      </c>
      <c r="I2131" s="13">
        <v>87.11</v>
      </c>
      <c r="J2131" s="24">
        <v>45875</v>
      </c>
      <c r="K2131" s="13">
        <v>36</v>
      </c>
      <c r="L2131" s="44">
        <v>2.2999999999999998</v>
      </c>
      <c r="M2131" s="13" t="b">
        <v>0</v>
      </c>
      <c r="O2131" s="25">
        <f t="shared" si="132"/>
        <v>27</v>
      </c>
      <c r="P2131" s="13">
        <f t="shared" si="133"/>
        <v>0</v>
      </c>
      <c r="Q2131" s="13" t="str">
        <f t="shared" si="134"/>
        <v/>
      </c>
      <c r="R2131" s="13" t="str">
        <f t="shared" si="135"/>
        <v>Non diskon</v>
      </c>
    </row>
    <row r="2132" spans="1:18" x14ac:dyDescent="0.25">
      <c r="A2132" s="13" t="s">
        <v>2144</v>
      </c>
      <c r="B2132" s="13" t="s">
        <v>2192</v>
      </c>
      <c r="C2132" s="13" t="s">
        <v>2203</v>
      </c>
      <c r="D2132" s="13" t="s">
        <v>2206</v>
      </c>
      <c r="F2132" s="13" t="s">
        <v>2222</v>
      </c>
      <c r="G2132" s="13">
        <v>36.29</v>
      </c>
      <c r="H2132" s="13">
        <v>0</v>
      </c>
      <c r="I2132" s="13">
        <v>36.29</v>
      </c>
      <c r="J2132" s="24">
        <v>45875</v>
      </c>
      <c r="K2132" s="13">
        <v>47</v>
      </c>
      <c r="L2132" s="44">
        <v>2.8</v>
      </c>
      <c r="M2132" s="13" t="b">
        <v>0</v>
      </c>
      <c r="O2132" s="25">
        <f t="shared" si="132"/>
        <v>27</v>
      </c>
      <c r="P2132" s="13">
        <f t="shared" si="133"/>
        <v>0</v>
      </c>
      <c r="Q2132" s="13" t="str">
        <f t="shared" si="134"/>
        <v/>
      </c>
      <c r="R2132" s="13" t="str">
        <f t="shared" si="135"/>
        <v>Non diskon</v>
      </c>
    </row>
    <row r="2133" spans="1:18" x14ac:dyDescent="0.25">
      <c r="A2133" s="13" t="s">
        <v>2145</v>
      </c>
      <c r="B2133" s="13" t="s">
        <v>2195</v>
      </c>
      <c r="C2133" s="13" t="s">
        <v>2200</v>
      </c>
      <c r="D2133" s="13" t="s">
        <v>2204</v>
      </c>
      <c r="E2133" s="13" t="s">
        <v>2213</v>
      </c>
      <c r="F2133" s="13" t="s">
        <v>2220</v>
      </c>
      <c r="G2133" s="13">
        <v>105.59</v>
      </c>
      <c r="H2133" s="13">
        <v>0</v>
      </c>
      <c r="I2133" s="13">
        <v>105.59</v>
      </c>
      <c r="J2133" s="24">
        <v>45835</v>
      </c>
      <c r="K2133" s="13">
        <v>37</v>
      </c>
      <c r="L2133" s="44">
        <v>4.7</v>
      </c>
      <c r="M2133" s="13" t="b">
        <v>0</v>
      </c>
      <c r="O2133" s="25">
        <f t="shared" si="132"/>
        <v>67</v>
      </c>
      <c r="P2133" s="13">
        <f t="shared" si="133"/>
        <v>0</v>
      </c>
      <c r="Q2133" s="13" t="str">
        <f t="shared" si="134"/>
        <v/>
      </c>
      <c r="R2133" s="13" t="str">
        <f t="shared" si="135"/>
        <v>Non diskon</v>
      </c>
    </row>
    <row r="2134" spans="1:18" x14ac:dyDescent="0.25">
      <c r="A2134" s="13" t="s">
        <v>2146</v>
      </c>
      <c r="B2134" s="13" t="s">
        <v>2195</v>
      </c>
      <c r="C2134" s="13" t="s">
        <v>2196</v>
      </c>
      <c r="D2134" s="13" t="s">
        <v>2206</v>
      </c>
      <c r="E2134" s="13" t="s">
        <v>2210</v>
      </c>
      <c r="F2134" s="13" t="s">
        <v>2216</v>
      </c>
      <c r="G2134" s="13">
        <v>93.5</v>
      </c>
      <c r="H2134" s="13">
        <v>0</v>
      </c>
      <c r="I2134" s="13">
        <v>93.5</v>
      </c>
      <c r="J2134" s="24">
        <v>45875</v>
      </c>
      <c r="K2134" s="13">
        <v>4</v>
      </c>
      <c r="L2134" s="44">
        <v>3.7</v>
      </c>
      <c r="M2134" s="13" t="b">
        <v>0</v>
      </c>
      <c r="O2134" s="25">
        <f t="shared" si="132"/>
        <v>27</v>
      </c>
      <c r="P2134" s="13">
        <f t="shared" si="133"/>
        <v>0</v>
      </c>
      <c r="Q2134" s="13" t="str">
        <f t="shared" si="134"/>
        <v/>
      </c>
      <c r="R2134" s="13" t="str">
        <f t="shared" si="135"/>
        <v>Non diskon</v>
      </c>
    </row>
    <row r="2135" spans="1:18" x14ac:dyDescent="0.25">
      <c r="A2135" s="13" t="s">
        <v>2147</v>
      </c>
      <c r="B2135" s="13" t="s">
        <v>2192</v>
      </c>
      <c r="C2135" s="13" t="s">
        <v>2201</v>
      </c>
      <c r="D2135" s="13" t="s">
        <v>2205</v>
      </c>
      <c r="F2135" s="13" t="s">
        <v>2216</v>
      </c>
      <c r="G2135" s="13">
        <v>41.72</v>
      </c>
      <c r="H2135" s="13">
        <v>9.5</v>
      </c>
      <c r="I2135" s="13">
        <v>37.76</v>
      </c>
      <c r="J2135" s="24">
        <v>45875</v>
      </c>
      <c r="K2135" s="13">
        <v>9</v>
      </c>
      <c r="L2135" s="44">
        <v>3.9</v>
      </c>
      <c r="M2135" s="13" t="b">
        <v>0</v>
      </c>
      <c r="O2135" s="25">
        <f t="shared" si="132"/>
        <v>27</v>
      </c>
      <c r="P2135" s="13">
        <f t="shared" si="133"/>
        <v>85.5</v>
      </c>
      <c r="Q2135" s="13" t="str">
        <f t="shared" si="134"/>
        <v/>
      </c>
      <c r="R2135" s="13" t="str">
        <f t="shared" si="135"/>
        <v>Diskon</v>
      </c>
    </row>
    <row r="2136" spans="1:18" x14ac:dyDescent="0.25">
      <c r="A2136" s="13" t="s">
        <v>2148</v>
      </c>
      <c r="B2136" s="13" t="s">
        <v>2192</v>
      </c>
      <c r="C2136" s="13" t="s">
        <v>2199</v>
      </c>
      <c r="D2136" s="13" t="s">
        <v>2207</v>
      </c>
      <c r="F2136" s="13" t="s">
        <v>2214</v>
      </c>
      <c r="G2136" s="13">
        <v>74.540000000000006</v>
      </c>
      <c r="H2136" s="13">
        <v>58.1</v>
      </c>
      <c r="I2136" s="13">
        <v>31.23</v>
      </c>
      <c r="J2136" s="24">
        <v>45875</v>
      </c>
      <c r="K2136" s="13">
        <v>35</v>
      </c>
      <c r="L2136" s="44">
        <v>4.8</v>
      </c>
      <c r="M2136" s="13" t="b">
        <v>0</v>
      </c>
      <c r="O2136" s="25">
        <f t="shared" si="132"/>
        <v>27</v>
      </c>
      <c r="P2136" s="13">
        <f t="shared" si="133"/>
        <v>2033.5</v>
      </c>
      <c r="Q2136" s="13" t="str">
        <f t="shared" si="134"/>
        <v/>
      </c>
      <c r="R2136" s="13" t="str">
        <f t="shared" si="135"/>
        <v>Diskon</v>
      </c>
    </row>
    <row r="2137" spans="1:18" x14ac:dyDescent="0.25">
      <c r="A2137" s="13" t="s">
        <v>2149</v>
      </c>
      <c r="B2137" s="13" t="s">
        <v>2195</v>
      </c>
      <c r="C2137" s="13" t="s">
        <v>2197</v>
      </c>
      <c r="D2137" s="13" t="s">
        <v>2204</v>
      </c>
      <c r="F2137" s="13" t="s">
        <v>2219</v>
      </c>
      <c r="G2137" s="13">
        <v>85.49</v>
      </c>
      <c r="H2137" s="13">
        <v>0</v>
      </c>
      <c r="I2137" s="13">
        <v>85.49</v>
      </c>
      <c r="J2137" s="24">
        <v>45642</v>
      </c>
      <c r="K2137" s="13">
        <v>0</v>
      </c>
      <c r="L2137" s="44">
        <v>3.7</v>
      </c>
      <c r="M2137" s="13" t="b">
        <v>0</v>
      </c>
      <c r="O2137" s="25">
        <f t="shared" si="132"/>
        <v>260</v>
      </c>
      <c r="P2137" s="13">
        <f t="shared" si="133"/>
        <v>0</v>
      </c>
      <c r="Q2137" s="13" t="str">
        <f t="shared" si="134"/>
        <v/>
      </c>
      <c r="R2137" s="13" t="str">
        <f t="shared" si="135"/>
        <v>Non diskon</v>
      </c>
    </row>
    <row r="2138" spans="1:18" x14ac:dyDescent="0.25">
      <c r="A2138" s="13" t="s">
        <v>2150</v>
      </c>
      <c r="B2138" s="13" t="s">
        <v>2195</v>
      </c>
      <c r="C2138" s="13" t="s">
        <v>2196</v>
      </c>
      <c r="D2138" s="13" t="s">
        <v>2207</v>
      </c>
      <c r="E2138" s="13" t="s">
        <v>2213</v>
      </c>
      <c r="F2138" s="13" t="s">
        <v>2220</v>
      </c>
      <c r="G2138" s="13">
        <v>131.05000000000001</v>
      </c>
      <c r="H2138" s="13">
        <v>0</v>
      </c>
      <c r="I2138" s="13">
        <v>131.05000000000001</v>
      </c>
      <c r="J2138" s="24">
        <v>45875</v>
      </c>
      <c r="K2138" s="13">
        <v>23</v>
      </c>
      <c r="L2138" s="44">
        <v>4.9000000000000004</v>
      </c>
      <c r="M2138" s="13" t="b">
        <v>0</v>
      </c>
      <c r="O2138" s="25">
        <f t="shared" si="132"/>
        <v>27</v>
      </c>
      <c r="P2138" s="13">
        <f t="shared" si="133"/>
        <v>0</v>
      </c>
      <c r="Q2138" s="13" t="str">
        <f t="shared" si="134"/>
        <v/>
      </c>
      <c r="R2138" s="13" t="str">
        <f t="shared" si="135"/>
        <v>Non diskon</v>
      </c>
    </row>
    <row r="2139" spans="1:18" x14ac:dyDescent="0.25">
      <c r="A2139" s="13" t="s">
        <v>2151</v>
      </c>
      <c r="B2139" s="13" t="s">
        <v>2194</v>
      </c>
      <c r="C2139" s="13" t="s">
        <v>2203</v>
      </c>
      <c r="D2139" s="13" t="s">
        <v>2207</v>
      </c>
      <c r="E2139" s="13" t="s">
        <v>2208</v>
      </c>
      <c r="F2139" s="13" t="s">
        <v>2215</v>
      </c>
      <c r="G2139" s="13">
        <v>63.5</v>
      </c>
      <c r="H2139" s="13">
        <v>0</v>
      </c>
      <c r="I2139" s="13">
        <v>63.5</v>
      </c>
      <c r="J2139" s="24">
        <v>45875</v>
      </c>
      <c r="K2139" s="13">
        <v>17</v>
      </c>
      <c r="L2139" s="44">
        <v>2.6</v>
      </c>
      <c r="M2139" s="13" t="b">
        <v>0</v>
      </c>
      <c r="O2139" s="25">
        <f t="shared" si="132"/>
        <v>27</v>
      </c>
      <c r="P2139" s="13">
        <f t="shared" si="133"/>
        <v>0</v>
      </c>
      <c r="Q2139" s="13" t="str">
        <f t="shared" si="134"/>
        <v/>
      </c>
      <c r="R2139" s="13" t="str">
        <f t="shared" si="135"/>
        <v>Non diskon</v>
      </c>
    </row>
    <row r="2140" spans="1:18" x14ac:dyDescent="0.25">
      <c r="A2140" s="13" t="s">
        <v>2152</v>
      </c>
      <c r="B2140" s="13" t="s">
        <v>2191</v>
      </c>
      <c r="C2140" s="13" t="s">
        <v>2197</v>
      </c>
      <c r="D2140" s="13" t="s">
        <v>2206</v>
      </c>
      <c r="E2140" s="13" t="s">
        <v>2213</v>
      </c>
      <c r="F2140" s="13" t="s">
        <v>2221</v>
      </c>
      <c r="G2140" s="13">
        <v>75.540000000000006</v>
      </c>
      <c r="H2140" s="13">
        <v>0</v>
      </c>
      <c r="I2140" s="13">
        <v>75.540000000000006</v>
      </c>
      <c r="J2140" s="24">
        <v>45875</v>
      </c>
      <c r="K2140" s="13">
        <v>7</v>
      </c>
      <c r="L2140" s="44">
        <v>3.3</v>
      </c>
      <c r="M2140" s="13" t="b">
        <v>0</v>
      </c>
      <c r="O2140" s="25">
        <f t="shared" si="132"/>
        <v>27</v>
      </c>
      <c r="P2140" s="13">
        <f t="shared" si="133"/>
        <v>0</v>
      </c>
      <c r="Q2140" s="13" t="str">
        <f t="shared" si="134"/>
        <v/>
      </c>
      <c r="R2140" s="13" t="str">
        <f t="shared" si="135"/>
        <v>Non diskon</v>
      </c>
    </row>
    <row r="2141" spans="1:18" x14ac:dyDescent="0.25">
      <c r="A2141" s="13" t="s">
        <v>2153</v>
      </c>
      <c r="B2141" s="13" t="s">
        <v>2191</v>
      </c>
      <c r="C2141" s="13" t="s">
        <v>2199</v>
      </c>
      <c r="D2141" s="13" t="s">
        <v>2206</v>
      </c>
      <c r="E2141" s="13" t="s">
        <v>2211</v>
      </c>
      <c r="F2141" s="13" t="s">
        <v>2221</v>
      </c>
      <c r="G2141" s="13">
        <v>110.77</v>
      </c>
      <c r="H2141" s="13">
        <v>0</v>
      </c>
      <c r="I2141" s="13">
        <v>110.77</v>
      </c>
      <c r="J2141" s="24">
        <v>45875</v>
      </c>
      <c r="K2141" s="13">
        <v>48</v>
      </c>
      <c r="L2141" s="44">
        <v>2.6</v>
      </c>
      <c r="M2141" s="13" t="b">
        <v>0</v>
      </c>
      <c r="O2141" s="25">
        <f t="shared" si="132"/>
        <v>27</v>
      </c>
      <c r="P2141" s="13">
        <f t="shared" si="133"/>
        <v>0</v>
      </c>
      <c r="Q2141" s="13" t="str">
        <f t="shared" si="134"/>
        <v/>
      </c>
      <c r="R2141" s="13" t="str">
        <f t="shared" si="135"/>
        <v>Non diskon</v>
      </c>
    </row>
    <row r="2142" spans="1:18" x14ac:dyDescent="0.25">
      <c r="A2142" s="13" t="s">
        <v>2154</v>
      </c>
      <c r="B2142" s="13" t="s">
        <v>2193</v>
      </c>
      <c r="C2142" s="13" t="s">
        <v>2199</v>
      </c>
      <c r="D2142" s="13" t="s">
        <v>2207</v>
      </c>
      <c r="E2142" s="13" t="s">
        <v>2213</v>
      </c>
      <c r="F2142" s="13" t="s">
        <v>2217</v>
      </c>
      <c r="G2142" s="13">
        <v>190.71</v>
      </c>
      <c r="H2142" s="13">
        <v>6.3</v>
      </c>
      <c r="I2142" s="13">
        <v>178.7</v>
      </c>
      <c r="J2142" s="24">
        <v>45875</v>
      </c>
      <c r="K2142" s="13">
        <v>1</v>
      </c>
      <c r="L2142" s="44">
        <v>2</v>
      </c>
      <c r="M2142" s="13" t="b">
        <v>0</v>
      </c>
      <c r="O2142" s="25">
        <f t="shared" si="132"/>
        <v>27</v>
      </c>
      <c r="P2142" s="13">
        <f t="shared" si="133"/>
        <v>6.3</v>
      </c>
      <c r="Q2142" s="13" t="str">
        <f t="shared" si="134"/>
        <v/>
      </c>
      <c r="R2142" s="13" t="str">
        <f t="shared" si="135"/>
        <v>Diskon</v>
      </c>
    </row>
    <row r="2143" spans="1:18" x14ac:dyDescent="0.25">
      <c r="A2143" s="13" t="s">
        <v>2155</v>
      </c>
      <c r="B2143" s="13" t="s">
        <v>2191</v>
      </c>
      <c r="C2143" s="13" t="s">
        <v>2199</v>
      </c>
      <c r="D2143" s="13" t="s">
        <v>2206</v>
      </c>
      <c r="E2143" s="13" t="s">
        <v>2209</v>
      </c>
      <c r="F2143" s="13" t="s">
        <v>2217</v>
      </c>
      <c r="G2143" s="13">
        <v>100.56</v>
      </c>
      <c r="H2143" s="13">
        <v>17.3</v>
      </c>
      <c r="I2143" s="13">
        <v>83.16</v>
      </c>
      <c r="J2143" s="24">
        <v>45875</v>
      </c>
      <c r="K2143" s="13">
        <v>21</v>
      </c>
      <c r="L2143" s="44">
        <v>3.6</v>
      </c>
      <c r="M2143" s="13" t="b">
        <v>0</v>
      </c>
      <c r="O2143" s="25">
        <f t="shared" si="132"/>
        <v>27</v>
      </c>
      <c r="P2143" s="13">
        <f t="shared" si="133"/>
        <v>363.3</v>
      </c>
      <c r="Q2143" s="13" t="str">
        <f t="shared" si="134"/>
        <v/>
      </c>
      <c r="R2143" s="13" t="str">
        <f t="shared" si="135"/>
        <v>Diskon</v>
      </c>
    </row>
    <row r="2144" spans="1:18" x14ac:dyDescent="0.25">
      <c r="A2144" s="13" t="s">
        <v>2156</v>
      </c>
      <c r="B2144" s="13" t="s">
        <v>2190</v>
      </c>
      <c r="C2144" s="13" t="s">
        <v>2203</v>
      </c>
      <c r="D2144" s="13" t="s">
        <v>2207</v>
      </c>
      <c r="E2144" s="13" t="s">
        <v>2211</v>
      </c>
      <c r="F2144" s="13" t="s">
        <v>2215</v>
      </c>
      <c r="G2144" s="13">
        <v>221.59</v>
      </c>
      <c r="H2144" s="13">
        <v>8.6</v>
      </c>
      <c r="I2144" s="13">
        <v>202.53</v>
      </c>
      <c r="J2144" s="24">
        <v>45875</v>
      </c>
      <c r="K2144" s="13">
        <v>5</v>
      </c>
      <c r="L2144" s="44">
        <v>2.9718749999999998</v>
      </c>
      <c r="M2144" s="13" t="b">
        <v>0</v>
      </c>
      <c r="O2144" s="25">
        <f t="shared" si="132"/>
        <v>27</v>
      </c>
      <c r="P2144" s="13">
        <f t="shared" si="133"/>
        <v>43</v>
      </c>
      <c r="Q2144" s="13" t="str">
        <f t="shared" si="134"/>
        <v/>
      </c>
      <c r="R2144" s="13" t="str">
        <f t="shared" si="135"/>
        <v>Diskon</v>
      </c>
    </row>
    <row r="2145" spans="1:18" x14ac:dyDescent="0.25">
      <c r="A2145" s="13" t="s">
        <v>2157</v>
      </c>
      <c r="B2145" s="13" t="s">
        <v>2194</v>
      </c>
      <c r="C2145" s="13" t="s">
        <v>2202</v>
      </c>
      <c r="D2145" s="13" t="s">
        <v>2207</v>
      </c>
      <c r="E2145" s="13" t="s">
        <v>2209</v>
      </c>
      <c r="F2145" s="13" t="s">
        <v>2221</v>
      </c>
      <c r="G2145" s="13">
        <v>55.21</v>
      </c>
      <c r="H2145" s="13">
        <v>0</v>
      </c>
      <c r="I2145" s="13">
        <v>55.21</v>
      </c>
      <c r="J2145" s="24">
        <v>45875</v>
      </c>
      <c r="K2145" s="13">
        <v>21</v>
      </c>
      <c r="L2145" s="44">
        <v>1.8</v>
      </c>
      <c r="M2145" s="13" t="b">
        <v>1</v>
      </c>
      <c r="N2145" s="13" t="s">
        <v>2230</v>
      </c>
      <c r="O2145" s="25">
        <f t="shared" si="132"/>
        <v>27</v>
      </c>
      <c r="P2145" s="13">
        <f t="shared" si="133"/>
        <v>0</v>
      </c>
      <c r="Q2145" s="13">
        <f t="shared" si="134"/>
        <v>1</v>
      </c>
      <c r="R2145" s="13" t="str">
        <f t="shared" si="135"/>
        <v>Non diskon</v>
      </c>
    </row>
    <row r="2146" spans="1:18" x14ac:dyDescent="0.25">
      <c r="A2146" s="13" t="s">
        <v>2158</v>
      </c>
      <c r="B2146" s="13" t="s">
        <v>2192</v>
      </c>
      <c r="C2146" s="13" t="s">
        <v>2197</v>
      </c>
      <c r="D2146" s="13" t="s">
        <v>2206</v>
      </c>
      <c r="F2146" s="13" t="s">
        <v>2216</v>
      </c>
      <c r="G2146" s="13">
        <v>17.87</v>
      </c>
      <c r="H2146" s="13">
        <v>0</v>
      </c>
      <c r="I2146" s="13">
        <v>17.87</v>
      </c>
      <c r="J2146" s="24">
        <v>45875</v>
      </c>
      <c r="K2146" s="13">
        <v>47</v>
      </c>
      <c r="L2146" s="44">
        <v>3.1288461538461547</v>
      </c>
      <c r="M2146" s="13" t="b">
        <v>0</v>
      </c>
      <c r="O2146" s="25">
        <f t="shared" si="132"/>
        <v>27</v>
      </c>
      <c r="P2146" s="13">
        <f t="shared" si="133"/>
        <v>0</v>
      </c>
      <c r="Q2146" s="13" t="str">
        <f t="shared" si="134"/>
        <v/>
      </c>
      <c r="R2146" s="13" t="str">
        <f t="shared" si="135"/>
        <v>Non diskon</v>
      </c>
    </row>
    <row r="2147" spans="1:18" x14ac:dyDescent="0.25">
      <c r="A2147" s="13" t="s">
        <v>2159</v>
      </c>
      <c r="B2147" s="13" t="s">
        <v>2194</v>
      </c>
      <c r="C2147" s="13" t="s">
        <v>2197</v>
      </c>
      <c r="D2147" s="13" t="s">
        <v>2207</v>
      </c>
      <c r="E2147" s="13" t="s">
        <v>2212</v>
      </c>
      <c r="F2147" s="13" t="s">
        <v>2215</v>
      </c>
      <c r="G2147" s="13">
        <v>56.57</v>
      </c>
      <c r="H2147" s="13">
        <v>0</v>
      </c>
      <c r="I2147" s="13">
        <v>56.57</v>
      </c>
      <c r="J2147" s="24">
        <v>45875</v>
      </c>
      <c r="K2147" s="13">
        <v>43</v>
      </c>
      <c r="L2147" s="44">
        <v>4.4000000000000004</v>
      </c>
      <c r="M2147" s="13" t="b">
        <v>1</v>
      </c>
      <c r="N2147" s="13" t="s">
        <v>2226</v>
      </c>
      <c r="O2147" s="25">
        <f t="shared" si="132"/>
        <v>27</v>
      </c>
      <c r="P2147" s="13">
        <f t="shared" si="133"/>
        <v>0</v>
      </c>
      <c r="Q2147" s="13">
        <f t="shared" si="134"/>
        <v>1</v>
      </c>
      <c r="R2147" s="13" t="str">
        <f t="shared" si="135"/>
        <v>Non diskon</v>
      </c>
    </row>
    <row r="2148" spans="1:18" x14ac:dyDescent="0.25">
      <c r="A2148" s="13" t="s">
        <v>2160</v>
      </c>
      <c r="B2148" s="13" t="s">
        <v>2192</v>
      </c>
      <c r="C2148" s="13" t="s">
        <v>2202</v>
      </c>
      <c r="D2148" s="13" t="s">
        <v>2204</v>
      </c>
      <c r="F2148" s="13" t="s">
        <v>2223</v>
      </c>
      <c r="G2148" s="13">
        <v>47.74</v>
      </c>
      <c r="H2148" s="13">
        <v>0</v>
      </c>
      <c r="I2148" s="13">
        <v>47.74</v>
      </c>
      <c r="J2148" s="24">
        <v>45651</v>
      </c>
      <c r="K2148" s="13">
        <v>17</v>
      </c>
      <c r="L2148" s="44">
        <v>2.9</v>
      </c>
      <c r="M2148" s="13" t="b">
        <v>0</v>
      </c>
      <c r="O2148" s="25">
        <f t="shared" si="132"/>
        <v>251</v>
      </c>
      <c r="P2148" s="13">
        <f t="shared" si="133"/>
        <v>0</v>
      </c>
      <c r="Q2148" s="13" t="str">
        <f t="shared" si="134"/>
        <v/>
      </c>
      <c r="R2148" s="13" t="str">
        <f t="shared" si="135"/>
        <v>Non diskon</v>
      </c>
    </row>
    <row r="2149" spans="1:18" x14ac:dyDescent="0.25">
      <c r="A2149" s="13" t="s">
        <v>2161</v>
      </c>
      <c r="B2149" s="13" t="s">
        <v>2195</v>
      </c>
      <c r="C2149" s="13" t="s">
        <v>2198</v>
      </c>
      <c r="D2149" s="13" t="s">
        <v>2206</v>
      </c>
      <c r="E2149" s="13" t="s">
        <v>2213</v>
      </c>
      <c r="F2149" s="13" t="s">
        <v>2222</v>
      </c>
      <c r="G2149" s="13">
        <v>152.88</v>
      </c>
      <c r="H2149" s="13">
        <v>8.9</v>
      </c>
      <c r="I2149" s="13">
        <v>139.27000000000001</v>
      </c>
      <c r="J2149" s="24">
        <v>45875</v>
      </c>
      <c r="K2149" s="13">
        <v>19</v>
      </c>
      <c r="L2149" s="44">
        <v>2.2000000000000002</v>
      </c>
      <c r="M2149" s="13" t="b">
        <v>0</v>
      </c>
      <c r="O2149" s="25">
        <f t="shared" si="132"/>
        <v>27</v>
      </c>
      <c r="P2149" s="13">
        <f t="shared" si="133"/>
        <v>169.1</v>
      </c>
      <c r="Q2149" s="13" t="str">
        <f t="shared" si="134"/>
        <v/>
      </c>
      <c r="R2149" s="13" t="str">
        <f t="shared" si="135"/>
        <v>Diskon</v>
      </c>
    </row>
    <row r="2150" spans="1:18" x14ac:dyDescent="0.25">
      <c r="A2150" s="13" t="s">
        <v>2162</v>
      </c>
      <c r="B2150" s="13" t="s">
        <v>2190</v>
      </c>
      <c r="C2150" s="13" t="s">
        <v>2198</v>
      </c>
      <c r="D2150" s="13" t="s">
        <v>2205</v>
      </c>
      <c r="E2150" s="13" t="s">
        <v>2213</v>
      </c>
      <c r="F2150" s="13" t="s">
        <v>2221</v>
      </c>
      <c r="G2150" s="13">
        <v>199.61</v>
      </c>
      <c r="H2150" s="13">
        <v>37.700000000000003</v>
      </c>
      <c r="I2150" s="13">
        <v>124.36</v>
      </c>
      <c r="J2150" s="24">
        <v>45875</v>
      </c>
      <c r="K2150" s="13">
        <v>6</v>
      </c>
      <c r="L2150" s="44">
        <v>3.0177777777777774</v>
      </c>
      <c r="M2150" s="13" t="b">
        <v>0</v>
      </c>
      <c r="O2150" s="25">
        <f t="shared" si="132"/>
        <v>27</v>
      </c>
      <c r="P2150" s="13">
        <f t="shared" si="133"/>
        <v>226.20000000000002</v>
      </c>
      <c r="Q2150" s="13" t="str">
        <f t="shared" si="134"/>
        <v/>
      </c>
      <c r="R2150" s="13" t="str">
        <f t="shared" si="135"/>
        <v>Diskon</v>
      </c>
    </row>
    <row r="2151" spans="1:18" x14ac:dyDescent="0.25">
      <c r="A2151" s="13" t="s">
        <v>2163</v>
      </c>
      <c r="B2151" s="13" t="s">
        <v>2192</v>
      </c>
      <c r="C2151" s="13" t="s">
        <v>2202</v>
      </c>
      <c r="D2151" s="13" t="s">
        <v>2207</v>
      </c>
      <c r="F2151" s="13" t="s">
        <v>2218</v>
      </c>
      <c r="G2151" s="13">
        <v>57.25</v>
      </c>
      <c r="H2151" s="13">
        <v>0</v>
      </c>
      <c r="I2151" s="13">
        <v>57.25</v>
      </c>
      <c r="J2151" s="24">
        <v>45875</v>
      </c>
      <c r="K2151" s="13">
        <v>22</v>
      </c>
      <c r="L2151" s="44">
        <v>5</v>
      </c>
      <c r="M2151" s="13" t="b">
        <v>0</v>
      </c>
      <c r="O2151" s="25">
        <f t="shared" si="132"/>
        <v>27</v>
      </c>
      <c r="P2151" s="13">
        <f t="shared" si="133"/>
        <v>0</v>
      </c>
      <c r="Q2151" s="13" t="str">
        <f t="shared" si="134"/>
        <v/>
      </c>
      <c r="R2151" s="13" t="str">
        <f t="shared" si="135"/>
        <v>Non diskon</v>
      </c>
    </row>
    <row r="2152" spans="1:18" x14ac:dyDescent="0.25">
      <c r="A2152" s="13" t="s">
        <v>2164</v>
      </c>
      <c r="B2152" s="13" t="s">
        <v>2195</v>
      </c>
      <c r="C2152" s="13" t="s">
        <v>2200</v>
      </c>
      <c r="D2152" s="13" t="s">
        <v>2206</v>
      </c>
      <c r="E2152" s="13" t="s">
        <v>2208</v>
      </c>
      <c r="F2152" s="13" t="s">
        <v>2219</v>
      </c>
      <c r="G2152" s="13">
        <v>134.41</v>
      </c>
      <c r="H2152" s="13">
        <v>55.3</v>
      </c>
      <c r="I2152" s="13">
        <v>60.08</v>
      </c>
      <c r="J2152" s="24">
        <v>45875</v>
      </c>
      <c r="K2152" s="13">
        <v>12</v>
      </c>
      <c r="L2152" s="44">
        <v>3.2</v>
      </c>
      <c r="M2152" s="13" t="b">
        <v>0</v>
      </c>
      <c r="O2152" s="25">
        <f t="shared" si="132"/>
        <v>27</v>
      </c>
      <c r="P2152" s="13">
        <f t="shared" si="133"/>
        <v>663.59999999999991</v>
      </c>
      <c r="Q2152" s="13" t="str">
        <f t="shared" si="134"/>
        <v/>
      </c>
      <c r="R2152" s="13" t="str">
        <f t="shared" si="135"/>
        <v>Diskon</v>
      </c>
    </row>
    <row r="2153" spans="1:18" x14ac:dyDescent="0.25">
      <c r="A2153" s="13" t="s">
        <v>2165</v>
      </c>
      <c r="B2153" s="13" t="s">
        <v>2194</v>
      </c>
      <c r="C2153" s="13" t="s">
        <v>2201</v>
      </c>
      <c r="D2153" s="13" t="s">
        <v>2206</v>
      </c>
      <c r="E2153" s="13" t="s">
        <v>2210</v>
      </c>
      <c r="F2153" s="13" t="s">
        <v>2224</v>
      </c>
      <c r="G2153" s="13">
        <v>111.43</v>
      </c>
      <c r="H2153" s="13">
        <v>43.5</v>
      </c>
      <c r="I2153" s="13">
        <v>62.96</v>
      </c>
      <c r="J2153" s="24">
        <v>45875</v>
      </c>
      <c r="K2153" s="13">
        <v>22</v>
      </c>
      <c r="L2153" s="44">
        <v>4.8</v>
      </c>
      <c r="M2153" s="13" t="b">
        <v>0</v>
      </c>
      <c r="O2153" s="25">
        <f t="shared" si="132"/>
        <v>27</v>
      </c>
      <c r="P2153" s="13">
        <f t="shared" si="133"/>
        <v>957</v>
      </c>
      <c r="Q2153" s="13" t="str">
        <f t="shared" si="134"/>
        <v/>
      </c>
      <c r="R2153" s="13" t="str">
        <f t="shared" si="135"/>
        <v>Diskon</v>
      </c>
    </row>
    <row r="2154" spans="1:18" x14ac:dyDescent="0.25">
      <c r="A2154" s="13" t="s">
        <v>2166</v>
      </c>
      <c r="B2154" s="13" t="s">
        <v>2192</v>
      </c>
      <c r="C2154" s="13" t="s">
        <v>2197</v>
      </c>
      <c r="D2154" s="13" t="s">
        <v>2204</v>
      </c>
      <c r="F2154" s="13" t="s">
        <v>2224</v>
      </c>
      <c r="G2154" s="13">
        <v>15.36</v>
      </c>
      <c r="H2154" s="13">
        <v>36.799999999999997</v>
      </c>
      <c r="I2154" s="13">
        <v>9.7100000000000009</v>
      </c>
      <c r="J2154" s="24">
        <v>45776</v>
      </c>
      <c r="K2154" s="13">
        <v>46</v>
      </c>
      <c r="L2154" s="44">
        <v>2.2999999999999998</v>
      </c>
      <c r="M2154" s="13" t="b">
        <v>0</v>
      </c>
      <c r="O2154" s="25">
        <f t="shared" si="132"/>
        <v>126</v>
      </c>
      <c r="P2154" s="13">
        <f t="shared" si="133"/>
        <v>1692.8</v>
      </c>
      <c r="Q2154" s="13" t="str">
        <f t="shared" si="134"/>
        <v/>
      </c>
      <c r="R2154" s="13" t="str">
        <f t="shared" si="135"/>
        <v>Diskon</v>
      </c>
    </row>
    <row r="2155" spans="1:18" x14ac:dyDescent="0.25">
      <c r="A2155" s="13" t="s">
        <v>2167</v>
      </c>
      <c r="B2155" s="13" t="s">
        <v>2191</v>
      </c>
      <c r="C2155" s="13" t="s">
        <v>2202</v>
      </c>
      <c r="D2155" s="13" t="s">
        <v>2206</v>
      </c>
      <c r="E2155" s="13" t="s">
        <v>2208</v>
      </c>
      <c r="F2155" s="13" t="s">
        <v>2216</v>
      </c>
      <c r="G2155" s="13">
        <v>100.03</v>
      </c>
      <c r="H2155" s="13">
        <v>51.8</v>
      </c>
      <c r="I2155" s="13">
        <v>48.21</v>
      </c>
      <c r="J2155" s="24">
        <v>45875</v>
      </c>
      <c r="K2155" s="13">
        <v>43</v>
      </c>
      <c r="L2155" s="44">
        <v>5</v>
      </c>
      <c r="M2155" s="13" t="b">
        <v>0</v>
      </c>
      <c r="O2155" s="25">
        <f t="shared" si="132"/>
        <v>27</v>
      </c>
      <c r="P2155" s="13">
        <f t="shared" si="133"/>
        <v>2227.4</v>
      </c>
      <c r="Q2155" s="13" t="str">
        <f t="shared" si="134"/>
        <v/>
      </c>
      <c r="R2155" s="13" t="str">
        <f t="shared" si="135"/>
        <v>Diskon</v>
      </c>
    </row>
    <row r="2156" spans="1:18" x14ac:dyDescent="0.25">
      <c r="A2156" s="13" t="s">
        <v>2168</v>
      </c>
      <c r="B2156" s="13" t="s">
        <v>2193</v>
      </c>
      <c r="C2156" s="13" t="s">
        <v>2197</v>
      </c>
      <c r="D2156" s="13" t="s">
        <v>2207</v>
      </c>
      <c r="E2156" s="13" t="s">
        <v>2210</v>
      </c>
      <c r="F2156" s="13" t="s">
        <v>2216</v>
      </c>
      <c r="G2156" s="13">
        <v>173.75</v>
      </c>
      <c r="H2156" s="13">
        <v>19.2</v>
      </c>
      <c r="I2156" s="13">
        <v>140.38999999999999</v>
      </c>
      <c r="J2156" s="24">
        <v>45875</v>
      </c>
      <c r="K2156" s="13">
        <v>38</v>
      </c>
      <c r="L2156" s="44">
        <v>2.8205128205128198</v>
      </c>
      <c r="M2156" s="13" t="b">
        <v>0</v>
      </c>
      <c r="O2156" s="25">
        <f t="shared" si="132"/>
        <v>27</v>
      </c>
      <c r="P2156" s="13">
        <f t="shared" si="133"/>
        <v>729.6</v>
      </c>
      <c r="Q2156" s="13" t="str">
        <f t="shared" si="134"/>
        <v/>
      </c>
      <c r="R2156" s="13" t="str">
        <f t="shared" si="135"/>
        <v>Diskon</v>
      </c>
    </row>
    <row r="2157" spans="1:18" x14ac:dyDescent="0.25">
      <c r="A2157" s="13" t="s">
        <v>2169</v>
      </c>
      <c r="B2157" s="13" t="s">
        <v>2194</v>
      </c>
      <c r="C2157" s="13" t="s">
        <v>2202</v>
      </c>
      <c r="D2157" s="13" t="s">
        <v>2205</v>
      </c>
      <c r="E2157" s="13" t="s">
        <v>2208</v>
      </c>
      <c r="F2157" s="13" t="s">
        <v>2220</v>
      </c>
      <c r="G2157" s="13">
        <v>37.979999999999997</v>
      </c>
      <c r="H2157" s="13">
        <v>15.2</v>
      </c>
      <c r="I2157" s="13">
        <v>32.21</v>
      </c>
      <c r="J2157" s="24">
        <v>45875</v>
      </c>
      <c r="K2157" s="13">
        <v>25</v>
      </c>
      <c r="L2157" s="44">
        <v>3.6</v>
      </c>
      <c r="M2157" s="13" t="b">
        <v>0</v>
      </c>
      <c r="O2157" s="25">
        <f t="shared" si="132"/>
        <v>27</v>
      </c>
      <c r="P2157" s="13">
        <f t="shared" si="133"/>
        <v>380</v>
      </c>
      <c r="Q2157" s="13" t="str">
        <f t="shared" si="134"/>
        <v/>
      </c>
      <c r="R2157" s="13" t="str">
        <f t="shared" si="135"/>
        <v>Diskon</v>
      </c>
    </row>
    <row r="2158" spans="1:18" x14ac:dyDescent="0.25">
      <c r="A2158" s="13" t="s">
        <v>2170</v>
      </c>
      <c r="B2158" s="13" t="s">
        <v>2195</v>
      </c>
      <c r="C2158" s="13" t="s">
        <v>2203</v>
      </c>
      <c r="D2158" s="13" t="s">
        <v>2207</v>
      </c>
      <c r="E2158" s="13" t="s">
        <v>2213</v>
      </c>
      <c r="F2158" s="13" t="s">
        <v>2216</v>
      </c>
      <c r="G2158" s="13">
        <v>154.11000000000001</v>
      </c>
      <c r="H2158" s="13">
        <v>0</v>
      </c>
      <c r="I2158" s="13">
        <v>154.11000000000001</v>
      </c>
      <c r="J2158" s="24">
        <v>45875</v>
      </c>
      <c r="K2158" s="13">
        <v>50</v>
      </c>
      <c r="L2158" s="44">
        <v>3.1</v>
      </c>
      <c r="M2158" s="13" t="b">
        <v>0</v>
      </c>
      <c r="O2158" s="25">
        <f t="shared" si="132"/>
        <v>27</v>
      </c>
      <c r="P2158" s="13">
        <f t="shared" si="133"/>
        <v>0</v>
      </c>
      <c r="Q2158" s="13" t="str">
        <f t="shared" si="134"/>
        <v/>
      </c>
      <c r="R2158" s="13" t="str">
        <f t="shared" si="135"/>
        <v>Non diskon</v>
      </c>
    </row>
    <row r="2159" spans="1:18" x14ac:dyDescent="0.25">
      <c r="A2159" s="13" t="s">
        <v>2171</v>
      </c>
      <c r="B2159" s="13" t="s">
        <v>2192</v>
      </c>
      <c r="C2159" s="13" t="s">
        <v>2201</v>
      </c>
      <c r="D2159" s="13" t="s">
        <v>2204</v>
      </c>
      <c r="F2159" s="13" t="s">
        <v>2223</v>
      </c>
      <c r="G2159" s="13">
        <v>69.8</v>
      </c>
      <c r="H2159" s="13">
        <v>46.9</v>
      </c>
      <c r="I2159" s="13">
        <v>37.06</v>
      </c>
      <c r="J2159" s="24">
        <v>45586</v>
      </c>
      <c r="K2159" s="13">
        <v>26</v>
      </c>
      <c r="L2159" s="44">
        <v>3.8</v>
      </c>
      <c r="M2159" s="13" t="b">
        <v>0</v>
      </c>
      <c r="O2159" s="25">
        <f t="shared" si="132"/>
        <v>316</v>
      </c>
      <c r="P2159" s="13">
        <f t="shared" si="133"/>
        <v>1219.3999999999999</v>
      </c>
      <c r="Q2159" s="13" t="str">
        <f t="shared" si="134"/>
        <v/>
      </c>
      <c r="R2159" s="13" t="str">
        <f t="shared" si="135"/>
        <v>Diskon</v>
      </c>
    </row>
    <row r="2160" spans="1:18" x14ac:dyDescent="0.25">
      <c r="A2160" s="13" t="s">
        <v>2172</v>
      </c>
      <c r="B2160" s="13" t="s">
        <v>2195</v>
      </c>
      <c r="C2160" s="13" t="s">
        <v>2202</v>
      </c>
      <c r="D2160" s="13" t="s">
        <v>2205</v>
      </c>
      <c r="E2160" s="13" t="s">
        <v>2211</v>
      </c>
      <c r="F2160" s="13" t="s">
        <v>2218</v>
      </c>
      <c r="G2160" s="13">
        <v>171.16</v>
      </c>
      <c r="H2160" s="13">
        <v>0</v>
      </c>
      <c r="I2160" s="13">
        <v>171.16</v>
      </c>
      <c r="J2160" s="24">
        <v>45875</v>
      </c>
      <c r="K2160" s="13">
        <v>26</v>
      </c>
      <c r="L2160" s="44">
        <v>4.3</v>
      </c>
      <c r="M2160" s="13" t="b">
        <v>0</v>
      </c>
      <c r="O2160" s="25">
        <f t="shared" si="132"/>
        <v>27</v>
      </c>
      <c r="P2160" s="13">
        <f t="shared" si="133"/>
        <v>0</v>
      </c>
      <c r="Q2160" s="13" t="str">
        <f t="shared" si="134"/>
        <v/>
      </c>
      <c r="R2160" s="13" t="str">
        <f t="shared" si="135"/>
        <v>Non diskon</v>
      </c>
    </row>
    <row r="2161" spans="1:18" x14ac:dyDescent="0.25">
      <c r="A2161" s="13" t="s">
        <v>2173</v>
      </c>
      <c r="B2161" s="13" t="s">
        <v>2190</v>
      </c>
      <c r="C2161" s="13" t="s">
        <v>2196</v>
      </c>
      <c r="D2161" s="13" t="s">
        <v>2207</v>
      </c>
      <c r="E2161" s="13" t="s">
        <v>2211</v>
      </c>
      <c r="F2161" s="13" t="s">
        <v>2217</v>
      </c>
      <c r="G2161" s="13">
        <v>118.57</v>
      </c>
      <c r="H2161" s="13">
        <v>0</v>
      </c>
      <c r="I2161" s="13">
        <v>118.57</v>
      </c>
      <c r="J2161" s="24">
        <v>45875</v>
      </c>
      <c r="K2161" s="13">
        <v>6</v>
      </c>
      <c r="L2161" s="44">
        <v>1.4</v>
      </c>
      <c r="M2161" s="13" t="b">
        <v>1</v>
      </c>
      <c r="N2161" s="13" t="s">
        <v>2228</v>
      </c>
      <c r="O2161" s="25">
        <f t="shared" si="132"/>
        <v>27</v>
      </c>
      <c r="P2161" s="13">
        <f t="shared" si="133"/>
        <v>0</v>
      </c>
      <c r="Q2161" s="13">
        <f t="shared" si="134"/>
        <v>1</v>
      </c>
      <c r="R2161" s="13" t="str">
        <f t="shared" si="135"/>
        <v>Non diskon</v>
      </c>
    </row>
    <row r="2162" spans="1:18" x14ac:dyDescent="0.25">
      <c r="A2162" s="13" t="s">
        <v>2174</v>
      </c>
      <c r="B2162" s="13" t="s">
        <v>2195</v>
      </c>
      <c r="C2162" s="13" t="s">
        <v>2199</v>
      </c>
      <c r="D2162" s="13" t="s">
        <v>2205</v>
      </c>
      <c r="E2162" s="13" t="s">
        <v>2211</v>
      </c>
      <c r="F2162" s="13" t="s">
        <v>2215</v>
      </c>
      <c r="G2162" s="13">
        <v>118.46</v>
      </c>
      <c r="H2162" s="13">
        <v>0</v>
      </c>
      <c r="I2162" s="13">
        <v>118.46</v>
      </c>
      <c r="J2162" s="24">
        <v>45875</v>
      </c>
      <c r="K2162" s="13">
        <v>40</v>
      </c>
      <c r="L2162" s="44">
        <v>2.2999999999999998</v>
      </c>
      <c r="M2162" s="13" t="b">
        <v>0</v>
      </c>
      <c r="O2162" s="25">
        <f t="shared" si="132"/>
        <v>27</v>
      </c>
      <c r="P2162" s="13">
        <f t="shared" si="133"/>
        <v>0</v>
      </c>
      <c r="Q2162" s="13" t="str">
        <f t="shared" si="134"/>
        <v/>
      </c>
      <c r="R2162" s="13" t="str">
        <f t="shared" si="135"/>
        <v>Non diskon</v>
      </c>
    </row>
    <row r="2163" spans="1:18" x14ac:dyDescent="0.25">
      <c r="A2163" s="13" t="s">
        <v>2175</v>
      </c>
      <c r="B2163" s="13" t="s">
        <v>2193</v>
      </c>
      <c r="C2163" s="13" t="s">
        <v>2196</v>
      </c>
      <c r="D2163" s="13" t="s">
        <v>2207</v>
      </c>
      <c r="E2163" s="13" t="s">
        <v>2209</v>
      </c>
      <c r="F2163" s="13" t="s">
        <v>2220</v>
      </c>
      <c r="G2163" s="13">
        <v>122.7</v>
      </c>
      <c r="H2163" s="13">
        <v>0</v>
      </c>
      <c r="I2163" s="13">
        <v>122.7</v>
      </c>
      <c r="J2163" s="24">
        <v>45875</v>
      </c>
      <c r="K2163" s="13">
        <v>9</v>
      </c>
      <c r="L2163" s="44">
        <v>2.9153846153846157</v>
      </c>
      <c r="M2163" s="13" t="b">
        <v>0</v>
      </c>
      <c r="O2163" s="25">
        <f t="shared" si="132"/>
        <v>27</v>
      </c>
      <c r="P2163" s="13">
        <f t="shared" si="133"/>
        <v>0</v>
      </c>
      <c r="Q2163" s="13" t="str">
        <f t="shared" si="134"/>
        <v/>
      </c>
      <c r="R2163" s="13" t="str">
        <f t="shared" si="135"/>
        <v>Non diskon</v>
      </c>
    </row>
    <row r="2164" spans="1:18" x14ac:dyDescent="0.25">
      <c r="A2164" s="13" t="s">
        <v>2176</v>
      </c>
      <c r="B2164" s="13" t="s">
        <v>2192</v>
      </c>
      <c r="C2164" s="13" t="s">
        <v>2202</v>
      </c>
      <c r="D2164" s="13" t="s">
        <v>2204</v>
      </c>
      <c r="F2164" s="13" t="s">
        <v>2216</v>
      </c>
      <c r="G2164" s="13">
        <v>68.2</v>
      </c>
      <c r="H2164" s="13">
        <v>0</v>
      </c>
      <c r="I2164" s="13">
        <v>68.2</v>
      </c>
      <c r="J2164" s="24">
        <v>45752</v>
      </c>
      <c r="K2164" s="13">
        <v>2</v>
      </c>
      <c r="L2164" s="44">
        <v>3.8</v>
      </c>
      <c r="M2164" s="13" t="b">
        <v>0</v>
      </c>
      <c r="O2164" s="25">
        <f t="shared" si="132"/>
        <v>150</v>
      </c>
      <c r="P2164" s="13">
        <f t="shared" si="133"/>
        <v>0</v>
      </c>
      <c r="Q2164" s="13" t="str">
        <f t="shared" si="134"/>
        <v/>
      </c>
      <c r="R2164" s="13" t="str">
        <f t="shared" si="135"/>
        <v>Non diskon</v>
      </c>
    </row>
    <row r="2165" spans="1:18" x14ac:dyDescent="0.25">
      <c r="A2165" s="13" t="s">
        <v>2177</v>
      </c>
      <c r="B2165" s="13" t="s">
        <v>2193</v>
      </c>
      <c r="C2165" s="13" t="s">
        <v>2200</v>
      </c>
      <c r="D2165" s="13" t="s">
        <v>2204</v>
      </c>
      <c r="E2165" s="13" t="s">
        <v>2208</v>
      </c>
      <c r="F2165" s="13" t="s">
        <v>2217</v>
      </c>
      <c r="G2165" s="13">
        <v>178.56</v>
      </c>
      <c r="H2165" s="13">
        <v>0</v>
      </c>
      <c r="I2165" s="13">
        <v>178.56</v>
      </c>
      <c r="J2165" s="24">
        <v>45732</v>
      </c>
      <c r="K2165" s="13">
        <v>46</v>
      </c>
      <c r="L2165" s="44">
        <v>2.6</v>
      </c>
      <c r="M2165" s="13" t="b">
        <v>0</v>
      </c>
      <c r="O2165" s="25">
        <f t="shared" si="132"/>
        <v>170</v>
      </c>
      <c r="P2165" s="13">
        <f t="shared" si="133"/>
        <v>0</v>
      </c>
      <c r="Q2165" s="13" t="str">
        <f t="shared" si="134"/>
        <v/>
      </c>
      <c r="R2165" s="13" t="str">
        <f t="shared" si="135"/>
        <v>Non diskon</v>
      </c>
    </row>
    <row r="2166" spans="1:18" x14ac:dyDescent="0.25">
      <c r="A2166" s="13" t="s">
        <v>2178</v>
      </c>
      <c r="B2166" s="13" t="s">
        <v>2192</v>
      </c>
      <c r="C2166" s="13" t="s">
        <v>2197</v>
      </c>
      <c r="D2166" s="13" t="s">
        <v>2207</v>
      </c>
      <c r="F2166" s="13" t="s">
        <v>2220</v>
      </c>
      <c r="G2166" s="13">
        <v>30.46</v>
      </c>
      <c r="H2166" s="13">
        <v>31.4</v>
      </c>
      <c r="I2166" s="13">
        <v>20.9</v>
      </c>
      <c r="J2166" s="24">
        <v>45875</v>
      </c>
      <c r="K2166" s="13">
        <v>40</v>
      </c>
      <c r="L2166" s="44">
        <v>2.4</v>
      </c>
      <c r="M2166" s="13" t="b">
        <v>0</v>
      </c>
      <c r="O2166" s="25">
        <f t="shared" si="132"/>
        <v>27</v>
      </c>
      <c r="P2166" s="13">
        <f t="shared" si="133"/>
        <v>1256</v>
      </c>
      <c r="Q2166" s="13" t="str">
        <f t="shared" si="134"/>
        <v/>
      </c>
      <c r="R2166" s="13" t="str">
        <f t="shared" si="135"/>
        <v>Diskon</v>
      </c>
    </row>
    <row r="2167" spans="1:18" x14ac:dyDescent="0.25">
      <c r="A2167" s="13" t="s">
        <v>2179</v>
      </c>
      <c r="B2167" s="13" t="s">
        <v>2192</v>
      </c>
      <c r="C2167" s="13" t="s">
        <v>2198</v>
      </c>
      <c r="D2167" s="13" t="s">
        <v>2207</v>
      </c>
      <c r="F2167" s="13" t="s">
        <v>2216</v>
      </c>
      <c r="G2167" s="13">
        <v>76.08</v>
      </c>
      <c r="H2167" s="13">
        <v>0</v>
      </c>
      <c r="I2167" s="13">
        <v>76.08</v>
      </c>
      <c r="J2167" s="24">
        <v>45875</v>
      </c>
      <c r="K2167" s="13">
        <v>6</v>
      </c>
      <c r="L2167" s="44">
        <v>4.9000000000000004</v>
      </c>
      <c r="M2167" s="13" t="b">
        <v>0</v>
      </c>
      <c r="O2167" s="25">
        <f t="shared" si="132"/>
        <v>27</v>
      </c>
      <c r="P2167" s="13">
        <f t="shared" si="133"/>
        <v>0</v>
      </c>
      <c r="Q2167" s="13" t="str">
        <f t="shared" si="134"/>
        <v/>
      </c>
      <c r="R2167" s="13" t="str">
        <f t="shared" si="135"/>
        <v>Non diskon</v>
      </c>
    </row>
    <row r="2168" spans="1:18" x14ac:dyDescent="0.25">
      <c r="A2168" s="13" t="s">
        <v>2180</v>
      </c>
      <c r="B2168" s="13" t="s">
        <v>2193</v>
      </c>
      <c r="C2168" s="13" t="s">
        <v>2198</v>
      </c>
      <c r="D2168" s="13" t="s">
        <v>2205</v>
      </c>
      <c r="E2168" s="13" t="s">
        <v>2213</v>
      </c>
      <c r="F2168" s="13" t="s">
        <v>2224</v>
      </c>
      <c r="G2168" s="13">
        <v>116.15</v>
      </c>
      <c r="H2168" s="13">
        <v>16.5</v>
      </c>
      <c r="I2168" s="13">
        <v>96.99</v>
      </c>
      <c r="J2168" s="24">
        <v>45875</v>
      </c>
      <c r="K2168" s="13">
        <v>11</v>
      </c>
      <c r="L2168" s="44">
        <v>3</v>
      </c>
      <c r="M2168" s="13" t="b">
        <v>0</v>
      </c>
      <c r="O2168" s="25">
        <f t="shared" si="132"/>
        <v>27</v>
      </c>
      <c r="P2168" s="13">
        <f t="shared" si="133"/>
        <v>181.5</v>
      </c>
      <c r="Q2168" s="13" t="str">
        <f t="shared" si="134"/>
        <v/>
      </c>
      <c r="R2168" s="13" t="str">
        <f t="shared" si="135"/>
        <v>Diskon</v>
      </c>
    </row>
    <row r="2169" spans="1:18" x14ac:dyDescent="0.25">
      <c r="A2169" s="13" t="s">
        <v>2181</v>
      </c>
      <c r="B2169" s="13" t="s">
        <v>2193</v>
      </c>
      <c r="C2169" s="13" t="s">
        <v>2200</v>
      </c>
      <c r="D2169" s="13" t="s">
        <v>2205</v>
      </c>
      <c r="E2169" s="13" t="s">
        <v>2212</v>
      </c>
      <c r="F2169" s="13" t="s">
        <v>2217</v>
      </c>
      <c r="G2169" s="13">
        <v>98.22</v>
      </c>
      <c r="H2169" s="13">
        <v>0</v>
      </c>
      <c r="I2169" s="13">
        <v>98.22</v>
      </c>
      <c r="J2169" s="24">
        <v>45875</v>
      </c>
      <c r="K2169" s="13">
        <v>27</v>
      </c>
      <c r="L2169" s="44">
        <v>3.3</v>
      </c>
      <c r="M2169" s="13" t="b">
        <v>0</v>
      </c>
      <c r="O2169" s="25">
        <f t="shared" si="132"/>
        <v>27</v>
      </c>
      <c r="P2169" s="13">
        <f t="shared" si="133"/>
        <v>0</v>
      </c>
      <c r="Q2169" s="13" t="str">
        <f t="shared" si="134"/>
        <v/>
      </c>
      <c r="R2169" s="13" t="str">
        <f t="shared" si="135"/>
        <v>Non diskon</v>
      </c>
    </row>
    <row r="2170" spans="1:18" x14ac:dyDescent="0.25">
      <c r="A2170" s="13" t="s">
        <v>2182</v>
      </c>
      <c r="B2170" s="13" t="s">
        <v>2193</v>
      </c>
      <c r="C2170" s="13" t="s">
        <v>2201</v>
      </c>
      <c r="D2170" s="13" t="s">
        <v>2205</v>
      </c>
      <c r="F2170" s="13" t="s">
        <v>2221</v>
      </c>
      <c r="G2170" s="13">
        <v>66.58</v>
      </c>
      <c r="H2170" s="13">
        <v>0</v>
      </c>
      <c r="I2170" s="13">
        <v>66.58</v>
      </c>
      <c r="J2170" s="24">
        <v>45875</v>
      </c>
      <c r="K2170" s="13">
        <v>45</v>
      </c>
      <c r="L2170" s="44">
        <v>3.4</v>
      </c>
      <c r="M2170" s="13" t="b">
        <v>0</v>
      </c>
      <c r="O2170" s="25">
        <f t="shared" si="132"/>
        <v>27</v>
      </c>
      <c r="P2170" s="13">
        <f t="shared" si="133"/>
        <v>0</v>
      </c>
      <c r="Q2170" s="13" t="str">
        <f t="shared" si="134"/>
        <v/>
      </c>
      <c r="R2170" s="13" t="str">
        <f t="shared" si="135"/>
        <v>Non diskon</v>
      </c>
    </row>
    <row r="2171" spans="1:18" x14ac:dyDescent="0.25">
      <c r="A2171" s="13" t="s">
        <v>2183</v>
      </c>
      <c r="B2171" s="13" t="s">
        <v>2192</v>
      </c>
      <c r="C2171" s="13" t="s">
        <v>2197</v>
      </c>
      <c r="D2171" s="13" t="s">
        <v>2204</v>
      </c>
      <c r="F2171" s="13" t="s">
        <v>2221</v>
      </c>
      <c r="G2171" s="13">
        <v>69.22</v>
      </c>
      <c r="H2171" s="13">
        <v>0</v>
      </c>
      <c r="I2171" s="13">
        <v>69.22</v>
      </c>
      <c r="J2171" s="24">
        <v>45540</v>
      </c>
      <c r="K2171" s="13">
        <v>42</v>
      </c>
      <c r="L2171" s="44">
        <v>3.8</v>
      </c>
      <c r="M2171" s="13" t="b">
        <v>0</v>
      </c>
      <c r="O2171" s="25">
        <f t="shared" si="132"/>
        <v>362</v>
      </c>
      <c r="P2171" s="13">
        <f t="shared" si="133"/>
        <v>0</v>
      </c>
      <c r="Q2171" s="13" t="str">
        <f t="shared" si="134"/>
        <v/>
      </c>
      <c r="R2171" s="13" t="str">
        <f t="shared" si="135"/>
        <v>Non diskon</v>
      </c>
    </row>
    <row r="2172" spans="1:18" x14ac:dyDescent="0.25">
      <c r="A2172" s="13" t="s">
        <v>2184</v>
      </c>
      <c r="B2172" s="13" t="s">
        <v>2191</v>
      </c>
      <c r="C2172" s="13" t="s">
        <v>2197</v>
      </c>
      <c r="D2172" s="13" t="s">
        <v>2205</v>
      </c>
      <c r="E2172" s="13" t="s">
        <v>2208</v>
      </c>
      <c r="F2172" s="13" t="s">
        <v>2216</v>
      </c>
      <c r="G2172" s="13">
        <v>85.01</v>
      </c>
      <c r="H2172" s="13">
        <v>0</v>
      </c>
      <c r="I2172" s="13">
        <v>85.01</v>
      </c>
      <c r="J2172" s="24">
        <v>45875</v>
      </c>
      <c r="K2172" s="13">
        <v>39</v>
      </c>
      <c r="L2172" s="44">
        <v>4.3</v>
      </c>
      <c r="M2172" s="13" t="b">
        <v>0</v>
      </c>
      <c r="O2172" s="25">
        <f t="shared" si="132"/>
        <v>27</v>
      </c>
      <c r="P2172" s="13">
        <f t="shared" si="133"/>
        <v>0</v>
      </c>
      <c r="Q2172" s="13" t="str">
        <f t="shared" si="134"/>
        <v/>
      </c>
      <c r="R2172" s="13" t="str">
        <f t="shared" si="135"/>
        <v>Non diskon</v>
      </c>
    </row>
    <row r="2173" spans="1:18" x14ac:dyDescent="0.25">
      <c r="A2173" s="13" t="s">
        <v>2185</v>
      </c>
      <c r="B2173" s="13" t="s">
        <v>2191</v>
      </c>
      <c r="C2173" s="13" t="s">
        <v>2199</v>
      </c>
      <c r="D2173" s="13" t="s">
        <v>2207</v>
      </c>
      <c r="E2173" s="13" t="s">
        <v>2208</v>
      </c>
      <c r="F2173" s="13" t="s">
        <v>2216</v>
      </c>
      <c r="G2173" s="13">
        <v>31.41</v>
      </c>
      <c r="H2173" s="13">
        <v>0</v>
      </c>
      <c r="I2173" s="13">
        <v>31.41</v>
      </c>
      <c r="J2173" s="24">
        <v>45875</v>
      </c>
      <c r="K2173" s="13">
        <v>10</v>
      </c>
      <c r="L2173" s="44">
        <v>2.1</v>
      </c>
      <c r="M2173" s="13" t="b">
        <v>0</v>
      </c>
      <c r="O2173" s="25">
        <f t="shared" si="132"/>
        <v>27</v>
      </c>
      <c r="P2173" s="13">
        <f t="shared" si="133"/>
        <v>0</v>
      </c>
      <c r="Q2173" s="13" t="str">
        <f t="shared" si="134"/>
        <v/>
      </c>
      <c r="R2173" s="13" t="str">
        <f t="shared" si="135"/>
        <v>Non diskon</v>
      </c>
    </row>
    <row r="2174" spans="1:18" x14ac:dyDescent="0.25">
      <c r="A2174" s="13" t="s">
        <v>2186</v>
      </c>
      <c r="B2174" s="13" t="s">
        <v>2195</v>
      </c>
      <c r="C2174" s="13" t="s">
        <v>2198</v>
      </c>
      <c r="D2174" s="13" t="s">
        <v>2205</v>
      </c>
      <c r="E2174" s="13" t="s">
        <v>2209</v>
      </c>
      <c r="F2174" s="13" t="s">
        <v>2224</v>
      </c>
      <c r="G2174" s="13">
        <v>50.58</v>
      </c>
      <c r="H2174" s="13">
        <v>0</v>
      </c>
      <c r="I2174" s="13">
        <v>50.58</v>
      </c>
      <c r="J2174" s="24">
        <v>45875</v>
      </c>
      <c r="K2174" s="13">
        <v>1</v>
      </c>
      <c r="L2174" s="44">
        <v>3.1</v>
      </c>
      <c r="M2174" s="13" t="b">
        <v>1</v>
      </c>
      <c r="N2174" s="13" t="s">
        <v>2229</v>
      </c>
      <c r="O2174" s="25">
        <f t="shared" si="132"/>
        <v>27</v>
      </c>
      <c r="P2174" s="13">
        <f t="shared" si="133"/>
        <v>0</v>
      </c>
      <c r="Q2174" s="13">
        <f t="shared" si="134"/>
        <v>1</v>
      </c>
      <c r="R2174" s="13" t="str">
        <f t="shared" si="135"/>
        <v>Non diskon</v>
      </c>
    </row>
    <row r="2175" spans="1:18" x14ac:dyDescent="0.25">
      <c r="A2175" s="13" t="s">
        <v>2187</v>
      </c>
      <c r="B2175" s="13" t="s">
        <v>2192</v>
      </c>
      <c r="C2175" s="13" t="s">
        <v>2198</v>
      </c>
      <c r="D2175" s="13" t="s">
        <v>2205</v>
      </c>
      <c r="F2175" s="13" t="s">
        <v>2221</v>
      </c>
      <c r="G2175" s="13">
        <v>79.37</v>
      </c>
      <c r="H2175" s="13">
        <v>54.8</v>
      </c>
      <c r="I2175" s="13">
        <v>35.880000000000003</v>
      </c>
      <c r="J2175" s="24">
        <v>45875</v>
      </c>
      <c r="K2175" s="13">
        <v>40</v>
      </c>
      <c r="L2175" s="44">
        <v>2.6</v>
      </c>
      <c r="M2175" s="13" t="b">
        <v>0</v>
      </c>
      <c r="O2175" s="25">
        <f t="shared" si="132"/>
        <v>27</v>
      </c>
      <c r="P2175" s="13">
        <f t="shared" si="133"/>
        <v>2192</v>
      </c>
      <c r="Q2175" s="13" t="str">
        <f t="shared" si="134"/>
        <v/>
      </c>
      <c r="R2175" s="13" t="str">
        <f t="shared" si="135"/>
        <v>Diskon</v>
      </c>
    </row>
    <row r="2176" spans="1:18" x14ac:dyDescent="0.25">
      <c r="A2176" s="13" t="s">
        <v>2188</v>
      </c>
      <c r="B2176" s="13" t="s">
        <v>2194</v>
      </c>
      <c r="C2176" s="13" t="s">
        <v>2201</v>
      </c>
      <c r="D2176" s="13" t="s">
        <v>2207</v>
      </c>
      <c r="E2176" s="13" t="s">
        <v>2208</v>
      </c>
      <c r="F2176" s="13" t="s">
        <v>2215</v>
      </c>
      <c r="G2176" s="13">
        <v>105.52</v>
      </c>
      <c r="H2176" s="13">
        <v>0</v>
      </c>
      <c r="I2176" s="13">
        <v>105.52</v>
      </c>
      <c r="J2176" s="24">
        <v>45875</v>
      </c>
      <c r="K2176" s="13">
        <v>20</v>
      </c>
      <c r="L2176" s="44">
        <v>4.9000000000000004</v>
      </c>
      <c r="M2176" s="13" t="b">
        <v>1</v>
      </c>
      <c r="N2176" s="13" t="s">
        <v>2226</v>
      </c>
      <c r="O2176" s="25">
        <f t="shared" si="132"/>
        <v>27</v>
      </c>
      <c r="P2176" s="13">
        <f t="shared" si="133"/>
        <v>0</v>
      </c>
      <c r="Q2176" s="13">
        <f t="shared" si="134"/>
        <v>1</v>
      </c>
      <c r="R2176" s="13" t="str">
        <f t="shared" si="135"/>
        <v>Non diskon</v>
      </c>
    </row>
    <row r="2177" spans="1:18" x14ac:dyDescent="0.25">
      <c r="A2177" s="13" t="s">
        <v>2189</v>
      </c>
      <c r="B2177" s="13" t="s">
        <v>2193</v>
      </c>
      <c r="C2177" s="13" t="s">
        <v>2201</v>
      </c>
      <c r="D2177" s="13" t="s">
        <v>2207</v>
      </c>
      <c r="E2177" s="13" t="s">
        <v>2211</v>
      </c>
      <c r="F2177" s="13" t="s">
        <v>2217</v>
      </c>
      <c r="G2177" s="13">
        <v>154.02000000000001</v>
      </c>
      <c r="H2177" s="13">
        <v>0</v>
      </c>
      <c r="I2177" s="13">
        <v>154.02000000000001</v>
      </c>
      <c r="J2177" s="24">
        <v>45875</v>
      </c>
      <c r="K2177" s="13">
        <v>23</v>
      </c>
      <c r="L2177" s="44">
        <v>1.3</v>
      </c>
      <c r="M2177" s="13" t="b">
        <v>0</v>
      </c>
      <c r="O2177" s="25">
        <f t="shared" si="132"/>
        <v>27</v>
      </c>
      <c r="P2177" s="13">
        <f t="shared" si="133"/>
        <v>0</v>
      </c>
      <c r="Q2177" s="13" t="str">
        <f t="shared" si="134"/>
        <v/>
      </c>
      <c r="R2177" s="13" t="str">
        <f t="shared" si="135"/>
        <v>Non diskon</v>
      </c>
    </row>
  </sheetData>
  <pageMargins left="0.7" right="0.7" top="0.75" bottom="0.75" header="0.3" footer="0.3"/>
  <pageSetup paperSize="9"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77"/>
  <sheetViews>
    <sheetView tabSelected="1" zoomScale="98" zoomScaleNormal="98" workbookViewId="0">
      <selection activeCell="C15" sqref="C15"/>
    </sheetView>
  </sheetViews>
  <sheetFormatPr defaultColWidth="22.375" defaultRowHeight="15" x14ac:dyDescent="0.25"/>
  <cols>
    <col min="1" max="16384" width="22.375" style="13"/>
  </cols>
  <sheetData>
    <row r="1" spans="1:18" x14ac:dyDescent="0.25">
      <c r="A1" s="22" t="s">
        <v>0</v>
      </c>
      <c r="B1" s="22" t="s">
        <v>1</v>
      </c>
      <c r="C1" s="22" t="s">
        <v>2</v>
      </c>
      <c r="D1" s="22" t="s">
        <v>3</v>
      </c>
      <c r="E1" s="22" t="s">
        <v>4</v>
      </c>
      <c r="F1" s="22" t="s">
        <v>5</v>
      </c>
      <c r="G1" s="22" t="s">
        <v>6</v>
      </c>
      <c r="H1" s="22" t="s">
        <v>7</v>
      </c>
      <c r="I1" s="22" t="s">
        <v>8</v>
      </c>
      <c r="J1" s="22" t="s">
        <v>9</v>
      </c>
      <c r="K1" s="22" t="s">
        <v>10</v>
      </c>
      <c r="L1" s="22" t="s">
        <v>2231</v>
      </c>
      <c r="M1" s="22" t="s">
        <v>12</v>
      </c>
      <c r="N1" s="22" t="s">
        <v>13</v>
      </c>
      <c r="O1" s="23" t="s">
        <v>2265</v>
      </c>
      <c r="P1" s="23" t="s">
        <v>2279</v>
      </c>
      <c r="Q1" s="23" t="s">
        <v>2287</v>
      </c>
      <c r="R1" s="23" t="s">
        <v>2304</v>
      </c>
    </row>
    <row r="2" spans="1:18" x14ac:dyDescent="0.25">
      <c r="A2" s="13" t="s">
        <v>14</v>
      </c>
      <c r="B2" s="13" t="s">
        <v>2190</v>
      </c>
      <c r="C2" s="13" t="s">
        <v>2196</v>
      </c>
      <c r="D2" s="13" t="s">
        <v>2204</v>
      </c>
      <c r="E2" s="13" t="s">
        <v>2208</v>
      </c>
      <c r="F2" s="13" t="s">
        <v>2214</v>
      </c>
      <c r="G2" s="13">
        <v>196.01</v>
      </c>
      <c r="H2" s="44">
        <v>0</v>
      </c>
      <c r="I2" s="13">
        <v>196.01</v>
      </c>
      <c r="J2" s="24">
        <v>45843</v>
      </c>
      <c r="K2" s="25">
        <v>37</v>
      </c>
      <c r="L2" s="25">
        <v>3</v>
      </c>
      <c r="M2" s="13" t="b">
        <v>0</v>
      </c>
      <c r="O2" s="25">
        <f>DATE(2025,9,2)-J2</f>
        <v>59</v>
      </c>
      <c r="P2" s="13">
        <f>H2*K2</f>
        <v>0</v>
      </c>
      <c r="Q2" s="13" t="str">
        <f>IF(M2=FALSE,"",1)</f>
        <v/>
      </c>
      <c r="R2" s="13" t="str">
        <f>IF(H2=0,"Non diskon","Diskon")</f>
        <v>Non diskon</v>
      </c>
    </row>
    <row r="3" spans="1:18" x14ac:dyDescent="0.25">
      <c r="A3" s="13" t="s">
        <v>15</v>
      </c>
      <c r="B3" s="13" t="s">
        <v>2191</v>
      </c>
      <c r="C3" s="13" t="s">
        <v>2197</v>
      </c>
      <c r="D3" s="13" t="s">
        <v>2205</v>
      </c>
      <c r="E3" s="13" t="s">
        <v>2209</v>
      </c>
      <c r="F3" s="13" t="s">
        <v>2215</v>
      </c>
      <c r="G3" s="13">
        <v>119.64</v>
      </c>
      <c r="H3" s="44">
        <v>0</v>
      </c>
      <c r="I3" s="13">
        <v>119.64</v>
      </c>
      <c r="J3" s="24">
        <v>45875</v>
      </c>
      <c r="K3" s="25">
        <v>2</v>
      </c>
      <c r="L3" s="25">
        <v>2.5</v>
      </c>
      <c r="M3" s="13" t="b">
        <v>0</v>
      </c>
      <c r="O3" s="25">
        <f t="shared" ref="O3:O66" si="0">DATE(2025,9,2)-J3</f>
        <v>27</v>
      </c>
      <c r="P3" s="13">
        <f t="shared" ref="P3:P66" si="1">H3*K3</f>
        <v>0</v>
      </c>
      <c r="Q3" s="13" t="str">
        <f t="shared" ref="Q3:Q66" si="2">IF(M3=FALSE,"",1)</f>
        <v/>
      </c>
      <c r="R3" s="13" t="str">
        <f t="shared" ref="R3:R66" si="3">IF(H3=0,"Non diskon","Diskon")</f>
        <v>Non diskon</v>
      </c>
    </row>
    <row r="4" spans="1:18" x14ac:dyDescent="0.25">
      <c r="A4" s="13" t="s">
        <v>16</v>
      </c>
      <c r="B4" s="13" t="s">
        <v>2192</v>
      </c>
      <c r="C4" s="13" t="s">
        <v>2197</v>
      </c>
      <c r="D4" s="13" t="s">
        <v>2205</v>
      </c>
      <c r="F4" s="13" t="s">
        <v>2216</v>
      </c>
      <c r="G4" s="13">
        <v>33.799999999999997</v>
      </c>
      <c r="H4" s="44">
        <v>0</v>
      </c>
      <c r="I4" s="13">
        <v>33.799999999999997</v>
      </c>
      <c r="J4" s="24">
        <v>45875</v>
      </c>
      <c r="K4" s="25">
        <v>22</v>
      </c>
      <c r="L4" s="25">
        <v>4.3</v>
      </c>
      <c r="M4" s="13" t="b">
        <v>0</v>
      </c>
      <c r="O4" s="25">
        <f t="shared" si="0"/>
        <v>27</v>
      </c>
      <c r="P4" s="13">
        <f t="shared" si="1"/>
        <v>0</v>
      </c>
      <c r="Q4" s="13" t="str">
        <f t="shared" si="2"/>
        <v/>
      </c>
      <c r="R4" s="13" t="str">
        <f t="shared" si="3"/>
        <v>Non diskon</v>
      </c>
    </row>
    <row r="5" spans="1:18" x14ac:dyDescent="0.25">
      <c r="A5" s="13" t="s">
        <v>17</v>
      </c>
      <c r="B5" s="13" t="s">
        <v>2193</v>
      </c>
      <c r="C5" s="13" t="s">
        <v>2197</v>
      </c>
      <c r="D5" s="13" t="s">
        <v>2204</v>
      </c>
      <c r="E5" s="13" t="s">
        <v>2208</v>
      </c>
      <c r="F5" s="13" t="s">
        <v>2216</v>
      </c>
      <c r="G5" s="13">
        <v>75.36</v>
      </c>
      <c r="H5" s="44">
        <v>0</v>
      </c>
      <c r="I5" s="13">
        <v>75.36</v>
      </c>
      <c r="J5" s="24">
        <v>45845</v>
      </c>
      <c r="K5" s="25">
        <v>48</v>
      </c>
      <c r="L5" s="25">
        <v>2.6</v>
      </c>
      <c r="M5" s="13" t="b">
        <v>0</v>
      </c>
      <c r="O5" s="25">
        <f t="shared" si="0"/>
        <v>57</v>
      </c>
      <c r="P5" s="13">
        <f t="shared" si="1"/>
        <v>0</v>
      </c>
      <c r="Q5" s="13" t="str">
        <f t="shared" si="2"/>
        <v/>
      </c>
      <c r="R5" s="13" t="str">
        <f t="shared" si="3"/>
        <v>Non diskon</v>
      </c>
    </row>
    <row r="6" spans="1:18" x14ac:dyDescent="0.25">
      <c r="A6" s="13" t="s">
        <v>18</v>
      </c>
      <c r="B6" s="13" t="s">
        <v>2191</v>
      </c>
      <c r="C6" s="13" t="s">
        <v>2198</v>
      </c>
      <c r="D6" s="13" t="s">
        <v>2205</v>
      </c>
      <c r="E6" s="13" t="s">
        <v>2208</v>
      </c>
      <c r="F6" s="13" t="s">
        <v>2216</v>
      </c>
      <c r="G6" s="13">
        <v>105.02</v>
      </c>
      <c r="H6" s="44">
        <v>0</v>
      </c>
      <c r="I6" s="13">
        <v>105.02</v>
      </c>
      <c r="J6" s="24">
        <v>45875</v>
      </c>
      <c r="K6" s="25">
        <v>10</v>
      </c>
      <c r="L6" s="25">
        <v>2.953125</v>
      </c>
      <c r="M6" s="13" t="b">
        <v>0</v>
      </c>
      <c r="O6" s="25">
        <f t="shared" si="0"/>
        <v>27</v>
      </c>
      <c r="P6" s="13">
        <f t="shared" si="1"/>
        <v>0</v>
      </c>
      <c r="Q6" s="13" t="str">
        <f t="shared" si="2"/>
        <v/>
      </c>
      <c r="R6" s="13" t="str">
        <f t="shared" si="3"/>
        <v>Non diskon</v>
      </c>
    </row>
    <row r="7" spans="1:18" x14ac:dyDescent="0.25">
      <c r="A7" s="13" t="s">
        <v>19</v>
      </c>
      <c r="B7" s="13" t="s">
        <v>2192</v>
      </c>
      <c r="C7" s="13" t="s">
        <v>2196</v>
      </c>
      <c r="D7" s="13" t="s">
        <v>2206</v>
      </c>
      <c r="F7" s="13" t="s">
        <v>2217</v>
      </c>
      <c r="G7" s="13">
        <v>35.03</v>
      </c>
      <c r="H7" s="44">
        <v>35.4</v>
      </c>
      <c r="I7" s="13">
        <v>22.63</v>
      </c>
      <c r="J7" s="24">
        <v>45875</v>
      </c>
      <c r="K7" s="25">
        <v>38</v>
      </c>
      <c r="L7" s="25">
        <v>2.9</v>
      </c>
      <c r="M7" s="13" t="b">
        <v>1</v>
      </c>
      <c r="N7" s="13" t="s">
        <v>2225</v>
      </c>
      <c r="O7" s="25">
        <f t="shared" si="0"/>
        <v>27</v>
      </c>
      <c r="P7" s="13">
        <f t="shared" si="1"/>
        <v>1345.2</v>
      </c>
      <c r="Q7" s="13">
        <f t="shared" si="2"/>
        <v>1</v>
      </c>
      <c r="R7" s="13" t="str">
        <f t="shared" si="3"/>
        <v>Diskon</v>
      </c>
    </row>
    <row r="8" spans="1:18" x14ac:dyDescent="0.25">
      <c r="A8" s="13" t="s">
        <v>20</v>
      </c>
      <c r="B8" s="13" t="s">
        <v>2194</v>
      </c>
      <c r="C8" s="13" t="s">
        <v>2196</v>
      </c>
      <c r="D8" s="13" t="s">
        <v>2204</v>
      </c>
      <c r="E8" s="13" t="s">
        <v>2210</v>
      </c>
      <c r="F8" s="13" t="s">
        <v>2218</v>
      </c>
      <c r="G8" s="13">
        <v>53.83</v>
      </c>
      <c r="H8" s="44">
        <v>54.5</v>
      </c>
      <c r="I8" s="13">
        <v>24.49</v>
      </c>
      <c r="J8" s="24">
        <v>45594</v>
      </c>
      <c r="K8" s="25">
        <v>38</v>
      </c>
      <c r="L8" s="25">
        <v>2.6</v>
      </c>
      <c r="M8" s="13" t="b">
        <v>0</v>
      </c>
      <c r="O8" s="25">
        <f t="shared" si="0"/>
        <v>308</v>
      </c>
      <c r="P8" s="13">
        <f t="shared" si="1"/>
        <v>2071</v>
      </c>
      <c r="Q8" s="13" t="str">
        <f t="shared" si="2"/>
        <v/>
      </c>
      <c r="R8" s="13" t="str">
        <f t="shared" si="3"/>
        <v>Diskon</v>
      </c>
    </row>
    <row r="9" spans="1:18" x14ac:dyDescent="0.25">
      <c r="A9" s="13" t="s">
        <v>21</v>
      </c>
      <c r="B9" s="13" t="s">
        <v>2195</v>
      </c>
      <c r="C9" s="13" t="s">
        <v>2199</v>
      </c>
      <c r="D9" s="13" t="s">
        <v>2205</v>
      </c>
      <c r="E9" s="13" t="s">
        <v>2208</v>
      </c>
      <c r="F9" s="13" t="s">
        <v>2219</v>
      </c>
      <c r="G9" s="13">
        <v>91.55</v>
      </c>
      <c r="H9" s="44">
        <v>22.1</v>
      </c>
      <c r="I9" s="13">
        <v>71.319999999999993</v>
      </c>
      <c r="J9" s="24">
        <v>45875</v>
      </c>
      <c r="K9" s="25">
        <v>47</v>
      </c>
      <c r="L9" s="25">
        <v>1.6</v>
      </c>
      <c r="M9" s="13" t="b">
        <v>0</v>
      </c>
      <c r="O9" s="25">
        <f t="shared" si="0"/>
        <v>27</v>
      </c>
      <c r="P9" s="13">
        <f t="shared" si="1"/>
        <v>1038.7</v>
      </c>
      <c r="Q9" s="13" t="str">
        <f t="shared" si="2"/>
        <v/>
      </c>
      <c r="R9" s="13" t="str">
        <f t="shared" si="3"/>
        <v>Diskon</v>
      </c>
    </row>
    <row r="10" spans="1:18" x14ac:dyDescent="0.25">
      <c r="A10" s="13" t="s">
        <v>22</v>
      </c>
      <c r="B10" s="13" t="s">
        <v>2190</v>
      </c>
      <c r="C10" s="13" t="s">
        <v>2197</v>
      </c>
      <c r="D10" s="13" t="s">
        <v>2204</v>
      </c>
      <c r="E10" s="13" t="s">
        <v>2208</v>
      </c>
      <c r="F10" s="13" t="s">
        <v>2220</v>
      </c>
      <c r="G10" s="13">
        <v>227.73</v>
      </c>
      <c r="H10" s="44">
        <v>12.8</v>
      </c>
      <c r="I10" s="13">
        <v>198.58</v>
      </c>
      <c r="J10" s="24">
        <v>45740</v>
      </c>
      <c r="K10" s="25">
        <v>14</v>
      </c>
      <c r="L10" s="25">
        <v>3.15</v>
      </c>
      <c r="M10" s="13" t="b">
        <v>0</v>
      </c>
      <c r="O10" s="25">
        <f t="shared" si="0"/>
        <v>162</v>
      </c>
      <c r="P10" s="13">
        <f t="shared" si="1"/>
        <v>179.20000000000002</v>
      </c>
      <c r="Q10" s="13" t="str">
        <f t="shared" si="2"/>
        <v/>
      </c>
      <c r="R10" s="13" t="str">
        <f t="shared" si="3"/>
        <v>Diskon</v>
      </c>
    </row>
    <row r="11" spans="1:18" x14ac:dyDescent="0.25">
      <c r="A11" s="13" t="s">
        <v>23</v>
      </c>
      <c r="B11" s="13" t="s">
        <v>2190</v>
      </c>
      <c r="C11" s="13" t="s">
        <v>2200</v>
      </c>
      <c r="D11" s="13" t="s">
        <v>2206</v>
      </c>
      <c r="E11" s="13" t="s">
        <v>2211</v>
      </c>
      <c r="F11" s="13" t="s">
        <v>2215</v>
      </c>
      <c r="G11" s="13">
        <v>248.41</v>
      </c>
      <c r="H11" s="44">
        <v>10.9</v>
      </c>
      <c r="I11" s="13">
        <v>221.33</v>
      </c>
      <c r="J11" s="24">
        <v>45875</v>
      </c>
      <c r="K11" s="25">
        <v>37</v>
      </c>
      <c r="L11" s="25">
        <v>2.9228571428571426</v>
      </c>
      <c r="M11" s="13" t="b">
        <v>0</v>
      </c>
      <c r="O11" s="25">
        <f t="shared" si="0"/>
        <v>27</v>
      </c>
      <c r="P11" s="13">
        <f t="shared" si="1"/>
        <v>403.3</v>
      </c>
      <c r="Q11" s="13" t="str">
        <f t="shared" si="2"/>
        <v/>
      </c>
      <c r="R11" s="13" t="str">
        <f t="shared" si="3"/>
        <v>Diskon</v>
      </c>
    </row>
    <row r="12" spans="1:18" x14ac:dyDescent="0.25">
      <c r="A12" s="13" t="s">
        <v>24</v>
      </c>
      <c r="B12" s="13" t="s">
        <v>2191</v>
      </c>
      <c r="C12" s="13" t="s">
        <v>2199</v>
      </c>
      <c r="D12" s="13" t="s">
        <v>2204</v>
      </c>
      <c r="E12" s="13" t="s">
        <v>2209</v>
      </c>
      <c r="F12" s="13" t="s">
        <v>2216</v>
      </c>
      <c r="G12" s="13">
        <v>116.84</v>
      </c>
      <c r="H12" s="44">
        <v>0</v>
      </c>
      <c r="I12" s="13">
        <v>116.84</v>
      </c>
      <c r="J12" s="24">
        <v>45772</v>
      </c>
      <c r="K12" s="25">
        <v>3</v>
      </c>
      <c r="L12" s="25">
        <v>4.4000000000000004</v>
      </c>
      <c r="M12" s="13" t="b">
        <v>0</v>
      </c>
      <c r="O12" s="25">
        <f t="shared" si="0"/>
        <v>130</v>
      </c>
      <c r="P12" s="13">
        <f t="shared" si="1"/>
        <v>0</v>
      </c>
      <c r="Q12" s="13" t="str">
        <f t="shared" si="2"/>
        <v/>
      </c>
      <c r="R12" s="13" t="str">
        <f t="shared" si="3"/>
        <v>Non diskon</v>
      </c>
    </row>
    <row r="13" spans="1:18" x14ac:dyDescent="0.25">
      <c r="A13" s="13" t="s">
        <v>25</v>
      </c>
      <c r="B13" s="13" t="s">
        <v>2193</v>
      </c>
      <c r="C13" s="13" t="s">
        <v>2197</v>
      </c>
      <c r="D13" s="13" t="s">
        <v>2205</v>
      </c>
      <c r="E13" s="13" t="s">
        <v>2210</v>
      </c>
      <c r="F13" s="13" t="s">
        <v>2219</v>
      </c>
      <c r="G13" s="13">
        <v>146.97999999999999</v>
      </c>
      <c r="H13" s="44">
        <v>0</v>
      </c>
      <c r="I13" s="13">
        <v>146.97999999999999</v>
      </c>
      <c r="J13" s="24">
        <v>45875</v>
      </c>
      <c r="K13" s="25">
        <v>2</v>
      </c>
      <c r="L13" s="25">
        <v>3.4</v>
      </c>
      <c r="M13" s="13" t="b">
        <v>0</v>
      </c>
      <c r="O13" s="25">
        <f>DATE(2025,9,2)-J13</f>
        <v>27</v>
      </c>
      <c r="P13" s="13">
        <f t="shared" si="1"/>
        <v>0</v>
      </c>
      <c r="Q13" s="13" t="str">
        <f t="shared" si="2"/>
        <v/>
      </c>
      <c r="R13" s="13" t="str">
        <f t="shared" si="3"/>
        <v>Non diskon</v>
      </c>
    </row>
    <row r="14" spans="1:18" x14ac:dyDescent="0.25">
      <c r="A14" s="13" t="s">
        <v>26</v>
      </c>
      <c r="B14" s="13" t="s">
        <v>2194</v>
      </c>
      <c r="C14" s="13" t="s">
        <v>2201</v>
      </c>
      <c r="D14" s="13" t="s">
        <v>2204</v>
      </c>
      <c r="E14" s="13" t="s">
        <v>2210</v>
      </c>
      <c r="F14" s="13" t="s">
        <v>2217</v>
      </c>
      <c r="G14" s="13">
        <v>37.51</v>
      </c>
      <c r="H14" s="44">
        <v>0</v>
      </c>
      <c r="I14" s="13">
        <v>37.51</v>
      </c>
      <c r="J14" s="24">
        <v>45661</v>
      </c>
      <c r="K14" s="25">
        <v>43</v>
      </c>
      <c r="L14" s="25">
        <v>3.0575757575757576</v>
      </c>
      <c r="M14" s="13" t="b">
        <v>0</v>
      </c>
      <c r="O14" s="25">
        <f t="shared" si="0"/>
        <v>241</v>
      </c>
      <c r="P14" s="13">
        <f t="shared" si="1"/>
        <v>0</v>
      </c>
      <c r="Q14" s="13" t="str">
        <f t="shared" si="2"/>
        <v/>
      </c>
      <c r="R14" s="13" t="str">
        <f t="shared" si="3"/>
        <v>Non diskon</v>
      </c>
    </row>
    <row r="15" spans="1:18" x14ac:dyDescent="0.25">
      <c r="A15" s="13" t="s">
        <v>27</v>
      </c>
      <c r="B15" s="13" t="s">
        <v>2195</v>
      </c>
      <c r="C15" s="13" t="s">
        <v>2197</v>
      </c>
      <c r="D15" s="13" t="s">
        <v>2206</v>
      </c>
      <c r="E15" s="13" t="s">
        <v>2212</v>
      </c>
      <c r="F15" s="13" t="s">
        <v>2221</v>
      </c>
      <c r="G15" s="13">
        <v>48.15</v>
      </c>
      <c r="H15" s="44">
        <v>0</v>
      </c>
      <c r="I15" s="13">
        <v>48.15</v>
      </c>
      <c r="J15" s="24">
        <v>45875</v>
      </c>
      <c r="K15" s="25">
        <v>39</v>
      </c>
      <c r="L15" s="25">
        <v>1.6</v>
      </c>
      <c r="M15" s="13" t="b">
        <v>0</v>
      </c>
      <c r="O15" s="25">
        <f t="shared" si="0"/>
        <v>27</v>
      </c>
      <c r="P15" s="13">
        <f t="shared" si="1"/>
        <v>0</v>
      </c>
      <c r="Q15" s="13" t="str">
        <f t="shared" si="2"/>
        <v/>
      </c>
      <c r="R15" s="13" t="str">
        <f t="shared" si="3"/>
        <v>Non diskon</v>
      </c>
    </row>
    <row r="16" spans="1:18" x14ac:dyDescent="0.25">
      <c r="A16" s="13" t="s">
        <v>28</v>
      </c>
      <c r="B16" s="13" t="s">
        <v>2191</v>
      </c>
      <c r="C16" s="13" t="s">
        <v>2199</v>
      </c>
      <c r="D16" s="13" t="s">
        <v>2205</v>
      </c>
      <c r="E16" s="13" t="s">
        <v>2213</v>
      </c>
      <c r="F16" s="13" t="s">
        <v>2221</v>
      </c>
      <c r="G16" s="13">
        <v>79.66</v>
      </c>
      <c r="H16" s="44">
        <v>0</v>
      </c>
      <c r="I16" s="13">
        <v>79.66</v>
      </c>
      <c r="J16" s="24">
        <v>45875</v>
      </c>
      <c r="K16" s="25">
        <v>7</v>
      </c>
      <c r="L16" s="25">
        <v>1.7</v>
      </c>
      <c r="M16" s="13" t="b">
        <v>0</v>
      </c>
      <c r="O16" s="25">
        <f t="shared" si="0"/>
        <v>27</v>
      </c>
      <c r="P16" s="13">
        <f t="shared" si="1"/>
        <v>0</v>
      </c>
      <c r="Q16" s="13" t="str">
        <f t="shared" si="2"/>
        <v/>
      </c>
      <c r="R16" s="13" t="str">
        <f t="shared" si="3"/>
        <v>Non diskon</v>
      </c>
    </row>
    <row r="17" spans="1:18" x14ac:dyDescent="0.25">
      <c r="A17" s="13" t="s">
        <v>29</v>
      </c>
      <c r="B17" s="13" t="s">
        <v>2192</v>
      </c>
      <c r="C17" s="13" t="s">
        <v>2199</v>
      </c>
      <c r="D17" s="13" t="s">
        <v>2205</v>
      </c>
      <c r="F17" s="13" t="s">
        <v>2220</v>
      </c>
      <c r="G17" s="13">
        <v>67.569999999999993</v>
      </c>
      <c r="H17" s="44">
        <v>0</v>
      </c>
      <c r="I17" s="13">
        <v>67.569999999999993</v>
      </c>
      <c r="J17" s="24">
        <v>45875</v>
      </c>
      <c r="K17" s="25">
        <v>17</v>
      </c>
      <c r="L17" s="25">
        <v>2.4</v>
      </c>
      <c r="M17" s="13" t="b">
        <v>0</v>
      </c>
      <c r="O17" s="25">
        <f t="shared" si="0"/>
        <v>27</v>
      </c>
      <c r="P17" s="13">
        <f t="shared" si="1"/>
        <v>0</v>
      </c>
      <c r="Q17" s="13" t="str">
        <f t="shared" si="2"/>
        <v/>
      </c>
      <c r="R17" s="13" t="str">
        <f t="shared" si="3"/>
        <v>Non diskon</v>
      </c>
    </row>
    <row r="18" spans="1:18" x14ac:dyDescent="0.25">
      <c r="A18" s="13" t="s">
        <v>30</v>
      </c>
      <c r="B18" s="13" t="s">
        <v>2193</v>
      </c>
      <c r="C18" s="13" t="s">
        <v>2202</v>
      </c>
      <c r="D18" s="13" t="s">
        <v>2207</v>
      </c>
      <c r="E18" s="13" t="s">
        <v>2210</v>
      </c>
      <c r="F18" s="13" t="s">
        <v>2221</v>
      </c>
      <c r="G18" s="13">
        <v>123.53</v>
      </c>
      <c r="H18" s="44">
        <v>0</v>
      </c>
      <c r="I18" s="13">
        <v>123.53</v>
      </c>
      <c r="J18" s="24">
        <v>45875</v>
      </c>
      <c r="K18" s="25">
        <v>14</v>
      </c>
      <c r="L18" s="25">
        <v>4.5999999999999996</v>
      </c>
      <c r="M18" s="13" t="b">
        <v>0</v>
      </c>
      <c r="O18" s="25">
        <f t="shared" si="0"/>
        <v>27</v>
      </c>
      <c r="P18" s="13">
        <f t="shared" si="1"/>
        <v>0</v>
      </c>
      <c r="Q18" s="13" t="str">
        <f t="shared" si="2"/>
        <v/>
      </c>
      <c r="R18" s="13" t="str">
        <f t="shared" si="3"/>
        <v>Non diskon</v>
      </c>
    </row>
    <row r="19" spans="1:18" x14ac:dyDescent="0.25">
      <c r="A19" s="13" t="s">
        <v>31</v>
      </c>
      <c r="B19" s="13" t="s">
        <v>2191</v>
      </c>
      <c r="C19" s="13" t="s">
        <v>2201</v>
      </c>
      <c r="D19" s="13" t="s">
        <v>2205</v>
      </c>
      <c r="E19" s="13" t="s">
        <v>2209</v>
      </c>
      <c r="F19" s="13" t="s">
        <v>2222</v>
      </c>
      <c r="G19" s="13">
        <v>102.35</v>
      </c>
      <c r="H19" s="44">
        <v>0</v>
      </c>
      <c r="I19" s="13">
        <v>102.35</v>
      </c>
      <c r="J19" s="24">
        <v>45875</v>
      </c>
      <c r="K19" s="25">
        <v>14</v>
      </c>
      <c r="L19" s="25">
        <v>3.5</v>
      </c>
      <c r="M19" s="13" t="b">
        <v>0</v>
      </c>
      <c r="O19" s="25">
        <f t="shared" si="0"/>
        <v>27</v>
      </c>
      <c r="P19" s="13">
        <f t="shared" si="1"/>
        <v>0</v>
      </c>
      <c r="Q19" s="13" t="str">
        <f t="shared" si="2"/>
        <v/>
      </c>
      <c r="R19" s="13" t="str">
        <f t="shared" si="3"/>
        <v>Non diskon</v>
      </c>
    </row>
    <row r="20" spans="1:18" x14ac:dyDescent="0.25">
      <c r="A20" s="13" t="s">
        <v>32</v>
      </c>
      <c r="B20" s="13" t="s">
        <v>2190</v>
      </c>
      <c r="C20" s="13" t="s">
        <v>2199</v>
      </c>
      <c r="D20" s="13" t="s">
        <v>2207</v>
      </c>
      <c r="E20" s="13" t="s">
        <v>2213</v>
      </c>
      <c r="F20" s="13" t="s">
        <v>2223</v>
      </c>
      <c r="G20" s="13">
        <v>137.94999999999999</v>
      </c>
      <c r="H20" s="44">
        <v>58.5</v>
      </c>
      <c r="I20" s="13">
        <v>57.25</v>
      </c>
      <c r="J20" s="24">
        <v>45875</v>
      </c>
      <c r="K20" s="25">
        <v>16</v>
      </c>
      <c r="L20" s="25">
        <v>4.0999999999999996</v>
      </c>
      <c r="M20" s="13" t="b">
        <v>0</v>
      </c>
      <c r="O20" s="25">
        <f t="shared" si="0"/>
        <v>27</v>
      </c>
      <c r="P20" s="13">
        <f t="shared" si="1"/>
        <v>936</v>
      </c>
      <c r="Q20" s="13" t="str">
        <f t="shared" si="2"/>
        <v/>
      </c>
      <c r="R20" s="13" t="str">
        <f t="shared" si="3"/>
        <v>Diskon</v>
      </c>
    </row>
    <row r="21" spans="1:18" x14ac:dyDescent="0.25">
      <c r="A21" s="13" t="s">
        <v>33</v>
      </c>
      <c r="B21" s="13" t="s">
        <v>2190</v>
      </c>
      <c r="C21" s="13" t="s">
        <v>2198</v>
      </c>
      <c r="D21" s="13" t="s">
        <v>2207</v>
      </c>
      <c r="E21" s="13" t="s">
        <v>2211</v>
      </c>
      <c r="F21" s="13" t="s">
        <v>2218</v>
      </c>
      <c r="G21" s="13">
        <v>142.59</v>
      </c>
      <c r="H21" s="44">
        <v>0</v>
      </c>
      <c r="I21" s="13">
        <v>142.59</v>
      </c>
      <c r="J21" s="24">
        <v>45875</v>
      </c>
      <c r="K21" s="25">
        <v>1</v>
      </c>
      <c r="L21" s="25">
        <v>3.7</v>
      </c>
      <c r="M21" s="13" t="b">
        <v>0</v>
      </c>
      <c r="O21" s="25">
        <f t="shared" si="0"/>
        <v>27</v>
      </c>
      <c r="P21" s="13">
        <f t="shared" si="1"/>
        <v>0</v>
      </c>
      <c r="Q21" s="13" t="str">
        <f t="shared" si="2"/>
        <v/>
      </c>
      <c r="R21" s="13" t="str">
        <f t="shared" si="3"/>
        <v>Non diskon</v>
      </c>
    </row>
    <row r="22" spans="1:18" x14ac:dyDescent="0.25">
      <c r="A22" s="13" t="s">
        <v>34</v>
      </c>
      <c r="B22" s="13" t="s">
        <v>2194</v>
      </c>
      <c r="C22" s="13" t="s">
        <v>2199</v>
      </c>
      <c r="D22" s="13" t="s">
        <v>2206</v>
      </c>
      <c r="E22" s="13" t="s">
        <v>2209</v>
      </c>
      <c r="F22" s="13" t="s">
        <v>2221</v>
      </c>
      <c r="G22" s="13">
        <v>33.33</v>
      </c>
      <c r="H22" s="44">
        <v>21.8</v>
      </c>
      <c r="I22" s="13">
        <v>26.06</v>
      </c>
      <c r="J22" s="24">
        <v>45875</v>
      </c>
      <c r="K22" s="25">
        <v>42</v>
      </c>
      <c r="L22" s="25">
        <v>2.8142857142857149</v>
      </c>
      <c r="M22" s="13" t="b">
        <v>0</v>
      </c>
      <c r="O22" s="25">
        <f t="shared" si="0"/>
        <v>27</v>
      </c>
      <c r="P22" s="13">
        <f t="shared" si="1"/>
        <v>915.6</v>
      </c>
      <c r="Q22" s="13" t="str">
        <f t="shared" si="2"/>
        <v/>
      </c>
      <c r="R22" s="13" t="str">
        <f t="shared" si="3"/>
        <v>Diskon</v>
      </c>
    </row>
    <row r="23" spans="1:18" x14ac:dyDescent="0.25">
      <c r="A23" s="13" t="s">
        <v>35</v>
      </c>
      <c r="B23" s="13" t="s">
        <v>2192</v>
      </c>
      <c r="C23" s="13" t="s">
        <v>2196</v>
      </c>
      <c r="D23" s="13" t="s">
        <v>2204</v>
      </c>
      <c r="F23" s="13" t="s">
        <v>2224</v>
      </c>
      <c r="G23" s="13">
        <v>62.3</v>
      </c>
      <c r="H23" s="44">
        <v>0</v>
      </c>
      <c r="I23" s="13">
        <v>62.3</v>
      </c>
      <c r="J23" s="24">
        <v>45559</v>
      </c>
      <c r="K23" s="25">
        <v>10</v>
      </c>
      <c r="L23" s="25">
        <v>2.5</v>
      </c>
      <c r="M23" s="13" t="b">
        <v>0</v>
      </c>
      <c r="O23" s="25">
        <f t="shared" si="0"/>
        <v>343</v>
      </c>
      <c r="P23" s="13">
        <f t="shared" si="1"/>
        <v>0</v>
      </c>
      <c r="Q23" s="13" t="str">
        <f t="shared" si="2"/>
        <v/>
      </c>
      <c r="R23" s="13" t="str">
        <f t="shared" si="3"/>
        <v>Non diskon</v>
      </c>
    </row>
    <row r="24" spans="1:18" x14ac:dyDescent="0.25">
      <c r="A24" s="13" t="s">
        <v>36</v>
      </c>
      <c r="B24" s="13" t="s">
        <v>2192</v>
      </c>
      <c r="C24" s="13" t="s">
        <v>2196</v>
      </c>
      <c r="D24" s="13" t="s">
        <v>2205</v>
      </c>
      <c r="F24" s="13" t="s">
        <v>2215</v>
      </c>
      <c r="G24" s="13">
        <v>38.479999999999997</v>
      </c>
      <c r="H24" s="44">
        <v>0</v>
      </c>
      <c r="I24" s="13">
        <v>38.479999999999997</v>
      </c>
      <c r="J24" s="24">
        <v>45875</v>
      </c>
      <c r="K24" s="25">
        <v>46</v>
      </c>
      <c r="L24" s="25">
        <v>1.2</v>
      </c>
      <c r="M24" s="13" t="b">
        <v>0</v>
      </c>
      <c r="O24" s="25">
        <f t="shared" si="0"/>
        <v>27</v>
      </c>
      <c r="P24" s="13">
        <f t="shared" si="1"/>
        <v>0</v>
      </c>
      <c r="Q24" s="13" t="str">
        <f t="shared" si="2"/>
        <v/>
      </c>
      <c r="R24" s="13" t="str">
        <f t="shared" si="3"/>
        <v>Non diskon</v>
      </c>
    </row>
    <row r="25" spans="1:18" x14ac:dyDescent="0.25">
      <c r="A25" s="13" t="s">
        <v>37</v>
      </c>
      <c r="B25" s="13" t="s">
        <v>2195</v>
      </c>
      <c r="C25" s="13" t="s">
        <v>2198</v>
      </c>
      <c r="D25" s="13" t="s">
        <v>2207</v>
      </c>
      <c r="E25" s="13" t="s">
        <v>2208</v>
      </c>
      <c r="F25" s="13" t="s">
        <v>2220</v>
      </c>
      <c r="G25" s="13">
        <v>91.36</v>
      </c>
      <c r="H25" s="44">
        <v>0</v>
      </c>
      <c r="I25" s="13">
        <v>91.36</v>
      </c>
      <c r="J25" s="24">
        <v>45875</v>
      </c>
      <c r="K25" s="25">
        <v>37</v>
      </c>
      <c r="L25" s="25">
        <v>1.2</v>
      </c>
      <c r="M25" s="13" t="b">
        <v>1</v>
      </c>
      <c r="N25" s="13" t="s">
        <v>2226</v>
      </c>
      <c r="O25" s="25">
        <f t="shared" si="0"/>
        <v>27</v>
      </c>
      <c r="P25" s="13">
        <f t="shared" si="1"/>
        <v>0</v>
      </c>
      <c r="Q25" s="13">
        <f t="shared" si="2"/>
        <v>1</v>
      </c>
      <c r="R25" s="13" t="str">
        <f t="shared" si="3"/>
        <v>Non diskon</v>
      </c>
    </row>
    <row r="26" spans="1:18" x14ac:dyDescent="0.25">
      <c r="A26" s="13" t="s">
        <v>38</v>
      </c>
      <c r="B26" s="13" t="s">
        <v>2191</v>
      </c>
      <c r="C26" s="13" t="s">
        <v>2203</v>
      </c>
      <c r="D26" s="13" t="s">
        <v>2206</v>
      </c>
      <c r="E26" s="13" t="s">
        <v>2212</v>
      </c>
      <c r="F26" s="13" t="s">
        <v>2219</v>
      </c>
      <c r="G26" s="13">
        <v>80.47</v>
      </c>
      <c r="H26" s="44">
        <v>29.1</v>
      </c>
      <c r="I26" s="13">
        <v>57.05</v>
      </c>
      <c r="J26" s="24">
        <v>45875</v>
      </c>
      <c r="K26" s="25">
        <v>38</v>
      </c>
      <c r="L26" s="25">
        <v>3.6</v>
      </c>
      <c r="M26" s="13" t="b">
        <v>0</v>
      </c>
      <c r="O26" s="25">
        <f t="shared" si="0"/>
        <v>27</v>
      </c>
      <c r="P26" s="13">
        <f t="shared" si="1"/>
        <v>1105.8</v>
      </c>
      <c r="Q26" s="13" t="str">
        <f t="shared" si="2"/>
        <v/>
      </c>
      <c r="R26" s="13" t="str">
        <f t="shared" si="3"/>
        <v>Diskon</v>
      </c>
    </row>
    <row r="27" spans="1:18" x14ac:dyDescent="0.25">
      <c r="A27" s="13" t="s">
        <v>39</v>
      </c>
      <c r="B27" s="13" t="s">
        <v>2194</v>
      </c>
      <c r="C27" s="13" t="s">
        <v>2197</v>
      </c>
      <c r="D27" s="13" t="s">
        <v>2204</v>
      </c>
      <c r="E27" s="13" t="s">
        <v>2213</v>
      </c>
      <c r="F27" s="13" t="s">
        <v>2214</v>
      </c>
      <c r="G27" s="13">
        <v>40.89</v>
      </c>
      <c r="H27" s="44">
        <v>34</v>
      </c>
      <c r="I27" s="13">
        <v>26.99</v>
      </c>
      <c r="J27" s="24">
        <v>45819</v>
      </c>
      <c r="K27" s="25">
        <v>16</v>
      </c>
      <c r="L27" s="25">
        <v>3.7</v>
      </c>
      <c r="M27" s="13" t="b">
        <v>0</v>
      </c>
      <c r="O27" s="25">
        <f t="shared" si="0"/>
        <v>83</v>
      </c>
      <c r="P27" s="13">
        <f t="shared" si="1"/>
        <v>544</v>
      </c>
      <c r="Q27" s="13" t="str">
        <f t="shared" si="2"/>
        <v/>
      </c>
      <c r="R27" s="13" t="str">
        <f t="shared" si="3"/>
        <v>Diskon</v>
      </c>
    </row>
    <row r="28" spans="1:18" x14ac:dyDescent="0.25">
      <c r="A28" s="13" t="s">
        <v>40</v>
      </c>
      <c r="B28" s="13" t="s">
        <v>2194</v>
      </c>
      <c r="C28" s="13" t="s">
        <v>2198</v>
      </c>
      <c r="D28" s="13" t="s">
        <v>2207</v>
      </c>
      <c r="E28" s="13" t="s">
        <v>2209</v>
      </c>
      <c r="F28" s="13" t="s">
        <v>2214</v>
      </c>
      <c r="G28" s="13">
        <v>47.04</v>
      </c>
      <c r="H28" s="44">
        <v>36</v>
      </c>
      <c r="I28" s="13">
        <v>30.11</v>
      </c>
      <c r="J28" s="24">
        <v>45875</v>
      </c>
      <c r="K28" s="25">
        <v>25</v>
      </c>
      <c r="L28" s="25">
        <v>1.1000000000000001</v>
      </c>
      <c r="M28" s="13" t="b">
        <v>1</v>
      </c>
      <c r="N28" s="13" t="s">
        <v>2227</v>
      </c>
      <c r="O28" s="25">
        <f t="shared" si="0"/>
        <v>27</v>
      </c>
      <c r="P28" s="13">
        <f t="shared" si="1"/>
        <v>900</v>
      </c>
      <c r="Q28" s="13">
        <f t="shared" si="2"/>
        <v>1</v>
      </c>
      <c r="R28" s="13" t="str">
        <f t="shared" si="3"/>
        <v>Diskon</v>
      </c>
    </row>
    <row r="29" spans="1:18" x14ac:dyDescent="0.25">
      <c r="A29" s="13" t="s">
        <v>41</v>
      </c>
      <c r="B29" s="13" t="s">
        <v>2194</v>
      </c>
      <c r="C29" s="13" t="s">
        <v>2202</v>
      </c>
      <c r="D29" s="13" t="s">
        <v>2207</v>
      </c>
      <c r="E29" s="13" t="s">
        <v>2213</v>
      </c>
      <c r="F29" s="13" t="s">
        <v>2219</v>
      </c>
      <c r="G29" s="13">
        <v>53.37</v>
      </c>
      <c r="H29" s="44">
        <v>0</v>
      </c>
      <c r="I29" s="13">
        <v>53.37</v>
      </c>
      <c r="J29" s="24">
        <v>45875</v>
      </c>
      <c r="K29" s="25">
        <v>28</v>
      </c>
      <c r="L29" s="25">
        <v>3.8</v>
      </c>
      <c r="M29" s="13" t="b">
        <v>0</v>
      </c>
      <c r="O29" s="25">
        <f t="shared" si="0"/>
        <v>27</v>
      </c>
      <c r="P29" s="13">
        <f t="shared" si="1"/>
        <v>0</v>
      </c>
      <c r="Q29" s="13" t="str">
        <f t="shared" si="2"/>
        <v/>
      </c>
      <c r="R29" s="13" t="str">
        <f t="shared" si="3"/>
        <v>Non diskon</v>
      </c>
    </row>
    <row r="30" spans="1:18" x14ac:dyDescent="0.25">
      <c r="A30" s="13" t="s">
        <v>42</v>
      </c>
      <c r="B30" s="13" t="s">
        <v>2195</v>
      </c>
      <c r="C30" s="13" t="s">
        <v>2201</v>
      </c>
      <c r="D30" s="13" t="s">
        <v>2207</v>
      </c>
      <c r="E30" s="13" t="s">
        <v>2209</v>
      </c>
      <c r="F30" s="13" t="s">
        <v>2217</v>
      </c>
      <c r="G30" s="13">
        <v>114.35</v>
      </c>
      <c r="H30" s="44">
        <v>0</v>
      </c>
      <c r="I30" s="13">
        <v>114.35</v>
      </c>
      <c r="J30" s="24">
        <v>45875</v>
      </c>
      <c r="K30" s="25">
        <v>6</v>
      </c>
      <c r="L30" s="25">
        <v>1.2</v>
      </c>
      <c r="M30" s="13" t="b">
        <v>0</v>
      </c>
      <c r="O30" s="25">
        <f t="shared" si="0"/>
        <v>27</v>
      </c>
      <c r="P30" s="13">
        <f t="shared" si="1"/>
        <v>0</v>
      </c>
      <c r="Q30" s="13" t="str">
        <f t="shared" si="2"/>
        <v/>
      </c>
      <c r="R30" s="13" t="str">
        <f t="shared" si="3"/>
        <v>Non diskon</v>
      </c>
    </row>
    <row r="31" spans="1:18" x14ac:dyDescent="0.25">
      <c r="A31" s="13" t="s">
        <v>43</v>
      </c>
      <c r="B31" s="13" t="s">
        <v>2193</v>
      </c>
      <c r="C31" s="13" t="s">
        <v>2202</v>
      </c>
      <c r="D31" s="13" t="s">
        <v>2204</v>
      </c>
      <c r="E31" s="13" t="s">
        <v>2208</v>
      </c>
      <c r="F31" s="13" t="s">
        <v>2214</v>
      </c>
      <c r="G31" s="13">
        <v>77.63</v>
      </c>
      <c r="H31" s="44">
        <v>0</v>
      </c>
      <c r="I31" s="13">
        <v>77.63</v>
      </c>
      <c r="J31" s="24">
        <v>45589</v>
      </c>
      <c r="K31" s="25">
        <v>1</v>
      </c>
      <c r="L31" s="25">
        <v>2.9083333333333328</v>
      </c>
      <c r="M31" s="13" t="b">
        <v>0</v>
      </c>
      <c r="O31" s="25">
        <f t="shared" si="0"/>
        <v>313</v>
      </c>
      <c r="P31" s="13">
        <f t="shared" si="1"/>
        <v>0</v>
      </c>
      <c r="Q31" s="13" t="str">
        <f t="shared" si="2"/>
        <v/>
      </c>
      <c r="R31" s="13" t="str">
        <f t="shared" si="3"/>
        <v>Non diskon</v>
      </c>
    </row>
    <row r="32" spans="1:18" x14ac:dyDescent="0.25">
      <c r="A32" s="13" t="s">
        <v>44</v>
      </c>
      <c r="B32" s="13" t="s">
        <v>2193</v>
      </c>
      <c r="C32" s="13" t="s">
        <v>2197</v>
      </c>
      <c r="D32" s="13" t="s">
        <v>2207</v>
      </c>
      <c r="E32" s="13" t="s">
        <v>2210</v>
      </c>
      <c r="F32" s="13" t="s">
        <v>2214</v>
      </c>
      <c r="G32" s="13">
        <v>71.290000000000006</v>
      </c>
      <c r="H32" s="44">
        <v>0</v>
      </c>
      <c r="I32" s="13">
        <v>71.290000000000006</v>
      </c>
      <c r="J32" s="24">
        <v>45875</v>
      </c>
      <c r="K32" s="25">
        <v>37</v>
      </c>
      <c r="L32" s="25">
        <v>4.0999999999999996</v>
      </c>
      <c r="M32" s="13" t="b">
        <v>1</v>
      </c>
      <c r="N32" s="13" t="s">
        <v>2228</v>
      </c>
      <c r="O32" s="25">
        <f t="shared" si="0"/>
        <v>27</v>
      </c>
      <c r="P32" s="13">
        <f t="shared" si="1"/>
        <v>0</v>
      </c>
      <c r="Q32" s="13">
        <f t="shared" si="2"/>
        <v>1</v>
      </c>
      <c r="R32" s="13" t="str">
        <f t="shared" si="3"/>
        <v>Non diskon</v>
      </c>
    </row>
    <row r="33" spans="1:18" x14ac:dyDescent="0.25">
      <c r="A33" s="13" t="s">
        <v>45</v>
      </c>
      <c r="B33" s="13" t="s">
        <v>2191</v>
      </c>
      <c r="C33" s="13" t="s">
        <v>2202</v>
      </c>
      <c r="D33" s="13" t="s">
        <v>2204</v>
      </c>
      <c r="E33" s="13" t="s">
        <v>2209</v>
      </c>
      <c r="F33" s="13" t="s">
        <v>2223</v>
      </c>
      <c r="G33" s="13">
        <v>37.43</v>
      </c>
      <c r="H33" s="44">
        <v>24.4</v>
      </c>
      <c r="I33" s="13">
        <v>28.3</v>
      </c>
      <c r="J33" s="24">
        <v>45763</v>
      </c>
      <c r="K33" s="25">
        <v>5</v>
      </c>
      <c r="L33" s="25">
        <v>2.9074999999999998</v>
      </c>
      <c r="M33" s="13" t="b">
        <v>0</v>
      </c>
      <c r="O33" s="25">
        <f t="shared" si="0"/>
        <v>139</v>
      </c>
      <c r="P33" s="13">
        <f t="shared" si="1"/>
        <v>122</v>
      </c>
      <c r="Q33" s="13" t="str">
        <f t="shared" si="2"/>
        <v/>
      </c>
      <c r="R33" s="13" t="str">
        <f t="shared" si="3"/>
        <v>Diskon</v>
      </c>
    </row>
    <row r="34" spans="1:18" x14ac:dyDescent="0.25">
      <c r="A34" s="13" t="s">
        <v>46</v>
      </c>
      <c r="B34" s="13" t="s">
        <v>2193</v>
      </c>
      <c r="C34" s="13" t="s">
        <v>2196</v>
      </c>
      <c r="D34" s="13" t="s">
        <v>2204</v>
      </c>
      <c r="E34" s="13" t="s">
        <v>2208</v>
      </c>
      <c r="F34" s="13" t="s">
        <v>2223</v>
      </c>
      <c r="G34" s="13">
        <v>143.78</v>
      </c>
      <c r="H34" s="44">
        <v>0</v>
      </c>
      <c r="I34" s="13">
        <v>143.78</v>
      </c>
      <c r="J34" s="24">
        <v>45581</v>
      </c>
      <c r="K34" s="25">
        <v>43</v>
      </c>
      <c r="L34" s="25">
        <v>1.1000000000000001</v>
      </c>
      <c r="M34" s="13" t="b">
        <v>0</v>
      </c>
      <c r="O34" s="25">
        <f t="shared" si="0"/>
        <v>321</v>
      </c>
      <c r="P34" s="13">
        <f t="shared" si="1"/>
        <v>0</v>
      </c>
      <c r="Q34" s="13" t="str">
        <f t="shared" si="2"/>
        <v/>
      </c>
      <c r="R34" s="13" t="str">
        <f t="shared" si="3"/>
        <v>Non diskon</v>
      </c>
    </row>
    <row r="35" spans="1:18" x14ac:dyDescent="0.25">
      <c r="A35" s="13" t="s">
        <v>47</v>
      </c>
      <c r="B35" s="13" t="s">
        <v>2191</v>
      </c>
      <c r="C35" s="13" t="s">
        <v>2198</v>
      </c>
      <c r="D35" s="13" t="s">
        <v>2207</v>
      </c>
      <c r="E35" s="13" t="s">
        <v>2208</v>
      </c>
      <c r="F35" s="13" t="s">
        <v>2218</v>
      </c>
      <c r="G35" s="13">
        <v>88.23</v>
      </c>
      <c r="H35" s="44">
        <v>0</v>
      </c>
      <c r="I35" s="13">
        <v>88.23</v>
      </c>
      <c r="J35" s="24">
        <v>45875</v>
      </c>
      <c r="K35" s="25">
        <v>44</v>
      </c>
      <c r="L35" s="25">
        <v>1.6</v>
      </c>
      <c r="M35" s="13" t="b">
        <v>0</v>
      </c>
      <c r="O35" s="25">
        <f t="shared" si="0"/>
        <v>27</v>
      </c>
      <c r="P35" s="13">
        <f t="shared" si="1"/>
        <v>0</v>
      </c>
      <c r="Q35" s="13" t="str">
        <f t="shared" si="2"/>
        <v/>
      </c>
      <c r="R35" s="13" t="str">
        <f t="shared" si="3"/>
        <v>Non diskon</v>
      </c>
    </row>
    <row r="36" spans="1:18" x14ac:dyDescent="0.25">
      <c r="A36" s="13" t="s">
        <v>48</v>
      </c>
      <c r="B36" s="13" t="s">
        <v>2192</v>
      </c>
      <c r="C36" s="13" t="s">
        <v>2203</v>
      </c>
      <c r="D36" s="13" t="s">
        <v>2206</v>
      </c>
      <c r="F36" s="13" t="s">
        <v>2222</v>
      </c>
      <c r="G36" s="13">
        <v>58.57</v>
      </c>
      <c r="H36" s="44">
        <v>0</v>
      </c>
      <c r="I36" s="13">
        <v>58.57</v>
      </c>
      <c r="J36" s="24">
        <v>45875</v>
      </c>
      <c r="K36" s="25">
        <v>38</v>
      </c>
      <c r="L36" s="25">
        <v>1.5</v>
      </c>
      <c r="M36" s="13" t="b">
        <v>0</v>
      </c>
      <c r="O36" s="25">
        <f t="shared" si="0"/>
        <v>27</v>
      </c>
      <c r="P36" s="13">
        <f t="shared" si="1"/>
        <v>0</v>
      </c>
      <c r="Q36" s="13" t="str">
        <f t="shared" si="2"/>
        <v/>
      </c>
      <c r="R36" s="13" t="str">
        <f t="shared" si="3"/>
        <v>Non diskon</v>
      </c>
    </row>
    <row r="37" spans="1:18" x14ac:dyDescent="0.25">
      <c r="A37" s="13" t="s">
        <v>49</v>
      </c>
      <c r="B37" s="13" t="s">
        <v>2191</v>
      </c>
      <c r="C37" s="13" t="s">
        <v>2197</v>
      </c>
      <c r="D37" s="13" t="s">
        <v>2205</v>
      </c>
      <c r="E37" s="13" t="s">
        <v>2211</v>
      </c>
      <c r="F37" s="13" t="s">
        <v>2217</v>
      </c>
      <c r="G37" s="13">
        <v>119.7</v>
      </c>
      <c r="H37" s="44">
        <v>5.7</v>
      </c>
      <c r="I37" s="13">
        <v>112.88</v>
      </c>
      <c r="J37" s="24">
        <v>45875</v>
      </c>
      <c r="K37" s="25">
        <v>37</v>
      </c>
      <c r="L37" s="25">
        <v>4.9000000000000004</v>
      </c>
      <c r="M37" s="13" t="b">
        <v>0</v>
      </c>
      <c r="O37" s="25">
        <f t="shared" si="0"/>
        <v>27</v>
      </c>
      <c r="P37" s="13">
        <f t="shared" si="1"/>
        <v>210.9</v>
      </c>
      <c r="Q37" s="13" t="str">
        <f t="shared" si="2"/>
        <v/>
      </c>
      <c r="R37" s="13" t="str">
        <f t="shared" si="3"/>
        <v>Diskon</v>
      </c>
    </row>
    <row r="38" spans="1:18" x14ac:dyDescent="0.25">
      <c r="A38" s="13" t="s">
        <v>50</v>
      </c>
      <c r="B38" s="13" t="s">
        <v>2194</v>
      </c>
      <c r="C38" s="13" t="s">
        <v>2198</v>
      </c>
      <c r="D38" s="13" t="s">
        <v>2206</v>
      </c>
      <c r="E38" s="13" t="s">
        <v>2211</v>
      </c>
      <c r="F38" s="13" t="s">
        <v>2220</v>
      </c>
      <c r="G38" s="13">
        <v>97.06</v>
      </c>
      <c r="H38" s="44">
        <v>47.8</v>
      </c>
      <c r="I38" s="13">
        <v>50.67</v>
      </c>
      <c r="J38" s="24">
        <v>45875</v>
      </c>
      <c r="K38" s="25">
        <v>31</v>
      </c>
      <c r="L38" s="25">
        <v>4.0999999999999996</v>
      </c>
      <c r="M38" s="13" t="b">
        <v>0</v>
      </c>
      <c r="O38" s="25">
        <f t="shared" si="0"/>
        <v>27</v>
      </c>
      <c r="P38" s="13">
        <f t="shared" si="1"/>
        <v>1481.8</v>
      </c>
      <c r="Q38" s="13" t="str">
        <f t="shared" si="2"/>
        <v/>
      </c>
      <c r="R38" s="13" t="str">
        <f t="shared" si="3"/>
        <v>Diskon</v>
      </c>
    </row>
    <row r="39" spans="1:18" x14ac:dyDescent="0.25">
      <c r="A39" s="13" t="s">
        <v>51</v>
      </c>
      <c r="B39" s="13" t="s">
        <v>2195</v>
      </c>
      <c r="C39" s="13" t="s">
        <v>2198</v>
      </c>
      <c r="D39" s="13" t="s">
        <v>2207</v>
      </c>
      <c r="E39" s="13" t="s">
        <v>2209</v>
      </c>
      <c r="F39" s="13" t="s">
        <v>2217</v>
      </c>
      <c r="G39" s="13">
        <v>110.09</v>
      </c>
      <c r="H39" s="44">
        <v>0</v>
      </c>
      <c r="I39" s="13">
        <v>110.09</v>
      </c>
      <c r="J39" s="24">
        <v>45875</v>
      </c>
      <c r="K39" s="25">
        <v>32</v>
      </c>
      <c r="L39" s="25">
        <v>3.4</v>
      </c>
      <c r="M39" s="13" t="b">
        <v>0</v>
      </c>
      <c r="O39" s="25">
        <f t="shared" si="0"/>
        <v>27</v>
      </c>
      <c r="P39" s="13">
        <f t="shared" si="1"/>
        <v>0</v>
      </c>
      <c r="Q39" s="13" t="str">
        <f t="shared" si="2"/>
        <v/>
      </c>
      <c r="R39" s="13" t="str">
        <f t="shared" si="3"/>
        <v>Non diskon</v>
      </c>
    </row>
    <row r="40" spans="1:18" x14ac:dyDescent="0.25">
      <c r="A40" s="13" t="s">
        <v>52</v>
      </c>
      <c r="B40" s="13" t="s">
        <v>2193</v>
      </c>
      <c r="C40" s="13" t="s">
        <v>2196</v>
      </c>
      <c r="D40" s="13" t="s">
        <v>2205</v>
      </c>
      <c r="E40" s="13" t="s">
        <v>2212</v>
      </c>
      <c r="F40" s="13" t="s">
        <v>2220</v>
      </c>
      <c r="G40" s="13">
        <v>198.42</v>
      </c>
      <c r="H40" s="44">
        <v>14.2</v>
      </c>
      <c r="I40" s="13">
        <v>170.24</v>
      </c>
      <c r="J40" s="24">
        <v>45875</v>
      </c>
      <c r="K40" s="25">
        <v>10</v>
      </c>
      <c r="L40" s="25">
        <v>2.9153846153846157</v>
      </c>
      <c r="M40" s="13" t="b">
        <v>0</v>
      </c>
      <c r="O40" s="25">
        <f t="shared" si="0"/>
        <v>27</v>
      </c>
      <c r="P40" s="13">
        <f t="shared" si="1"/>
        <v>142</v>
      </c>
      <c r="Q40" s="13" t="str">
        <f t="shared" si="2"/>
        <v/>
      </c>
      <c r="R40" s="13" t="str">
        <f t="shared" si="3"/>
        <v>Diskon</v>
      </c>
    </row>
    <row r="41" spans="1:18" x14ac:dyDescent="0.25">
      <c r="A41" s="13" t="s">
        <v>53</v>
      </c>
      <c r="B41" s="13" t="s">
        <v>2194</v>
      </c>
      <c r="C41" s="13" t="s">
        <v>2198</v>
      </c>
      <c r="D41" s="13" t="s">
        <v>2205</v>
      </c>
      <c r="F41" s="13" t="s">
        <v>2223</v>
      </c>
      <c r="G41" s="13">
        <v>101.72</v>
      </c>
      <c r="H41" s="44">
        <v>0</v>
      </c>
      <c r="I41" s="13">
        <v>101.72</v>
      </c>
      <c r="J41" s="24">
        <v>45875</v>
      </c>
      <c r="K41" s="25">
        <v>40</v>
      </c>
      <c r="L41" s="25">
        <v>3.0384615384615379</v>
      </c>
      <c r="M41" s="13" t="b">
        <v>0</v>
      </c>
      <c r="O41" s="25">
        <f t="shared" si="0"/>
        <v>27</v>
      </c>
      <c r="P41" s="13">
        <f t="shared" si="1"/>
        <v>0</v>
      </c>
      <c r="Q41" s="13" t="str">
        <f t="shared" si="2"/>
        <v/>
      </c>
      <c r="R41" s="13" t="str">
        <f t="shared" si="3"/>
        <v>Non diskon</v>
      </c>
    </row>
    <row r="42" spans="1:18" x14ac:dyDescent="0.25">
      <c r="A42" s="13" t="s">
        <v>54</v>
      </c>
      <c r="B42" s="13" t="s">
        <v>2191</v>
      </c>
      <c r="C42" s="13" t="s">
        <v>2197</v>
      </c>
      <c r="D42" s="13" t="s">
        <v>2207</v>
      </c>
      <c r="E42" s="13" t="s">
        <v>2210</v>
      </c>
      <c r="F42" s="13" t="s">
        <v>2217</v>
      </c>
      <c r="G42" s="13">
        <v>117.86</v>
      </c>
      <c r="H42" s="44">
        <v>0</v>
      </c>
      <c r="I42" s="13">
        <v>117.86</v>
      </c>
      <c r="J42" s="24">
        <v>45875</v>
      </c>
      <c r="K42" s="25">
        <v>6</v>
      </c>
      <c r="L42" s="25">
        <v>3.34</v>
      </c>
      <c r="M42" s="13" t="b">
        <v>0</v>
      </c>
      <c r="O42" s="25">
        <f t="shared" si="0"/>
        <v>27</v>
      </c>
      <c r="P42" s="13">
        <f t="shared" si="1"/>
        <v>0</v>
      </c>
      <c r="Q42" s="13" t="str">
        <f t="shared" si="2"/>
        <v/>
      </c>
      <c r="R42" s="13" t="str">
        <f t="shared" si="3"/>
        <v>Non diskon</v>
      </c>
    </row>
    <row r="43" spans="1:18" x14ac:dyDescent="0.25">
      <c r="A43" s="13" t="s">
        <v>55</v>
      </c>
      <c r="B43" s="13" t="s">
        <v>2191</v>
      </c>
      <c r="C43" s="13" t="s">
        <v>2201</v>
      </c>
      <c r="D43" s="13" t="s">
        <v>2207</v>
      </c>
      <c r="E43" s="13" t="s">
        <v>2213</v>
      </c>
      <c r="F43" s="13" t="s">
        <v>2220</v>
      </c>
      <c r="G43" s="13">
        <v>78.86</v>
      </c>
      <c r="H43" s="44">
        <v>0</v>
      </c>
      <c r="I43" s="13">
        <v>78.86</v>
      </c>
      <c r="J43" s="24">
        <v>45875</v>
      </c>
      <c r="K43" s="25">
        <v>22</v>
      </c>
      <c r="L43" s="25">
        <v>4.3</v>
      </c>
      <c r="M43" s="13" t="b">
        <v>0</v>
      </c>
      <c r="O43" s="25">
        <f t="shared" si="0"/>
        <v>27</v>
      </c>
      <c r="P43" s="13">
        <f t="shared" si="1"/>
        <v>0</v>
      </c>
      <c r="Q43" s="13" t="str">
        <f t="shared" si="2"/>
        <v/>
      </c>
      <c r="R43" s="13" t="str">
        <f t="shared" si="3"/>
        <v>Non diskon</v>
      </c>
    </row>
    <row r="44" spans="1:18" x14ac:dyDescent="0.25">
      <c r="A44" s="13" t="s">
        <v>56</v>
      </c>
      <c r="B44" s="13" t="s">
        <v>2190</v>
      </c>
      <c r="C44" s="13" t="s">
        <v>2196</v>
      </c>
      <c r="D44" s="13" t="s">
        <v>2205</v>
      </c>
      <c r="E44" s="13" t="s">
        <v>2212</v>
      </c>
      <c r="F44" s="13" t="s">
        <v>2222</v>
      </c>
      <c r="G44" s="13">
        <v>216.16</v>
      </c>
      <c r="H44" s="44">
        <v>51.4</v>
      </c>
      <c r="I44" s="13">
        <v>105.05</v>
      </c>
      <c r="J44" s="24">
        <v>45875</v>
      </c>
      <c r="K44" s="25">
        <v>36</v>
      </c>
      <c r="L44" s="25">
        <v>4</v>
      </c>
      <c r="M44" s="13" t="b">
        <v>0</v>
      </c>
      <c r="O44" s="25">
        <f t="shared" si="0"/>
        <v>27</v>
      </c>
      <c r="P44" s="13">
        <f t="shared" si="1"/>
        <v>1850.3999999999999</v>
      </c>
      <c r="Q44" s="13" t="str">
        <f t="shared" si="2"/>
        <v/>
      </c>
      <c r="R44" s="13" t="str">
        <f t="shared" si="3"/>
        <v>Diskon</v>
      </c>
    </row>
    <row r="45" spans="1:18" x14ac:dyDescent="0.25">
      <c r="A45" s="13" t="s">
        <v>57</v>
      </c>
      <c r="B45" s="13" t="s">
        <v>2193</v>
      </c>
      <c r="C45" s="13" t="s">
        <v>2196</v>
      </c>
      <c r="D45" s="13" t="s">
        <v>2204</v>
      </c>
      <c r="E45" s="13" t="s">
        <v>2208</v>
      </c>
      <c r="F45" s="13" t="s">
        <v>2215</v>
      </c>
      <c r="G45" s="13">
        <v>129.85</v>
      </c>
      <c r="H45" s="44">
        <v>0</v>
      </c>
      <c r="I45" s="13">
        <v>129.85</v>
      </c>
      <c r="J45" s="24">
        <v>45772</v>
      </c>
      <c r="K45" s="25">
        <v>36</v>
      </c>
      <c r="L45" s="25">
        <v>3.3</v>
      </c>
      <c r="M45" s="13" t="b">
        <v>0</v>
      </c>
      <c r="O45" s="25">
        <f t="shared" si="0"/>
        <v>130</v>
      </c>
      <c r="P45" s="13">
        <f t="shared" si="1"/>
        <v>0</v>
      </c>
      <c r="Q45" s="13" t="str">
        <f t="shared" si="2"/>
        <v/>
      </c>
      <c r="R45" s="13" t="str">
        <f t="shared" si="3"/>
        <v>Non diskon</v>
      </c>
    </row>
    <row r="46" spans="1:18" x14ac:dyDescent="0.25">
      <c r="A46" s="13" t="s">
        <v>58</v>
      </c>
      <c r="B46" s="13" t="s">
        <v>2191</v>
      </c>
      <c r="C46" s="13" t="s">
        <v>2198</v>
      </c>
      <c r="D46" s="13" t="s">
        <v>2205</v>
      </c>
      <c r="E46" s="13" t="s">
        <v>2211</v>
      </c>
      <c r="F46" s="13" t="s">
        <v>2220</v>
      </c>
      <c r="G46" s="13">
        <v>111.3</v>
      </c>
      <c r="H46" s="44">
        <v>0</v>
      </c>
      <c r="I46" s="13">
        <v>111.3</v>
      </c>
      <c r="J46" s="24">
        <v>45875</v>
      </c>
      <c r="K46" s="25">
        <v>11</v>
      </c>
      <c r="L46" s="25">
        <v>1.7</v>
      </c>
      <c r="M46" s="13" t="b">
        <v>0</v>
      </c>
      <c r="O46" s="25">
        <f t="shared" si="0"/>
        <v>27</v>
      </c>
      <c r="P46" s="13">
        <f t="shared" si="1"/>
        <v>0</v>
      </c>
      <c r="Q46" s="13" t="str">
        <f t="shared" si="2"/>
        <v/>
      </c>
      <c r="R46" s="13" t="str">
        <f t="shared" si="3"/>
        <v>Non diskon</v>
      </c>
    </row>
    <row r="47" spans="1:18" x14ac:dyDescent="0.25">
      <c r="A47" s="13" t="s">
        <v>59</v>
      </c>
      <c r="B47" s="13" t="s">
        <v>2195</v>
      </c>
      <c r="C47" s="13" t="s">
        <v>2197</v>
      </c>
      <c r="D47" s="13" t="s">
        <v>2207</v>
      </c>
      <c r="E47" s="13" t="s">
        <v>2208</v>
      </c>
      <c r="F47" s="13" t="s">
        <v>2224</v>
      </c>
      <c r="G47" s="13">
        <v>73.650000000000006</v>
      </c>
      <c r="H47" s="44">
        <v>0</v>
      </c>
      <c r="I47" s="13">
        <v>73.650000000000006</v>
      </c>
      <c r="J47" s="24">
        <v>45875</v>
      </c>
      <c r="K47" s="25">
        <v>33</v>
      </c>
      <c r="L47" s="25">
        <v>3.6</v>
      </c>
      <c r="M47" s="13" t="b">
        <v>0</v>
      </c>
      <c r="O47" s="25">
        <f t="shared" si="0"/>
        <v>27</v>
      </c>
      <c r="P47" s="13">
        <f t="shared" si="1"/>
        <v>0</v>
      </c>
      <c r="Q47" s="13" t="str">
        <f t="shared" si="2"/>
        <v/>
      </c>
      <c r="R47" s="13" t="str">
        <f t="shared" si="3"/>
        <v>Non diskon</v>
      </c>
    </row>
    <row r="48" spans="1:18" x14ac:dyDescent="0.25">
      <c r="A48" s="13" t="s">
        <v>60</v>
      </c>
      <c r="B48" s="13" t="s">
        <v>2193</v>
      </c>
      <c r="C48" s="13" t="s">
        <v>2199</v>
      </c>
      <c r="D48" s="13" t="s">
        <v>2207</v>
      </c>
      <c r="E48" s="13" t="s">
        <v>2209</v>
      </c>
      <c r="F48" s="13" t="s">
        <v>2215</v>
      </c>
      <c r="G48" s="13">
        <v>147.13</v>
      </c>
      <c r="H48" s="44">
        <v>30.3</v>
      </c>
      <c r="I48" s="13">
        <v>102.55</v>
      </c>
      <c r="J48" s="24">
        <v>45875</v>
      </c>
      <c r="K48" s="25">
        <v>13</v>
      </c>
      <c r="L48" s="25">
        <v>4.4000000000000004</v>
      </c>
      <c r="M48" s="13" t="b">
        <v>0</v>
      </c>
      <c r="O48" s="25">
        <f t="shared" si="0"/>
        <v>27</v>
      </c>
      <c r="P48" s="13">
        <f t="shared" si="1"/>
        <v>393.90000000000003</v>
      </c>
      <c r="Q48" s="13" t="str">
        <f t="shared" si="2"/>
        <v/>
      </c>
      <c r="R48" s="13" t="str">
        <f t="shared" si="3"/>
        <v>Diskon</v>
      </c>
    </row>
    <row r="49" spans="1:18" x14ac:dyDescent="0.25">
      <c r="A49" s="13" t="s">
        <v>61</v>
      </c>
      <c r="B49" s="13" t="s">
        <v>2192</v>
      </c>
      <c r="C49" s="13" t="s">
        <v>2201</v>
      </c>
      <c r="D49" s="13" t="s">
        <v>2205</v>
      </c>
      <c r="F49" s="13" t="s">
        <v>2220</v>
      </c>
      <c r="G49" s="13">
        <v>44.6</v>
      </c>
      <c r="H49" s="44">
        <v>53.9</v>
      </c>
      <c r="I49" s="13">
        <v>20.56</v>
      </c>
      <c r="J49" s="24">
        <v>45875</v>
      </c>
      <c r="K49" s="25">
        <v>42</v>
      </c>
      <c r="L49" s="25">
        <v>2.4</v>
      </c>
      <c r="M49" s="13" t="b">
        <v>0</v>
      </c>
      <c r="O49" s="25">
        <f t="shared" si="0"/>
        <v>27</v>
      </c>
      <c r="P49" s="13">
        <f t="shared" si="1"/>
        <v>2263.7999999999997</v>
      </c>
      <c r="Q49" s="13" t="str">
        <f t="shared" si="2"/>
        <v/>
      </c>
      <c r="R49" s="13" t="str">
        <f t="shared" si="3"/>
        <v>Diskon</v>
      </c>
    </row>
    <row r="50" spans="1:18" x14ac:dyDescent="0.25">
      <c r="A50" s="13" t="s">
        <v>62</v>
      </c>
      <c r="B50" s="13" t="s">
        <v>2194</v>
      </c>
      <c r="C50" s="13" t="s">
        <v>2203</v>
      </c>
      <c r="D50" s="13" t="s">
        <v>2207</v>
      </c>
      <c r="E50" s="13" t="s">
        <v>2208</v>
      </c>
      <c r="F50" s="13" t="s">
        <v>2217</v>
      </c>
      <c r="G50" s="13">
        <v>101.8</v>
      </c>
      <c r="H50" s="44">
        <v>0</v>
      </c>
      <c r="I50" s="13">
        <v>101.8</v>
      </c>
      <c r="J50" s="24">
        <v>45875</v>
      </c>
      <c r="K50" s="25">
        <v>7</v>
      </c>
      <c r="L50" s="25">
        <v>2.8</v>
      </c>
      <c r="M50" s="13" t="b">
        <v>0</v>
      </c>
      <c r="O50" s="25">
        <f t="shared" si="0"/>
        <v>27</v>
      </c>
      <c r="P50" s="13">
        <f t="shared" si="1"/>
        <v>0</v>
      </c>
      <c r="Q50" s="13" t="str">
        <f t="shared" si="2"/>
        <v/>
      </c>
      <c r="R50" s="13" t="str">
        <f t="shared" si="3"/>
        <v>Non diskon</v>
      </c>
    </row>
    <row r="51" spans="1:18" x14ac:dyDescent="0.25">
      <c r="A51" s="13" t="s">
        <v>63</v>
      </c>
      <c r="B51" s="13" t="s">
        <v>2192</v>
      </c>
      <c r="C51" s="13" t="s">
        <v>2198</v>
      </c>
      <c r="D51" s="13" t="s">
        <v>2207</v>
      </c>
      <c r="F51" s="13" t="s">
        <v>2224</v>
      </c>
      <c r="G51" s="13">
        <v>16.52</v>
      </c>
      <c r="H51" s="44">
        <v>55.9</v>
      </c>
      <c r="I51" s="13">
        <v>7.29</v>
      </c>
      <c r="J51" s="24">
        <v>45875</v>
      </c>
      <c r="K51" s="25">
        <v>43</v>
      </c>
      <c r="L51" s="25">
        <v>2.8694444444444449</v>
      </c>
      <c r="M51" s="13" t="b">
        <v>0</v>
      </c>
      <c r="O51" s="25">
        <f t="shared" si="0"/>
        <v>27</v>
      </c>
      <c r="P51" s="13">
        <f t="shared" si="1"/>
        <v>2403.6999999999998</v>
      </c>
      <c r="Q51" s="13" t="str">
        <f t="shared" si="2"/>
        <v/>
      </c>
      <c r="R51" s="13" t="str">
        <f t="shared" si="3"/>
        <v>Diskon</v>
      </c>
    </row>
    <row r="52" spans="1:18" x14ac:dyDescent="0.25">
      <c r="A52" s="13" t="s">
        <v>64</v>
      </c>
      <c r="B52" s="13" t="s">
        <v>2194</v>
      </c>
      <c r="C52" s="13" t="s">
        <v>2200</v>
      </c>
      <c r="D52" s="13" t="s">
        <v>2206</v>
      </c>
      <c r="E52" s="13" t="s">
        <v>2213</v>
      </c>
      <c r="F52" s="13" t="s">
        <v>2221</v>
      </c>
      <c r="G52" s="13">
        <v>50.91</v>
      </c>
      <c r="H52" s="44">
        <v>0</v>
      </c>
      <c r="I52" s="13">
        <v>50.91</v>
      </c>
      <c r="J52" s="24">
        <v>45875</v>
      </c>
      <c r="K52" s="25">
        <v>3</v>
      </c>
      <c r="L52" s="25">
        <v>1.8</v>
      </c>
      <c r="M52" s="13" t="b">
        <v>0</v>
      </c>
      <c r="O52" s="25">
        <f t="shared" si="0"/>
        <v>27</v>
      </c>
      <c r="P52" s="13">
        <f t="shared" si="1"/>
        <v>0</v>
      </c>
      <c r="Q52" s="13" t="str">
        <f t="shared" si="2"/>
        <v/>
      </c>
      <c r="R52" s="13" t="str">
        <f t="shared" si="3"/>
        <v>Non diskon</v>
      </c>
    </row>
    <row r="53" spans="1:18" x14ac:dyDescent="0.25">
      <c r="A53" s="13" t="s">
        <v>65</v>
      </c>
      <c r="B53" s="13" t="s">
        <v>2190</v>
      </c>
      <c r="C53" s="13" t="s">
        <v>2203</v>
      </c>
      <c r="D53" s="13" t="s">
        <v>2204</v>
      </c>
      <c r="E53" s="13" t="s">
        <v>2210</v>
      </c>
      <c r="F53" s="13" t="s">
        <v>2217</v>
      </c>
      <c r="G53" s="13">
        <v>222.26</v>
      </c>
      <c r="H53" s="44">
        <v>0</v>
      </c>
      <c r="I53" s="13">
        <v>222.26</v>
      </c>
      <c r="J53" s="24">
        <v>45780</v>
      </c>
      <c r="K53" s="25">
        <v>50</v>
      </c>
      <c r="L53" s="25">
        <v>4.5</v>
      </c>
      <c r="M53" s="13" t="b">
        <v>0</v>
      </c>
      <c r="O53" s="25">
        <f t="shared" si="0"/>
        <v>122</v>
      </c>
      <c r="P53" s="13">
        <f t="shared" si="1"/>
        <v>0</v>
      </c>
      <c r="Q53" s="13" t="str">
        <f t="shared" si="2"/>
        <v/>
      </c>
      <c r="R53" s="13" t="str">
        <f t="shared" si="3"/>
        <v>Non diskon</v>
      </c>
    </row>
    <row r="54" spans="1:18" x14ac:dyDescent="0.25">
      <c r="A54" s="13" t="s">
        <v>66</v>
      </c>
      <c r="B54" s="13" t="s">
        <v>2193</v>
      </c>
      <c r="C54" s="13" t="s">
        <v>2202</v>
      </c>
      <c r="D54" s="13" t="s">
        <v>2207</v>
      </c>
      <c r="E54" s="13" t="s">
        <v>2210</v>
      </c>
      <c r="F54" s="13" t="s">
        <v>2222</v>
      </c>
      <c r="G54" s="13">
        <v>104.14</v>
      </c>
      <c r="H54" s="44">
        <v>57.1</v>
      </c>
      <c r="I54" s="13">
        <v>44.68</v>
      </c>
      <c r="J54" s="24">
        <v>45875</v>
      </c>
      <c r="K54" s="25">
        <v>14</v>
      </c>
      <c r="L54" s="25">
        <v>1.8</v>
      </c>
      <c r="M54" s="13" t="b">
        <v>0</v>
      </c>
      <c r="O54" s="25">
        <f t="shared" si="0"/>
        <v>27</v>
      </c>
      <c r="P54" s="13">
        <f t="shared" si="1"/>
        <v>799.4</v>
      </c>
      <c r="Q54" s="13" t="str">
        <f t="shared" si="2"/>
        <v/>
      </c>
      <c r="R54" s="13" t="str">
        <f t="shared" si="3"/>
        <v>Diskon</v>
      </c>
    </row>
    <row r="55" spans="1:18" x14ac:dyDescent="0.25">
      <c r="A55" s="13" t="s">
        <v>67</v>
      </c>
      <c r="B55" s="13" t="s">
        <v>2190</v>
      </c>
      <c r="C55" s="13" t="s">
        <v>2196</v>
      </c>
      <c r="D55" s="13" t="s">
        <v>2204</v>
      </c>
      <c r="E55" s="13" t="s">
        <v>2210</v>
      </c>
      <c r="F55" s="13" t="s">
        <v>2217</v>
      </c>
      <c r="G55" s="13">
        <v>166.76</v>
      </c>
      <c r="H55" s="44">
        <v>0</v>
      </c>
      <c r="I55" s="13">
        <v>166.76</v>
      </c>
      <c r="J55" s="24">
        <v>45820</v>
      </c>
      <c r="K55" s="25">
        <v>21</v>
      </c>
      <c r="L55" s="25">
        <v>4.2</v>
      </c>
      <c r="M55" s="13" t="b">
        <v>0</v>
      </c>
      <c r="O55" s="25">
        <f t="shared" si="0"/>
        <v>82</v>
      </c>
      <c r="P55" s="13">
        <f t="shared" si="1"/>
        <v>0</v>
      </c>
      <c r="Q55" s="13" t="str">
        <f t="shared" si="2"/>
        <v/>
      </c>
      <c r="R55" s="13" t="str">
        <f t="shared" si="3"/>
        <v>Non diskon</v>
      </c>
    </row>
    <row r="56" spans="1:18" x14ac:dyDescent="0.25">
      <c r="A56" s="13" t="s">
        <v>68</v>
      </c>
      <c r="B56" s="13" t="s">
        <v>2192</v>
      </c>
      <c r="C56" s="13" t="s">
        <v>2198</v>
      </c>
      <c r="D56" s="13" t="s">
        <v>2206</v>
      </c>
      <c r="F56" s="13" t="s">
        <v>2216</v>
      </c>
      <c r="G56" s="13">
        <v>44.13</v>
      </c>
      <c r="H56" s="44">
        <v>50.9</v>
      </c>
      <c r="I56" s="13">
        <v>21.67</v>
      </c>
      <c r="J56" s="24">
        <v>45875</v>
      </c>
      <c r="K56" s="25">
        <v>21</v>
      </c>
      <c r="L56" s="25">
        <v>3</v>
      </c>
      <c r="M56" s="13" t="b">
        <v>0</v>
      </c>
      <c r="O56" s="25">
        <f t="shared" si="0"/>
        <v>27</v>
      </c>
      <c r="P56" s="13">
        <f t="shared" si="1"/>
        <v>1068.8999999999999</v>
      </c>
      <c r="Q56" s="13" t="str">
        <f t="shared" si="2"/>
        <v/>
      </c>
      <c r="R56" s="13" t="str">
        <f t="shared" si="3"/>
        <v>Diskon</v>
      </c>
    </row>
    <row r="57" spans="1:18" x14ac:dyDescent="0.25">
      <c r="A57" s="13" t="s">
        <v>69</v>
      </c>
      <c r="B57" s="13" t="s">
        <v>2190</v>
      </c>
      <c r="C57" s="13" t="s">
        <v>2202</v>
      </c>
      <c r="D57" s="13" t="s">
        <v>2207</v>
      </c>
      <c r="E57" s="13" t="s">
        <v>2210</v>
      </c>
      <c r="F57" s="13" t="s">
        <v>2220</v>
      </c>
      <c r="G57" s="13">
        <v>121.29</v>
      </c>
      <c r="H57" s="44">
        <v>15.2</v>
      </c>
      <c r="I57" s="13">
        <v>102.85</v>
      </c>
      <c r="J57" s="24">
        <v>45875</v>
      </c>
      <c r="K57" s="25">
        <v>42</v>
      </c>
      <c r="L57" s="25">
        <v>2.9034482758620692</v>
      </c>
      <c r="M57" s="13" t="b">
        <v>0</v>
      </c>
      <c r="O57" s="25">
        <f t="shared" si="0"/>
        <v>27</v>
      </c>
      <c r="P57" s="13">
        <f t="shared" si="1"/>
        <v>638.4</v>
      </c>
      <c r="Q57" s="13" t="str">
        <f t="shared" si="2"/>
        <v/>
      </c>
      <c r="R57" s="13" t="str">
        <f t="shared" si="3"/>
        <v>Diskon</v>
      </c>
    </row>
    <row r="58" spans="1:18" x14ac:dyDescent="0.25">
      <c r="A58" s="13" t="s">
        <v>70</v>
      </c>
      <c r="B58" s="13" t="s">
        <v>2191</v>
      </c>
      <c r="C58" s="13" t="s">
        <v>2200</v>
      </c>
      <c r="D58" s="13" t="s">
        <v>2204</v>
      </c>
      <c r="E58" s="13" t="s">
        <v>2210</v>
      </c>
      <c r="F58" s="13" t="s">
        <v>2221</v>
      </c>
      <c r="G58" s="13">
        <v>73.709999999999994</v>
      </c>
      <c r="H58" s="44">
        <v>0</v>
      </c>
      <c r="I58" s="13">
        <v>73.709999999999994</v>
      </c>
      <c r="J58" s="24">
        <v>45848</v>
      </c>
      <c r="K58" s="25">
        <v>35</v>
      </c>
      <c r="L58" s="25">
        <v>3.9</v>
      </c>
      <c r="M58" s="13" t="b">
        <v>1</v>
      </c>
      <c r="N58" s="13" t="s">
        <v>2228</v>
      </c>
      <c r="O58" s="25">
        <f t="shared" si="0"/>
        <v>54</v>
      </c>
      <c r="P58" s="13">
        <f t="shared" si="1"/>
        <v>0</v>
      </c>
      <c r="Q58" s="13">
        <f t="shared" si="2"/>
        <v>1</v>
      </c>
      <c r="R58" s="13" t="str">
        <f t="shared" si="3"/>
        <v>Non diskon</v>
      </c>
    </row>
    <row r="59" spans="1:18" x14ac:dyDescent="0.25">
      <c r="A59" s="13" t="s">
        <v>71</v>
      </c>
      <c r="B59" s="13" t="s">
        <v>2194</v>
      </c>
      <c r="C59" s="13" t="s">
        <v>2196</v>
      </c>
      <c r="D59" s="13" t="s">
        <v>2204</v>
      </c>
      <c r="E59" s="13" t="s">
        <v>2208</v>
      </c>
      <c r="F59" s="13" t="s">
        <v>2224</v>
      </c>
      <c r="G59" s="13">
        <v>84.07</v>
      </c>
      <c r="H59" s="44">
        <v>26.3</v>
      </c>
      <c r="I59" s="13">
        <v>61.96</v>
      </c>
      <c r="J59" s="24">
        <v>45590</v>
      </c>
      <c r="K59" s="25">
        <v>19</v>
      </c>
      <c r="L59" s="25">
        <v>2.2999999999999998</v>
      </c>
      <c r="M59" s="13" t="b">
        <v>1</v>
      </c>
      <c r="N59" s="13" t="s">
        <v>2226</v>
      </c>
      <c r="O59" s="25">
        <f t="shared" si="0"/>
        <v>312</v>
      </c>
      <c r="P59" s="13">
        <f t="shared" si="1"/>
        <v>499.7</v>
      </c>
      <c r="Q59" s="13">
        <f t="shared" si="2"/>
        <v>1</v>
      </c>
      <c r="R59" s="13" t="str">
        <f t="shared" si="3"/>
        <v>Diskon</v>
      </c>
    </row>
    <row r="60" spans="1:18" x14ac:dyDescent="0.25">
      <c r="A60" s="13" t="s">
        <v>72</v>
      </c>
      <c r="B60" s="13" t="s">
        <v>2191</v>
      </c>
      <c r="C60" s="13" t="s">
        <v>2199</v>
      </c>
      <c r="D60" s="13" t="s">
        <v>2207</v>
      </c>
      <c r="E60" s="13" t="s">
        <v>2212</v>
      </c>
      <c r="F60" s="13" t="s">
        <v>2216</v>
      </c>
      <c r="G60" s="13">
        <v>28.59</v>
      </c>
      <c r="H60" s="44">
        <v>0</v>
      </c>
      <c r="I60" s="13">
        <v>28.59</v>
      </c>
      <c r="J60" s="24">
        <v>45875</v>
      </c>
      <c r="K60" s="25">
        <v>39</v>
      </c>
      <c r="L60" s="25">
        <v>1.4</v>
      </c>
      <c r="M60" s="13" t="b">
        <v>0</v>
      </c>
      <c r="O60" s="25">
        <f t="shared" si="0"/>
        <v>27</v>
      </c>
      <c r="P60" s="13">
        <f t="shared" si="1"/>
        <v>0</v>
      </c>
      <c r="Q60" s="13" t="str">
        <f t="shared" si="2"/>
        <v/>
      </c>
      <c r="R60" s="13" t="str">
        <f t="shared" si="3"/>
        <v>Non diskon</v>
      </c>
    </row>
    <row r="61" spans="1:18" x14ac:dyDescent="0.25">
      <c r="A61" s="13" t="s">
        <v>73</v>
      </c>
      <c r="B61" s="13" t="s">
        <v>2193</v>
      </c>
      <c r="C61" s="13" t="s">
        <v>2199</v>
      </c>
      <c r="D61" s="13" t="s">
        <v>2205</v>
      </c>
      <c r="E61" s="13" t="s">
        <v>2211</v>
      </c>
      <c r="F61" s="13" t="s">
        <v>2219</v>
      </c>
      <c r="G61" s="13">
        <v>166.49</v>
      </c>
      <c r="H61" s="44">
        <v>2.6</v>
      </c>
      <c r="I61" s="13">
        <v>162.16</v>
      </c>
      <c r="J61" s="24">
        <v>45875</v>
      </c>
      <c r="K61" s="25">
        <v>27</v>
      </c>
      <c r="L61" s="25">
        <v>2.9804347826086954</v>
      </c>
      <c r="M61" s="13" t="b">
        <v>0</v>
      </c>
      <c r="O61" s="25">
        <f t="shared" si="0"/>
        <v>27</v>
      </c>
      <c r="P61" s="13">
        <f t="shared" si="1"/>
        <v>70.2</v>
      </c>
      <c r="Q61" s="13" t="str">
        <f t="shared" si="2"/>
        <v/>
      </c>
      <c r="R61" s="13" t="str">
        <f t="shared" si="3"/>
        <v>Diskon</v>
      </c>
    </row>
    <row r="62" spans="1:18" x14ac:dyDescent="0.25">
      <c r="A62" s="13" t="s">
        <v>74</v>
      </c>
      <c r="B62" s="13" t="s">
        <v>2193</v>
      </c>
      <c r="C62" s="13" t="s">
        <v>2201</v>
      </c>
      <c r="D62" s="13" t="s">
        <v>2207</v>
      </c>
      <c r="E62" s="13" t="s">
        <v>2213</v>
      </c>
      <c r="F62" s="13" t="s">
        <v>2217</v>
      </c>
      <c r="G62" s="13">
        <v>145.94999999999999</v>
      </c>
      <c r="H62" s="44">
        <v>6.6</v>
      </c>
      <c r="I62" s="13">
        <v>136.32</v>
      </c>
      <c r="J62" s="24">
        <v>45875</v>
      </c>
      <c r="K62" s="25">
        <v>15</v>
      </c>
      <c r="L62" s="25">
        <v>4</v>
      </c>
      <c r="M62" s="13" t="b">
        <v>0</v>
      </c>
      <c r="O62" s="25">
        <f t="shared" si="0"/>
        <v>27</v>
      </c>
      <c r="P62" s="13">
        <f t="shared" si="1"/>
        <v>99</v>
      </c>
      <c r="Q62" s="13" t="str">
        <f t="shared" si="2"/>
        <v/>
      </c>
      <c r="R62" s="13" t="str">
        <f t="shared" si="3"/>
        <v>Diskon</v>
      </c>
    </row>
    <row r="63" spans="1:18" x14ac:dyDescent="0.25">
      <c r="A63" s="13" t="s">
        <v>75</v>
      </c>
      <c r="B63" s="13" t="s">
        <v>2190</v>
      </c>
      <c r="C63" s="13" t="s">
        <v>2202</v>
      </c>
      <c r="D63" s="13" t="s">
        <v>2206</v>
      </c>
      <c r="E63" s="13" t="s">
        <v>2213</v>
      </c>
      <c r="F63" s="13" t="s">
        <v>2223</v>
      </c>
      <c r="G63" s="13">
        <v>218.42</v>
      </c>
      <c r="H63" s="44">
        <v>0</v>
      </c>
      <c r="I63" s="13">
        <v>218.42</v>
      </c>
      <c r="J63" s="24">
        <v>45875</v>
      </c>
      <c r="K63" s="25">
        <v>33</v>
      </c>
      <c r="L63" s="25">
        <v>4.4000000000000004</v>
      </c>
      <c r="M63" s="13" t="b">
        <v>1</v>
      </c>
      <c r="N63" s="13" t="s">
        <v>2229</v>
      </c>
      <c r="O63" s="25">
        <f t="shared" si="0"/>
        <v>27</v>
      </c>
      <c r="P63" s="13">
        <f t="shared" si="1"/>
        <v>0</v>
      </c>
      <c r="Q63" s="13">
        <f t="shared" si="2"/>
        <v>1</v>
      </c>
      <c r="R63" s="13" t="str">
        <f t="shared" si="3"/>
        <v>Non diskon</v>
      </c>
    </row>
    <row r="64" spans="1:18" x14ac:dyDescent="0.25">
      <c r="A64" s="13" t="s">
        <v>76</v>
      </c>
      <c r="B64" s="13" t="s">
        <v>2192</v>
      </c>
      <c r="C64" s="13" t="s">
        <v>2203</v>
      </c>
      <c r="D64" s="13" t="s">
        <v>2205</v>
      </c>
      <c r="F64" s="13" t="s">
        <v>2217</v>
      </c>
      <c r="G64" s="13">
        <v>46.17</v>
      </c>
      <c r="H64" s="44">
        <v>1.1000000000000001</v>
      </c>
      <c r="I64" s="13">
        <v>45.66</v>
      </c>
      <c r="J64" s="24">
        <v>45875</v>
      </c>
      <c r="K64" s="25">
        <v>30</v>
      </c>
      <c r="L64" s="25">
        <v>1.9</v>
      </c>
      <c r="M64" s="13" t="b">
        <v>0</v>
      </c>
      <c r="O64" s="25">
        <f t="shared" si="0"/>
        <v>27</v>
      </c>
      <c r="P64" s="13">
        <f t="shared" si="1"/>
        <v>33</v>
      </c>
      <c r="Q64" s="13" t="str">
        <f t="shared" si="2"/>
        <v/>
      </c>
      <c r="R64" s="13" t="str">
        <f t="shared" si="3"/>
        <v>Diskon</v>
      </c>
    </row>
    <row r="65" spans="1:18" x14ac:dyDescent="0.25">
      <c r="A65" s="13" t="s">
        <v>77</v>
      </c>
      <c r="B65" s="13" t="s">
        <v>2193</v>
      </c>
      <c r="C65" s="13" t="s">
        <v>2200</v>
      </c>
      <c r="D65" s="13" t="s">
        <v>2207</v>
      </c>
      <c r="F65" s="13" t="s">
        <v>2220</v>
      </c>
      <c r="G65" s="13">
        <v>106.18</v>
      </c>
      <c r="H65" s="44">
        <v>18</v>
      </c>
      <c r="I65" s="13">
        <v>87.07</v>
      </c>
      <c r="J65" s="24">
        <v>45875</v>
      </c>
      <c r="K65" s="25">
        <v>11</v>
      </c>
      <c r="L65" s="25">
        <v>4.5</v>
      </c>
      <c r="M65" s="13" t="b">
        <v>0</v>
      </c>
      <c r="O65" s="25">
        <f t="shared" si="0"/>
        <v>27</v>
      </c>
      <c r="P65" s="13">
        <f t="shared" si="1"/>
        <v>198</v>
      </c>
      <c r="Q65" s="13" t="str">
        <f t="shared" si="2"/>
        <v/>
      </c>
      <c r="R65" s="13" t="str">
        <f t="shared" si="3"/>
        <v>Diskon</v>
      </c>
    </row>
    <row r="66" spans="1:18" x14ac:dyDescent="0.25">
      <c r="A66" s="13" t="s">
        <v>78</v>
      </c>
      <c r="B66" s="13" t="s">
        <v>2191</v>
      </c>
      <c r="C66" s="13" t="s">
        <v>2196</v>
      </c>
      <c r="D66" s="13" t="s">
        <v>2205</v>
      </c>
      <c r="E66" s="13" t="s">
        <v>2212</v>
      </c>
      <c r="F66" s="13" t="s">
        <v>2218</v>
      </c>
      <c r="G66" s="13">
        <v>93.33</v>
      </c>
      <c r="H66" s="44">
        <v>2.4</v>
      </c>
      <c r="I66" s="13">
        <v>91.09</v>
      </c>
      <c r="J66" s="24">
        <v>45875</v>
      </c>
      <c r="K66" s="25">
        <v>20</v>
      </c>
      <c r="L66" s="25">
        <v>4.2</v>
      </c>
      <c r="M66" s="13" t="b">
        <v>0</v>
      </c>
      <c r="O66" s="25">
        <f t="shared" si="0"/>
        <v>27</v>
      </c>
      <c r="P66" s="13">
        <f t="shared" si="1"/>
        <v>48</v>
      </c>
      <c r="Q66" s="13" t="str">
        <f t="shared" si="2"/>
        <v/>
      </c>
      <c r="R66" s="13" t="str">
        <f t="shared" si="3"/>
        <v>Diskon</v>
      </c>
    </row>
    <row r="67" spans="1:18" x14ac:dyDescent="0.25">
      <c r="A67" s="13" t="s">
        <v>79</v>
      </c>
      <c r="B67" s="13" t="s">
        <v>2194</v>
      </c>
      <c r="C67" s="13" t="s">
        <v>2199</v>
      </c>
      <c r="D67" s="13" t="s">
        <v>2204</v>
      </c>
      <c r="E67" s="13" t="s">
        <v>2212</v>
      </c>
      <c r="F67" s="13" t="s">
        <v>2217</v>
      </c>
      <c r="G67" s="13">
        <v>86.54</v>
      </c>
      <c r="H67" s="44">
        <v>21.7</v>
      </c>
      <c r="I67" s="13">
        <v>67.760000000000005</v>
      </c>
      <c r="J67" s="24">
        <v>45809</v>
      </c>
      <c r="K67" s="25">
        <v>21</v>
      </c>
      <c r="L67" s="25">
        <v>3.6</v>
      </c>
      <c r="M67" s="13" t="b">
        <v>1</v>
      </c>
      <c r="N67" s="13" t="s">
        <v>2229</v>
      </c>
      <c r="O67" s="25">
        <f t="shared" ref="O67:O130" si="4">DATE(2025,9,2)-J67</f>
        <v>93</v>
      </c>
      <c r="P67" s="13">
        <f t="shared" ref="P67:P130" si="5">H67*K67</f>
        <v>455.7</v>
      </c>
      <c r="Q67" s="13">
        <f t="shared" ref="Q67:Q130" si="6">IF(M67=FALSE,"",1)</f>
        <v>1</v>
      </c>
      <c r="R67" s="13" t="str">
        <f t="shared" ref="R67:R130" si="7">IF(H67=0,"Non diskon","Diskon")</f>
        <v>Diskon</v>
      </c>
    </row>
    <row r="68" spans="1:18" x14ac:dyDescent="0.25">
      <c r="A68" s="13" t="s">
        <v>80</v>
      </c>
      <c r="B68" s="13" t="s">
        <v>2192</v>
      </c>
      <c r="C68" s="13" t="s">
        <v>2201</v>
      </c>
      <c r="D68" s="13" t="s">
        <v>2207</v>
      </c>
      <c r="F68" s="13" t="s">
        <v>2220</v>
      </c>
      <c r="G68" s="13">
        <v>55.57</v>
      </c>
      <c r="H68" s="44">
        <v>0</v>
      </c>
      <c r="I68" s="13">
        <v>55.57</v>
      </c>
      <c r="J68" s="24">
        <v>45875</v>
      </c>
      <c r="K68" s="25">
        <v>44</v>
      </c>
      <c r="L68" s="25">
        <v>3.8</v>
      </c>
      <c r="M68" s="13" t="b">
        <v>0</v>
      </c>
      <c r="O68" s="25">
        <f t="shared" si="4"/>
        <v>27</v>
      </c>
      <c r="P68" s="13">
        <f t="shared" si="5"/>
        <v>0</v>
      </c>
      <c r="Q68" s="13" t="str">
        <f t="shared" si="6"/>
        <v/>
      </c>
      <c r="R68" s="13" t="str">
        <f t="shared" si="7"/>
        <v>Non diskon</v>
      </c>
    </row>
    <row r="69" spans="1:18" x14ac:dyDescent="0.25">
      <c r="A69" s="13" t="s">
        <v>81</v>
      </c>
      <c r="B69" s="13" t="s">
        <v>2191</v>
      </c>
      <c r="C69" s="13" t="s">
        <v>2203</v>
      </c>
      <c r="D69" s="13" t="s">
        <v>2204</v>
      </c>
      <c r="E69" s="13" t="s">
        <v>2208</v>
      </c>
      <c r="F69" s="13" t="s">
        <v>2216</v>
      </c>
      <c r="G69" s="13">
        <v>76.5</v>
      </c>
      <c r="H69" s="44">
        <v>0</v>
      </c>
      <c r="I69" s="13">
        <v>76.5</v>
      </c>
      <c r="J69" s="24">
        <v>45683</v>
      </c>
      <c r="K69" s="25">
        <v>17</v>
      </c>
      <c r="L69" s="25">
        <v>4.5999999999999996</v>
      </c>
      <c r="M69" s="13" t="b">
        <v>0</v>
      </c>
      <c r="O69" s="25">
        <f t="shared" si="4"/>
        <v>219</v>
      </c>
      <c r="P69" s="13">
        <f t="shared" si="5"/>
        <v>0</v>
      </c>
      <c r="Q69" s="13" t="str">
        <f t="shared" si="6"/>
        <v/>
      </c>
      <c r="R69" s="13" t="str">
        <f t="shared" si="7"/>
        <v>Non diskon</v>
      </c>
    </row>
    <row r="70" spans="1:18" x14ac:dyDescent="0.25">
      <c r="A70" s="13" t="s">
        <v>82</v>
      </c>
      <c r="B70" s="13" t="s">
        <v>2195</v>
      </c>
      <c r="C70" s="13" t="s">
        <v>2203</v>
      </c>
      <c r="D70" s="13" t="s">
        <v>2204</v>
      </c>
      <c r="E70" s="13" t="s">
        <v>2212</v>
      </c>
      <c r="F70" s="13" t="s">
        <v>2220</v>
      </c>
      <c r="G70" s="13">
        <v>137.19</v>
      </c>
      <c r="H70" s="44">
        <v>9.5</v>
      </c>
      <c r="I70" s="13">
        <v>124.16</v>
      </c>
      <c r="J70" s="24">
        <v>45748</v>
      </c>
      <c r="K70" s="25">
        <v>17</v>
      </c>
      <c r="L70" s="25">
        <v>2.9636363636363638</v>
      </c>
      <c r="M70" s="13" t="b">
        <v>0</v>
      </c>
      <c r="O70" s="25">
        <f t="shared" si="4"/>
        <v>154</v>
      </c>
      <c r="P70" s="13">
        <f t="shared" si="5"/>
        <v>161.5</v>
      </c>
      <c r="Q70" s="13" t="str">
        <f t="shared" si="6"/>
        <v/>
      </c>
      <c r="R70" s="13" t="str">
        <f t="shared" si="7"/>
        <v>Diskon</v>
      </c>
    </row>
    <row r="71" spans="1:18" x14ac:dyDescent="0.25">
      <c r="A71" s="13" t="s">
        <v>83</v>
      </c>
      <c r="B71" s="13" t="s">
        <v>2191</v>
      </c>
      <c r="C71" s="13" t="s">
        <v>2196</v>
      </c>
      <c r="D71" s="13" t="s">
        <v>2207</v>
      </c>
      <c r="E71" s="13" t="s">
        <v>2208</v>
      </c>
      <c r="F71" s="13" t="s">
        <v>2223</v>
      </c>
      <c r="G71" s="13">
        <v>48.92</v>
      </c>
      <c r="H71" s="44">
        <v>19.8</v>
      </c>
      <c r="I71" s="13">
        <v>39.229999999999997</v>
      </c>
      <c r="J71" s="24">
        <v>45875</v>
      </c>
      <c r="K71" s="25">
        <v>17</v>
      </c>
      <c r="L71" s="25">
        <v>2.6</v>
      </c>
      <c r="M71" s="13" t="b">
        <v>0</v>
      </c>
      <c r="O71" s="25">
        <f t="shared" si="4"/>
        <v>27</v>
      </c>
      <c r="P71" s="13">
        <f t="shared" si="5"/>
        <v>336.6</v>
      </c>
      <c r="Q71" s="13" t="str">
        <f t="shared" si="6"/>
        <v/>
      </c>
      <c r="R71" s="13" t="str">
        <f t="shared" si="7"/>
        <v>Diskon</v>
      </c>
    </row>
    <row r="72" spans="1:18" x14ac:dyDescent="0.25">
      <c r="A72" s="13" t="s">
        <v>84</v>
      </c>
      <c r="B72" s="13" t="s">
        <v>2193</v>
      </c>
      <c r="C72" s="13" t="s">
        <v>2201</v>
      </c>
      <c r="D72" s="13" t="s">
        <v>2205</v>
      </c>
      <c r="E72" s="13" t="s">
        <v>2208</v>
      </c>
      <c r="F72" s="13" t="s">
        <v>2217</v>
      </c>
      <c r="G72" s="13">
        <v>69.819999999999993</v>
      </c>
      <c r="H72" s="44">
        <v>0</v>
      </c>
      <c r="I72" s="13">
        <v>69.819999999999993</v>
      </c>
      <c r="J72" s="24">
        <v>45875</v>
      </c>
      <c r="K72" s="25">
        <v>46</v>
      </c>
      <c r="L72" s="25">
        <v>3.0068965517241386</v>
      </c>
      <c r="M72" s="13" t="b">
        <v>1</v>
      </c>
      <c r="N72" s="13" t="s">
        <v>2230</v>
      </c>
      <c r="O72" s="25">
        <f t="shared" si="4"/>
        <v>27</v>
      </c>
      <c r="P72" s="13">
        <f t="shared" si="5"/>
        <v>0</v>
      </c>
      <c r="Q72" s="13">
        <f t="shared" si="6"/>
        <v>1</v>
      </c>
      <c r="R72" s="13" t="str">
        <f t="shared" si="7"/>
        <v>Non diskon</v>
      </c>
    </row>
    <row r="73" spans="1:18" x14ac:dyDescent="0.25">
      <c r="A73" s="13" t="s">
        <v>85</v>
      </c>
      <c r="B73" s="13" t="s">
        <v>2190</v>
      </c>
      <c r="C73" s="13" t="s">
        <v>2199</v>
      </c>
      <c r="D73" s="13" t="s">
        <v>2207</v>
      </c>
      <c r="E73" s="13" t="s">
        <v>2211</v>
      </c>
      <c r="F73" s="13" t="s">
        <v>2214</v>
      </c>
      <c r="G73" s="13">
        <v>199.39</v>
      </c>
      <c r="H73" s="44">
        <v>7.4</v>
      </c>
      <c r="I73" s="13">
        <v>184.64</v>
      </c>
      <c r="J73" s="24">
        <v>45875</v>
      </c>
      <c r="K73" s="25">
        <v>49</v>
      </c>
      <c r="L73" s="25">
        <v>2.4137931034482762</v>
      </c>
      <c r="M73" s="13" t="b">
        <v>0</v>
      </c>
      <c r="O73" s="25">
        <f t="shared" si="4"/>
        <v>27</v>
      </c>
      <c r="P73" s="13">
        <f t="shared" si="5"/>
        <v>362.6</v>
      </c>
      <c r="Q73" s="13" t="str">
        <f t="shared" si="6"/>
        <v/>
      </c>
      <c r="R73" s="13" t="str">
        <f t="shared" si="7"/>
        <v>Diskon</v>
      </c>
    </row>
    <row r="74" spans="1:18" x14ac:dyDescent="0.25">
      <c r="A74" s="13" t="s">
        <v>86</v>
      </c>
      <c r="B74" s="13" t="s">
        <v>2190</v>
      </c>
      <c r="C74" s="13" t="s">
        <v>2198</v>
      </c>
      <c r="D74" s="13" t="s">
        <v>2207</v>
      </c>
      <c r="E74" s="13" t="s">
        <v>2213</v>
      </c>
      <c r="F74" s="13" t="s">
        <v>2217</v>
      </c>
      <c r="G74" s="13">
        <v>222.09</v>
      </c>
      <c r="H74" s="44">
        <v>55.2</v>
      </c>
      <c r="I74" s="13">
        <v>99.5</v>
      </c>
      <c r="J74" s="24">
        <v>45875</v>
      </c>
      <c r="K74" s="25">
        <v>21</v>
      </c>
      <c r="L74" s="25">
        <v>4.5</v>
      </c>
      <c r="M74" s="13" t="b">
        <v>0</v>
      </c>
      <c r="O74" s="25">
        <f t="shared" si="4"/>
        <v>27</v>
      </c>
      <c r="P74" s="13">
        <f t="shared" si="5"/>
        <v>1159.2</v>
      </c>
      <c r="Q74" s="13" t="str">
        <f t="shared" si="6"/>
        <v/>
      </c>
      <c r="R74" s="13" t="str">
        <f t="shared" si="7"/>
        <v>Diskon</v>
      </c>
    </row>
    <row r="75" spans="1:18" x14ac:dyDescent="0.25">
      <c r="A75" s="13" t="s">
        <v>87</v>
      </c>
      <c r="B75" s="13" t="s">
        <v>2191</v>
      </c>
      <c r="C75" s="13" t="s">
        <v>2199</v>
      </c>
      <c r="D75" s="13" t="s">
        <v>2206</v>
      </c>
      <c r="E75" s="13" t="s">
        <v>2212</v>
      </c>
      <c r="F75" s="13" t="s">
        <v>2214</v>
      </c>
      <c r="G75" s="13">
        <v>112.86</v>
      </c>
      <c r="H75" s="44">
        <v>0</v>
      </c>
      <c r="I75" s="13">
        <v>112.86</v>
      </c>
      <c r="J75" s="24">
        <v>45875</v>
      </c>
      <c r="K75" s="25">
        <v>8</v>
      </c>
      <c r="L75" s="25">
        <v>2.9</v>
      </c>
      <c r="M75" s="13" t="b">
        <v>0</v>
      </c>
      <c r="O75" s="25">
        <f t="shared" si="4"/>
        <v>27</v>
      </c>
      <c r="P75" s="13">
        <f t="shared" si="5"/>
        <v>0</v>
      </c>
      <c r="Q75" s="13" t="str">
        <f t="shared" si="6"/>
        <v/>
      </c>
      <c r="R75" s="13" t="str">
        <f t="shared" si="7"/>
        <v>Non diskon</v>
      </c>
    </row>
    <row r="76" spans="1:18" x14ac:dyDescent="0.25">
      <c r="A76" s="13" t="s">
        <v>88</v>
      </c>
      <c r="B76" s="13" t="s">
        <v>2195</v>
      </c>
      <c r="C76" s="13" t="s">
        <v>2199</v>
      </c>
      <c r="D76" s="13" t="s">
        <v>2204</v>
      </c>
      <c r="E76" s="13" t="s">
        <v>2212</v>
      </c>
      <c r="F76" s="13" t="s">
        <v>2220</v>
      </c>
      <c r="G76" s="13">
        <v>100.96</v>
      </c>
      <c r="H76" s="44">
        <v>0</v>
      </c>
      <c r="I76" s="13">
        <v>100.96</v>
      </c>
      <c r="J76" s="24">
        <v>45787</v>
      </c>
      <c r="K76" s="25">
        <v>32</v>
      </c>
      <c r="L76" s="25">
        <v>3.3</v>
      </c>
      <c r="M76" s="13" t="b">
        <v>0</v>
      </c>
      <c r="O76" s="25">
        <f t="shared" si="4"/>
        <v>115</v>
      </c>
      <c r="P76" s="13">
        <f t="shared" si="5"/>
        <v>0</v>
      </c>
      <c r="Q76" s="13" t="str">
        <f t="shared" si="6"/>
        <v/>
      </c>
      <c r="R76" s="13" t="str">
        <f t="shared" si="7"/>
        <v>Non diskon</v>
      </c>
    </row>
    <row r="77" spans="1:18" x14ac:dyDescent="0.25">
      <c r="A77" s="13" t="s">
        <v>89</v>
      </c>
      <c r="B77" s="13" t="s">
        <v>2190</v>
      </c>
      <c r="C77" s="13" t="s">
        <v>2202</v>
      </c>
      <c r="D77" s="13" t="s">
        <v>2204</v>
      </c>
      <c r="E77" s="13" t="s">
        <v>2208</v>
      </c>
      <c r="F77" s="13" t="s">
        <v>2220</v>
      </c>
      <c r="G77" s="13">
        <v>243.56</v>
      </c>
      <c r="H77" s="44">
        <v>48</v>
      </c>
      <c r="I77" s="13">
        <v>126.65</v>
      </c>
      <c r="J77" s="24">
        <v>45579</v>
      </c>
      <c r="K77" s="25">
        <v>22</v>
      </c>
      <c r="L77" s="25">
        <v>4.4000000000000004</v>
      </c>
      <c r="M77" s="13" t="b">
        <v>1</v>
      </c>
      <c r="N77" s="13" t="s">
        <v>2229</v>
      </c>
      <c r="O77" s="25">
        <f t="shared" si="4"/>
        <v>323</v>
      </c>
      <c r="P77" s="13">
        <f t="shared" si="5"/>
        <v>1056</v>
      </c>
      <c r="Q77" s="13">
        <f t="shared" si="6"/>
        <v>1</v>
      </c>
      <c r="R77" s="13" t="str">
        <f t="shared" si="7"/>
        <v>Diskon</v>
      </c>
    </row>
    <row r="78" spans="1:18" x14ac:dyDescent="0.25">
      <c r="A78" s="13" t="s">
        <v>90</v>
      </c>
      <c r="B78" s="13" t="s">
        <v>2195</v>
      </c>
      <c r="C78" s="13" t="s">
        <v>2199</v>
      </c>
      <c r="D78" s="13" t="s">
        <v>2204</v>
      </c>
      <c r="E78" s="13" t="s">
        <v>2211</v>
      </c>
      <c r="F78" s="13" t="s">
        <v>2214</v>
      </c>
      <c r="G78" s="13">
        <v>153.32</v>
      </c>
      <c r="H78" s="44">
        <v>0</v>
      </c>
      <c r="I78" s="13">
        <v>153.32</v>
      </c>
      <c r="J78" s="24">
        <v>45548</v>
      </c>
      <c r="K78" s="25">
        <v>43</v>
      </c>
      <c r="L78" s="25">
        <v>2.9</v>
      </c>
      <c r="M78" s="13" t="b">
        <v>0</v>
      </c>
      <c r="O78" s="25">
        <f t="shared" si="4"/>
        <v>354</v>
      </c>
      <c r="P78" s="13">
        <f t="shared" si="5"/>
        <v>0</v>
      </c>
      <c r="Q78" s="13" t="str">
        <f t="shared" si="6"/>
        <v/>
      </c>
      <c r="R78" s="13" t="str">
        <f t="shared" si="7"/>
        <v>Non diskon</v>
      </c>
    </row>
    <row r="79" spans="1:18" x14ac:dyDescent="0.25">
      <c r="A79" s="13" t="s">
        <v>91</v>
      </c>
      <c r="B79" s="13" t="s">
        <v>2192</v>
      </c>
      <c r="C79" s="13" t="s">
        <v>2197</v>
      </c>
      <c r="D79" s="13" t="s">
        <v>2206</v>
      </c>
      <c r="F79" s="13" t="s">
        <v>2223</v>
      </c>
      <c r="G79" s="13">
        <v>42.95</v>
      </c>
      <c r="H79" s="44">
        <v>22.5</v>
      </c>
      <c r="I79" s="13">
        <v>33.29</v>
      </c>
      <c r="J79" s="24">
        <v>45875</v>
      </c>
      <c r="K79" s="25">
        <v>7</v>
      </c>
      <c r="L79" s="25">
        <v>1.9</v>
      </c>
      <c r="M79" s="13" t="b">
        <v>1</v>
      </c>
      <c r="N79" s="13" t="s">
        <v>2226</v>
      </c>
      <c r="O79" s="25">
        <f t="shared" si="4"/>
        <v>27</v>
      </c>
      <c r="P79" s="13">
        <f t="shared" si="5"/>
        <v>157.5</v>
      </c>
      <c r="Q79" s="13">
        <f t="shared" si="6"/>
        <v>1</v>
      </c>
      <c r="R79" s="13" t="str">
        <f t="shared" si="7"/>
        <v>Diskon</v>
      </c>
    </row>
    <row r="80" spans="1:18" x14ac:dyDescent="0.25">
      <c r="A80" s="13" t="s">
        <v>92</v>
      </c>
      <c r="B80" s="13" t="s">
        <v>2191</v>
      </c>
      <c r="C80" s="13" t="s">
        <v>2200</v>
      </c>
      <c r="D80" s="13" t="s">
        <v>2207</v>
      </c>
      <c r="E80" s="13" t="s">
        <v>2210</v>
      </c>
      <c r="F80" s="13" t="s">
        <v>2220</v>
      </c>
      <c r="G80" s="13">
        <v>30.79</v>
      </c>
      <c r="H80" s="44">
        <v>0</v>
      </c>
      <c r="I80" s="13">
        <v>30.79</v>
      </c>
      <c r="J80" s="24">
        <v>45875</v>
      </c>
      <c r="K80" s="25">
        <v>36</v>
      </c>
      <c r="L80" s="25">
        <v>3.4</v>
      </c>
      <c r="M80" s="13" t="b">
        <v>0</v>
      </c>
      <c r="O80" s="25">
        <f t="shared" si="4"/>
        <v>27</v>
      </c>
      <c r="P80" s="13">
        <f t="shared" si="5"/>
        <v>0</v>
      </c>
      <c r="Q80" s="13" t="str">
        <f t="shared" si="6"/>
        <v/>
      </c>
      <c r="R80" s="13" t="str">
        <f t="shared" si="7"/>
        <v>Non diskon</v>
      </c>
    </row>
    <row r="81" spans="1:18" x14ac:dyDescent="0.25">
      <c r="A81" s="13" t="s">
        <v>93</v>
      </c>
      <c r="B81" s="13" t="s">
        <v>2192</v>
      </c>
      <c r="C81" s="13" t="s">
        <v>2197</v>
      </c>
      <c r="D81" s="13" t="s">
        <v>2206</v>
      </c>
      <c r="F81" s="13" t="s">
        <v>2224</v>
      </c>
      <c r="G81" s="13">
        <v>59.85</v>
      </c>
      <c r="H81" s="44">
        <v>0</v>
      </c>
      <c r="I81" s="13">
        <v>59.85</v>
      </c>
      <c r="J81" s="24">
        <v>45875</v>
      </c>
      <c r="K81" s="25">
        <v>38</v>
      </c>
      <c r="L81" s="25">
        <v>4</v>
      </c>
      <c r="M81" s="13" t="b">
        <v>0</v>
      </c>
      <c r="O81" s="25">
        <f t="shared" si="4"/>
        <v>27</v>
      </c>
      <c r="P81" s="13">
        <f t="shared" si="5"/>
        <v>0</v>
      </c>
      <c r="Q81" s="13" t="str">
        <f t="shared" si="6"/>
        <v/>
      </c>
      <c r="R81" s="13" t="str">
        <f t="shared" si="7"/>
        <v>Non diskon</v>
      </c>
    </row>
    <row r="82" spans="1:18" x14ac:dyDescent="0.25">
      <c r="A82" s="13" t="s">
        <v>94</v>
      </c>
      <c r="B82" s="13" t="s">
        <v>2191</v>
      </c>
      <c r="C82" s="13" t="s">
        <v>2198</v>
      </c>
      <c r="D82" s="13" t="s">
        <v>2204</v>
      </c>
      <c r="E82" s="13" t="s">
        <v>2210</v>
      </c>
      <c r="F82" s="13" t="s">
        <v>2222</v>
      </c>
      <c r="G82" s="13">
        <v>78.16</v>
      </c>
      <c r="H82" s="44">
        <v>19.100000000000001</v>
      </c>
      <c r="I82" s="13">
        <v>63.23</v>
      </c>
      <c r="J82" s="24">
        <v>45863</v>
      </c>
      <c r="K82" s="25">
        <v>23</v>
      </c>
      <c r="L82" s="25">
        <v>2.953125</v>
      </c>
      <c r="M82" s="13" t="b">
        <v>0</v>
      </c>
      <c r="O82" s="25">
        <f t="shared" si="4"/>
        <v>39</v>
      </c>
      <c r="P82" s="13">
        <f t="shared" si="5"/>
        <v>439.3</v>
      </c>
      <c r="Q82" s="13" t="str">
        <f t="shared" si="6"/>
        <v/>
      </c>
      <c r="R82" s="13" t="str">
        <f t="shared" si="7"/>
        <v>Diskon</v>
      </c>
    </row>
    <row r="83" spans="1:18" x14ac:dyDescent="0.25">
      <c r="A83" s="13" t="s">
        <v>95</v>
      </c>
      <c r="B83" s="13" t="s">
        <v>2191</v>
      </c>
      <c r="C83" s="13" t="s">
        <v>2201</v>
      </c>
      <c r="D83" s="13" t="s">
        <v>2206</v>
      </c>
      <c r="E83" s="13" t="s">
        <v>2213</v>
      </c>
      <c r="F83" s="13" t="s">
        <v>2217</v>
      </c>
      <c r="G83" s="13">
        <v>113.17</v>
      </c>
      <c r="H83" s="44">
        <v>19.100000000000001</v>
      </c>
      <c r="I83" s="13">
        <v>91.55</v>
      </c>
      <c r="J83" s="24">
        <v>45875</v>
      </c>
      <c r="K83" s="25">
        <v>15</v>
      </c>
      <c r="L83" s="25">
        <v>4.9000000000000004</v>
      </c>
      <c r="M83" s="13" t="b">
        <v>0</v>
      </c>
      <c r="O83" s="25">
        <f t="shared" si="4"/>
        <v>27</v>
      </c>
      <c r="P83" s="13">
        <f t="shared" si="5"/>
        <v>286.5</v>
      </c>
      <c r="Q83" s="13" t="str">
        <f t="shared" si="6"/>
        <v/>
      </c>
      <c r="R83" s="13" t="str">
        <f t="shared" si="7"/>
        <v>Diskon</v>
      </c>
    </row>
    <row r="84" spans="1:18" x14ac:dyDescent="0.25">
      <c r="A84" s="13" t="s">
        <v>96</v>
      </c>
      <c r="B84" s="13" t="s">
        <v>2195</v>
      </c>
      <c r="C84" s="13" t="s">
        <v>2201</v>
      </c>
      <c r="D84" s="13" t="s">
        <v>2205</v>
      </c>
      <c r="E84" s="13" t="s">
        <v>2210</v>
      </c>
      <c r="F84" s="13" t="s">
        <v>2219</v>
      </c>
      <c r="G84" s="13">
        <v>174.13</v>
      </c>
      <c r="H84" s="44">
        <v>0</v>
      </c>
      <c r="I84" s="13">
        <v>174.13</v>
      </c>
      <c r="J84" s="24">
        <v>45875</v>
      </c>
      <c r="K84" s="25">
        <v>34</v>
      </c>
      <c r="L84" s="25">
        <v>3.7</v>
      </c>
      <c r="M84" s="13" t="b">
        <v>0</v>
      </c>
      <c r="O84" s="25">
        <f t="shared" si="4"/>
        <v>27</v>
      </c>
      <c r="P84" s="13">
        <f t="shared" si="5"/>
        <v>0</v>
      </c>
      <c r="Q84" s="13" t="str">
        <f t="shared" si="6"/>
        <v/>
      </c>
      <c r="R84" s="13" t="str">
        <f t="shared" si="7"/>
        <v>Non diskon</v>
      </c>
    </row>
    <row r="85" spans="1:18" x14ac:dyDescent="0.25">
      <c r="A85" s="13" t="s">
        <v>97</v>
      </c>
      <c r="B85" s="13" t="s">
        <v>2193</v>
      </c>
      <c r="C85" s="13" t="s">
        <v>2196</v>
      </c>
      <c r="D85" s="13" t="s">
        <v>2207</v>
      </c>
      <c r="E85" s="13" t="s">
        <v>2212</v>
      </c>
      <c r="F85" s="13" t="s">
        <v>2223</v>
      </c>
      <c r="G85" s="13">
        <v>191.96</v>
      </c>
      <c r="H85" s="44">
        <v>0</v>
      </c>
      <c r="I85" s="13">
        <v>191.96</v>
      </c>
      <c r="J85" s="24">
        <v>45875</v>
      </c>
      <c r="K85" s="25">
        <v>50</v>
      </c>
      <c r="L85" s="25">
        <v>2.9153846153846157</v>
      </c>
      <c r="M85" s="13" t="b">
        <v>0</v>
      </c>
      <c r="O85" s="25">
        <f t="shared" si="4"/>
        <v>27</v>
      </c>
      <c r="P85" s="13">
        <f t="shared" si="5"/>
        <v>0</v>
      </c>
      <c r="Q85" s="13" t="str">
        <f t="shared" si="6"/>
        <v/>
      </c>
      <c r="R85" s="13" t="str">
        <f t="shared" si="7"/>
        <v>Non diskon</v>
      </c>
    </row>
    <row r="86" spans="1:18" x14ac:dyDescent="0.25">
      <c r="A86" s="13" t="s">
        <v>98</v>
      </c>
      <c r="B86" s="13" t="s">
        <v>2190</v>
      </c>
      <c r="C86" s="13" t="s">
        <v>2201</v>
      </c>
      <c r="D86" s="13" t="s">
        <v>2204</v>
      </c>
      <c r="E86" s="13" t="s">
        <v>2208</v>
      </c>
      <c r="F86" s="13" t="s">
        <v>2221</v>
      </c>
      <c r="G86" s="13">
        <v>222.55</v>
      </c>
      <c r="H86" s="44">
        <v>22.6</v>
      </c>
      <c r="I86" s="13">
        <v>172.25</v>
      </c>
      <c r="J86" s="24">
        <v>45698</v>
      </c>
      <c r="K86" s="25">
        <v>50</v>
      </c>
      <c r="L86" s="25">
        <v>3.0305555555555546</v>
      </c>
      <c r="M86" s="13" t="b">
        <v>0</v>
      </c>
      <c r="O86" s="25">
        <f t="shared" si="4"/>
        <v>204</v>
      </c>
      <c r="P86" s="13">
        <f t="shared" si="5"/>
        <v>1130</v>
      </c>
      <c r="Q86" s="13" t="str">
        <f t="shared" si="6"/>
        <v/>
      </c>
      <c r="R86" s="13" t="str">
        <f t="shared" si="7"/>
        <v>Diskon</v>
      </c>
    </row>
    <row r="87" spans="1:18" x14ac:dyDescent="0.25">
      <c r="A87" s="13" t="s">
        <v>99</v>
      </c>
      <c r="B87" s="13" t="s">
        <v>2194</v>
      </c>
      <c r="C87" s="13" t="s">
        <v>2203</v>
      </c>
      <c r="D87" s="13" t="s">
        <v>2205</v>
      </c>
      <c r="E87" s="13" t="s">
        <v>2212</v>
      </c>
      <c r="F87" s="13" t="s">
        <v>2216</v>
      </c>
      <c r="G87" s="13">
        <v>37.85</v>
      </c>
      <c r="H87" s="44">
        <v>11.9</v>
      </c>
      <c r="I87" s="13">
        <v>33.35</v>
      </c>
      <c r="J87" s="24">
        <v>45875</v>
      </c>
      <c r="K87" s="25">
        <v>45</v>
      </c>
      <c r="L87" s="25">
        <v>3.4</v>
      </c>
      <c r="M87" s="13" t="b">
        <v>1</v>
      </c>
      <c r="N87" s="13" t="s">
        <v>2229</v>
      </c>
      <c r="O87" s="25">
        <f t="shared" si="4"/>
        <v>27</v>
      </c>
      <c r="P87" s="13">
        <f t="shared" si="5"/>
        <v>535.5</v>
      </c>
      <c r="Q87" s="13">
        <f t="shared" si="6"/>
        <v>1</v>
      </c>
      <c r="R87" s="13" t="str">
        <f t="shared" si="7"/>
        <v>Diskon</v>
      </c>
    </row>
    <row r="88" spans="1:18" x14ac:dyDescent="0.25">
      <c r="A88" s="13" t="s">
        <v>100</v>
      </c>
      <c r="B88" s="13" t="s">
        <v>2190</v>
      </c>
      <c r="C88" s="13" t="s">
        <v>2197</v>
      </c>
      <c r="D88" s="13" t="s">
        <v>2207</v>
      </c>
      <c r="E88" s="13" t="s">
        <v>2213</v>
      </c>
      <c r="F88" s="13" t="s">
        <v>2218</v>
      </c>
      <c r="G88" s="13">
        <v>241.09</v>
      </c>
      <c r="H88" s="44">
        <v>0</v>
      </c>
      <c r="I88" s="13">
        <v>241.09</v>
      </c>
      <c r="J88" s="24">
        <v>45875</v>
      </c>
      <c r="K88" s="25">
        <v>26</v>
      </c>
      <c r="L88" s="25">
        <v>3.15</v>
      </c>
      <c r="M88" s="13" t="b">
        <v>0</v>
      </c>
      <c r="O88" s="25">
        <f t="shared" si="4"/>
        <v>27</v>
      </c>
      <c r="P88" s="13">
        <f t="shared" si="5"/>
        <v>0</v>
      </c>
      <c r="Q88" s="13" t="str">
        <f t="shared" si="6"/>
        <v/>
      </c>
      <c r="R88" s="13" t="str">
        <f t="shared" si="7"/>
        <v>Non diskon</v>
      </c>
    </row>
    <row r="89" spans="1:18" x14ac:dyDescent="0.25">
      <c r="A89" s="13" t="s">
        <v>101</v>
      </c>
      <c r="B89" s="13" t="s">
        <v>2195</v>
      </c>
      <c r="C89" s="13" t="s">
        <v>2198</v>
      </c>
      <c r="D89" s="13" t="s">
        <v>2204</v>
      </c>
      <c r="E89" s="13" t="s">
        <v>2210</v>
      </c>
      <c r="F89" s="13" t="s">
        <v>2222</v>
      </c>
      <c r="G89" s="13">
        <v>136.97</v>
      </c>
      <c r="H89" s="44">
        <v>0</v>
      </c>
      <c r="I89" s="13">
        <v>136.97</v>
      </c>
      <c r="J89" s="24">
        <v>45590</v>
      </c>
      <c r="K89" s="25">
        <v>17</v>
      </c>
      <c r="L89" s="25">
        <v>4.4000000000000004</v>
      </c>
      <c r="M89" s="13" t="b">
        <v>1</v>
      </c>
      <c r="N89" s="13" t="s">
        <v>2228</v>
      </c>
      <c r="O89" s="25">
        <f t="shared" si="4"/>
        <v>312</v>
      </c>
      <c r="P89" s="13">
        <f t="shared" si="5"/>
        <v>0</v>
      </c>
      <c r="Q89" s="13">
        <f t="shared" si="6"/>
        <v>1</v>
      </c>
      <c r="R89" s="13" t="str">
        <f t="shared" si="7"/>
        <v>Non diskon</v>
      </c>
    </row>
    <row r="90" spans="1:18" x14ac:dyDescent="0.25">
      <c r="A90" s="13" t="s">
        <v>102</v>
      </c>
      <c r="B90" s="13" t="s">
        <v>2193</v>
      </c>
      <c r="C90" s="13" t="s">
        <v>2200</v>
      </c>
      <c r="D90" s="13" t="s">
        <v>2204</v>
      </c>
      <c r="E90" s="13" t="s">
        <v>2213</v>
      </c>
      <c r="F90" s="13" t="s">
        <v>2219</v>
      </c>
      <c r="G90" s="13">
        <v>113.79</v>
      </c>
      <c r="H90" s="44">
        <v>55.3</v>
      </c>
      <c r="I90" s="13">
        <v>50.86</v>
      </c>
      <c r="J90" s="24">
        <v>45655</v>
      </c>
      <c r="K90" s="25">
        <v>47</v>
      </c>
      <c r="L90" s="25">
        <v>4.0999999999999996</v>
      </c>
      <c r="M90" s="13" t="b">
        <v>0</v>
      </c>
      <c r="O90" s="25">
        <f t="shared" si="4"/>
        <v>247</v>
      </c>
      <c r="P90" s="13">
        <f t="shared" si="5"/>
        <v>2599.1</v>
      </c>
      <c r="Q90" s="13" t="str">
        <f t="shared" si="6"/>
        <v/>
      </c>
      <c r="R90" s="13" t="str">
        <f t="shared" si="7"/>
        <v>Diskon</v>
      </c>
    </row>
    <row r="91" spans="1:18" x14ac:dyDescent="0.25">
      <c r="A91" s="13" t="s">
        <v>103</v>
      </c>
      <c r="B91" s="13" t="s">
        <v>2194</v>
      </c>
      <c r="C91" s="13" t="s">
        <v>2200</v>
      </c>
      <c r="D91" s="13" t="s">
        <v>2207</v>
      </c>
      <c r="E91" s="13" t="s">
        <v>2211</v>
      </c>
      <c r="F91" s="13" t="s">
        <v>2217</v>
      </c>
      <c r="G91" s="13">
        <v>93.23</v>
      </c>
      <c r="H91" s="44">
        <v>40</v>
      </c>
      <c r="I91" s="13">
        <v>55.94</v>
      </c>
      <c r="J91" s="24">
        <v>45875</v>
      </c>
      <c r="K91" s="25">
        <v>46</v>
      </c>
      <c r="L91" s="25">
        <v>1.9</v>
      </c>
      <c r="M91" s="13" t="b">
        <v>0</v>
      </c>
      <c r="O91" s="25">
        <f t="shared" si="4"/>
        <v>27</v>
      </c>
      <c r="P91" s="13">
        <f t="shared" si="5"/>
        <v>1840</v>
      </c>
      <c r="Q91" s="13" t="str">
        <f t="shared" si="6"/>
        <v/>
      </c>
      <c r="R91" s="13" t="str">
        <f t="shared" si="7"/>
        <v>Diskon</v>
      </c>
    </row>
    <row r="92" spans="1:18" x14ac:dyDescent="0.25">
      <c r="A92" s="13" t="s">
        <v>104</v>
      </c>
      <c r="B92" s="13" t="s">
        <v>2193</v>
      </c>
      <c r="C92" s="13" t="s">
        <v>2197</v>
      </c>
      <c r="D92" s="13" t="s">
        <v>2204</v>
      </c>
      <c r="E92" s="13" t="s">
        <v>2210</v>
      </c>
      <c r="F92" s="13" t="s">
        <v>2222</v>
      </c>
      <c r="G92" s="13">
        <v>106.24</v>
      </c>
      <c r="H92" s="44">
        <v>6.4</v>
      </c>
      <c r="I92" s="13">
        <v>99.44</v>
      </c>
      <c r="J92" s="24">
        <v>45544</v>
      </c>
      <c r="K92" s="25">
        <v>50</v>
      </c>
      <c r="L92" s="25">
        <v>1.5</v>
      </c>
      <c r="M92" s="13" t="b">
        <v>0</v>
      </c>
      <c r="O92" s="25">
        <f t="shared" si="4"/>
        <v>358</v>
      </c>
      <c r="P92" s="13">
        <f t="shared" si="5"/>
        <v>320</v>
      </c>
      <c r="Q92" s="13" t="str">
        <f t="shared" si="6"/>
        <v/>
      </c>
      <c r="R92" s="13" t="str">
        <f t="shared" si="7"/>
        <v>Diskon</v>
      </c>
    </row>
    <row r="93" spans="1:18" x14ac:dyDescent="0.25">
      <c r="A93" s="13" t="s">
        <v>105</v>
      </c>
      <c r="B93" s="13" t="s">
        <v>2192</v>
      </c>
      <c r="C93" s="13" t="s">
        <v>2196</v>
      </c>
      <c r="D93" s="13" t="s">
        <v>2205</v>
      </c>
      <c r="F93" s="13" t="s">
        <v>2224</v>
      </c>
      <c r="G93" s="13">
        <v>30.95</v>
      </c>
      <c r="H93" s="44">
        <v>0</v>
      </c>
      <c r="I93" s="13">
        <v>30.95</v>
      </c>
      <c r="J93" s="24">
        <v>45875</v>
      </c>
      <c r="K93" s="25">
        <v>27</v>
      </c>
      <c r="L93" s="25">
        <v>3.1</v>
      </c>
      <c r="M93" s="13" t="b">
        <v>1</v>
      </c>
      <c r="N93" s="13" t="s">
        <v>2229</v>
      </c>
      <c r="O93" s="25">
        <f t="shared" si="4"/>
        <v>27</v>
      </c>
      <c r="P93" s="13">
        <f t="shared" si="5"/>
        <v>0</v>
      </c>
      <c r="Q93" s="13">
        <f t="shared" si="6"/>
        <v>1</v>
      </c>
      <c r="R93" s="13" t="str">
        <f t="shared" si="7"/>
        <v>Non diskon</v>
      </c>
    </row>
    <row r="94" spans="1:18" x14ac:dyDescent="0.25">
      <c r="A94" s="13" t="s">
        <v>106</v>
      </c>
      <c r="B94" s="13" t="s">
        <v>2193</v>
      </c>
      <c r="C94" s="13" t="s">
        <v>2196</v>
      </c>
      <c r="D94" s="13" t="s">
        <v>2207</v>
      </c>
      <c r="E94" s="13" t="s">
        <v>2210</v>
      </c>
      <c r="F94" s="13" t="s">
        <v>2216</v>
      </c>
      <c r="G94" s="13">
        <v>76.92</v>
      </c>
      <c r="H94" s="44">
        <v>49.5</v>
      </c>
      <c r="I94" s="13">
        <v>38.840000000000003</v>
      </c>
      <c r="J94" s="24">
        <v>45875</v>
      </c>
      <c r="K94" s="25">
        <v>7</v>
      </c>
      <c r="L94" s="25">
        <v>1.1000000000000001</v>
      </c>
      <c r="M94" s="13" t="b">
        <v>0</v>
      </c>
      <c r="O94" s="25">
        <f t="shared" si="4"/>
        <v>27</v>
      </c>
      <c r="P94" s="13">
        <f t="shared" si="5"/>
        <v>346.5</v>
      </c>
      <c r="Q94" s="13" t="str">
        <f t="shared" si="6"/>
        <v/>
      </c>
      <c r="R94" s="13" t="str">
        <f t="shared" si="7"/>
        <v>Diskon</v>
      </c>
    </row>
    <row r="95" spans="1:18" x14ac:dyDescent="0.25">
      <c r="A95" s="13" t="s">
        <v>107</v>
      </c>
      <c r="B95" s="13" t="s">
        <v>2194</v>
      </c>
      <c r="C95" s="13" t="s">
        <v>2200</v>
      </c>
      <c r="D95" s="13" t="s">
        <v>2206</v>
      </c>
      <c r="E95" s="13" t="s">
        <v>2212</v>
      </c>
      <c r="F95" s="13" t="s">
        <v>2221</v>
      </c>
      <c r="G95" s="13">
        <v>80.64</v>
      </c>
      <c r="H95" s="44">
        <v>0</v>
      </c>
      <c r="I95" s="13">
        <v>80.64</v>
      </c>
      <c r="J95" s="24">
        <v>45875</v>
      </c>
      <c r="K95" s="25">
        <v>26</v>
      </c>
      <c r="L95" s="25">
        <v>3.0659090909090896</v>
      </c>
      <c r="M95" s="13" t="b">
        <v>0</v>
      </c>
      <c r="O95" s="25">
        <f t="shared" si="4"/>
        <v>27</v>
      </c>
      <c r="P95" s="13">
        <f t="shared" si="5"/>
        <v>0</v>
      </c>
      <c r="Q95" s="13" t="str">
        <f t="shared" si="6"/>
        <v/>
      </c>
      <c r="R95" s="13" t="str">
        <f t="shared" si="7"/>
        <v>Non diskon</v>
      </c>
    </row>
    <row r="96" spans="1:18" x14ac:dyDescent="0.25">
      <c r="A96" s="13" t="s">
        <v>108</v>
      </c>
      <c r="B96" s="13" t="s">
        <v>2194</v>
      </c>
      <c r="C96" s="13" t="s">
        <v>2196</v>
      </c>
      <c r="D96" s="13" t="s">
        <v>2206</v>
      </c>
      <c r="E96" s="13" t="s">
        <v>2212</v>
      </c>
      <c r="F96" s="13" t="s">
        <v>2221</v>
      </c>
      <c r="G96" s="13">
        <v>32.46</v>
      </c>
      <c r="H96" s="44">
        <v>52.4</v>
      </c>
      <c r="I96" s="13">
        <v>15.45</v>
      </c>
      <c r="J96" s="24">
        <v>45875</v>
      </c>
      <c r="K96" s="25">
        <v>14</v>
      </c>
      <c r="L96" s="25">
        <v>3.9</v>
      </c>
      <c r="M96" s="13" t="b">
        <v>0</v>
      </c>
      <c r="O96" s="25">
        <f t="shared" si="4"/>
        <v>27</v>
      </c>
      <c r="P96" s="13">
        <f t="shared" si="5"/>
        <v>733.6</v>
      </c>
      <c r="Q96" s="13" t="str">
        <f t="shared" si="6"/>
        <v/>
      </c>
      <c r="R96" s="13" t="str">
        <f t="shared" si="7"/>
        <v>Diskon</v>
      </c>
    </row>
    <row r="97" spans="1:18" x14ac:dyDescent="0.25">
      <c r="A97" s="13" t="s">
        <v>109</v>
      </c>
      <c r="B97" s="13" t="s">
        <v>2192</v>
      </c>
      <c r="C97" s="13" t="s">
        <v>2202</v>
      </c>
      <c r="D97" s="13" t="s">
        <v>2207</v>
      </c>
      <c r="F97" s="13" t="s">
        <v>2216</v>
      </c>
      <c r="G97" s="13">
        <v>54.79</v>
      </c>
      <c r="H97" s="44">
        <v>0</v>
      </c>
      <c r="I97" s="13">
        <v>54.79</v>
      </c>
      <c r="J97" s="24">
        <v>45875</v>
      </c>
      <c r="K97" s="25">
        <v>12</v>
      </c>
      <c r="L97" s="25">
        <v>4.5</v>
      </c>
      <c r="M97" s="13" t="b">
        <v>0</v>
      </c>
      <c r="O97" s="25">
        <f t="shared" si="4"/>
        <v>27</v>
      </c>
      <c r="P97" s="13">
        <f t="shared" si="5"/>
        <v>0</v>
      </c>
      <c r="Q97" s="13" t="str">
        <f t="shared" si="6"/>
        <v/>
      </c>
      <c r="R97" s="13" t="str">
        <f t="shared" si="7"/>
        <v>Non diskon</v>
      </c>
    </row>
    <row r="98" spans="1:18" x14ac:dyDescent="0.25">
      <c r="A98" s="13" t="s">
        <v>110</v>
      </c>
      <c r="B98" s="13" t="s">
        <v>2194</v>
      </c>
      <c r="C98" s="13" t="s">
        <v>2200</v>
      </c>
      <c r="D98" s="13" t="s">
        <v>2205</v>
      </c>
      <c r="E98" s="13" t="s">
        <v>2213</v>
      </c>
      <c r="F98" s="13" t="s">
        <v>2215</v>
      </c>
      <c r="G98" s="13">
        <v>71.14</v>
      </c>
      <c r="H98" s="44">
        <v>56.4</v>
      </c>
      <c r="I98" s="13">
        <v>31.02</v>
      </c>
      <c r="J98" s="24">
        <v>45875</v>
      </c>
      <c r="K98" s="25">
        <v>12</v>
      </c>
      <c r="L98" s="25">
        <v>3.4</v>
      </c>
      <c r="M98" s="13" t="b">
        <v>0</v>
      </c>
      <c r="O98" s="25">
        <f t="shared" si="4"/>
        <v>27</v>
      </c>
      <c r="P98" s="13">
        <f t="shared" si="5"/>
        <v>676.8</v>
      </c>
      <c r="Q98" s="13" t="str">
        <f t="shared" si="6"/>
        <v/>
      </c>
      <c r="R98" s="13" t="str">
        <f t="shared" si="7"/>
        <v>Diskon</v>
      </c>
    </row>
    <row r="99" spans="1:18" x14ac:dyDescent="0.25">
      <c r="A99" s="13" t="s">
        <v>111</v>
      </c>
      <c r="B99" s="13" t="s">
        <v>2194</v>
      </c>
      <c r="C99" s="13" t="s">
        <v>2201</v>
      </c>
      <c r="D99" s="13" t="s">
        <v>2207</v>
      </c>
      <c r="E99" s="13" t="s">
        <v>2211</v>
      </c>
      <c r="F99" s="13" t="s">
        <v>2222</v>
      </c>
      <c r="G99" s="13">
        <v>57.85</v>
      </c>
      <c r="H99" s="44">
        <v>0</v>
      </c>
      <c r="I99" s="13">
        <v>57.85</v>
      </c>
      <c r="J99" s="24">
        <v>45875</v>
      </c>
      <c r="K99" s="25">
        <v>36</v>
      </c>
      <c r="L99" s="25">
        <v>3.5</v>
      </c>
      <c r="M99" s="13" t="b">
        <v>0</v>
      </c>
      <c r="O99" s="25">
        <f t="shared" si="4"/>
        <v>27</v>
      </c>
      <c r="P99" s="13">
        <f t="shared" si="5"/>
        <v>0</v>
      </c>
      <c r="Q99" s="13" t="str">
        <f t="shared" si="6"/>
        <v/>
      </c>
      <c r="R99" s="13" t="str">
        <f t="shared" si="7"/>
        <v>Non diskon</v>
      </c>
    </row>
    <row r="100" spans="1:18" x14ac:dyDescent="0.25">
      <c r="A100" s="13" t="s">
        <v>112</v>
      </c>
      <c r="B100" s="13" t="s">
        <v>2194</v>
      </c>
      <c r="C100" s="13" t="s">
        <v>2196</v>
      </c>
      <c r="D100" s="13" t="s">
        <v>2207</v>
      </c>
      <c r="E100" s="13" t="s">
        <v>2212</v>
      </c>
      <c r="F100" s="13" t="s">
        <v>2220</v>
      </c>
      <c r="G100" s="13">
        <v>33.369999999999997</v>
      </c>
      <c r="H100" s="44">
        <v>3</v>
      </c>
      <c r="I100" s="13">
        <v>32.369999999999997</v>
      </c>
      <c r="J100" s="24">
        <v>45875</v>
      </c>
      <c r="K100" s="25">
        <v>40</v>
      </c>
      <c r="L100" s="25">
        <v>1.3</v>
      </c>
      <c r="M100" s="13" t="b">
        <v>0</v>
      </c>
      <c r="O100" s="25">
        <f t="shared" si="4"/>
        <v>27</v>
      </c>
      <c r="P100" s="13">
        <f t="shared" si="5"/>
        <v>120</v>
      </c>
      <c r="Q100" s="13" t="str">
        <f t="shared" si="6"/>
        <v/>
      </c>
      <c r="R100" s="13" t="str">
        <f t="shared" si="7"/>
        <v>Diskon</v>
      </c>
    </row>
    <row r="101" spans="1:18" x14ac:dyDescent="0.25">
      <c r="A101" s="13" t="s">
        <v>113</v>
      </c>
      <c r="B101" s="13" t="s">
        <v>2191</v>
      </c>
      <c r="C101" s="13" t="s">
        <v>2202</v>
      </c>
      <c r="D101" s="13" t="s">
        <v>2207</v>
      </c>
      <c r="E101" s="13" t="s">
        <v>2209</v>
      </c>
      <c r="F101" s="13" t="s">
        <v>2216</v>
      </c>
      <c r="G101" s="13">
        <v>91.83</v>
      </c>
      <c r="H101" s="44">
        <v>0</v>
      </c>
      <c r="I101" s="13">
        <v>91.83</v>
      </c>
      <c r="J101" s="24">
        <v>45875</v>
      </c>
      <c r="K101" s="25">
        <v>39</v>
      </c>
      <c r="L101" s="25">
        <v>4.9000000000000004</v>
      </c>
      <c r="M101" s="13" t="b">
        <v>0</v>
      </c>
      <c r="O101" s="25">
        <f t="shared" si="4"/>
        <v>27</v>
      </c>
      <c r="P101" s="13">
        <f t="shared" si="5"/>
        <v>0</v>
      </c>
      <c r="Q101" s="13" t="str">
        <f t="shared" si="6"/>
        <v/>
      </c>
      <c r="R101" s="13" t="str">
        <f t="shared" si="7"/>
        <v>Non diskon</v>
      </c>
    </row>
    <row r="102" spans="1:18" x14ac:dyDescent="0.25">
      <c r="A102" s="13" t="s">
        <v>114</v>
      </c>
      <c r="B102" s="13" t="s">
        <v>2194</v>
      </c>
      <c r="C102" s="13" t="s">
        <v>2196</v>
      </c>
      <c r="D102" s="13" t="s">
        <v>2206</v>
      </c>
      <c r="E102" s="13" t="s">
        <v>2209</v>
      </c>
      <c r="F102" s="13" t="s">
        <v>2217</v>
      </c>
      <c r="G102" s="13">
        <v>60.12</v>
      </c>
      <c r="H102" s="44">
        <v>19.5</v>
      </c>
      <c r="I102" s="13">
        <v>48.4</v>
      </c>
      <c r="J102" s="24">
        <v>45875</v>
      </c>
      <c r="K102" s="25">
        <v>42</v>
      </c>
      <c r="L102" s="25">
        <v>1</v>
      </c>
      <c r="M102" s="13" t="b">
        <v>0</v>
      </c>
      <c r="O102" s="25">
        <f t="shared" si="4"/>
        <v>27</v>
      </c>
      <c r="P102" s="13">
        <f t="shared" si="5"/>
        <v>819</v>
      </c>
      <c r="Q102" s="13" t="str">
        <f t="shared" si="6"/>
        <v/>
      </c>
      <c r="R102" s="13" t="str">
        <f t="shared" si="7"/>
        <v>Diskon</v>
      </c>
    </row>
    <row r="103" spans="1:18" x14ac:dyDescent="0.25">
      <c r="A103" s="13" t="s">
        <v>115</v>
      </c>
      <c r="B103" s="13" t="s">
        <v>2195</v>
      </c>
      <c r="C103" s="13" t="s">
        <v>2198</v>
      </c>
      <c r="D103" s="13" t="s">
        <v>2205</v>
      </c>
      <c r="E103" s="13" t="s">
        <v>2210</v>
      </c>
      <c r="F103" s="13" t="s">
        <v>2217</v>
      </c>
      <c r="G103" s="13">
        <v>163.5</v>
      </c>
      <c r="H103" s="44">
        <v>0</v>
      </c>
      <c r="I103" s="13">
        <v>163.5</v>
      </c>
      <c r="J103" s="24">
        <v>45875</v>
      </c>
      <c r="K103" s="25">
        <v>34</v>
      </c>
      <c r="L103" s="25">
        <v>4.9000000000000004</v>
      </c>
      <c r="M103" s="13" t="b">
        <v>0</v>
      </c>
      <c r="O103" s="25">
        <f t="shared" si="4"/>
        <v>27</v>
      </c>
      <c r="P103" s="13">
        <f t="shared" si="5"/>
        <v>0</v>
      </c>
      <c r="Q103" s="13" t="str">
        <f t="shared" si="6"/>
        <v/>
      </c>
      <c r="R103" s="13" t="str">
        <f t="shared" si="7"/>
        <v>Non diskon</v>
      </c>
    </row>
    <row r="104" spans="1:18" x14ac:dyDescent="0.25">
      <c r="A104" s="13" t="s">
        <v>116</v>
      </c>
      <c r="B104" s="13" t="s">
        <v>2195</v>
      </c>
      <c r="C104" s="13" t="s">
        <v>2197</v>
      </c>
      <c r="D104" s="13" t="s">
        <v>2204</v>
      </c>
      <c r="E104" s="13" t="s">
        <v>2210</v>
      </c>
      <c r="F104" s="13" t="s">
        <v>2221</v>
      </c>
      <c r="G104" s="13">
        <v>126.37</v>
      </c>
      <c r="H104" s="44">
        <v>0</v>
      </c>
      <c r="I104" s="13">
        <v>126.37</v>
      </c>
      <c r="J104" s="24">
        <v>45604</v>
      </c>
      <c r="K104" s="25">
        <v>25</v>
      </c>
      <c r="L104" s="25">
        <v>1.8</v>
      </c>
      <c r="M104" s="13" t="b">
        <v>0</v>
      </c>
      <c r="O104" s="25">
        <f t="shared" si="4"/>
        <v>298</v>
      </c>
      <c r="P104" s="13">
        <f t="shared" si="5"/>
        <v>0</v>
      </c>
      <c r="Q104" s="13" t="str">
        <f t="shared" si="6"/>
        <v/>
      </c>
      <c r="R104" s="13" t="str">
        <f t="shared" si="7"/>
        <v>Non diskon</v>
      </c>
    </row>
    <row r="105" spans="1:18" x14ac:dyDescent="0.25">
      <c r="A105" s="13" t="s">
        <v>117</v>
      </c>
      <c r="B105" s="13" t="s">
        <v>2194</v>
      </c>
      <c r="C105" s="13" t="s">
        <v>2197</v>
      </c>
      <c r="D105" s="13" t="s">
        <v>2205</v>
      </c>
      <c r="E105" s="13" t="s">
        <v>2209</v>
      </c>
      <c r="F105" s="13" t="s">
        <v>2222</v>
      </c>
      <c r="G105" s="13">
        <v>50.01</v>
      </c>
      <c r="H105" s="44">
        <v>58.2</v>
      </c>
      <c r="I105" s="13">
        <v>20.9</v>
      </c>
      <c r="J105" s="24">
        <v>45875</v>
      </c>
      <c r="K105" s="25">
        <v>32</v>
      </c>
      <c r="L105" s="25">
        <v>4.8</v>
      </c>
      <c r="M105" s="13" t="b">
        <v>0</v>
      </c>
      <c r="O105" s="25">
        <f t="shared" si="4"/>
        <v>27</v>
      </c>
      <c r="P105" s="13">
        <f t="shared" si="5"/>
        <v>1862.4</v>
      </c>
      <c r="Q105" s="13" t="str">
        <f t="shared" si="6"/>
        <v/>
      </c>
      <c r="R105" s="13" t="str">
        <f t="shared" si="7"/>
        <v>Diskon</v>
      </c>
    </row>
    <row r="106" spans="1:18" x14ac:dyDescent="0.25">
      <c r="A106" s="13" t="s">
        <v>118</v>
      </c>
      <c r="B106" s="13" t="s">
        <v>2193</v>
      </c>
      <c r="C106" s="13" t="s">
        <v>2200</v>
      </c>
      <c r="D106" s="13" t="s">
        <v>2205</v>
      </c>
      <c r="E106" s="13" t="s">
        <v>2210</v>
      </c>
      <c r="F106" s="13" t="s">
        <v>2214</v>
      </c>
      <c r="G106" s="13">
        <v>84.31</v>
      </c>
      <c r="H106" s="44">
        <v>0</v>
      </c>
      <c r="I106" s="13">
        <v>84.31</v>
      </c>
      <c r="J106" s="24">
        <v>45875</v>
      </c>
      <c r="K106" s="25">
        <v>10</v>
      </c>
      <c r="L106" s="25">
        <v>3.9</v>
      </c>
      <c r="M106" s="13" t="b">
        <v>0</v>
      </c>
      <c r="O106" s="25">
        <f t="shared" si="4"/>
        <v>27</v>
      </c>
      <c r="P106" s="13">
        <f t="shared" si="5"/>
        <v>0</v>
      </c>
      <c r="Q106" s="13" t="str">
        <f t="shared" si="6"/>
        <v/>
      </c>
      <c r="R106" s="13" t="str">
        <f t="shared" si="7"/>
        <v>Non diskon</v>
      </c>
    </row>
    <row r="107" spans="1:18" x14ac:dyDescent="0.25">
      <c r="A107" s="13" t="s">
        <v>119</v>
      </c>
      <c r="B107" s="13" t="s">
        <v>2194</v>
      </c>
      <c r="C107" s="13" t="s">
        <v>2198</v>
      </c>
      <c r="D107" s="13" t="s">
        <v>2204</v>
      </c>
      <c r="E107" s="13" t="s">
        <v>2208</v>
      </c>
      <c r="F107" s="13" t="s">
        <v>2221</v>
      </c>
      <c r="G107" s="13">
        <v>100.98</v>
      </c>
      <c r="H107" s="44">
        <v>0</v>
      </c>
      <c r="I107" s="13">
        <v>100.98</v>
      </c>
      <c r="J107" s="24">
        <v>45825</v>
      </c>
      <c r="K107" s="25">
        <v>21</v>
      </c>
      <c r="L107" s="25">
        <v>2.8</v>
      </c>
      <c r="M107" s="13" t="b">
        <v>0</v>
      </c>
      <c r="O107" s="25">
        <f t="shared" si="4"/>
        <v>77</v>
      </c>
      <c r="P107" s="13">
        <f t="shared" si="5"/>
        <v>0</v>
      </c>
      <c r="Q107" s="13" t="str">
        <f t="shared" si="6"/>
        <v/>
      </c>
      <c r="R107" s="13" t="str">
        <f t="shared" si="7"/>
        <v>Non diskon</v>
      </c>
    </row>
    <row r="108" spans="1:18" x14ac:dyDescent="0.25">
      <c r="A108" s="13" t="s">
        <v>120</v>
      </c>
      <c r="B108" s="13" t="s">
        <v>2194</v>
      </c>
      <c r="C108" s="13" t="s">
        <v>2198</v>
      </c>
      <c r="D108" s="13" t="s">
        <v>2207</v>
      </c>
      <c r="E108" s="13" t="s">
        <v>2213</v>
      </c>
      <c r="F108" s="13" t="s">
        <v>2221</v>
      </c>
      <c r="G108" s="13">
        <v>38.020000000000003</v>
      </c>
      <c r="H108" s="44">
        <v>0</v>
      </c>
      <c r="I108" s="13">
        <v>38.020000000000003</v>
      </c>
      <c r="J108" s="24">
        <v>45875</v>
      </c>
      <c r="K108" s="25">
        <v>44</v>
      </c>
      <c r="L108" s="25">
        <v>4.7</v>
      </c>
      <c r="M108" s="13" t="b">
        <v>0</v>
      </c>
      <c r="O108" s="25">
        <f t="shared" si="4"/>
        <v>27</v>
      </c>
      <c r="P108" s="13">
        <f t="shared" si="5"/>
        <v>0</v>
      </c>
      <c r="Q108" s="13" t="str">
        <f t="shared" si="6"/>
        <v/>
      </c>
      <c r="R108" s="13" t="str">
        <f t="shared" si="7"/>
        <v>Non diskon</v>
      </c>
    </row>
    <row r="109" spans="1:18" x14ac:dyDescent="0.25">
      <c r="A109" s="13" t="s">
        <v>121</v>
      </c>
      <c r="B109" s="13" t="s">
        <v>2194</v>
      </c>
      <c r="C109" s="13" t="s">
        <v>2200</v>
      </c>
      <c r="D109" s="13" t="s">
        <v>2206</v>
      </c>
      <c r="E109" s="13" t="s">
        <v>2208</v>
      </c>
      <c r="F109" s="13" t="s">
        <v>2219</v>
      </c>
      <c r="G109" s="13">
        <v>63.85</v>
      </c>
      <c r="H109" s="44">
        <v>0</v>
      </c>
      <c r="I109" s="13">
        <v>63.85</v>
      </c>
      <c r="J109" s="24">
        <v>45875</v>
      </c>
      <c r="K109" s="25">
        <v>41</v>
      </c>
      <c r="L109" s="25">
        <v>3.0659090909090896</v>
      </c>
      <c r="M109" s="13" t="b">
        <v>0</v>
      </c>
      <c r="O109" s="25">
        <f t="shared" si="4"/>
        <v>27</v>
      </c>
      <c r="P109" s="13">
        <f t="shared" si="5"/>
        <v>0</v>
      </c>
      <c r="Q109" s="13" t="str">
        <f t="shared" si="6"/>
        <v/>
      </c>
      <c r="R109" s="13" t="str">
        <f t="shared" si="7"/>
        <v>Non diskon</v>
      </c>
    </row>
    <row r="110" spans="1:18" x14ac:dyDescent="0.25">
      <c r="A110" s="13" t="s">
        <v>122</v>
      </c>
      <c r="B110" s="13" t="s">
        <v>2193</v>
      </c>
      <c r="C110" s="13" t="s">
        <v>2200</v>
      </c>
      <c r="D110" s="13" t="s">
        <v>2206</v>
      </c>
      <c r="E110" s="13" t="s">
        <v>2212</v>
      </c>
      <c r="F110" s="13" t="s">
        <v>2222</v>
      </c>
      <c r="G110" s="13">
        <v>183.15</v>
      </c>
      <c r="H110" s="44">
        <v>0</v>
      </c>
      <c r="I110" s="13">
        <v>183.15</v>
      </c>
      <c r="J110" s="24">
        <v>45875</v>
      </c>
      <c r="K110" s="25">
        <v>23</v>
      </c>
      <c r="L110" s="25">
        <v>4.0999999999999996</v>
      </c>
      <c r="M110" s="13" t="b">
        <v>0</v>
      </c>
      <c r="O110" s="25">
        <f t="shared" si="4"/>
        <v>27</v>
      </c>
      <c r="P110" s="13">
        <f t="shared" si="5"/>
        <v>0</v>
      </c>
      <c r="Q110" s="13" t="str">
        <f t="shared" si="6"/>
        <v/>
      </c>
      <c r="R110" s="13" t="str">
        <f t="shared" si="7"/>
        <v>Non diskon</v>
      </c>
    </row>
    <row r="111" spans="1:18" x14ac:dyDescent="0.25">
      <c r="A111" s="13" t="s">
        <v>123</v>
      </c>
      <c r="B111" s="13" t="s">
        <v>2195</v>
      </c>
      <c r="C111" s="13" t="s">
        <v>2196</v>
      </c>
      <c r="D111" s="13" t="s">
        <v>2205</v>
      </c>
      <c r="E111" s="13" t="s">
        <v>2210</v>
      </c>
      <c r="F111" s="13" t="s">
        <v>2218</v>
      </c>
      <c r="G111" s="13">
        <v>91</v>
      </c>
      <c r="H111" s="44">
        <v>59.5</v>
      </c>
      <c r="I111" s="13">
        <v>36.86</v>
      </c>
      <c r="J111" s="24">
        <v>45875</v>
      </c>
      <c r="K111" s="25">
        <v>5</v>
      </c>
      <c r="L111" s="25">
        <v>3.9</v>
      </c>
      <c r="M111" s="13" t="b">
        <v>0</v>
      </c>
      <c r="O111" s="25">
        <f t="shared" si="4"/>
        <v>27</v>
      </c>
      <c r="P111" s="13">
        <f t="shared" si="5"/>
        <v>297.5</v>
      </c>
      <c r="Q111" s="13" t="str">
        <f t="shared" si="6"/>
        <v/>
      </c>
      <c r="R111" s="13" t="str">
        <f t="shared" si="7"/>
        <v>Diskon</v>
      </c>
    </row>
    <row r="112" spans="1:18" x14ac:dyDescent="0.25">
      <c r="A112" s="13" t="s">
        <v>124</v>
      </c>
      <c r="B112" s="13" t="s">
        <v>2190</v>
      </c>
      <c r="C112" s="13" t="s">
        <v>2197</v>
      </c>
      <c r="D112" s="13" t="s">
        <v>2204</v>
      </c>
      <c r="E112" s="13" t="s">
        <v>2209</v>
      </c>
      <c r="F112" s="13" t="s">
        <v>2216</v>
      </c>
      <c r="G112" s="13">
        <v>92.83</v>
      </c>
      <c r="H112" s="44">
        <v>0</v>
      </c>
      <c r="I112" s="13">
        <v>92.83</v>
      </c>
      <c r="J112" s="24">
        <v>45858</v>
      </c>
      <c r="K112" s="25">
        <v>9</v>
      </c>
      <c r="L112" s="25">
        <v>1.2</v>
      </c>
      <c r="M112" s="13" t="b">
        <v>0</v>
      </c>
      <c r="O112" s="25">
        <f t="shared" si="4"/>
        <v>44</v>
      </c>
      <c r="P112" s="13">
        <f t="shared" si="5"/>
        <v>0</v>
      </c>
      <c r="Q112" s="13" t="str">
        <f t="shared" si="6"/>
        <v/>
      </c>
      <c r="R112" s="13" t="str">
        <f t="shared" si="7"/>
        <v>Non diskon</v>
      </c>
    </row>
    <row r="113" spans="1:18" x14ac:dyDescent="0.25">
      <c r="A113" s="13" t="s">
        <v>125</v>
      </c>
      <c r="B113" s="13" t="s">
        <v>2192</v>
      </c>
      <c r="C113" s="13" t="s">
        <v>2198</v>
      </c>
      <c r="D113" s="13" t="s">
        <v>2205</v>
      </c>
      <c r="F113" s="13" t="s">
        <v>2224</v>
      </c>
      <c r="G113" s="13">
        <v>34.450000000000003</v>
      </c>
      <c r="H113" s="44">
        <v>0</v>
      </c>
      <c r="I113" s="13">
        <v>34.450000000000003</v>
      </c>
      <c r="J113" s="24">
        <v>45875</v>
      </c>
      <c r="K113" s="25">
        <v>4</v>
      </c>
      <c r="L113" s="25">
        <v>4.5</v>
      </c>
      <c r="M113" s="13" t="b">
        <v>0</v>
      </c>
      <c r="O113" s="25">
        <f t="shared" si="4"/>
        <v>27</v>
      </c>
      <c r="P113" s="13">
        <f t="shared" si="5"/>
        <v>0</v>
      </c>
      <c r="Q113" s="13" t="str">
        <f t="shared" si="6"/>
        <v/>
      </c>
      <c r="R113" s="13" t="str">
        <f t="shared" si="7"/>
        <v>Non diskon</v>
      </c>
    </row>
    <row r="114" spans="1:18" x14ac:dyDescent="0.25">
      <c r="A114" s="13" t="s">
        <v>126</v>
      </c>
      <c r="B114" s="13" t="s">
        <v>2195</v>
      </c>
      <c r="C114" s="13" t="s">
        <v>2200</v>
      </c>
      <c r="D114" s="13" t="s">
        <v>2206</v>
      </c>
      <c r="E114" s="13" t="s">
        <v>2210</v>
      </c>
      <c r="F114" s="13" t="s">
        <v>2223</v>
      </c>
      <c r="G114" s="13">
        <v>128.15</v>
      </c>
      <c r="H114" s="44">
        <v>50</v>
      </c>
      <c r="I114" s="13">
        <v>64.08</v>
      </c>
      <c r="J114" s="24">
        <v>45875</v>
      </c>
      <c r="K114" s="25">
        <v>28</v>
      </c>
      <c r="L114" s="25">
        <v>3.2</v>
      </c>
      <c r="M114" s="13" t="b">
        <v>0</v>
      </c>
      <c r="O114" s="25">
        <f t="shared" si="4"/>
        <v>27</v>
      </c>
      <c r="P114" s="13">
        <f t="shared" si="5"/>
        <v>1400</v>
      </c>
      <c r="Q114" s="13" t="str">
        <f t="shared" si="6"/>
        <v/>
      </c>
      <c r="R114" s="13" t="str">
        <f t="shared" si="7"/>
        <v>Diskon</v>
      </c>
    </row>
    <row r="115" spans="1:18" x14ac:dyDescent="0.25">
      <c r="A115" s="13" t="s">
        <v>127</v>
      </c>
      <c r="B115" s="13" t="s">
        <v>2191</v>
      </c>
      <c r="C115" s="13" t="s">
        <v>2199</v>
      </c>
      <c r="D115" s="13" t="s">
        <v>2207</v>
      </c>
      <c r="E115" s="13" t="s">
        <v>2211</v>
      </c>
      <c r="F115" s="13" t="s">
        <v>2214</v>
      </c>
      <c r="G115" s="13">
        <v>99.62</v>
      </c>
      <c r="H115" s="44">
        <v>33.799999999999997</v>
      </c>
      <c r="I115" s="13">
        <v>65.95</v>
      </c>
      <c r="J115" s="24">
        <v>45875</v>
      </c>
      <c r="K115" s="25">
        <v>27</v>
      </c>
      <c r="L115" s="25">
        <v>2.1</v>
      </c>
      <c r="M115" s="13" t="b">
        <v>0</v>
      </c>
      <c r="O115" s="25">
        <f t="shared" si="4"/>
        <v>27</v>
      </c>
      <c r="P115" s="13">
        <f t="shared" si="5"/>
        <v>912.59999999999991</v>
      </c>
      <c r="Q115" s="13" t="str">
        <f t="shared" si="6"/>
        <v/>
      </c>
      <c r="R115" s="13" t="str">
        <f t="shared" si="7"/>
        <v>Diskon</v>
      </c>
    </row>
    <row r="116" spans="1:18" x14ac:dyDescent="0.25">
      <c r="A116" s="13" t="s">
        <v>128</v>
      </c>
      <c r="B116" s="13" t="s">
        <v>2194</v>
      </c>
      <c r="C116" s="13" t="s">
        <v>2203</v>
      </c>
      <c r="D116" s="13" t="s">
        <v>2205</v>
      </c>
      <c r="E116" s="13" t="s">
        <v>2210</v>
      </c>
      <c r="F116" s="13" t="s">
        <v>2215</v>
      </c>
      <c r="G116" s="13">
        <v>87.39</v>
      </c>
      <c r="H116" s="44">
        <v>25.5</v>
      </c>
      <c r="I116" s="13">
        <v>65.11</v>
      </c>
      <c r="J116" s="24">
        <v>45875</v>
      </c>
      <c r="K116" s="25">
        <v>8</v>
      </c>
      <c r="L116" s="25">
        <v>2.2999999999999998</v>
      </c>
      <c r="M116" s="13" t="b">
        <v>0</v>
      </c>
      <c r="O116" s="25">
        <f t="shared" si="4"/>
        <v>27</v>
      </c>
      <c r="P116" s="13">
        <f t="shared" si="5"/>
        <v>204</v>
      </c>
      <c r="Q116" s="13" t="str">
        <f t="shared" si="6"/>
        <v/>
      </c>
      <c r="R116" s="13" t="str">
        <f t="shared" si="7"/>
        <v>Diskon</v>
      </c>
    </row>
    <row r="117" spans="1:18" x14ac:dyDescent="0.25">
      <c r="A117" s="13" t="s">
        <v>129</v>
      </c>
      <c r="B117" s="13" t="s">
        <v>2191</v>
      </c>
      <c r="C117" s="13" t="s">
        <v>2196</v>
      </c>
      <c r="D117" s="13" t="s">
        <v>2204</v>
      </c>
      <c r="E117" s="13" t="s">
        <v>2211</v>
      </c>
      <c r="F117" s="13" t="s">
        <v>2224</v>
      </c>
      <c r="G117" s="13">
        <v>49.67</v>
      </c>
      <c r="H117" s="44">
        <v>0</v>
      </c>
      <c r="I117" s="13">
        <v>49.67</v>
      </c>
      <c r="J117" s="24">
        <v>45541</v>
      </c>
      <c r="K117" s="25">
        <v>37</v>
      </c>
      <c r="L117" s="25">
        <v>2.2999999999999998</v>
      </c>
      <c r="M117" s="13" t="b">
        <v>0</v>
      </c>
      <c r="O117" s="25">
        <f t="shared" si="4"/>
        <v>361</v>
      </c>
      <c r="P117" s="13">
        <f t="shared" si="5"/>
        <v>0</v>
      </c>
      <c r="Q117" s="13" t="str">
        <f t="shared" si="6"/>
        <v/>
      </c>
      <c r="R117" s="13" t="str">
        <f t="shared" si="7"/>
        <v>Non diskon</v>
      </c>
    </row>
    <row r="118" spans="1:18" x14ac:dyDescent="0.25">
      <c r="A118" s="13" t="s">
        <v>130</v>
      </c>
      <c r="B118" s="13" t="s">
        <v>2192</v>
      </c>
      <c r="C118" s="13" t="s">
        <v>2197</v>
      </c>
      <c r="D118" s="13" t="s">
        <v>2206</v>
      </c>
      <c r="F118" s="13" t="s">
        <v>2224</v>
      </c>
      <c r="G118" s="13">
        <v>72.040000000000006</v>
      </c>
      <c r="H118" s="44">
        <v>0</v>
      </c>
      <c r="I118" s="13">
        <v>72.040000000000006</v>
      </c>
      <c r="J118" s="24">
        <v>45875</v>
      </c>
      <c r="K118" s="25">
        <v>48</v>
      </c>
      <c r="L118" s="25">
        <v>3.1288461538461547</v>
      </c>
      <c r="M118" s="13" t="b">
        <v>1</v>
      </c>
      <c r="N118" s="13" t="s">
        <v>2230</v>
      </c>
      <c r="O118" s="25">
        <f t="shared" si="4"/>
        <v>27</v>
      </c>
      <c r="P118" s="13">
        <f t="shared" si="5"/>
        <v>0</v>
      </c>
      <c r="Q118" s="13">
        <f t="shared" si="6"/>
        <v>1</v>
      </c>
      <c r="R118" s="13" t="str">
        <f t="shared" si="7"/>
        <v>Non diskon</v>
      </c>
    </row>
    <row r="119" spans="1:18" x14ac:dyDescent="0.25">
      <c r="A119" s="13" t="s">
        <v>131</v>
      </c>
      <c r="B119" s="13" t="s">
        <v>2195</v>
      </c>
      <c r="C119" s="13" t="s">
        <v>2196</v>
      </c>
      <c r="D119" s="13" t="s">
        <v>2204</v>
      </c>
      <c r="E119" s="13" t="s">
        <v>2213</v>
      </c>
      <c r="F119" s="13" t="s">
        <v>2222</v>
      </c>
      <c r="G119" s="13">
        <v>133.82</v>
      </c>
      <c r="H119" s="44">
        <v>0</v>
      </c>
      <c r="I119" s="13">
        <v>133.82</v>
      </c>
      <c r="J119" s="24">
        <v>45621</v>
      </c>
      <c r="K119" s="25">
        <v>12</v>
      </c>
      <c r="L119" s="25">
        <v>1.7</v>
      </c>
      <c r="M119" s="13" t="b">
        <v>0</v>
      </c>
      <c r="O119" s="25">
        <f t="shared" si="4"/>
        <v>281</v>
      </c>
      <c r="P119" s="13">
        <f t="shared" si="5"/>
        <v>0</v>
      </c>
      <c r="Q119" s="13" t="str">
        <f t="shared" si="6"/>
        <v/>
      </c>
      <c r="R119" s="13" t="str">
        <f t="shared" si="7"/>
        <v>Non diskon</v>
      </c>
    </row>
    <row r="120" spans="1:18" x14ac:dyDescent="0.25">
      <c r="A120" s="13" t="s">
        <v>132</v>
      </c>
      <c r="B120" s="13" t="s">
        <v>2194</v>
      </c>
      <c r="C120" s="13" t="s">
        <v>2197</v>
      </c>
      <c r="D120" s="13" t="s">
        <v>2205</v>
      </c>
      <c r="E120" s="13" t="s">
        <v>2210</v>
      </c>
      <c r="F120" s="13" t="s">
        <v>2216</v>
      </c>
      <c r="G120" s="13">
        <v>62.93</v>
      </c>
      <c r="H120" s="44">
        <v>0</v>
      </c>
      <c r="I120" s="13">
        <v>62.93</v>
      </c>
      <c r="J120" s="24">
        <v>45875</v>
      </c>
      <c r="K120" s="25">
        <v>49</v>
      </c>
      <c r="L120" s="25">
        <v>3.0846153846153843</v>
      </c>
      <c r="M120" s="13" t="b">
        <v>0</v>
      </c>
      <c r="O120" s="25">
        <f t="shared" si="4"/>
        <v>27</v>
      </c>
      <c r="P120" s="13">
        <f t="shared" si="5"/>
        <v>0</v>
      </c>
      <c r="Q120" s="13" t="str">
        <f t="shared" si="6"/>
        <v/>
      </c>
      <c r="R120" s="13" t="str">
        <f t="shared" si="7"/>
        <v>Non diskon</v>
      </c>
    </row>
    <row r="121" spans="1:18" x14ac:dyDescent="0.25">
      <c r="A121" s="13" t="s">
        <v>133</v>
      </c>
      <c r="B121" s="13" t="s">
        <v>2190</v>
      </c>
      <c r="C121" s="13" t="s">
        <v>2196</v>
      </c>
      <c r="D121" s="13" t="s">
        <v>2204</v>
      </c>
      <c r="E121" s="13" t="s">
        <v>2209</v>
      </c>
      <c r="F121" s="13" t="s">
        <v>2214</v>
      </c>
      <c r="G121" s="13">
        <v>248.58</v>
      </c>
      <c r="H121" s="44">
        <v>0</v>
      </c>
      <c r="I121" s="13">
        <v>248.58</v>
      </c>
      <c r="J121" s="24">
        <v>45842</v>
      </c>
      <c r="K121" s="25">
        <v>27</v>
      </c>
      <c r="L121" s="25">
        <v>1.5</v>
      </c>
      <c r="M121" s="13" t="b">
        <v>0</v>
      </c>
      <c r="O121" s="25">
        <f t="shared" si="4"/>
        <v>60</v>
      </c>
      <c r="P121" s="13">
        <f t="shared" si="5"/>
        <v>0</v>
      </c>
      <c r="Q121" s="13" t="str">
        <f t="shared" si="6"/>
        <v/>
      </c>
      <c r="R121" s="13" t="str">
        <f t="shared" si="7"/>
        <v>Non diskon</v>
      </c>
    </row>
    <row r="122" spans="1:18" x14ac:dyDescent="0.25">
      <c r="A122" s="13" t="s">
        <v>134</v>
      </c>
      <c r="B122" s="13" t="s">
        <v>2193</v>
      </c>
      <c r="C122" s="13" t="s">
        <v>2197</v>
      </c>
      <c r="D122" s="13" t="s">
        <v>2206</v>
      </c>
      <c r="E122" s="13" t="s">
        <v>2211</v>
      </c>
      <c r="F122" s="13" t="s">
        <v>2222</v>
      </c>
      <c r="G122" s="13">
        <v>61.08</v>
      </c>
      <c r="H122" s="44">
        <v>0</v>
      </c>
      <c r="I122" s="13">
        <v>61.08</v>
      </c>
      <c r="J122" s="24">
        <v>45875</v>
      </c>
      <c r="K122" s="25">
        <v>27</v>
      </c>
      <c r="L122" s="25">
        <v>2.8205128205128198</v>
      </c>
      <c r="M122" s="13" t="b">
        <v>1</v>
      </c>
      <c r="N122" s="13" t="s">
        <v>2229</v>
      </c>
      <c r="O122" s="25">
        <f t="shared" si="4"/>
        <v>27</v>
      </c>
      <c r="P122" s="13">
        <f t="shared" si="5"/>
        <v>0</v>
      </c>
      <c r="Q122" s="13">
        <f t="shared" si="6"/>
        <v>1</v>
      </c>
      <c r="R122" s="13" t="str">
        <f t="shared" si="7"/>
        <v>Non diskon</v>
      </c>
    </row>
    <row r="123" spans="1:18" x14ac:dyDescent="0.25">
      <c r="A123" s="13" t="s">
        <v>135</v>
      </c>
      <c r="B123" s="13" t="s">
        <v>2194</v>
      </c>
      <c r="C123" s="13" t="s">
        <v>2202</v>
      </c>
      <c r="D123" s="13" t="s">
        <v>2205</v>
      </c>
      <c r="E123" s="13" t="s">
        <v>2210</v>
      </c>
      <c r="F123" s="13" t="s">
        <v>2214</v>
      </c>
      <c r="G123" s="13">
        <v>109.12</v>
      </c>
      <c r="H123" s="44">
        <v>0</v>
      </c>
      <c r="I123" s="13">
        <v>109.12</v>
      </c>
      <c r="J123" s="24">
        <v>45875</v>
      </c>
      <c r="K123" s="25">
        <v>34</v>
      </c>
      <c r="L123" s="25">
        <v>3.1799999999999997</v>
      </c>
      <c r="M123" s="13" t="b">
        <v>0</v>
      </c>
      <c r="O123" s="25">
        <f t="shared" si="4"/>
        <v>27</v>
      </c>
      <c r="P123" s="13">
        <f t="shared" si="5"/>
        <v>0</v>
      </c>
      <c r="Q123" s="13" t="str">
        <f t="shared" si="6"/>
        <v/>
      </c>
      <c r="R123" s="13" t="str">
        <f t="shared" si="7"/>
        <v>Non diskon</v>
      </c>
    </row>
    <row r="124" spans="1:18" x14ac:dyDescent="0.25">
      <c r="A124" s="13" t="s">
        <v>136</v>
      </c>
      <c r="B124" s="13" t="s">
        <v>2190</v>
      </c>
      <c r="C124" s="13" t="s">
        <v>2196</v>
      </c>
      <c r="D124" s="13" t="s">
        <v>2205</v>
      </c>
      <c r="E124" s="13" t="s">
        <v>2211</v>
      </c>
      <c r="F124" s="13" t="s">
        <v>2223</v>
      </c>
      <c r="G124" s="13">
        <v>82.91</v>
      </c>
      <c r="H124" s="44">
        <v>45.9</v>
      </c>
      <c r="I124" s="13">
        <v>44.85</v>
      </c>
      <c r="J124" s="24">
        <v>45875</v>
      </c>
      <c r="K124" s="25">
        <v>24</v>
      </c>
      <c r="L124" s="25">
        <v>2.7030303030303036</v>
      </c>
      <c r="M124" s="13" t="b">
        <v>1</v>
      </c>
      <c r="N124" s="13" t="s">
        <v>2228</v>
      </c>
      <c r="O124" s="25">
        <f t="shared" si="4"/>
        <v>27</v>
      </c>
      <c r="P124" s="13">
        <f t="shared" si="5"/>
        <v>1101.5999999999999</v>
      </c>
      <c r="Q124" s="13">
        <f t="shared" si="6"/>
        <v>1</v>
      </c>
      <c r="R124" s="13" t="str">
        <f t="shared" si="7"/>
        <v>Diskon</v>
      </c>
    </row>
    <row r="125" spans="1:18" x14ac:dyDescent="0.25">
      <c r="A125" s="13" t="s">
        <v>137</v>
      </c>
      <c r="B125" s="13" t="s">
        <v>2193</v>
      </c>
      <c r="C125" s="13" t="s">
        <v>2200</v>
      </c>
      <c r="D125" s="13" t="s">
        <v>2207</v>
      </c>
      <c r="E125" s="13" t="s">
        <v>2212</v>
      </c>
      <c r="F125" s="13" t="s">
        <v>2223</v>
      </c>
      <c r="G125" s="13">
        <v>113.53</v>
      </c>
      <c r="H125" s="44">
        <v>10.9</v>
      </c>
      <c r="I125" s="13">
        <v>101.16</v>
      </c>
      <c r="J125" s="24">
        <v>45875</v>
      </c>
      <c r="K125" s="25">
        <v>40</v>
      </c>
      <c r="L125" s="25">
        <v>2.8</v>
      </c>
      <c r="M125" s="13" t="b">
        <v>0</v>
      </c>
      <c r="O125" s="25">
        <f t="shared" si="4"/>
        <v>27</v>
      </c>
      <c r="P125" s="13">
        <f t="shared" si="5"/>
        <v>436</v>
      </c>
      <c r="Q125" s="13" t="str">
        <f t="shared" si="6"/>
        <v/>
      </c>
      <c r="R125" s="13" t="str">
        <f t="shared" si="7"/>
        <v>Diskon</v>
      </c>
    </row>
    <row r="126" spans="1:18" x14ac:dyDescent="0.25">
      <c r="A126" s="13" t="s">
        <v>138</v>
      </c>
      <c r="B126" s="13" t="s">
        <v>2192</v>
      </c>
      <c r="C126" s="13" t="s">
        <v>2197</v>
      </c>
      <c r="D126" s="13" t="s">
        <v>2205</v>
      </c>
      <c r="F126" s="13" t="s">
        <v>2224</v>
      </c>
      <c r="G126" s="13">
        <v>38.89</v>
      </c>
      <c r="H126" s="44">
        <v>51.5</v>
      </c>
      <c r="I126" s="13">
        <v>18.86</v>
      </c>
      <c r="J126" s="24">
        <v>45875</v>
      </c>
      <c r="K126" s="25">
        <v>28</v>
      </c>
      <c r="L126" s="25">
        <v>4.3</v>
      </c>
      <c r="M126" s="13" t="b">
        <v>0</v>
      </c>
      <c r="O126" s="25">
        <f t="shared" si="4"/>
        <v>27</v>
      </c>
      <c r="P126" s="13">
        <f t="shared" si="5"/>
        <v>1442</v>
      </c>
      <c r="Q126" s="13" t="str">
        <f t="shared" si="6"/>
        <v/>
      </c>
      <c r="R126" s="13" t="str">
        <f t="shared" si="7"/>
        <v>Diskon</v>
      </c>
    </row>
    <row r="127" spans="1:18" x14ac:dyDescent="0.25">
      <c r="A127" s="13" t="s">
        <v>139</v>
      </c>
      <c r="B127" s="13" t="s">
        <v>2195</v>
      </c>
      <c r="C127" s="13" t="s">
        <v>2202</v>
      </c>
      <c r="D127" s="13" t="s">
        <v>2204</v>
      </c>
      <c r="E127" s="13" t="s">
        <v>2211</v>
      </c>
      <c r="F127" s="13" t="s">
        <v>2216</v>
      </c>
      <c r="G127" s="13">
        <v>53.01</v>
      </c>
      <c r="H127" s="44">
        <v>45.9</v>
      </c>
      <c r="I127" s="13">
        <v>28.68</v>
      </c>
      <c r="J127" s="24">
        <v>45671</v>
      </c>
      <c r="K127" s="25">
        <v>37</v>
      </c>
      <c r="L127" s="25">
        <v>3.7</v>
      </c>
      <c r="M127" s="13" t="b">
        <v>0</v>
      </c>
      <c r="O127" s="25">
        <f t="shared" si="4"/>
        <v>231</v>
      </c>
      <c r="P127" s="13">
        <f t="shared" si="5"/>
        <v>1698.3</v>
      </c>
      <c r="Q127" s="13" t="str">
        <f t="shared" si="6"/>
        <v/>
      </c>
      <c r="R127" s="13" t="str">
        <f t="shared" si="7"/>
        <v>Diskon</v>
      </c>
    </row>
    <row r="128" spans="1:18" x14ac:dyDescent="0.25">
      <c r="A128" s="13" t="s">
        <v>140</v>
      </c>
      <c r="B128" s="13" t="s">
        <v>2193</v>
      </c>
      <c r="C128" s="13" t="s">
        <v>2201</v>
      </c>
      <c r="D128" s="13" t="s">
        <v>2204</v>
      </c>
      <c r="E128" s="13" t="s">
        <v>2211</v>
      </c>
      <c r="F128" s="13" t="s">
        <v>2219</v>
      </c>
      <c r="G128" s="13">
        <v>81.64</v>
      </c>
      <c r="H128" s="44">
        <v>0</v>
      </c>
      <c r="I128" s="13">
        <v>81.64</v>
      </c>
      <c r="J128" s="24">
        <v>45632</v>
      </c>
      <c r="K128" s="25">
        <v>50</v>
      </c>
      <c r="L128" s="25">
        <v>1.1000000000000001</v>
      </c>
      <c r="M128" s="13" t="b">
        <v>0</v>
      </c>
      <c r="O128" s="25">
        <f t="shared" si="4"/>
        <v>270</v>
      </c>
      <c r="P128" s="13">
        <f t="shared" si="5"/>
        <v>0</v>
      </c>
      <c r="Q128" s="13" t="str">
        <f t="shared" si="6"/>
        <v/>
      </c>
      <c r="R128" s="13" t="str">
        <f t="shared" si="7"/>
        <v>Non diskon</v>
      </c>
    </row>
    <row r="129" spans="1:18" x14ac:dyDescent="0.25">
      <c r="A129" s="13" t="s">
        <v>141</v>
      </c>
      <c r="B129" s="13" t="s">
        <v>2193</v>
      </c>
      <c r="C129" s="13" t="s">
        <v>2201</v>
      </c>
      <c r="D129" s="13" t="s">
        <v>2204</v>
      </c>
      <c r="E129" s="13" t="s">
        <v>2211</v>
      </c>
      <c r="F129" s="13" t="s">
        <v>2217</v>
      </c>
      <c r="G129" s="13">
        <v>125.24</v>
      </c>
      <c r="H129" s="44">
        <v>21.5</v>
      </c>
      <c r="I129" s="13">
        <v>98.31</v>
      </c>
      <c r="J129" s="24">
        <v>45541</v>
      </c>
      <c r="K129" s="25">
        <v>7</v>
      </c>
      <c r="L129" s="25">
        <v>2.9</v>
      </c>
      <c r="M129" s="13" t="b">
        <v>0</v>
      </c>
      <c r="O129" s="25">
        <f t="shared" si="4"/>
        <v>361</v>
      </c>
      <c r="P129" s="13">
        <f t="shared" si="5"/>
        <v>150.5</v>
      </c>
      <c r="Q129" s="13" t="str">
        <f t="shared" si="6"/>
        <v/>
      </c>
      <c r="R129" s="13" t="str">
        <f t="shared" si="7"/>
        <v>Diskon</v>
      </c>
    </row>
    <row r="130" spans="1:18" x14ac:dyDescent="0.25">
      <c r="A130" s="13" t="s">
        <v>142</v>
      </c>
      <c r="B130" s="13" t="s">
        <v>2190</v>
      </c>
      <c r="C130" s="13" t="s">
        <v>2201</v>
      </c>
      <c r="D130" s="13" t="s">
        <v>2204</v>
      </c>
      <c r="E130" s="13" t="s">
        <v>2212</v>
      </c>
      <c r="F130" s="13" t="s">
        <v>2215</v>
      </c>
      <c r="G130" s="13">
        <v>98.61</v>
      </c>
      <c r="H130" s="44">
        <v>0</v>
      </c>
      <c r="I130" s="13">
        <v>98.61</v>
      </c>
      <c r="J130" s="24">
        <v>45721</v>
      </c>
      <c r="K130" s="25">
        <v>1</v>
      </c>
      <c r="L130" s="25">
        <v>2.6</v>
      </c>
      <c r="M130" s="13" t="b">
        <v>0</v>
      </c>
      <c r="O130" s="25">
        <f t="shared" si="4"/>
        <v>181</v>
      </c>
      <c r="P130" s="13">
        <f t="shared" si="5"/>
        <v>0</v>
      </c>
      <c r="Q130" s="13" t="str">
        <f t="shared" si="6"/>
        <v/>
      </c>
      <c r="R130" s="13" t="str">
        <f t="shared" si="7"/>
        <v>Non diskon</v>
      </c>
    </row>
    <row r="131" spans="1:18" x14ac:dyDescent="0.25">
      <c r="A131" s="13" t="s">
        <v>143</v>
      </c>
      <c r="B131" s="13" t="s">
        <v>2193</v>
      </c>
      <c r="C131" s="13" t="s">
        <v>2202</v>
      </c>
      <c r="D131" s="13" t="s">
        <v>2206</v>
      </c>
      <c r="E131" s="13" t="s">
        <v>2212</v>
      </c>
      <c r="F131" s="13" t="s">
        <v>2219</v>
      </c>
      <c r="G131" s="13">
        <v>77.540000000000006</v>
      </c>
      <c r="H131" s="44">
        <v>0</v>
      </c>
      <c r="I131" s="13">
        <v>77.540000000000006</v>
      </c>
      <c r="J131" s="24">
        <v>45875</v>
      </c>
      <c r="K131" s="25">
        <v>36</v>
      </c>
      <c r="L131" s="25">
        <v>3.4</v>
      </c>
      <c r="M131" s="13" t="b">
        <v>0</v>
      </c>
      <c r="O131" s="25">
        <f t="shared" ref="O131:O194" si="8">DATE(2025,9,2)-J131</f>
        <v>27</v>
      </c>
      <c r="P131" s="13">
        <f t="shared" ref="P131:P194" si="9">H131*K131</f>
        <v>0</v>
      </c>
      <c r="Q131" s="13" t="str">
        <f t="shared" ref="Q131:Q194" si="10">IF(M131=FALSE,"",1)</f>
        <v/>
      </c>
      <c r="R131" s="13" t="str">
        <f t="shared" ref="R131:R194" si="11">IF(H131=0,"Non diskon","Diskon")</f>
        <v>Non diskon</v>
      </c>
    </row>
    <row r="132" spans="1:18" x14ac:dyDescent="0.25">
      <c r="A132" s="13" t="s">
        <v>144</v>
      </c>
      <c r="B132" s="13" t="s">
        <v>2195</v>
      </c>
      <c r="C132" s="13" t="s">
        <v>2198</v>
      </c>
      <c r="D132" s="13" t="s">
        <v>2204</v>
      </c>
      <c r="E132" s="13" t="s">
        <v>2208</v>
      </c>
      <c r="F132" s="13" t="s">
        <v>2223</v>
      </c>
      <c r="G132" s="13">
        <v>79.13</v>
      </c>
      <c r="H132" s="44">
        <v>0</v>
      </c>
      <c r="I132" s="13">
        <v>79.13</v>
      </c>
      <c r="J132" s="24">
        <v>45612</v>
      </c>
      <c r="K132" s="25">
        <v>11</v>
      </c>
      <c r="L132" s="25">
        <v>3.6</v>
      </c>
      <c r="M132" s="13" t="b">
        <v>0</v>
      </c>
      <c r="O132" s="25">
        <f t="shared" si="8"/>
        <v>290</v>
      </c>
      <c r="P132" s="13">
        <f t="shared" si="9"/>
        <v>0</v>
      </c>
      <c r="Q132" s="13" t="str">
        <f t="shared" si="10"/>
        <v/>
      </c>
      <c r="R132" s="13" t="str">
        <f t="shared" si="11"/>
        <v>Non diskon</v>
      </c>
    </row>
    <row r="133" spans="1:18" x14ac:dyDescent="0.25">
      <c r="A133" s="13" t="s">
        <v>145</v>
      </c>
      <c r="B133" s="13" t="s">
        <v>2194</v>
      </c>
      <c r="C133" s="13" t="s">
        <v>2199</v>
      </c>
      <c r="D133" s="13" t="s">
        <v>2204</v>
      </c>
      <c r="E133" s="13" t="s">
        <v>2210</v>
      </c>
      <c r="F133" s="13" t="s">
        <v>2220</v>
      </c>
      <c r="G133" s="13">
        <v>96.11</v>
      </c>
      <c r="H133" s="44">
        <v>0</v>
      </c>
      <c r="I133" s="13">
        <v>96.11</v>
      </c>
      <c r="J133" s="24">
        <v>45759</v>
      </c>
      <c r="K133" s="25">
        <v>13</v>
      </c>
      <c r="L133" s="25">
        <v>4.2</v>
      </c>
      <c r="M133" s="13" t="b">
        <v>0</v>
      </c>
      <c r="O133" s="25">
        <f t="shared" si="8"/>
        <v>143</v>
      </c>
      <c r="P133" s="13">
        <f t="shared" si="9"/>
        <v>0</v>
      </c>
      <c r="Q133" s="13" t="str">
        <f t="shared" si="10"/>
        <v/>
      </c>
      <c r="R133" s="13" t="str">
        <f t="shared" si="11"/>
        <v>Non diskon</v>
      </c>
    </row>
    <row r="134" spans="1:18" x14ac:dyDescent="0.25">
      <c r="A134" s="13" t="s">
        <v>146</v>
      </c>
      <c r="B134" s="13" t="s">
        <v>2191</v>
      </c>
      <c r="C134" s="13" t="s">
        <v>2199</v>
      </c>
      <c r="D134" s="13" t="s">
        <v>2204</v>
      </c>
      <c r="E134" s="13" t="s">
        <v>2208</v>
      </c>
      <c r="F134" s="13" t="s">
        <v>2217</v>
      </c>
      <c r="G134" s="13">
        <v>116.61</v>
      </c>
      <c r="H134" s="44">
        <v>0</v>
      </c>
      <c r="I134" s="13">
        <v>116.61</v>
      </c>
      <c r="J134" s="24">
        <v>45600</v>
      </c>
      <c r="K134" s="25">
        <v>31</v>
      </c>
      <c r="L134" s="25">
        <v>2.9742857142857138</v>
      </c>
      <c r="M134" s="13" t="b">
        <v>0</v>
      </c>
      <c r="O134" s="25">
        <f t="shared" si="8"/>
        <v>302</v>
      </c>
      <c r="P134" s="13">
        <f t="shared" si="9"/>
        <v>0</v>
      </c>
      <c r="Q134" s="13" t="str">
        <f t="shared" si="10"/>
        <v/>
      </c>
      <c r="R134" s="13" t="str">
        <f t="shared" si="11"/>
        <v>Non diskon</v>
      </c>
    </row>
    <row r="135" spans="1:18" x14ac:dyDescent="0.25">
      <c r="A135" s="13" t="s">
        <v>147</v>
      </c>
      <c r="B135" s="13" t="s">
        <v>2192</v>
      </c>
      <c r="C135" s="13" t="s">
        <v>2201</v>
      </c>
      <c r="D135" s="13" t="s">
        <v>2205</v>
      </c>
      <c r="F135" s="13" t="s">
        <v>2219</v>
      </c>
      <c r="G135" s="13">
        <v>57.8</v>
      </c>
      <c r="H135" s="44">
        <v>27</v>
      </c>
      <c r="I135" s="13">
        <v>42.19</v>
      </c>
      <c r="J135" s="24">
        <v>45875</v>
      </c>
      <c r="K135" s="25">
        <v>9</v>
      </c>
      <c r="L135" s="25">
        <v>1.8</v>
      </c>
      <c r="M135" s="13" t="b">
        <v>0</v>
      </c>
      <c r="O135" s="25">
        <f t="shared" si="8"/>
        <v>27</v>
      </c>
      <c r="P135" s="13">
        <f t="shared" si="9"/>
        <v>243</v>
      </c>
      <c r="Q135" s="13" t="str">
        <f t="shared" si="10"/>
        <v/>
      </c>
      <c r="R135" s="13" t="str">
        <f t="shared" si="11"/>
        <v>Diskon</v>
      </c>
    </row>
    <row r="136" spans="1:18" x14ac:dyDescent="0.25">
      <c r="A136" s="13" t="s">
        <v>148</v>
      </c>
      <c r="B136" s="13" t="s">
        <v>2191</v>
      </c>
      <c r="C136" s="13" t="s">
        <v>2200</v>
      </c>
      <c r="D136" s="13" t="s">
        <v>2204</v>
      </c>
      <c r="E136" s="13" t="s">
        <v>2210</v>
      </c>
      <c r="F136" s="13" t="s">
        <v>2217</v>
      </c>
      <c r="G136" s="13">
        <v>110.78</v>
      </c>
      <c r="H136" s="44">
        <v>0</v>
      </c>
      <c r="I136" s="13">
        <v>110.78</v>
      </c>
      <c r="J136" s="24">
        <v>45670</v>
      </c>
      <c r="K136" s="25">
        <v>9</v>
      </c>
      <c r="L136" s="25">
        <v>1.4</v>
      </c>
      <c r="M136" s="13" t="b">
        <v>0</v>
      </c>
      <c r="O136" s="25">
        <f t="shared" si="8"/>
        <v>232</v>
      </c>
      <c r="P136" s="13">
        <f t="shared" si="9"/>
        <v>0</v>
      </c>
      <c r="Q136" s="13" t="str">
        <f t="shared" si="10"/>
        <v/>
      </c>
      <c r="R136" s="13" t="str">
        <f t="shared" si="11"/>
        <v>Non diskon</v>
      </c>
    </row>
    <row r="137" spans="1:18" x14ac:dyDescent="0.25">
      <c r="A137" s="13" t="s">
        <v>149</v>
      </c>
      <c r="B137" s="13" t="s">
        <v>2191</v>
      </c>
      <c r="C137" s="13" t="s">
        <v>2202</v>
      </c>
      <c r="D137" s="13" t="s">
        <v>2204</v>
      </c>
      <c r="E137" s="13" t="s">
        <v>2209</v>
      </c>
      <c r="F137" s="13" t="s">
        <v>2216</v>
      </c>
      <c r="G137" s="13">
        <v>112.63</v>
      </c>
      <c r="H137" s="44">
        <v>0</v>
      </c>
      <c r="I137" s="13">
        <v>112.63</v>
      </c>
      <c r="J137" s="24">
        <v>45579</v>
      </c>
      <c r="K137" s="25">
        <v>50</v>
      </c>
      <c r="L137" s="25">
        <v>3.6</v>
      </c>
      <c r="M137" s="13" t="b">
        <v>1</v>
      </c>
      <c r="N137" s="13" t="s">
        <v>2228</v>
      </c>
      <c r="O137" s="25">
        <f t="shared" si="8"/>
        <v>323</v>
      </c>
      <c r="P137" s="13">
        <f t="shared" si="9"/>
        <v>0</v>
      </c>
      <c r="Q137" s="13">
        <f t="shared" si="10"/>
        <v>1</v>
      </c>
      <c r="R137" s="13" t="str">
        <f t="shared" si="11"/>
        <v>Non diskon</v>
      </c>
    </row>
    <row r="138" spans="1:18" x14ac:dyDescent="0.25">
      <c r="A138" s="13" t="s">
        <v>150</v>
      </c>
      <c r="B138" s="13" t="s">
        <v>2191</v>
      </c>
      <c r="C138" s="13" t="s">
        <v>2200</v>
      </c>
      <c r="D138" s="13" t="s">
        <v>2207</v>
      </c>
      <c r="E138" s="13" t="s">
        <v>2212</v>
      </c>
      <c r="F138" s="13" t="s">
        <v>2223</v>
      </c>
      <c r="G138" s="13">
        <v>89.36</v>
      </c>
      <c r="H138" s="44">
        <v>0</v>
      </c>
      <c r="I138" s="13">
        <v>89.36</v>
      </c>
      <c r="J138" s="24">
        <v>45875</v>
      </c>
      <c r="K138" s="25">
        <v>24</v>
      </c>
      <c r="L138" s="25">
        <v>4.3</v>
      </c>
      <c r="M138" s="13" t="b">
        <v>1</v>
      </c>
      <c r="N138" s="13" t="s">
        <v>2227</v>
      </c>
      <c r="O138" s="25">
        <f t="shared" si="8"/>
        <v>27</v>
      </c>
      <c r="P138" s="13">
        <f t="shared" si="9"/>
        <v>0</v>
      </c>
      <c r="Q138" s="13">
        <f t="shared" si="10"/>
        <v>1</v>
      </c>
      <c r="R138" s="13" t="str">
        <f t="shared" si="11"/>
        <v>Non diskon</v>
      </c>
    </row>
    <row r="139" spans="1:18" x14ac:dyDescent="0.25">
      <c r="A139" s="13" t="s">
        <v>151</v>
      </c>
      <c r="B139" s="13" t="s">
        <v>2190</v>
      </c>
      <c r="C139" s="13" t="s">
        <v>2203</v>
      </c>
      <c r="D139" s="13" t="s">
        <v>2206</v>
      </c>
      <c r="E139" s="13" t="s">
        <v>2213</v>
      </c>
      <c r="F139" s="13" t="s">
        <v>2215</v>
      </c>
      <c r="G139" s="13">
        <v>127.99</v>
      </c>
      <c r="H139" s="44">
        <v>0</v>
      </c>
      <c r="I139" s="13">
        <v>127.99</v>
      </c>
      <c r="J139" s="24">
        <v>45875</v>
      </c>
      <c r="K139" s="25">
        <v>16</v>
      </c>
      <c r="L139" s="25">
        <v>2.9718749999999998</v>
      </c>
      <c r="M139" s="13" t="b">
        <v>0</v>
      </c>
      <c r="O139" s="25">
        <f t="shared" si="8"/>
        <v>27</v>
      </c>
      <c r="P139" s="13">
        <f t="shared" si="9"/>
        <v>0</v>
      </c>
      <c r="Q139" s="13" t="str">
        <f t="shared" si="10"/>
        <v/>
      </c>
      <c r="R139" s="13" t="str">
        <f t="shared" si="11"/>
        <v>Non diskon</v>
      </c>
    </row>
    <row r="140" spans="1:18" x14ac:dyDescent="0.25">
      <c r="A140" s="13" t="s">
        <v>152</v>
      </c>
      <c r="B140" s="13" t="s">
        <v>2194</v>
      </c>
      <c r="C140" s="13" t="s">
        <v>2196</v>
      </c>
      <c r="D140" s="13" t="s">
        <v>2205</v>
      </c>
      <c r="E140" s="13" t="s">
        <v>2211</v>
      </c>
      <c r="F140" s="13" t="s">
        <v>2221</v>
      </c>
      <c r="G140" s="13">
        <v>54.88</v>
      </c>
      <c r="H140" s="44">
        <v>58.8</v>
      </c>
      <c r="I140" s="13">
        <v>22.61</v>
      </c>
      <c r="J140" s="24">
        <v>45875</v>
      </c>
      <c r="K140" s="25">
        <v>50</v>
      </c>
      <c r="L140" s="25">
        <v>3.5</v>
      </c>
      <c r="M140" s="13" t="b">
        <v>0</v>
      </c>
      <c r="O140" s="25">
        <f t="shared" si="8"/>
        <v>27</v>
      </c>
      <c r="P140" s="13">
        <f t="shared" si="9"/>
        <v>2940</v>
      </c>
      <c r="Q140" s="13" t="str">
        <f t="shared" si="10"/>
        <v/>
      </c>
      <c r="R140" s="13" t="str">
        <f t="shared" si="11"/>
        <v>Diskon</v>
      </c>
    </row>
    <row r="141" spans="1:18" x14ac:dyDescent="0.25">
      <c r="A141" s="13" t="s">
        <v>153</v>
      </c>
      <c r="B141" s="13" t="s">
        <v>2193</v>
      </c>
      <c r="C141" s="13" t="s">
        <v>2197</v>
      </c>
      <c r="D141" s="13" t="s">
        <v>2204</v>
      </c>
      <c r="E141" s="13" t="s">
        <v>2209</v>
      </c>
      <c r="F141" s="13" t="s">
        <v>2217</v>
      </c>
      <c r="G141" s="13">
        <v>154.13</v>
      </c>
      <c r="H141" s="44">
        <v>0</v>
      </c>
      <c r="I141" s="13">
        <v>154.13</v>
      </c>
      <c r="J141" s="24">
        <v>45566</v>
      </c>
      <c r="K141" s="25">
        <v>31</v>
      </c>
      <c r="L141" s="25">
        <v>4.0999999999999996</v>
      </c>
      <c r="M141" s="13" t="b">
        <v>1</v>
      </c>
      <c r="N141" s="13" t="s">
        <v>2226</v>
      </c>
      <c r="O141" s="25">
        <f t="shared" si="8"/>
        <v>336</v>
      </c>
      <c r="P141" s="13">
        <f t="shared" si="9"/>
        <v>0</v>
      </c>
      <c r="Q141" s="13">
        <f t="shared" si="10"/>
        <v>1</v>
      </c>
      <c r="R141" s="13" t="str">
        <f t="shared" si="11"/>
        <v>Non diskon</v>
      </c>
    </row>
    <row r="142" spans="1:18" x14ac:dyDescent="0.25">
      <c r="A142" s="13" t="s">
        <v>154</v>
      </c>
      <c r="B142" s="13" t="s">
        <v>2195</v>
      </c>
      <c r="C142" s="13" t="s">
        <v>2201</v>
      </c>
      <c r="D142" s="13" t="s">
        <v>2204</v>
      </c>
      <c r="E142" s="13" t="s">
        <v>2212</v>
      </c>
      <c r="F142" s="13" t="s">
        <v>2218</v>
      </c>
      <c r="G142" s="13">
        <v>131.5</v>
      </c>
      <c r="H142" s="44">
        <v>0</v>
      </c>
      <c r="I142" s="13">
        <v>131.5</v>
      </c>
      <c r="J142" s="24">
        <v>45599</v>
      </c>
      <c r="K142" s="25">
        <v>5</v>
      </c>
      <c r="L142" s="25">
        <v>3.1874999999999991</v>
      </c>
      <c r="M142" s="13" t="b">
        <v>0</v>
      </c>
      <c r="O142" s="25">
        <f t="shared" si="8"/>
        <v>303</v>
      </c>
      <c r="P142" s="13">
        <f t="shared" si="9"/>
        <v>0</v>
      </c>
      <c r="Q142" s="13" t="str">
        <f t="shared" si="10"/>
        <v/>
      </c>
      <c r="R142" s="13" t="str">
        <f t="shared" si="11"/>
        <v>Non diskon</v>
      </c>
    </row>
    <row r="143" spans="1:18" x14ac:dyDescent="0.25">
      <c r="A143" s="13" t="s">
        <v>155</v>
      </c>
      <c r="B143" s="13" t="s">
        <v>2190</v>
      </c>
      <c r="C143" s="13" t="s">
        <v>2202</v>
      </c>
      <c r="D143" s="13" t="s">
        <v>2207</v>
      </c>
      <c r="E143" s="13" t="s">
        <v>2213</v>
      </c>
      <c r="F143" s="13" t="s">
        <v>2219</v>
      </c>
      <c r="G143" s="13">
        <v>133.26</v>
      </c>
      <c r="H143" s="44">
        <v>0</v>
      </c>
      <c r="I143" s="13">
        <v>133.26</v>
      </c>
      <c r="J143" s="24">
        <v>45875</v>
      </c>
      <c r="K143" s="25">
        <v>29</v>
      </c>
      <c r="L143" s="25">
        <v>1.3</v>
      </c>
      <c r="M143" s="13" t="b">
        <v>0</v>
      </c>
      <c r="O143" s="25">
        <f t="shared" si="8"/>
        <v>27</v>
      </c>
      <c r="P143" s="13">
        <f t="shared" si="9"/>
        <v>0</v>
      </c>
      <c r="Q143" s="13" t="str">
        <f t="shared" si="10"/>
        <v/>
      </c>
      <c r="R143" s="13" t="str">
        <f t="shared" si="11"/>
        <v>Non diskon</v>
      </c>
    </row>
    <row r="144" spans="1:18" x14ac:dyDescent="0.25">
      <c r="A144" s="13" t="s">
        <v>156</v>
      </c>
      <c r="B144" s="13" t="s">
        <v>2193</v>
      </c>
      <c r="C144" s="13" t="s">
        <v>2203</v>
      </c>
      <c r="D144" s="13" t="s">
        <v>2205</v>
      </c>
      <c r="E144" s="13" t="s">
        <v>2208</v>
      </c>
      <c r="F144" s="13" t="s">
        <v>2214</v>
      </c>
      <c r="G144" s="13">
        <v>173.91</v>
      </c>
      <c r="H144" s="44">
        <v>0</v>
      </c>
      <c r="I144" s="13">
        <v>173.91</v>
      </c>
      <c r="J144" s="24">
        <v>45875</v>
      </c>
      <c r="K144" s="25">
        <v>21</v>
      </c>
      <c r="L144" s="25">
        <v>3.2576923076923077</v>
      </c>
      <c r="M144" s="13" t="b">
        <v>0</v>
      </c>
      <c r="O144" s="25">
        <f t="shared" si="8"/>
        <v>27</v>
      </c>
      <c r="P144" s="13">
        <f t="shared" si="9"/>
        <v>0</v>
      </c>
      <c r="Q144" s="13" t="str">
        <f t="shared" si="10"/>
        <v/>
      </c>
      <c r="R144" s="13" t="str">
        <f t="shared" si="11"/>
        <v>Non diskon</v>
      </c>
    </row>
    <row r="145" spans="1:18" x14ac:dyDescent="0.25">
      <c r="A145" s="13" t="s">
        <v>157</v>
      </c>
      <c r="B145" s="13" t="s">
        <v>2191</v>
      </c>
      <c r="C145" s="13" t="s">
        <v>2200</v>
      </c>
      <c r="D145" s="13" t="s">
        <v>2204</v>
      </c>
      <c r="E145" s="13" t="s">
        <v>2209</v>
      </c>
      <c r="F145" s="13" t="s">
        <v>2221</v>
      </c>
      <c r="G145" s="13">
        <v>102.99</v>
      </c>
      <c r="H145" s="44">
        <v>0</v>
      </c>
      <c r="I145" s="13">
        <v>102.99</v>
      </c>
      <c r="J145" s="24">
        <v>45854</v>
      </c>
      <c r="K145" s="25">
        <v>41</v>
      </c>
      <c r="L145" s="25">
        <v>3.9</v>
      </c>
      <c r="M145" s="13" t="b">
        <v>0</v>
      </c>
      <c r="O145" s="25">
        <f t="shared" si="8"/>
        <v>48</v>
      </c>
      <c r="P145" s="13">
        <f t="shared" si="9"/>
        <v>0</v>
      </c>
      <c r="Q145" s="13" t="str">
        <f t="shared" si="10"/>
        <v/>
      </c>
      <c r="R145" s="13" t="str">
        <f t="shared" si="11"/>
        <v>Non diskon</v>
      </c>
    </row>
    <row r="146" spans="1:18" x14ac:dyDescent="0.25">
      <c r="A146" s="13" t="s">
        <v>158</v>
      </c>
      <c r="B146" s="13" t="s">
        <v>2190</v>
      </c>
      <c r="C146" s="13" t="s">
        <v>2196</v>
      </c>
      <c r="D146" s="13" t="s">
        <v>2204</v>
      </c>
      <c r="E146" s="13" t="s">
        <v>2209</v>
      </c>
      <c r="F146" s="13" t="s">
        <v>2221</v>
      </c>
      <c r="G146" s="13">
        <v>87.78</v>
      </c>
      <c r="H146" s="44">
        <v>45.3</v>
      </c>
      <c r="I146" s="13">
        <v>48.02</v>
      </c>
      <c r="J146" s="24">
        <v>45705</v>
      </c>
      <c r="K146" s="25">
        <v>34</v>
      </c>
      <c r="L146" s="25">
        <v>1.8</v>
      </c>
      <c r="M146" s="13" t="b">
        <v>0</v>
      </c>
      <c r="O146" s="25">
        <f t="shared" si="8"/>
        <v>197</v>
      </c>
      <c r="P146" s="13">
        <f t="shared" si="9"/>
        <v>1540.1999999999998</v>
      </c>
      <c r="Q146" s="13" t="str">
        <f t="shared" si="10"/>
        <v/>
      </c>
      <c r="R146" s="13" t="str">
        <f t="shared" si="11"/>
        <v>Diskon</v>
      </c>
    </row>
    <row r="147" spans="1:18" x14ac:dyDescent="0.25">
      <c r="A147" s="13" t="s">
        <v>159</v>
      </c>
      <c r="B147" s="13" t="s">
        <v>2191</v>
      </c>
      <c r="C147" s="13" t="s">
        <v>2197</v>
      </c>
      <c r="D147" s="13" t="s">
        <v>2205</v>
      </c>
      <c r="F147" s="13" t="s">
        <v>2221</v>
      </c>
      <c r="G147" s="13">
        <v>91.8</v>
      </c>
      <c r="H147" s="44">
        <v>15.8</v>
      </c>
      <c r="I147" s="13">
        <v>77.3</v>
      </c>
      <c r="J147" s="24">
        <v>45875</v>
      </c>
      <c r="K147" s="25">
        <v>30</v>
      </c>
      <c r="L147" s="25">
        <v>4.2</v>
      </c>
      <c r="M147" s="13" t="b">
        <v>0</v>
      </c>
      <c r="O147" s="25">
        <f t="shared" si="8"/>
        <v>27</v>
      </c>
      <c r="P147" s="13">
        <f t="shared" si="9"/>
        <v>474</v>
      </c>
      <c r="Q147" s="13" t="str">
        <f t="shared" si="10"/>
        <v/>
      </c>
      <c r="R147" s="13" t="str">
        <f t="shared" si="11"/>
        <v>Diskon</v>
      </c>
    </row>
    <row r="148" spans="1:18" x14ac:dyDescent="0.25">
      <c r="A148" s="13" t="s">
        <v>160</v>
      </c>
      <c r="B148" s="13" t="s">
        <v>2191</v>
      </c>
      <c r="C148" s="13" t="s">
        <v>2196</v>
      </c>
      <c r="D148" s="13" t="s">
        <v>2205</v>
      </c>
      <c r="E148" s="13" t="s">
        <v>2209</v>
      </c>
      <c r="F148" s="13" t="s">
        <v>2217</v>
      </c>
      <c r="G148" s="13">
        <v>107.32</v>
      </c>
      <c r="H148" s="44">
        <v>25.4</v>
      </c>
      <c r="I148" s="13">
        <v>80.06</v>
      </c>
      <c r="J148" s="24">
        <v>45875</v>
      </c>
      <c r="K148" s="25">
        <v>50</v>
      </c>
      <c r="L148" s="25">
        <v>4.4000000000000004</v>
      </c>
      <c r="M148" s="13" t="b">
        <v>0</v>
      </c>
      <c r="O148" s="25">
        <f t="shared" si="8"/>
        <v>27</v>
      </c>
      <c r="P148" s="13">
        <f t="shared" si="9"/>
        <v>1270</v>
      </c>
      <c r="Q148" s="13" t="str">
        <f t="shared" si="10"/>
        <v/>
      </c>
      <c r="R148" s="13" t="str">
        <f t="shared" si="11"/>
        <v>Diskon</v>
      </c>
    </row>
    <row r="149" spans="1:18" x14ac:dyDescent="0.25">
      <c r="A149" s="13" t="s">
        <v>161</v>
      </c>
      <c r="B149" s="13" t="s">
        <v>2194</v>
      </c>
      <c r="C149" s="13" t="s">
        <v>2198</v>
      </c>
      <c r="D149" s="13" t="s">
        <v>2204</v>
      </c>
      <c r="E149" s="13" t="s">
        <v>2211</v>
      </c>
      <c r="F149" s="13" t="s">
        <v>2224</v>
      </c>
      <c r="G149" s="13">
        <v>67.69</v>
      </c>
      <c r="H149" s="44">
        <v>57.3</v>
      </c>
      <c r="I149" s="13">
        <v>28.9</v>
      </c>
      <c r="J149" s="24">
        <v>45862</v>
      </c>
      <c r="K149" s="25">
        <v>50</v>
      </c>
      <c r="L149" s="25">
        <v>4.5999999999999996</v>
      </c>
      <c r="M149" s="13" t="b">
        <v>0</v>
      </c>
      <c r="O149" s="25">
        <f t="shared" si="8"/>
        <v>40</v>
      </c>
      <c r="P149" s="13">
        <f t="shared" si="9"/>
        <v>2865</v>
      </c>
      <c r="Q149" s="13" t="str">
        <f t="shared" si="10"/>
        <v/>
      </c>
      <c r="R149" s="13" t="str">
        <f t="shared" si="11"/>
        <v>Diskon</v>
      </c>
    </row>
    <row r="150" spans="1:18" x14ac:dyDescent="0.25">
      <c r="A150" s="13" t="s">
        <v>162</v>
      </c>
      <c r="B150" s="13" t="s">
        <v>2191</v>
      </c>
      <c r="C150" s="13" t="s">
        <v>2201</v>
      </c>
      <c r="D150" s="13" t="s">
        <v>2207</v>
      </c>
      <c r="E150" s="13" t="s">
        <v>2213</v>
      </c>
      <c r="F150" s="13" t="s">
        <v>2221</v>
      </c>
      <c r="G150" s="13">
        <v>68.11</v>
      </c>
      <c r="H150" s="44">
        <v>46</v>
      </c>
      <c r="I150" s="13">
        <v>36.78</v>
      </c>
      <c r="J150" s="24">
        <v>45875</v>
      </c>
      <c r="K150" s="25">
        <v>3</v>
      </c>
      <c r="L150" s="25">
        <v>2.5</v>
      </c>
      <c r="M150" s="13" t="b">
        <v>0</v>
      </c>
      <c r="O150" s="25">
        <f t="shared" si="8"/>
        <v>27</v>
      </c>
      <c r="P150" s="13">
        <f t="shared" si="9"/>
        <v>138</v>
      </c>
      <c r="Q150" s="13" t="str">
        <f t="shared" si="10"/>
        <v/>
      </c>
      <c r="R150" s="13" t="str">
        <f t="shared" si="11"/>
        <v>Diskon</v>
      </c>
    </row>
    <row r="151" spans="1:18" x14ac:dyDescent="0.25">
      <c r="A151" s="13" t="s">
        <v>163</v>
      </c>
      <c r="B151" s="13" t="s">
        <v>2193</v>
      </c>
      <c r="C151" s="13" t="s">
        <v>2198</v>
      </c>
      <c r="D151" s="13" t="s">
        <v>2204</v>
      </c>
      <c r="E151" s="13" t="s">
        <v>2209</v>
      </c>
      <c r="F151" s="13" t="s">
        <v>2219</v>
      </c>
      <c r="G151" s="13">
        <v>94.29</v>
      </c>
      <c r="H151" s="44">
        <v>0</v>
      </c>
      <c r="I151" s="13">
        <v>94.29</v>
      </c>
      <c r="J151" s="24">
        <v>45550</v>
      </c>
      <c r="K151" s="25">
        <v>18</v>
      </c>
      <c r="L151" s="25">
        <v>1.7</v>
      </c>
      <c r="M151" s="13" t="b">
        <v>0</v>
      </c>
      <c r="O151" s="25">
        <f t="shared" si="8"/>
        <v>352</v>
      </c>
      <c r="P151" s="13">
        <f t="shared" si="9"/>
        <v>0</v>
      </c>
      <c r="Q151" s="13" t="str">
        <f t="shared" si="10"/>
        <v/>
      </c>
      <c r="R151" s="13" t="str">
        <f t="shared" si="11"/>
        <v>Non diskon</v>
      </c>
    </row>
    <row r="152" spans="1:18" x14ac:dyDescent="0.25">
      <c r="A152" s="13" t="s">
        <v>164</v>
      </c>
      <c r="B152" s="13" t="s">
        <v>2191</v>
      </c>
      <c r="C152" s="13" t="s">
        <v>2201</v>
      </c>
      <c r="D152" s="13" t="s">
        <v>2205</v>
      </c>
      <c r="E152" s="13" t="s">
        <v>2208</v>
      </c>
      <c r="F152" s="13" t="s">
        <v>2218</v>
      </c>
      <c r="G152" s="13">
        <v>94.97</v>
      </c>
      <c r="H152" s="44">
        <v>0</v>
      </c>
      <c r="I152" s="13">
        <v>94.97</v>
      </c>
      <c r="J152" s="24">
        <v>45875</v>
      </c>
      <c r="K152" s="25">
        <v>46</v>
      </c>
      <c r="L152" s="25">
        <v>4.3</v>
      </c>
      <c r="M152" s="13" t="b">
        <v>0</v>
      </c>
      <c r="O152" s="25">
        <f t="shared" si="8"/>
        <v>27</v>
      </c>
      <c r="P152" s="13">
        <f t="shared" si="9"/>
        <v>0</v>
      </c>
      <c r="Q152" s="13" t="str">
        <f t="shared" si="10"/>
        <v/>
      </c>
      <c r="R152" s="13" t="str">
        <f t="shared" si="11"/>
        <v>Non diskon</v>
      </c>
    </row>
    <row r="153" spans="1:18" x14ac:dyDescent="0.25">
      <c r="A153" s="13" t="s">
        <v>165</v>
      </c>
      <c r="B153" s="13" t="s">
        <v>2193</v>
      </c>
      <c r="C153" s="13" t="s">
        <v>2198</v>
      </c>
      <c r="D153" s="13" t="s">
        <v>2205</v>
      </c>
      <c r="E153" s="13" t="s">
        <v>2213</v>
      </c>
      <c r="F153" s="13" t="s">
        <v>2222</v>
      </c>
      <c r="G153" s="13">
        <v>65.87</v>
      </c>
      <c r="H153" s="44">
        <v>11.4</v>
      </c>
      <c r="I153" s="13">
        <v>58.36</v>
      </c>
      <c r="J153" s="24">
        <v>45875</v>
      </c>
      <c r="K153" s="25">
        <v>15</v>
      </c>
      <c r="L153" s="25">
        <v>3.9</v>
      </c>
      <c r="M153" s="13" t="b">
        <v>0</v>
      </c>
      <c r="O153" s="25">
        <f t="shared" si="8"/>
        <v>27</v>
      </c>
      <c r="P153" s="13">
        <f t="shared" si="9"/>
        <v>171</v>
      </c>
      <c r="Q153" s="13" t="str">
        <f t="shared" si="10"/>
        <v/>
      </c>
      <c r="R153" s="13" t="str">
        <f t="shared" si="11"/>
        <v>Diskon</v>
      </c>
    </row>
    <row r="154" spans="1:18" x14ac:dyDescent="0.25">
      <c r="A154" s="13" t="s">
        <v>166</v>
      </c>
      <c r="B154" s="13" t="s">
        <v>2195</v>
      </c>
      <c r="C154" s="13" t="s">
        <v>2196</v>
      </c>
      <c r="D154" s="13" t="s">
        <v>2205</v>
      </c>
      <c r="E154" s="13" t="s">
        <v>2211</v>
      </c>
      <c r="F154" s="13" t="s">
        <v>2219</v>
      </c>
      <c r="G154" s="13">
        <v>155.06</v>
      </c>
      <c r="H154" s="44">
        <v>29.4</v>
      </c>
      <c r="I154" s="13">
        <v>109.47</v>
      </c>
      <c r="J154" s="24">
        <v>45875</v>
      </c>
      <c r="K154" s="25">
        <v>5</v>
      </c>
      <c r="L154" s="25">
        <v>3.6</v>
      </c>
      <c r="M154" s="13" t="b">
        <v>0</v>
      </c>
      <c r="O154" s="25">
        <f t="shared" si="8"/>
        <v>27</v>
      </c>
      <c r="P154" s="13">
        <f t="shared" si="9"/>
        <v>147</v>
      </c>
      <c r="Q154" s="13" t="str">
        <f t="shared" si="10"/>
        <v/>
      </c>
      <c r="R154" s="13" t="str">
        <f t="shared" si="11"/>
        <v>Diskon</v>
      </c>
    </row>
    <row r="155" spans="1:18" x14ac:dyDescent="0.25">
      <c r="A155" s="13" t="s">
        <v>167</v>
      </c>
      <c r="B155" s="13" t="s">
        <v>2190</v>
      </c>
      <c r="C155" s="13" t="s">
        <v>2196</v>
      </c>
      <c r="D155" s="13" t="s">
        <v>2205</v>
      </c>
      <c r="E155" s="13" t="s">
        <v>2209</v>
      </c>
      <c r="F155" s="13" t="s">
        <v>2224</v>
      </c>
      <c r="G155" s="13">
        <v>172.59</v>
      </c>
      <c r="H155" s="44">
        <v>0</v>
      </c>
      <c r="I155" s="13">
        <v>172.59</v>
      </c>
      <c r="J155" s="24">
        <v>45875</v>
      </c>
      <c r="K155" s="25">
        <v>1</v>
      </c>
      <c r="L155" s="25">
        <v>2.1</v>
      </c>
      <c r="M155" s="13" t="b">
        <v>0</v>
      </c>
      <c r="O155" s="25">
        <f t="shared" si="8"/>
        <v>27</v>
      </c>
      <c r="P155" s="13">
        <f t="shared" si="9"/>
        <v>0</v>
      </c>
      <c r="Q155" s="13" t="str">
        <f t="shared" si="10"/>
        <v/>
      </c>
      <c r="R155" s="13" t="str">
        <f t="shared" si="11"/>
        <v>Non diskon</v>
      </c>
    </row>
    <row r="156" spans="1:18" x14ac:dyDescent="0.25">
      <c r="A156" s="13" t="s">
        <v>168</v>
      </c>
      <c r="B156" s="13" t="s">
        <v>2195</v>
      </c>
      <c r="C156" s="13" t="s">
        <v>2200</v>
      </c>
      <c r="D156" s="13" t="s">
        <v>2207</v>
      </c>
      <c r="E156" s="13" t="s">
        <v>2213</v>
      </c>
      <c r="F156" s="13" t="s">
        <v>2219</v>
      </c>
      <c r="G156" s="13">
        <v>68.72</v>
      </c>
      <c r="H156" s="44">
        <v>0</v>
      </c>
      <c r="I156" s="13">
        <v>68.72</v>
      </c>
      <c r="J156" s="24">
        <v>45875</v>
      </c>
      <c r="K156" s="25">
        <v>28</v>
      </c>
      <c r="L156" s="25">
        <v>1.7</v>
      </c>
      <c r="M156" s="13" t="b">
        <v>1</v>
      </c>
      <c r="N156" s="13" t="s">
        <v>2228</v>
      </c>
      <c r="O156" s="25">
        <f t="shared" si="8"/>
        <v>27</v>
      </c>
      <c r="P156" s="13">
        <f t="shared" si="9"/>
        <v>0</v>
      </c>
      <c r="Q156" s="13">
        <f t="shared" si="10"/>
        <v>1</v>
      </c>
      <c r="R156" s="13" t="str">
        <f t="shared" si="11"/>
        <v>Non diskon</v>
      </c>
    </row>
    <row r="157" spans="1:18" x14ac:dyDescent="0.25">
      <c r="A157" s="13" t="s">
        <v>169</v>
      </c>
      <c r="B157" s="13" t="s">
        <v>2191</v>
      </c>
      <c r="C157" s="13" t="s">
        <v>2198</v>
      </c>
      <c r="D157" s="13" t="s">
        <v>2204</v>
      </c>
      <c r="E157" s="13" t="s">
        <v>2208</v>
      </c>
      <c r="F157" s="13" t="s">
        <v>2219</v>
      </c>
      <c r="G157" s="13">
        <v>28.78</v>
      </c>
      <c r="H157" s="44">
        <v>0</v>
      </c>
      <c r="I157" s="13">
        <v>28.78</v>
      </c>
      <c r="J157" s="24">
        <v>45568</v>
      </c>
      <c r="K157" s="25">
        <v>21</v>
      </c>
      <c r="L157" s="25">
        <v>2.953125</v>
      </c>
      <c r="M157" s="13" t="b">
        <v>0</v>
      </c>
      <c r="O157" s="25">
        <f t="shared" si="8"/>
        <v>334</v>
      </c>
      <c r="P157" s="13">
        <f t="shared" si="9"/>
        <v>0</v>
      </c>
      <c r="Q157" s="13" t="str">
        <f t="shared" si="10"/>
        <v/>
      </c>
      <c r="R157" s="13" t="str">
        <f t="shared" si="11"/>
        <v>Non diskon</v>
      </c>
    </row>
    <row r="158" spans="1:18" x14ac:dyDescent="0.25">
      <c r="A158" s="13" t="s">
        <v>170</v>
      </c>
      <c r="B158" s="13" t="s">
        <v>2190</v>
      </c>
      <c r="C158" s="13" t="s">
        <v>2200</v>
      </c>
      <c r="D158" s="13" t="s">
        <v>2205</v>
      </c>
      <c r="E158" s="13" t="s">
        <v>2211</v>
      </c>
      <c r="F158" s="13" t="s">
        <v>2216</v>
      </c>
      <c r="G158" s="13">
        <v>110.32</v>
      </c>
      <c r="H158" s="44">
        <v>28.3</v>
      </c>
      <c r="I158" s="13">
        <v>79.099999999999994</v>
      </c>
      <c r="J158" s="24">
        <v>45875</v>
      </c>
      <c r="K158" s="25">
        <v>49</v>
      </c>
      <c r="L158" s="25">
        <v>3.3</v>
      </c>
      <c r="M158" s="13" t="b">
        <v>0</v>
      </c>
      <c r="O158" s="25">
        <f t="shared" si="8"/>
        <v>27</v>
      </c>
      <c r="P158" s="13">
        <f t="shared" si="9"/>
        <v>1386.7</v>
      </c>
      <c r="Q158" s="13" t="str">
        <f t="shared" si="10"/>
        <v/>
      </c>
      <c r="R158" s="13" t="str">
        <f t="shared" si="11"/>
        <v>Diskon</v>
      </c>
    </row>
    <row r="159" spans="1:18" x14ac:dyDescent="0.25">
      <c r="A159" s="13" t="s">
        <v>171</v>
      </c>
      <c r="B159" s="13" t="s">
        <v>2193</v>
      </c>
      <c r="C159" s="13" t="s">
        <v>2199</v>
      </c>
      <c r="D159" s="13" t="s">
        <v>2207</v>
      </c>
      <c r="E159" s="13" t="s">
        <v>2211</v>
      </c>
      <c r="F159" s="13" t="s">
        <v>2216</v>
      </c>
      <c r="G159" s="13">
        <v>194.24</v>
      </c>
      <c r="H159" s="44">
        <v>0</v>
      </c>
      <c r="I159" s="13">
        <v>194.24</v>
      </c>
      <c r="J159" s="24">
        <v>45875</v>
      </c>
      <c r="K159" s="25">
        <v>17</v>
      </c>
      <c r="L159" s="25">
        <v>1.2</v>
      </c>
      <c r="M159" s="13" t="b">
        <v>1</v>
      </c>
      <c r="N159" s="13" t="s">
        <v>2229</v>
      </c>
      <c r="O159" s="25">
        <f t="shared" si="8"/>
        <v>27</v>
      </c>
      <c r="P159" s="13">
        <f t="shared" si="9"/>
        <v>0</v>
      </c>
      <c r="Q159" s="13">
        <f t="shared" si="10"/>
        <v>1</v>
      </c>
      <c r="R159" s="13" t="str">
        <f t="shared" si="11"/>
        <v>Non diskon</v>
      </c>
    </row>
    <row r="160" spans="1:18" x14ac:dyDescent="0.25">
      <c r="A160" s="13" t="s">
        <v>172</v>
      </c>
      <c r="B160" s="13" t="s">
        <v>2193</v>
      </c>
      <c r="C160" s="13" t="s">
        <v>2202</v>
      </c>
      <c r="D160" s="13" t="s">
        <v>2206</v>
      </c>
      <c r="E160" s="13" t="s">
        <v>2212</v>
      </c>
      <c r="F160" s="13" t="s">
        <v>2221</v>
      </c>
      <c r="G160" s="13">
        <v>175.91</v>
      </c>
      <c r="H160" s="44">
        <v>0</v>
      </c>
      <c r="I160" s="13">
        <v>175.91</v>
      </c>
      <c r="J160" s="24">
        <v>45875</v>
      </c>
      <c r="K160" s="25">
        <v>4</v>
      </c>
      <c r="L160" s="25">
        <v>2.8</v>
      </c>
      <c r="M160" s="13" t="b">
        <v>0</v>
      </c>
      <c r="O160" s="25">
        <f t="shared" si="8"/>
        <v>27</v>
      </c>
      <c r="P160" s="13">
        <f t="shared" si="9"/>
        <v>0</v>
      </c>
      <c r="Q160" s="13" t="str">
        <f t="shared" si="10"/>
        <v/>
      </c>
      <c r="R160" s="13" t="str">
        <f t="shared" si="11"/>
        <v>Non diskon</v>
      </c>
    </row>
    <row r="161" spans="1:18" x14ac:dyDescent="0.25">
      <c r="A161" s="13" t="s">
        <v>173</v>
      </c>
      <c r="B161" s="13" t="s">
        <v>2194</v>
      </c>
      <c r="C161" s="13" t="s">
        <v>2199</v>
      </c>
      <c r="D161" s="13" t="s">
        <v>2205</v>
      </c>
      <c r="E161" s="13" t="s">
        <v>2211</v>
      </c>
      <c r="F161" s="13" t="s">
        <v>2218</v>
      </c>
      <c r="G161" s="13">
        <v>79.34</v>
      </c>
      <c r="H161" s="44">
        <v>0</v>
      </c>
      <c r="I161" s="13">
        <v>79.34</v>
      </c>
      <c r="J161" s="24">
        <v>45875</v>
      </c>
      <c r="K161" s="25">
        <v>30</v>
      </c>
      <c r="L161" s="25">
        <v>4.4000000000000004</v>
      </c>
      <c r="M161" s="13" t="b">
        <v>0</v>
      </c>
      <c r="O161" s="25">
        <f t="shared" si="8"/>
        <v>27</v>
      </c>
      <c r="P161" s="13">
        <f t="shared" si="9"/>
        <v>0</v>
      </c>
      <c r="Q161" s="13" t="str">
        <f t="shared" si="10"/>
        <v/>
      </c>
      <c r="R161" s="13" t="str">
        <f t="shared" si="11"/>
        <v>Non diskon</v>
      </c>
    </row>
    <row r="162" spans="1:18" x14ac:dyDescent="0.25">
      <c r="A162" s="13" t="s">
        <v>174</v>
      </c>
      <c r="B162" s="13" t="s">
        <v>2194</v>
      </c>
      <c r="C162" s="13" t="s">
        <v>2200</v>
      </c>
      <c r="D162" s="13" t="s">
        <v>2207</v>
      </c>
      <c r="E162" s="13" t="s">
        <v>2213</v>
      </c>
      <c r="F162" s="13" t="s">
        <v>2220</v>
      </c>
      <c r="G162" s="13">
        <v>111.88</v>
      </c>
      <c r="H162" s="44">
        <v>0</v>
      </c>
      <c r="I162" s="13">
        <v>111.88</v>
      </c>
      <c r="J162" s="24">
        <v>45875</v>
      </c>
      <c r="K162" s="25">
        <v>41</v>
      </c>
      <c r="L162" s="25">
        <v>4.5</v>
      </c>
      <c r="M162" s="13" t="b">
        <v>0</v>
      </c>
      <c r="O162" s="25">
        <f t="shared" si="8"/>
        <v>27</v>
      </c>
      <c r="P162" s="13">
        <f t="shared" si="9"/>
        <v>0</v>
      </c>
      <c r="Q162" s="13" t="str">
        <f t="shared" si="10"/>
        <v/>
      </c>
      <c r="R162" s="13" t="str">
        <f t="shared" si="11"/>
        <v>Non diskon</v>
      </c>
    </row>
    <row r="163" spans="1:18" x14ac:dyDescent="0.25">
      <c r="A163" s="13" t="s">
        <v>175</v>
      </c>
      <c r="B163" s="13" t="s">
        <v>2192</v>
      </c>
      <c r="C163" s="13" t="s">
        <v>2202</v>
      </c>
      <c r="D163" s="13" t="s">
        <v>2204</v>
      </c>
      <c r="F163" s="13" t="s">
        <v>2222</v>
      </c>
      <c r="G163" s="13">
        <v>42.84</v>
      </c>
      <c r="H163" s="44">
        <v>40.6</v>
      </c>
      <c r="I163" s="13">
        <v>25.45</v>
      </c>
      <c r="J163" s="24">
        <v>45547</v>
      </c>
      <c r="K163" s="25">
        <v>18</v>
      </c>
      <c r="L163" s="25">
        <v>2.6</v>
      </c>
      <c r="M163" s="13" t="b">
        <v>0</v>
      </c>
      <c r="O163" s="25">
        <f t="shared" si="8"/>
        <v>355</v>
      </c>
      <c r="P163" s="13">
        <f t="shared" si="9"/>
        <v>730.80000000000007</v>
      </c>
      <c r="Q163" s="13" t="str">
        <f t="shared" si="10"/>
        <v/>
      </c>
      <c r="R163" s="13" t="str">
        <f t="shared" si="11"/>
        <v>Diskon</v>
      </c>
    </row>
    <row r="164" spans="1:18" x14ac:dyDescent="0.25">
      <c r="A164" s="13" t="s">
        <v>176</v>
      </c>
      <c r="B164" s="13" t="s">
        <v>2194</v>
      </c>
      <c r="C164" s="13" t="s">
        <v>2202</v>
      </c>
      <c r="D164" s="13" t="s">
        <v>2204</v>
      </c>
      <c r="E164" s="13" t="s">
        <v>2211</v>
      </c>
      <c r="F164" s="13" t="s">
        <v>2222</v>
      </c>
      <c r="G164" s="13">
        <v>26.28</v>
      </c>
      <c r="H164" s="44">
        <v>1.1000000000000001</v>
      </c>
      <c r="I164" s="13">
        <v>25.99</v>
      </c>
      <c r="J164" s="24">
        <v>45828</v>
      </c>
      <c r="K164" s="25">
        <v>35</v>
      </c>
      <c r="L164" s="25">
        <v>5</v>
      </c>
      <c r="M164" s="13" t="b">
        <v>0</v>
      </c>
      <c r="O164" s="25">
        <f t="shared" si="8"/>
        <v>74</v>
      </c>
      <c r="P164" s="13">
        <f t="shared" si="9"/>
        <v>38.5</v>
      </c>
      <c r="Q164" s="13" t="str">
        <f t="shared" si="10"/>
        <v/>
      </c>
      <c r="R164" s="13" t="str">
        <f t="shared" si="11"/>
        <v>Diskon</v>
      </c>
    </row>
    <row r="165" spans="1:18" x14ac:dyDescent="0.25">
      <c r="A165" s="13" t="s">
        <v>177</v>
      </c>
      <c r="B165" s="13" t="s">
        <v>2192</v>
      </c>
      <c r="C165" s="13" t="s">
        <v>2200</v>
      </c>
      <c r="D165" s="13" t="s">
        <v>2204</v>
      </c>
      <c r="F165" s="13" t="s">
        <v>2220</v>
      </c>
      <c r="G165" s="13">
        <v>23.11</v>
      </c>
      <c r="H165" s="44">
        <v>0</v>
      </c>
      <c r="I165" s="13">
        <v>23.11</v>
      </c>
      <c r="J165" s="24">
        <v>45552</v>
      </c>
      <c r="K165" s="25">
        <v>2</v>
      </c>
      <c r="L165" s="25">
        <v>1.4</v>
      </c>
      <c r="M165" s="13" t="b">
        <v>0</v>
      </c>
      <c r="O165" s="25">
        <f t="shared" si="8"/>
        <v>350</v>
      </c>
      <c r="P165" s="13">
        <f t="shared" si="9"/>
        <v>0</v>
      </c>
      <c r="Q165" s="13" t="str">
        <f t="shared" si="10"/>
        <v/>
      </c>
      <c r="R165" s="13" t="str">
        <f t="shared" si="11"/>
        <v>Non diskon</v>
      </c>
    </row>
    <row r="166" spans="1:18" x14ac:dyDescent="0.25">
      <c r="A166" s="13" t="s">
        <v>178</v>
      </c>
      <c r="B166" s="13" t="s">
        <v>2193</v>
      </c>
      <c r="C166" s="13" t="s">
        <v>2196</v>
      </c>
      <c r="D166" s="13" t="s">
        <v>2205</v>
      </c>
      <c r="E166" s="13" t="s">
        <v>2213</v>
      </c>
      <c r="F166" s="13" t="s">
        <v>2217</v>
      </c>
      <c r="G166" s="13">
        <v>168.36</v>
      </c>
      <c r="H166" s="44">
        <v>0</v>
      </c>
      <c r="I166" s="13">
        <v>168.36</v>
      </c>
      <c r="J166" s="24">
        <v>45875</v>
      </c>
      <c r="K166" s="25">
        <v>47</v>
      </c>
      <c r="L166" s="25">
        <v>2.9153846153846157</v>
      </c>
      <c r="M166" s="13" t="b">
        <v>1</v>
      </c>
      <c r="N166" s="13" t="s">
        <v>2227</v>
      </c>
      <c r="O166" s="25">
        <f t="shared" si="8"/>
        <v>27</v>
      </c>
      <c r="P166" s="13">
        <f t="shared" si="9"/>
        <v>0</v>
      </c>
      <c r="Q166" s="13">
        <f t="shared" si="10"/>
        <v>1</v>
      </c>
      <c r="R166" s="13" t="str">
        <f t="shared" si="11"/>
        <v>Non diskon</v>
      </c>
    </row>
    <row r="167" spans="1:18" x14ac:dyDescent="0.25">
      <c r="A167" s="13" t="s">
        <v>179</v>
      </c>
      <c r="B167" s="13" t="s">
        <v>2193</v>
      </c>
      <c r="C167" s="13" t="s">
        <v>2202</v>
      </c>
      <c r="D167" s="13" t="s">
        <v>2206</v>
      </c>
      <c r="E167" s="13" t="s">
        <v>2208</v>
      </c>
      <c r="F167" s="13" t="s">
        <v>2220</v>
      </c>
      <c r="G167" s="13">
        <v>99.26</v>
      </c>
      <c r="H167" s="44">
        <v>0</v>
      </c>
      <c r="I167" s="13">
        <v>99.26</v>
      </c>
      <c r="J167" s="24">
        <v>45875</v>
      </c>
      <c r="K167" s="25">
        <v>33</v>
      </c>
      <c r="L167" s="25">
        <v>2.9083333333333328</v>
      </c>
      <c r="M167" s="13" t="b">
        <v>1</v>
      </c>
      <c r="N167" s="13" t="s">
        <v>2228</v>
      </c>
      <c r="O167" s="25">
        <f t="shared" si="8"/>
        <v>27</v>
      </c>
      <c r="P167" s="13">
        <f t="shared" si="9"/>
        <v>0</v>
      </c>
      <c r="Q167" s="13">
        <f t="shared" si="10"/>
        <v>1</v>
      </c>
      <c r="R167" s="13" t="str">
        <f t="shared" si="11"/>
        <v>Non diskon</v>
      </c>
    </row>
    <row r="168" spans="1:18" x14ac:dyDescent="0.25">
      <c r="A168" s="13" t="s">
        <v>180</v>
      </c>
      <c r="B168" s="13" t="s">
        <v>2192</v>
      </c>
      <c r="C168" s="13" t="s">
        <v>2199</v>
      </c>
      <c r="D168" s="13" t="s">
        <v>2204</v>
      </c>
      <c r="F168" s="13" t="s">
        <v>2216</v>
      </c>
      <c r="G168" s="13">
        <v>53.66</v>
      </c>
      <c r="H168" s="44">
        <v>0</v>
      </c>
      <c r="I168" s="13">
        <v>53.66</v>
      </c>
      <c r="J168" s="24">
        <v>45645</v>
      </c>
      <c r="K168" s="25">
        <v>40</v>
      </c>
      <c r="L168" s="25">
        <v>2.8</v>
      </c>
      <c r="M168" s="13" t="b">
        <v>0</v>
      </c>
      <c r="O168" s="25">
        <f t="shared" si="8"/>
        <v>257</v>
      </c>
      <c r="P168" s="13">
        <f t="shared" si="9"/>
        <v>0</v>
      </c>
      <c r="Q168" s="13" t="str">
        <f t="shared" si="10"/>
        <v/>
      </c>
      <c r="R168" s="13" t="str">
        <f t="shared" si="11"/>
        <v>Non diskon</v>
      </c>
    </row>
    <row r="169" spans="1:18" x14ac:dyDescent="0.25">
      <c r="A169" s="13" t="s">
        <v>181</v>
      </c>
      <c r="B169" s="13" t="s">
        <v>2192</v>
      </c>
      <c r="C169" s="13" t="s">
        <v>2201</v>
      </c>
      <c r="D169" s="13" t="s">
        <v>2207</v>
      </c>
      <c r="F169" s="13" t="s">
        <v>2218</v>
      </c>
      <c r="G169" s="13">
        <v>69.709999999999994</v>
      </c>
      <c r="H169" s="44">
        <v>18</v>
      </c>
      <c r="I169" s="13">
        <v>57.16</v>
      </c>
      <c r="J169" s="24">
        <v>45875</v>
      </c>
      <c r="K169" s="25">
        <v>34</v>
      </c>
      <c r="L169" s="25">
        <v>4.2</v>
      </c>
      <c r="M169" s="13" t="b">
        <v>1</v>
      </c>
      <c r="N169" s="13" t="s">
        <v>2225</v>
      </c>
      <c r="O169" s="25">
        <f t="shared" si="8"/>
        <v>27</v>
      </c>
      <c r="P169" s="13">
        <f t="shared" si="9"/>
        <v>612</v>
      </c>
      <c r="Q169" s="13">
        <f t="shared" si="10"/>
        <v>1</v>
      </c>
      <c r="R169" s="13" t="str">
        <f t="shared" si="11"/>
        <v>Diskon</v>
      </c>
    </row>
    <row r="170" spans="1:18" x14ac:dyDescent="0.25">
      <c r="A170" s="13" t="s">
        <v>182</v>
      </c>
      <c r="B170" s="13" t="s">
        <v>2195</v>
      </c>
      <c r="C170" s="13" t="s">
        <v>2203</v>
      </c>
      <c r="D170" s="13" t="s">
        <v>2206</v>
      </c>
      <c r="E170" s="13" t="s">
        <v>2211</v>
      </c>
      <c r="F170" s="13" t="s">
        <v>2218</v>
      </c>
      <c r="G170" s="13">
        <v>60.3</v>
      </c>
      <c r="H170" s="44">
        <v>21.4</v>
      </c>
      <c r="I170" s="13">
        <v>47.4</v>
      </c>
      <c r="J170" s="24">
        <v>45875</v>
      </c>
      <c r="K170" s="25">
        <v>4</v>
      </c>
      <c r="L170" s="25">
        <v>3.6</v>
      </c>
      <c r="M170" s="13" t="b">
        <v>0</v>
      </c>
      <c r="O170" s="25">
        <f t="shared" si="8"/>
        <v>27</v>
      </c>
      <c r="P170" s="13">
        <f t="shared" si="9"/>
        <v>85.6</v>
      </c>
      <c r="Q170" s="13" t="str">
        <f t="shared" si="10"/>
        <v/>
      </c>
      <c r="R170" s="13" t="str">
        <f t="shared" si="11"/>
        <v>Diskon</v>
      </c>
    </row>
    <row r="171" spans="1:18" x14ac:dyDescent="0.25">
      <c r="A171" s="13" t="s">
        <v>183</v>
      </c>
      <c r="B171" s="13" t="s">
        <v>2193</v>
      </c>
      <c r="C171" s="13" t="s">
        <v>2198</v>
      </c>
      <c r="D171" s="13" t="s">
        <v>2205</v>
      </c>
      <c r="E171" s="13" t="s">
        <v>2211</v>
      </c>
      <c r="F171" s="13" t="s">
        <v>2214</v>
      </c>
      <c r="G171" s="13">
        <v>113.58</v>
      </c>
      <c r="H171" s="44">
        <v>0</v>
      </c>
      <c r="I171" s="13">
        <v>113.58</v>
      </c>
      <c r="J171" s="24">
        <v>45875</v>
      </c>
      <c r="K171" s="25">
        <v>33</v>
      </c>
      <c r="L171" s="25">
        <v>4.9000000000000004</v>
      </c>
      <c r="M171" s="13" t="b">
        <v>1</v>
      </c>
      <c r="N171" s="13" t="s">
        <v>2230</v>
      </c>
      <c r="O171" s="25">
        <f t="shared" si="8"/>
        <v>27</v>
      </c>
      <c r="P171" s="13">
        <f t="shared" si="9"/>
        <v>0</v>
      </c>
      <c r="Q171" s="13">
        <f t="shared" si="10"/>
        <v>1</v>
      </c>
      <c r="R171" s="13" t="str">
        <f t="shared" si="11"/>
        <v>Non diskon</v>
      </c>
    </row>
    <row r="172" spans="1:18" x14ac:dyDescent="0.25">
      <c r="A172" s="13" t="s">
        <v>184</v>
      </c>
      <c r="B172" s="13" t="s">
        <v>2194</v>
      </c>
      <c r="C172" s="13" t="s">
        <v>2201</v>
      </c>
      <c r="D172" s="13" t="s">
        <v>2206</v>
      </c>
      <c r="E172" s="13" t="s">
        <v>2212</v>
      </c>
      <c r="F172" s="13" t="s">
        <v>2224</v>
      </c>
      <c r="G172" s="13">
        <v>54.86</v>
      </c>
      <c r="H172" s="44">
        <v>1.7</v>
      </c>
      <c r="I172" s="13">
        <v>53.93</v>
      </c>
      <c r="J172" s="24">
        <v>45875</v>
      </c>
      <c r="K172" s="25">
        <v>40</v>
      </c>
      <c r="L172" s="25">
        <v>2.5</v>
      </c>
      <c r="M172" s="13" t="b">
        <v>0</v>
      </c>
      <c r="O172" s="25">
        <f t="shared" si="8"/>
        <v>27</v>
      </c>
      <c r="P172" s="13">
        <f t="shared" si="9"/>
        <v>68</v>
      </c>
      <c r="Q172" s="13" t="str">
        <f t="shared" si="10"/>
        <v/>
      </c>
      <c r="R172" s="13" t="str">
        <f t="shared" si="11"/>
        <v>Diskon</v>
      </c>
    </row>
    <row r="173" spans="1:18" x14ac:dyDescent="0.25">
      <c r="A173" s="13" t="s">
        <v>185</v>
      </c>
      <c r="B173" s="13" t="s">
        <v>2191</v>
      </c>
      <c r="C173" s="13" t="s">
        <v>2196</v>
      </c>
      <c r="D173" s="13" t="s">
        <v>2205</v>
      </c>
      <c r="E173" s="13" t="s">
        <v>2212</v>
      </c>
      <c r="F173" s="13" t="s">
        <v>2214</v>
      </c>
      <c r="G173" s="13">
        <v>92.25</v>
      </c>
      <c r="H173" s="44">
        <v>0</v>
      </c>
      <c r="I173" s="13">
        <v>92.25</v>
      </c>
      <c r="J173" s="24">
        <v>45875</v>
      </c>
      <c r="K173" s="25">
        <v>13</v>
      </c>
      <c r="L173" s="25">
        <v>2.8</v>
      </c>
      <c r="M173" s="13" t="b">
        <v>1</v>
      </c>
      <c r="N173" s="13" t="s">
        <v>2227</v>
      </c>
      <c r="O173" s="25">
        <f t="shared" si="8"/>
        <v>27</v>
      </c>
      <c r="P173" s="13">
        <f t="shared" si="9"/>
        <v>0</v>
      </c>
      <c r="Q173" s="13">
        <f t="shared" si="10"/>
        <v>1</v>
      </c>
      <c r="R173" s="13" t="str">
        <f t="shared" si="11"/>
        <v>Non diskon</v>
      </c>
    </row>
    <row r="174" spans="1:18" x14ac:dyDescent="0.25">
      <c r="A174" s="13" t="s">
        <v>186</v>
      </c>
      <c r="B174" s="13" t="s">
        <v>2192</v>
      </c>
      <c r="C174" s="13" t="s">
        <v>2201</v>
      </c>
      <c r="D174" s="13" t="s">
        <v>2205</v>
      </c>
      <c r="F174" s="13" t="s">
        <v>2217</v>
      </c>
      <c r="G174" s="13">
        <v>54.07</v>
      </c>
      <c r="H174" s="44">
        <v>0</v>
      </c>
      <c r="I174" s="13">
        <v>54.07</v>
      </c>
      <c r="J174" s="24">
        <v>45875</v>
      </c>
      <c r="K174" s="25">
        <v>47</v>
      </c>
      <c r="L174" s="25">
        <v>4.5999999999999996</v>
      </c>
      <c r="M174" s="13" t="b">
        <v>0</v>
      </c>
      <c r="O174" s="25">
        <f t="shared" si="8"/>
        <v>27</v>
      </c>
      <c r="P174" s="13">
        <f t="shared" si="9"/>
        <v>0</v>
      </c>
      <c r="Q174" s="13" t="str">
        <f t="shared" si="10"/>
        <v/>
      </c>
      <c r="R174" s="13" t="str">
        <f t="shared" si="11"/>
        <v>Non diskon</v>
      </c>
    </row>
    <row r="175" spans="1:18" x14ac:dyDescent="0.25">
      <c r="A175" s="13" t="s">
        <v>187</v>
      </c>
      <c r="B175" s="13" t="s">
        <v>2193</v>
      </c>
      <c r="C175" s="13" t="s">
        <v>2198</v>
      </c>
      <c r="D175" s="13" t="s">
        <v>2205</v>
      </c>
      <c r="E175" s="13" t="s">
        <v>2208</v>
      </c>
      <c r="F175" s="13" t="s">
        <v>2214</v>
      </c>
      <c r="G175" s="13">
        <v>104.4</v>
      </c>
      <c r="H175" s="44">
        <v>0</v>
      </c>
      <c r="I175" s="13">
        <v>104.4</v>
      </c>
      <c r="J175" s="24">
        <v>45875</v>
      </c>
      <c r="K175" s="25">
        <v>41</v>
      </c>
      <c r="L175" s="25">
        <v>3.4</v>
      </c>
      <c r="M175" s="13" t="b">
        <v>0</v>
      </c>
      <c r="O175" s="25">
        <f t="shared" si="8"/>
        <v>27</v>
      </c>
      <c r="P175" s="13">
        <f t="shared" si="9"/>
        <v>0</v>
      </c>
      <c r="Q175" s="13" t="str">
        <f t="shared" si="10"/>
        <v/>
      </c>
      <c r="R175" s="13" t="str">
        <f t="shared" si="11"/>
        <v>Non diskon</v>
      </c>
    </row>
    <row r="176" spans="1:18" x14ac:dyDescent="0.25">
      <c r="A176" s="13" t="s">
        <v>188</v>
      </c>
      <c r="B176" s="13" t="s">
        <v>2195</v>
      </c>
      <c r="C176" s="13" t="s">
        <v>2201</v>
      </c>
      <c r="D176" s="13" t="s">
        <v>2204</v>
      </c>
      <c r="E176" s="13" t="s">
        <v>2213</v>
      </c>
      <c r="F176" s="13" t="s">
        <v>2218</v>
      </c>
      <c r="G176" s="13">
        <v>45.97</v>
      </c>
      <c r="H176" s="44">
        <v>0</v>
      </c>
      <c r="I176" s="13">
        <v>45.97</v>
      </c>
      <c r="J176" s="24">
        <v>45532</v>
      </c>
      <c r="K176" s="25">
        <v>37</v>
      </c>
      <c r="L176" s="25">
        <v>3.2</v>
      </c>
      <c r="M176" s="13" t="b">
        <v>1</v>
      </c>
      <c r="N176" s="13" t="s">
        <v>2228</v>
      </c>
      <c r="O176" s="25">
        <f t="shared" si="8"/>
        <v>370</v>
      </c>
      <c r="P176" s="13">
        <f t="shared" si="9"/>
        <v>0</v>
      </c>
      <c r="Q176" s="13">
        <f t="shared" si="10"/>
        <v>1</v>
      </c>
      <c r="R176" s="13" t="str">
        <f t="shared" si="11"/>
        <v>Non diskon</v>
      </c>
    </row>
    <row r="177" spans="1:18" x14ac:dyDescent="0.25">
      <c r="A177" s="13" t="s">
        <v>189</v>
      </c>
      <c r="B177" s="13" t="s">
        <v>2191</v>
      </c>
      <c r="C177" s="13" t="s">
        <v>2201</v>
      </c>
      <c r="D177" s="13" t="s">
        <v>2207</v>
      </c>
      <c r="E177" s="13" t="s">
        <v>2211</v>
      </c>
      <c r="F177" s="13" t="s">
        <v>2216</v>
      </c>
      <c r="G177" s="13">
        <v>28.79</v>
      </c>
      <c r="H177" s="44">
        <v>0</v>
      </c>
      <c r="I177" s="13">
        <v>28.79</v>
      </c>
      <c r="J177" s="24">
        <v>45875</v>
      </c>
      <c r="K177" s="25">
        <v>4</v>
      </c>
      <c r="L177" s="25">
        <v>4.4000000000000004</v>
      </c>
      <c r="M177" s="13" t="b">
        <v>0</v>
      </c>
      <c r="O177" s="25">
        <f t="shared" si="8"/>
        <v>27</v>
      </c>
      <c r="P177" s="13">
        <f t="shared" si="9"/>
        <v>0</v>
      </c>
      <c r="Q177" s="13" t="str">
        <f t="shared" si="10"/>
        <v/>
      </c>
      <c r="R177" s="13" t="str">
        <f t="shared" si="11"/>
        <v>Non diskon</v>
      </c>
    </row>
    <row r="178" spans="1:18" x14ac:dyDescent="0.25">
      <c r="A178" s="13" t="s">
        <v>190</v>
      </c>
      <c r="B178" s="13" t="s">
        <v>2190</v>
      </c>
      <c r="C178" s="13" t="s">
        <v>2197</v>
      </c>
      <c r="D178" s="13" t="s">
        <v>2205</v>
      </c>
      <c r="E178" s="13" t="s">
        <v>2213</v>
      </c>
      <c r="F178" s="13" t="s">
        <v>2218</v>
      </c>
      <c r="G178" s="13">
        <v>204.21</v>
      </c>
      <c r="H178" s="44">
        <v>0</v>
      </c>
      <c r="I178" s="13">
        <v>204.21</v>
      </c>
      <c r="J178" s="24">
        <v>45875</v>
      </c>
      <c r="K178" s="25">
        <v>5</v>
      </c>
      <c r="L178" s="25">
        <v>3.3</v>
      </c>
      <c r="M178" s="13" t="b">
        <v>0</v>
      </c>
      <c r="O178" s="25">
        <f t="shared" si="8"/>
        <v>27</v>
      </c>
      <c r="P178" s="13">
        <f t="shared" si="9"/>
        <v>0</v>
      </c>
      <c r="Q178" s="13" t="str">
        <f t="shared" si="10"/>
        <v/>
      </c>
      <c r="R178" s="13" t="str">
        <f t="shared" si="11"/>
        <v>Non diskon</v>
      </c>
    </row>
    <row r="179" spans="1:18" x14ac:dyDescent="0.25">
      <c r="A179" s="13" t="s">
        <v>191</v>
      </c>
      <c r="B179" s="13" t="s">
        <v>2193</v>
      </c>
      <c r="C179" s="13" t="s">
        <v>2199</v>
      </c>
      <c r="D179" s="13" t="s">
        <v>2206</v>
      </c>
      <c r="E179" s="13" t="s">
        <v>2211</v>
      </c>
      <c r="F179" s="13" t="s">
        <v>2215</v>
      </c>
      <c r="G179" s="13">
        <v>190.75</v>
      </c>
      <c r="H179" s="44">
        <v>20</v>
      </c>
      <c r="I179" s="13">
        <v>152.6</v>
      </c>
      <c r="J179" s="24">
        <v>45875</v>
      </c>
      <c r="K179" s="25">
        <v>47</v>
      </c>
      <c r="L179" s="25">
        <v>2.9804347826086954</v>
      </c>
      <c r="M179" s="13" t="b">
        <v>0</v>
      </c>
      <c r="O179" s="25">
        <f t="shared" si="8"/>
        <v>27</v>
      </c>
      <c r="P179" s="13">
        <f t="shared" si="9"/>
        <v>940</v>
      </c>
      <c r="Q179" s="13" t="str">
        <f t="shared" si="10"/>
        <v/>
      </c>
      <c r="R179" s="13" t="str">
        <f t="shared" si="11"/>
        <v>Diskon</v>
      </c>
    </row>
    <row r="180" spans="1:18" x14ac:dyDescent="0.25">
      <c r="A180" s="13" t="s">
        <v>192</v>
      </c>
      <c r="B180" s="13" t="s">
        <v>2191</v>
      </c>
      <c r="C180" s="13" t="s">
        <v>2203</v>
      </c>
      <c r="D180" s="13" t="s">
        <v>2205</v>
      </c>
      <c r="E180" s="13" t="s">
        <v>2212</v>
      </c>
      <c r="F180" s="13" t="s">
        <v>2224</v>
      </c>
      <c r="G180" s="13">
        <v>33.01</v>
      </c>
      <c r="H180" s="44">
        <v>39.200000000000003</v>
      </c>
      <c r="I180" s="13">
        <v>20.07</v>
      </c>
      <c r="J180" s="24">
        <v>45875</v>
      </c>
      <c r="K180" s="25">
        <v>16</v>
      </c>
      <c r="L180" s="25">
        <v>3.7</v>
      </c>
      <c r="M180" s="13" t="b">
        <v>0</v>
      </c>
      <c r="O180" s="25">
        <f t="shared" si="8"/>
        <v>27</v>
      </c>
      <c r="P180" s="13">
        <f t="shared" si="9"/>
        <v>627.20000000000005</v>
      </c>
      <c r="Q180" s="13" t="str">
        <f t="shared" si="10"/>
        <v/>
      </c>
      <c r="R180" s="13" t="str">
        <f t="shared" si="11"/>
        <v>Diskon</v>
      </c>
    </row>
    <row r="181" spans="1:18" x14ac:dyDescent="0.25">
      <c r="A181" s="13" t="s">
        <v>193</v>
      </c>
      <c r="B181" s="13" t="s">
        <v>2192</v>
      </c>
      <c r="C181" s="13" t="s">
        <v>2198</v>
      </c>
      <c r="D181" s="13" t="s">
        <v>2204</v>
      </c>
      <c r="F181" s="13" t="s">
        <v>2219</v>
      </c>
      <c r="G181" s="13">
        <v>47.61</v>
      </c>
      <c r="H181" s="44">
        <v>39.799999999999997</v>
      </c>
      <c r="I181" s="13">
        <v>28.66</v>
      </c>
      <c r="J181" s="24">
        <v>45629</v>
      </c>
      <c r="K181" s="25">
        <v>18</v>
      </c>
      <c r="L181" s="25">
        <v>1.3</v>
      </c>
      <c r="M181" s="13" t="b">
        <v>0</v>
      </c>
      <c r="O181" s="25">
        <f t="shared" si="8"/>
        <v>273</v>
      </c>
      <c r="P181" s="13">
        <f t="shared" si="9"/>
        <v>716.4</v>
      </c>
      <c r="Q181" s="13" t="str">
        <f t="shared" si="10"/>
        <v/>
      </c>
      <c r="R181" s="13" t="str">
        <f t="shared" si="11"/>
        <v>Diskon</v>
      </c>
    </row>
    <row r="182" spans="1:18" x14ac:dyDescent="0.25">
      <c r="A182" s="13" t="s">
        <v>194</v>
      </c>
      <c r="B182" s="13" t="s">
        <v>2190</v>
      </c>
      <c r="C182" s="13" t="s">
        <v>2200</v>
      </c>
      <c r="D182" s="13" t="s">
        <v>2204</v>
      </c>
      <c r="E182" s="13" t="s">
        <v>2212</v>
      </c>
      <c r="F182" s="13" t="s">
        <v>2214</v>
      </c>
      <c r="G182" s="13">
        <v>137.16</v>
      </c>
      <c r="H182" s="44">
        <v>0</v>
      </c>
      <c r="I182" s="13">
        <v>137.16</v>
      </c>
      <c r="J182" s="24">
        <v>45561</v>
      </c>
      <c r="K182" s="25">
        <v>34</v>
      </c>
      <c r="L182" s="25">
        <v>3.2</v>
      </c>
      <c r="M182" s="13" t="b">
        <v>0</v>
      </c>
      <c r="O182" s="25">
        <f t="shared" si="8"/>
        <v>341</v>
      </c>
      <c r="P182" s="13">
        <f t="shared" si="9"/>
        <v>0</v>
      </c>
      <c r="Q182" s="13" t="str">
        <f t="shared" si="10"/>
        <v/>
      </c>
      <c r="R182" s="13" t="str">
        <f t="shared" si="11"/>
        <v>Non diskon</v>
      </c>
    </row>
    <row r="183" spans="1:18" x14ac:dyDescent="0.25">
      <c r="A183" s="13" t="s">
        <v>195</v>
      </c>
      <c r="B183" s="13" t="s">
        <v>2191</v>
      </c>
      <c r="C183" s="13" t="s">
        <v>2202</v>
      </c>
      <c r="D183" s="13" t="s">
        <v>2206</v>
      </c>
      <c r="E183" s="13" t="s">
        <v>2213</v>
      </c>
      <c r="F183" s="13" t="s">
        <v>2222</v>
      </c>
      <c r="G183" s="13">
        <v>108.49</v>
      </c>
      <c r="H183" s="44">
        <v>0</v>
      </c>
      <c r="I183" s="13">
        <v>108.49</v>
      </c>
      <c r="J183" s="24">
        <v>45875</v>
      </c>
      <c r="K183" s="25">
        <v>7</v>
      </c>
      <c r="L183" s="25">
        <v>3.3</v>
      </c>
      <c r="M183" s="13" t="b">
        <v>0</v>
      </c>
      <c r="O183" s="25">
        <f t="shared" si="8"/>
        <v>27</v>
      </c>
      <c r="P183" s="13">
        <f t="shared" si="9"/>
        <v>0</v>
      </c>
      <c r="Q183" s="13" t="str">
        <f t="shared" si="10"/>
        <v/>
      </c>
      <c r="R183" s="13" t="str">
        <f t="shared" si="11"/>
        <v>Non diskon</v>
      </c>
    </row>
    <row r="184" spans="1:18" x14ac:dyDescent="0.25">
      <c r="A184" s="13" t="s">
        <v>196</v>
      </c>
      <c r="B184" s="13" t="s">
        <v>2191</v>
      </c>
      <c r="C184" s="13" t="s">
        <v>2198</v>
      </c>
      <c r="D184" s="13" t="s">
        <v>2205</v>
      </c>
      <c r="E184" s="13" t="s">
        <v>2208</v>
      </c>
      <c r="F184" s="13" t="s">
        <v>2220</v>
      </c>
      <c r="G184" s="13">
        <v>106.49</v>
      </c>
      <c r="H184" s="44">
        <v>0</v>
      </c>
      <c r="I184" s="13">
        <v>106.49</v>
      </c>
      <c r="J184" s="24">
        <v>45875</v>
      </c>
      <c r="K184" s="25">
        <v>23</v>
      </c>
      <c r="L184" s="25">
        <v>4</v>
      </c>
      <c r="M184" s="13" t="b">
        <v>0</v>
      </c>
      <c r="O184" s="25">
        <f t="shared" si="8"/>
        <v>27</v>
      </c>
      <c r="P184" s="13">
        <f t="shared" si="9"/>
        <v>0</v>
      </c>
      <c r="Q184" s="13" t="str">
        <f t="shared" si="10"/>
        <v/>
      </c>
      <c r="R184" s="13" t="str">
        <f t="shared" si="11"/>
        <v>Non diskon</v>
      </c>
    </row>
    <row r="185" spans="1:18" x14ac:dyDescent="0.25">
      <c r="A185" s="13" t="s">
        <v>197</v>
      </c>
      <c r="B185" s="13" t="s">
        <v>2191</v>
      </c>
      <c r="C185" s="13" t="s">
        <v>2199</v>
      </c>
      <c r="D185" s="13" t="s">
        <v>2205</v>
      </c>
      <c r="E185" s="13" t="s">
        <v>2211</v>
      </c>
      <c r="F185" s="13" t="s">
        <v>2215</v>
      </c>
      <c r="G185" s="13">
        <v>114.86</v>
      </c>
      <c r="H185" s="44">
        <v>0</v>
      </c>
      <c r="I185" s="13">
        <v>114.86</v>
      </c>
      <c r="J185" s="24">
        <v>45875</v>
      </c>
      <c r="K185" s="25">
        <v>48</v>
      </c>
      <c r="L185" s="25">
        <v>1.1000000000000001</v>
      </c>
      <c r="M185" s="13" t="b">
        <v>0</v>
      </c>
      <c r="O185" s="25">
        <f t="shared" si="8"/>
        <v>27</v>
      </c>
      <c r="P185" s="13">
        <f t="shared" si="9"/>
        <v>0</v>
      </c>
      <c r="Q185" s="13" t="str">
        <f t="shared" si="10"/>
        <v/>
      </c>
      <c r="R185" s="13" t="str">
        <f t="shared" si="11"/>
        <v>Non diskon</v>
      </c>
    </row>
    <row r="186" spans="1:18" x14ac:dyDescent="0.25">
      <c r="A186" s="13" t="s">
        <v>198</v>
      </c>
      <c r="B186" s="13" t="s">
        <v>2195</v>
      </c>
      <c r="C186" s="13" t="s">
        <v>2196</v>
      </c>
      <c r="D186" s="13" t="s">
        <v>2206</v>
      </c>
      <c r="E186" s="13" t="s">
        <v>2209</v>
      </c>
      <c r="F186" s="13" t="s">
        <v>2219</v>
      </c>
      <c r="G186" s="13">
        <v>121.68</v>
      </c>
      <c r="H186" s="44">
        <v>0</v>
      </c>
      <c r="I186" s="13">
        <v>121.68</v>
      </c>
      <c r="J186" s="24">
        <v>45875</v>
      </c>
      <c r="K186" s="25">
        <v>9</v>
      </c>
      <c r="L186" s="25">
        <v>1.5</v>
      </c>
      <c r="M186" s="13" t="b">
        <v>0</v>
      </c>
      <c r="O186" s="25">
        <f t="shared" si="8"/>
        <v>27</v>
      </c>
      <c r="P186" s="13">
        <f t="shared" si="9"/>
        <v>0</v>
      </c>
      <c r="Q186" s="13" t="str">
        <f t="shared" si="10"/>
        <v/>
      </c>
      <c r="R186" s="13" t="str">
        <f t="shared" si="11"/>
        <v>Non diskon</v>
      </c>
    </row>
    <row r="187" spans="1:18" x14ac:dyDescent="0.25">
      <c r="A187" s="13" t="s">
        <v>199</v>
      </c>
      <c r="B187" s="13" t="s">
        <v>2194</v>
      </c>
      <c r="C187" s="13" t="s">
        <v>2196</v>
      </c>
      <c r="D187" s="13" t="s">
        <v>2207</v>
      </c>
      <c r="E187" s="13" t="s">
        <v>2211</v>
      </c>
      <c r="F187" s="13" t="s">
        <v>2216</v>
      </c>
      <c r="G187" s="13">
        <v>74.08</v>
      </c>
      <c r="H187" s="44">
        <v>3.9</v>
      </c>
      <c r="I187" s="13">
        <v>71.19</v>
      </c>
      <c r="J187" s="24">
        <v>45875</v>
      </c>
      <c r="K187" s="25">
        <v>37</v>
      </c>
      <c r="L187" s="25">
        <v>1.7</v>
      </c>
      <c r="M187" s="13" t="b">
        <v>0</v>
      </c>
      <c r="O187" s="25">
        <f t="shared" si="8"/>
        <v>27</v>
      </c>
      <c r="P187" s="13">
        <f t="shared" si="9"/>
        <v>144.29999999999998</v>
      </c>
      <c r="Q187" s="13" t="str">
        <f t="shared" si="10"/>
        <v/>
      </c>
      <c r="R187" s="13" t="str">
        <f t="shared" si="11"/>
        <v>Diskon</v>
      </c>
    </row>
    <row r="188" spans="1:18" x14ac:dyDescent="0.25">
      <c r="A188" s="13" t="s">
        <v>200</v>
      </c>
      <c r="B188" s="13" t="s">
        <v>2191</v>
      </c>
      <c r="C188" s="13" t="s">
        <v>2202</v>
      </c>
      <c r="D188" s="13" t="s">
        <v>2206</v>
      </c>
      <c r="E188" s="13" t="s">
        <v>2213</v>
      </c>
      <c r="F188" s="13" t="s">
        <v>2219</v>
      </c>
      <c r="G188" s="13">
        <v>92.37</v>
      </c>
      <c r="H188" s="44">
        <v>35.9</v>
      </c>
      <c r="I188" s="13">
        <v>59.21</v>
      </c>
      <c r="J188" s="24">
        <v>45875</v>
      </c>
      <c r="K188" s="25">
        <v>20</v>
      </c>
      <c r="L188" s="25">
        <v>2.9074999999999998</v>
      </c>
      <c r="M188" s="13" t="b">
        <v>0</v>
      </c>
      <c r="O188" s="25">
        <f t="shared" si="8"/>
        <v>27</v>
      </c>
      <c r="P188" s="13">
        <f t="shared" si="9"/>
        <v>718</v>
      </c>
      <c r="Q188" s="13" t="str">
        <f t="shared" si="10"/>
        <v/>
      </c>
      <c r="R188" s="13" t="str">
        <f t="shared" si="11"/>
        <v>Diskon</v>
      </c>
    </row>
    <row r="189" spans="1:18" x14ac:dyDescent="0.25">
      <c r="A189" s="13" t="s">
        <v>201</v>
      </c>
      <c r="B189" s="13" t="s">
        <v>2191</v>
      </c>
      <c r="C189" s="13" t="s">
        <v>2197</v>
      </c>
      <c r="D189" s="13" t="s">
        <v>2207</v>
      </c>
      <c r="E189" s="13" t="s">
        <v>2211</v>
      </c>
      <c r="F189" s="13" t="s">
        <v>2221</v>
      </c>
      <c r="G189" s="13">
        <v>34.06</v>
      </c>
      <c r="H189" s="44">
        <v>0</v>
      </c>
      <c r="I189" s="13">
        <v>34.06</v>
      </c>
      <c r="J189" s="24">
        <v>45875</v>
      </c>
      <c r="K189" s="25">
        <v>39</v>
      </c>
      <c r="L189" s="25">
        <v>4.5</v>
      </c>
      <c r="M189" s="13" t="b">
        <v>0</v>
      </c>
      <c r="O189" s="25">
        <f t="shared" si="8"/>
        <v>27</v>
      </c>
      <c r="P189" s="13">
        <f t="shared" si="9"/>
        <v>0</v>
      </c>
      <c r="Q189" s="13" t="str">
        <f t="shared" si="10"/>
        <v/>
      </c>
      <c r="R189" s="13" t="str">
        <f t="shared" si="11"/>
        <v>Non diskon</v>
      </c>
    </row>
    <row r="190" spans="1:18" x14ac:dyDescent="0.25">
      <c r="A190" s="13" t="s">
        <v>202</v>
      </c>
      <c r="B190" s="13" t="s">
        <v>2195</v>
      </c>
      <c r="C190" s="13" t="s">
        <v>2196</v>
      </c>
      <c r="D190" s="13" t="s">
        <v>2207</v>
      </c>
      <c r="E190" s="13" t="s">
        <v>2209</v>
      </c>
      <c r="F190" s="13" t="s">
        <v>2215</v>
      </c>
      <c r="G190" s="13">
        <v>173.42</v>
      </c>
      <c r="H190" s="44">
        <v>0</v>
      </c>
      <c r="I190" s="13">
        <v>173.42</v>
      </c>
      <c r="J190" s="24">
        <v>45875</v>
      </c>
      <c r="K190" s="25">
        <v>47</v>
      </c>
      <c r="L190" s="25">
        <v>4.2</v>
      </c>
      <c r="M190" s="13" t="b">
        <v>0</v>
      </c>
      <c r="O190" s="25">
        <f t="shared" si="8"/>
        <v>27</v>
      </c>
      <c r="P190" s="13">
        <f t="shared" si="9"/>
        <v>0</v>
      </c>
      <c r="Q190" s="13" t="str">
        <f t="shared" si="10"/>
        <v/>
      </c>
      <c r="R190" s="13" t="str">
        <f t="shared" si="11"/>
        <v>Non diskon</v>
      </c>
    </row>
    <row r="191" spans="1:18" x14ac:dyDescent="0.25">
      <c r="A191" s="13" t="s">
        <v>203</v>
      </c>
      <c r="B191" s="13" t="s">
        <v>2194</v>
      </c>
      <c r="C191" s="13" t="s">
        <v>2197</v>
      </c>
      <c r="D191" s="13" t="s">
        <v>2204</v>
      </c>
      <c r="E191" s="13" t="s">
        <v>2211</v>
      </c>
      <c r="F191" s="13" t="s">
        <v>2224</v>
      </c>
      <c r="G191" s="13">
        <v>66.510000000000005</v>
      </c>
      <c r="H191" s="44">
        <v>0</v>
      </c>
      <c r="I191" s="13">
        <v>66.510000000000005</v>
      </c>
      <c r="J191" s="24">
        <v>45569</v>
      </c>
      <c r="K191" s="25">
        <v>32</v>
      </c>
      <c r="L191" s="25">
        <v>2.1</v>
      </c>
      <c r="M191" s="13" t="b">
        <v>0</v>
      </c>
      <c r="O191" s="25">
        <f t="shared" si="8"/>
        <v>333</v>
      </c>
      <c r="P191" s="13">
        <f t="shared" si="9"/>
        <v>0</v>
      </c>
      <c r="Q191" s="13" t="str">
        <f t="shared" si="10"/>
        <v/>
      </c>
      <c r="R191" s="13" t="str">
        <f t="shared" si="11"/>
        <v>Non diskon</v>
      </c>
    </row>
    <row r="192" spans="1:18" x14ac:dyDescent="0.25">
      <c r="A192" s="13" t="s">
        <v>204</v>
      </c>
      <c r="B192" s="13" t="s">
        <v>2194</v>
      </c>
      <c r="C192" s="13" t="s">
        <v>2197</v>
      </c>
      <c r="D192" s="13" t="s">
        <v>2206</v>
      </c>
      <c r="E192" s="13" t="s">
        <v>2211</v>
      </c>
      <c r="F192" s="13" t="s">
        <v>2219</v>
      </c>
      <c r="G192" s="13">
        <v>72.44</v>
      </c>
      <c r="H192" s="44">
        <v>7.1</v>
      </c>
      <c r="I192" s="13">
        <v>67.3</v>
      </c>
      <c r="J192" s="24">
        <v>45875</v>
      </c>
      <c r="K192" s="25">
        <v>10</v>
      </c>
      <c r="L192" s="25">
        <v>1.8</v>
      </c>
      <c r="M192" s="13" t="b">
        <v>0</v>
      </c>
      <c r="O192" s="25">
        <f t="shared" si="8"/>
        <v>27</v>
      </c>
      <c r="P192" s="13">
        <f t="shared" si="9"/>
        <v>71</v>
      </c>
      <c r="Q192" s="13" t="str">
        <f t="shared" si="10"/>
        <v/>
      </c>
      <c r="R192" s="13" t="str">
        <f t="shared" si="11"/>
        <v>Diskon</v>
      </c>
    </row>
    <row r="193" spans="1:18" x14ac:dyDescent="0.25">
      <c r="A193" s="13" t="s">
        <v>205</v>
      </c>
      <c r="B193" s="13" t="s">
        <v>2191</v>
      </c>
      <c r="C193" s="13" t="s">
        <v>2201</v>
      </c>
      <c r="D193" s="13" t="s">
        <v>2206</v>
      </c>
      <c r="E193" s="13" t="s">
        <v>2210</v>
      </c>
      <c r="F193" s="13" t="s">
        <v>2216</v>
      </c>
      <c r="G193" s="13">
        <v>81.2</v>
      </c>
      <c r="H193" s="44">
        <v>0</v>
      </c>
      <c r="I193" s="13">
        <v>81.2</v>
      </c>
      <c r="J193" s="24">
        <v>45875</v>
      </c>
      <c r="K193" s="25">
        <v>3</v>
      </c>
      <c r="L193" s="25">
        <v>1.5</v>
      </c>
      <c r="M193" s="13" t="b">
        <v>0</v>
      </c>
      <c r="O193" s="25">
        <f t="shared" si="8"/>
        <v>27</v>
      </c>
      <c r="P193" s="13">
        <f t="shared" si="9"/>
        <v>0</v>
      </c>
      <c r="Q193" s="13" t="str">
        <f t="shared" si="10"/>
        <v/>
      </c>
      <c r="R193" s="13" t="str">
        <f t="shared" si="11"/>
        <v>Non diskon</v>
      </c>
    </row>
    <row r="194" spans="1:18" x14ac:dyDescent="0.25">
      <c r="A194" s="13" t="s">
        <v>206</v>
      </c>
      <c r="B194" s="13" t="s">
        <v>2190</v>
      </c>
      <c r="C194" s="13" t="s">
        <v>2202</v>
      </c>
      <c r="D194" s="13" t="s">
        <v>2207</v>
      </c>
      <c r="E194" s="13" t="s">
        <v>2211</v>
      </c>
      <c r="F194" s="13" t="s">
        <v>2214</v>
      </c>
      <c r="G194" s="13">
        <v>104.5</v>
      </c>
      <c r="H194" s="44">
        <v>12.3</v>
      </c>
      <c r="I194" s="13">
        <v>91.65</v>
      </c>
      <c r="J194" s="24">
        <v>45875</v>
      </c>
      <c r="K194" s="25">
        <v>42</v>
      </c>
      <c r="L194" s="25">
        <v>2.9034482758620692</v>
      </c>
      <c r="M194" s="13" t="b">
        <v>0</v>
      </c>
      <c r="O194" s="25">
        <f t="shared" si="8"/>
        <v>27</v>
      </c>
      <c r="P194" s="13">
        <f t="shared" si="9"/>
        <v>516.6</v>
      </c>
      <c r="Q194" s="13" t="str">
        <f t="shared" si="10"/>
        <v/>
      </c>
      <c r="R194" s="13" t="str">
        <f t="shared" si="11"/>
        <v>Diskon</v>
      </c>
    </row>
    <row r="195" spans="1:18" x14ac:dyDescent="0.25">
      <c r="A195" s="13" t="s">
        <v>207</v>
      </c>
      <c r="B195" s="13" t="s">
        <v>2195</v>
      </c>
      <c r="C195" s="13" t="s">
        <v>2202</v>
      </c>
      <c r="D195" s="13" t="s">
        <v>2205</v>
      </c>
      <c r="E195" s="13" t="s">
        <v>2208</v>
      </c>
      <c r="F195" s="13" t="s">
        <v>2215</v>
      </c>
      <c r="G195" s="13">
        <v>57.53</v>
      </c>
      <c r="H195" s="44">
        <v>13</v>
      </c>
      <c r="I195" s="13">
        <v>50.05</v>
      </c>
      <c r="J195" s="24">
        <v>45875</v>
      </c>
      <c r="K195" s="25">
        <v>12</v>
      </c>
      <c r="L195" s="25">
        <v>4.0999999999999996</v>
      </c>
      <c r="M195" s="13" t="b">
        <v>0</v>
      </c>
      <c r="O195" s="25">
        <f t="shared" ref="O195:O258" si="12">DATE(2025,9,2)-J195</f>
        <v>27</v>
      </c>
      <c r="P195" s="13">
        <f t="shared" ref="P195:P258" si="13">H195*K195</f>
        <v>156</v>
      </c>
      <c r="Q195" s="13" t="str">
        <f t="shared" ref="Q195:Q258" si="14">IF(M195=FALSE,"",1)</f>
        <v/>
      </c>
      <c r="R195" s="13" t="str">
        <f t="shared" ref="R195:R258" si="15">IF(H195=0,"Non diskon","Diskon")</f>
        <v>Diskon</v>
      </c>
    </row>
    <row r="196" spans="1:18" x14ac:dyDescent="0.25">
      <c r="A196" s="13" t="s">
        <v>208</v>
      </c>
      <c r="B196" s="13" t="s">
        <v>2193</v>
      </c>
      <c r="C196" s="13" t="s">
        <v>2198</v>
      </c>
      <c r="D196" s="13" t="s">
        <v>2207</v>
      </c>
      <c r="E196" s="13" t="s">
        <v>2211</v>
      </c>
      <c r="F196" s="13" t="s">
        <v>2218</v>
      </c>
      <c r="G196" s="13">
        <v>142.58000000000001</v>
      </c>
      <c r="H196" s="44">
        <v>0</v>
      </c>
      <c r="I196" s="13">
        <v>142.58000000000001</v>
      </c>
      <c r="J196" s="24">
        <v>45875</v>
      </c>
      <c r="K196" s="25">
        <v>25</v>
      </c>
      <c r="L196" s="25">
        <v>4.8</v>
      </c>
      <c r="M196" s="13" t="b">
        <v>1</v>
      </c>
      <c r="N196" s="13" t="s">
        <v>2228</v>
      </c>
      <c r="O196" s="25">
        <f t="shared" si="12"/>
        <v>27</v>
      </c>
      <c r="P196" s="13">
        <f t="shared" si="13"/>
        <v>0</v>
      </c>
      <c r="Q196" s="13">
        <f t="shared" si="14"/>
        <v>1</v>
      </c>
      <c r="R196" s="13" t="str">
        <f t="shared" si="15"/>
        <v>Non diskon</v>
      </c>
    </row>
    <row r="197" spans="1:18" x14ac:dyDescent="0.25">
      <c r="A197" s="13" t="s">
        <v>209</v>
      </c>
      <c r="B197" s="13" t="s">
        <v>2195</v>
      </c>
      <c r="C197" s="13" t="s">
        <v>2196</v>
      </c>
      <c r="D197" s="13" t="s">
        <v>2206</v>
      </c>
      <c r="E197" s="13" t="s">
        <v>2211</v>
      </c>
      <c r="F197" s="13" t="s">
        <v>2220</v>
      </c>
      <c r="G197" s="13">
        <v>162.22999999999999</v>
      </c>
      <c r="H197" s="44">
        <v>29.4</v>
      </c>
      <c r="I197" s="13">
        <v>114.53</v>
      </c>
      <c r="J197" s="24">
        <v>45875</v>
      </c>
      <c r="K197" s="25">
        <v>41</v>
      </c>
      <c r="L197" s="25">
        <v>4</v>
      </c>
      <c r="M197" s="13" t="b">
        <v>1</v>
      </c>
      <c r="N197" s="13" t="s">
        <v>2228</v>
      </c>
      <c r="O197" s="25">
        <f t="shared" si="12"/>
        <v>27</v>
      </c>
      <c r="P197" s="13">
        <f t="shared" si="13"/>
        <v>1205.3999999999999</v>
      </c>
      <c r="Q197" s="13">
        <f t="shared" si="14"/>
        <v>1</v>
      </c>
      <c r="R197" s="13" t="str">
        <f t="shared" si="15"/>
        <v>Diskon</v>
      </c>
    </row>
    <row r="198" spans="1:18" x14ac:dyDescent="0.25">
      <c r="A198" s="13" t="s">
        <v>210</v>
      </c>
      <c r="B198" s="13" t="s">
        <v>2194</v>
      </c>
      <c r="C198" s="13" t="s">
        <v>2201</v>
      </c>
      <c r="D198" s="13" t="s">
        <v>2204</v>
      </c>
      <c r="E198" s="13" t="s">
        <v>2211</v>
      </c>
      <c r="F198" s="13" t="s">
        <v>2214</v>
      </c>
      <c r="G198" s="13">
        <v>32.1</v>
      </c>
      <c r="H198" s="44">
        <v>51.7</v>
      </c>
      <c r="I198" s="13">
        <v>15.5</v>
      </c>
      <c r="J198" s="24">
        <v>45619</v>
      </c>
      <c r="K198" s="25">
        <v>27</v>
      </c>
      <c r="L198" s="25">
        <v>3.0575757575757576</v>
      </c>
      <c r="M198" s="13" t="b">
        <v>0</v>
      </c>
      <c r="O198" s="25">
        <f t="shared" si="12"/>
        <v>283</v>
      </c>
      <c r="P198" s="13">
        <f t="shared" si="13"/>
        <v>1395.9</v>
      </c>
      <c r="Q198" s="13" t="str">
        <f t="shared" si="14"/>
        <v/>
      </c>
      <c r="R198" s="13" t="str">
        <f t="shared" si="15"/>
        <v>Diskon</v>
      </c>
    </row>
    <row r="199" spans="1:18" x14ac:dyDescent="0.25">
      <c r="A199" s="13" t="s">
        <v>211</v>
      </c>
      <c r="B199" s="13" t="s">
        <v>2193</v>
      </c>
      <c r="C199" s="13" t="s">
        <v>2197</v>
      </c>
      <c r="D199" s="13" t="s">
        <v>2206</v>
      </c>
      <c r="E199" s="13" t="s">
        <v>2209</v>
      </c>
      <c r="F199" s="13" t="s">
        <v>2216</v>
      </c>
      <c r="G199" s="13">
        <v>162.41</v>
      </c>
      <c r="H199" s="44">
        <v>42.7</v>
      </c>
      <c r="I199" s="13">
        <v>93.06</v>
      </c>
      <c r="J199" s="24">
        <v>45875</v>
      </c>
      <c r="K199" s="25">
        <v>22</v>
      </c>
      <c r="L199" s="25">
        <v>4.8</v>
      </c>
      <c r="M199" s="13" t="b">
        <v>0</v>
      </c>
      <c r="O199" s="25">
        <f t="shared" si="12"/>
        <v>27</v>
      </c>
      <c r="P199" s="13">
        <f t="shared" si="13"/>
        <v>939.40000000000009</v>
      </c>
      <c r="Q199" s="13" t="str">
        <f t="shared" si="14"/>
        <v/>
      </c>
      <c r="R199" s="13" t="str">
        <f t="shared" si="15"/>
        <v>Diskon</v>
      </c>
    </row>
    <row r="200" spans="1:18" x14ac:dyDescent="0.25">
      <c r="A200" s="13" t="s">
        <v>212</v>
      </c>
      <c r="B200" s="13" t="s">
        <v>2191</v>
      </c>
      <c r="C200" s="13" t="s">
        <v>2198</v>
      </c>
      <c r="D200" s="13" t="s">
        <v>2206</v>
      </c>
      <c r="E200" s="13" t="s">
        <v>2213</v>
      </c>
      <c r="F200" s="13" t="s">
        <v>2218</v>
      </c>
      <c r="G200" s="13">
        <v>77.459999999999994</v>
      </c>
      <c r="H200" s="44">
        <v>57.5</v>
      </c>
      <c r="I200" s="13">
        <v>32.92</v>
      </c>
      <c r="J200" s="24">
        <v>45875</v>
      </c>
      <c r="K200" s="25">
        <v>23</v>
      </c>
      <c r="L200" s="25">
        <v>4</v>
      </c>
      <c r="M200" s="13" t="b">
        <v>0</v>
      </c>
      <c r="O200" s="25">
        <f t="shared" si="12"/>
        <v>27</v>
      </c>
      <c r="P200" s="13">
        <f t="shared" si="13"/>
        <v>1322.5</v>
      </c>
      <c r="Q200" s="13" t="str">
        <f t="shared" si="14"/>
        <v/>
      </c>
      <c r="R200" s="13" t="str">
        <f t="shared" si="15"/>
        <v>Diskon</v>
      </c>
    </row>
    <row r="201" spans="1:18" x14ac:dyDescent="0.25">
      <c r="A201" s="13" t="s">
        <v>213</v>
      </c>
      <c r="B201" s="13" t="s">
        <v>2191</v>
      </c>
      <c r="C201" s="13" t="s">
        <v>2200</v>
      </c>
      <c r="D201" s="13" t="s">
        <v>2206</v>
      </c>
      <c r="E201" s="13" t="s">
        <v>2211</v>
      </c>
      <c r="F201" s="13" t="s">
        <v>2219</v>
      </c>
      <c r="G201" s="13">
        <v>103.42</v>
      </c>
      <c r="H201" s="44">
        <v>56.1</v>
      </c>
      <c r="I201" s="13">
        <v>45.4</v>
      </c>
      <c r="J201" s="24">
        <v>45875</v>
      </c>
      <c r="K201" s="25">
        <v>4</v>
      </c>
      <c r="L201" s="25">
        <v>4.7</v>
      </c>
      <c r="M201" s="13" t="b">
        <v>0</v>
      </c>
      <c r="O201" s="25">
        <f t="shared" si="12"/>
        <v>27</v>
      </c>
      <c r="P201" s="13">
        <f t="shared" si="13"/>
        <v>224.4</v>
      </c>
      <c r="Q201" s="13" t="str">
        <f t="shared" si="14"/>
        <v/>
      </c>
      <c r="R201" s="13" t="str">
        <f t="shared" si="15"/>
        <v>Diskon</v>
      </c>
    </row>
    <row r="202" spans="1:18" x14ac:dyDescent="0.25">
      <c r="A202" s="13" t="s">
        <v>214</v>
      </c>
      <c r="B202" s="13" t="s">
        <v>2194</v>
      </c>
      <c r="C202" s="13" t="s">
        <v>2196</v>
      </c>
      <c r="D202" s="13" t="s">
        <v>2204</v>
      </c>
      <c r="E202" s="13" t="s">
        <v>2212</v>
      </c>
      <c r="F202" s="13" t="s">
        <v>2220</v>
      </c>
      <c r="G202" s="13">
        <v>42.91</v>
      </c>
      <c r="H202" s="44">
        <v>33.299999999999997</v>
      </c>
      <c r="I202" s="13">
        <v>28.62</v>
      </c>
      <c r="J202" s="24">
        <v>45619</v>
      </c>
      <c r="K202" s="25">
        <v>18</v>
      </c>
      <c r="L202" s="25">
        <v>2.9210526315789478</v>
      </c>
      <c r="M202" s="13" t="b">
        <v>0</v>
      </c>
      <c r="O202" s="25">
        <f t="shared" si="12"/>
        <v>283</v>
      </c>
      <c r="P202" s="13">
        <f t="shared" si="13"/>
        <v>599.4</v>
      </c>
      <c r="Q202" s="13" t="str">
        <f t="shared" si="14"/>
        <v/>
      </c>
      <c r="R202" s="13" t="str">
        <f t="shared" si="15"/>
        <v>Diskon</v>
      </c>
    </row>
    <row r="203" spans="1:18" x14ac:dyDescent="0.25">
      <c r="A203" s="13" t="s">
        <v>215</v>
      </c>
      <c r="B203" s="13" t="s">
        <v>2193</v>
      </c>
      <c r="C203" s="13" t="s">
        <v>2196</v>
      </c>
      <c r="D203" s="13" t="s">
        <v>2207</v>
      </c>
      <c r="E203" s="13" t="s">
        <v>2208</v>
      </c>
      <c r="F203" s="13" t="s">
        <v>2220</v>
      </c>
      <c r="G203" s="13">
        <v>144.91999999999999</v>
      </c>
      <c r="H203" s="44">
        <v>17</v>
      </c>
      <c r="I203" s="13">
        <v>120.28</v>
      </c>
      <c r="J203" s="24">
        <v>45875</v>
      </c>
      <c r="K203" s="25">
        <v>32</v>
      </c>
      <c r="L203" s="25">
        <v>2</v>
      </c>
      <c r="M203" s="13" t="b">
        <v>0</v>
      </c>
      <c r="O203" s="25">
        <f t="shared" si="12"/>
        <v>27</v>
      </c>
      <c r="P203" s="13">
        <f t="shared" si="13"/>
        <v>544</v>
      </c>
      <c r="Q203" s="13" t="str">
        <f t="shared" si="14"/>
        <v/>
      </c>
      <c r="R203" s="13" t="str">
        <f t="shared" si="15"/>
        <v>Diskon</v>
      </c>
    </row>
    <row r="204" spans="1:18" x14ac:dyDescent="0.25">
      <c r="A204" s="13" t="s">
        <v>216</v>
      </c>
      <c r="B204" s="13" t="s">
        <v>2193</v>
      </c>
      <c r="C204" s="13" t="s">
        <v>2198</v>
      </c>
      <c r="D204" s="13" t="s">
        <v>2207</v>
      </c>
      <c r="E204" s="13" t="s">
        <v>2212</v>
      </c>
      <c r="F204" s="13" t="s">
        <v>2216</v>
      </c>
      <c r="G204" s="13">
        <v>93.07</v>
      </c>
      <c r="H204" s="44">
        <v>23.9</v>
      </c>
      <c r="I204" s="13">
        <v>70.83</v>
      </c>
      <c r="J204" s="24">
        <v>45875</v>
      </c>
      <c r="K204" s="25">
        <v>10</v>
      </c>
      <c r="L204" s="25">
        <v>3.5</v>
      </c>
      <c r="M204" s="13" t="b">
        <v>1</v>
      </c>
      <c r="N204" s="13" t="s">
        <v>2229</v>
      </c>
      <c r="O204" s="25">
        <f t="shared" si="12"/>
        <v>27</v>
      </c>
      <c r="P204" s="13">
        <f t="shared" si="13"/>
        <v>239</v>
      </c>
      <c r="Q204" s="13">
        <f t="shared" si="14"/>
        <v>1</v>
      </c>
      <c r="R204" s="13" t="str">
        <f t="shared" si="15"/>
        <v>Diskon</v>
      </c>
    </row>
    <row r="205" spans="1:18" x14ac:dyDescent="0.25">
      <c r="A205" s="13" t="s">
        <v>217</v>
      </c>
      <c r="B205" s="13" t="s">
        <v>2190</v>
      </c>
      <c r="C205" s="13" t="s">
        <v>2200</v>
      </c>
      <c r="D205" s="13" t="s">
        <v>2207</v>
      </c>
      <c r="E205" s="13" t="s">
        <v>2210</v>
      </c>
      <c r="F205" s="13" t="s">
        <v>2214</v>
      </c>
      <c r="G205" s="13">
        <v>119.96</v>
      </c>
      <c r="H205" s="44">
        <v>0</v>
      </c>
      <c r="I205" s="13">
        <v>119.96</v>
      </c>
      <c r="J205" s="24">
        <v>45875</v>
      </c>
      <c r="K205" s="25">
        <v>20</v>
      </c>
      <c r="L205" s="25">
        <v>1.1000000000000001</v>
      </c>
      <c r="M205" s="13" t="b">
        <v>0</v>
      </c>
      <c r="O205" s="25">
        <f t="shared" si="12"/>
        <v>27</v>
      </c>
      <c r="P205" s="13">
        <f t="shared" si="13"/>
        <v>0</v>
      </c>
      <c r="Q205" s="13" t="str">
        <f t="shared" si="14"/>
        <v/>
      </c>
      <c r="R205" s="13" t="str">
        <f t="shared" si="15"/>
        <v>Non diskon</v>
      </c>
    </row>
    <row r="206" spans="1:18" x14ac:dyDescent="0.25">
      <c r="A206" s="13" t="s">
        <v>218</v>
      </c>
      <c r="B206" s="13" t="s">
        <v>2192</v>
      </c>
      <c r="C206" s="13" t="s">
        <v>2203</v>
      </c>
      <c r="D206" s="13" t="s">
        <v>2207</v>
      </c>
      <c r="F206" s="13" t="s">
        <v>2218</v>
      </c>
      <c r="G206" s="13">
        <v>42.04</v>
      </c>
      <c r="H206" s="44">
        <v>50.9</v>
      </c>
      <c r="I206" s="13">
        <v>20.64</v>
      </c>
      <c r="J206" s="24">
        <v>45875</v>
      </c>
      <c r="K206" s="25">
        <v>43</v>
      </c>
      <c r="L206" s="25">
        <v>2.2999999999999998</v>
      </c>
      <c r="M206" s="13" t="b">
        <v>1</v>
      </c>
      <c r="N206" s="13" t="s">
        <v>2230</v>
      </c>
      <c r="O206" s="25">
        <f t="shared" si="12"/>
        <v>27</v>
      </c>
      <c r="P206" s="13">
        <f t="shared" si="13"/>
        <v>2188.6999999999998</v>
      </c>
      <c r="Q206" s="13">
        <f t="shared" si="14"/>
        <v>1</v>
      </c>
      <c r="R206" s="13" t="str">
        <f t="shared" si="15"/>
        <v>Diskon</v>
      </c>
    </row>
    <row r="207" spans="1:18" x14ac:dyDescent="0.25">
      <c r="A207" s="13" t="s">
        <v>219</v>
      </c>
      <c r="B207" s="13" t="s">
        <v>2192</v>
      </c>
      <c r="C207" s="13" t="s">
        <v>2198</v>
      </c>
      <c r="D207" s="13" t="s">
        <v>2205</v>
      </c>
      <c r="F207" s="13" t="s">
        <v>2214</v>
      </c>
      <c r="G207" s="13">
        <v>54.45</v>
      </c>
      <c r="H207" s="44">
        <v>0</v>
      </c>
      <c r="I207" s="13">
        <v>54.45</v>
      </c>
      <c r="J207" s="24">
        <v>45875</v>
      </c>
      <c r="K207" s="25">
        <v>12</v>
      </c>
      <c r="L207" s="25">
        <v>2.7</v>
      </c>
      <c r="M207" s="13" t="b">
        <v>0</v>
      </c>
      <c r="O207" s="25">
        <f t="shared" si="12"/>
        <v>27</v>
      </c>
      <c r="P207" s="13">
        <f t="shared" si="13"/>
        <v>0</v>
      </c>
      <c r="Q207" s="13" t="str">
        <f t="shared" si="14"/>
        <v/>
      </c>
      <c r="R207" s="13" t="str">
        <f t="shared" si="15"/>
        <v>Non diskon</v>
      </c>
    </row>
    <row r="208" spans="1:18" x14ac:dyDescent="0.25">
      <c r="A208" s="13" t="s">
        <v>220</v>
      </c>
      <c r="B208" s="13" t="s">
        <v>2191</v>
      </c>
      <c r="C208" s="13" t="s">
        <v>2199</v>
      </c>
      <c r="D208" s="13" t="s">
        <v>2204</v>
      </c>
      <c r="E208" s="13" t="s">
        <v>2213</v>
      </c>
      <c r="F208" s="13" t="s">
        <v>2220</v>
      </c>
      <c r="G208" s="13">
        <v>66.95</v>
      </c>
      <c r="H208" s="44">
        <v>36.4</v>
      </c>
      <c r="I208" s="13">
        <v>42.58</v>
      </c>
      <c r="J208" s="24">
        <v>45563</v>
      </c>
      <c r="K208" s="25">
        <v>44</v>
      </c>
      <c r="L208" s="25">
        <v>1.9</v>
      </c>
      <c r="M208" s="13" t="b">
        <v>1</v>
      </c>
      <c r="N208" s="13" t="s">
        <v>2228</v>
      </c>
      <c r="O208" s="25">
        <f t="shared" si="12"/>
        <v>339</v>
      </c>
      <c r="P208" s="13">
        <f t="shared" si="13"/>
        <v>1601.6</v>
      </c>
      <c r="Q208" s="13">
        <f t="shared" si="14"/>
        <v>1</v>
      </c>
      <c r="R208" s="13" t="str">
        <f t="shared" si="15"/>
        <v>Diskon</v>
      </c>
    </row>
    <row r="209" spans="1:18" x14ac:dyDescent="0.25">
      <c r="A209" s="13" t="s">
        <v>221</v>
      </c>
      <c r="B209" s="13" t="s">
        <v>2191</v>
      </c>
      <c r="C209" s="13" t="s">
        <v>2201</v>
      </c>
      <c r="D209" s="13" t="s">
        <v>2204</v>
      </c>
      <c r="E209" s="13" t="s">
        <v>2208</v>
      </c>
      <c r="F209" s="13" t="s">
        <v>2221</v>
      </c>
      <c r="G209" s="13">
        <v>116.96</v>
      </c>
      <c r="H209" s="44">
        <v>8.8000000000000007</v>
      </c>
      <c r="I209" s="13">
        <v>106.67</v>
      </c>
      <c r="J209" s="24">
        <v>45776</v>
      </c>
      <c r="K209" s="25">
        <v>33</v>
      </c>
      <c r="L209" s="25">
        <v>1.6</v>
      </c>
      <c r="M209" s="13" t="b">
        <v>0</v>
      </c>
      <c r="O209" s="25">
        <f t="shared" si="12"/>
        <v>126</v>
      </c>
      <c r="P209" s="13">
        <f t="shared" si="13"/>
        <v>290.40000000000003</v>
      </c>
      <c r="Q209" s="13" t="str">
        <f t="shared" si="14"/>
        <v/>
      </c>
      <c r="R209" s="13" t="str">
        <f t="shared" si="15"/>
        <v>Diskon</v>
      </c>
    </row>
    <row r="210" spans="1:18" x14ac:dyDescent="0.25">
      <c r="A210" s="13" t="s">
        <v>222</v>
      </c>
      <c r="B210" s="13" t="s">
        <v>2191</v>
      </c>
      <c r="C210" s="13" t="s">
        <v>2203</v>
      </c>
      <c r="D210" s="13" t="s">
        <v>2206</v>
      </c>
      <c r="E210" s="13" t="s">
        <v>2211</v>
      </c>
      <c r="F210" s="13" t="s">
        <v>2215</v>
      </c>
      <c r="G210" s="13">
        <v>111.14</v>
      </c>
      <c r="H210" s="44">
        <v>0</v>
      </c>
      <c r="I210" s="13">
        <v>111.14</v>
      </c>
      <c r="J210" s="24">
        <v>45875</v>
      </c>
      <c r="K210" s="25">
        <v>49</v>
      </c>
      <c r="L210" s="25">
        <v>1.6</v>
      </c>
      <c r="M210" s="13" t="b">
        <v>0</v>
      </c>
      <c r="O210" s="25">
        <f t="shared" si="12"/>
        <v>27</v>
      </c>
      <c r="P210" s="13">
        <f t="shared" si="13"/>
        <v>0</v>
      </c>
      <c r="Q210" s="13" t="str">
        <f t="shared" si="14"/>
        <v/>
      </c>
      <c r="R210" s="13" t="str">
        <f t="shared" si="15"/>
        <v>Non diskon</v>
      </c>
    </row>
    <row r="211" spans="1:18" x14ac:dyDescent="0.25">
      <c r="A211" s="13" t="s">
        <v>223</v>
      </c>
      <c r="B211" s="13" t="s">
        <v>2191</v>
      </c>
      <c r="C211" s="13" t="s">
        <v>2198</v>
      </c>
      <c r="D211" s="13" t="s">
        <v>2206</v>
      </c>
      <c r="E211" s="13" t="s">
        <v>2212</v>
      </c>
      <c r="F211" s="13" t="s">
        <v>2219</v>
      </c>
      <c r="G211" s="13">
        <v>59.6</v>
      </c>
      <c r="H211" s="44">
        <v>0</v>
      </c>
      <c r="I211" s="13">
        <v>59.6</v>
      </c>
      <c r="J211" s="24">
        <v>45875</v>
      </c>
      <c r="K211" s="25">
        <v>40</v>
      </c>
      <c r="L211" s="25">
        <v>2.1</v>
      </c>
      <c r="M211" s="13" t="b">
        <v>0</v>
      </c>
      <c r="O211" s="25">
        <f t="shared" si="12"/>
        <v>27</v>
      </c>
      <c r="P211" s="13">
        <f t="shared" si="13"/>
        <v>0</v>
      </c>
      <c r="Q211" s="13" t="str">
        <f t="shared" si="14"/>
        <v/>
      </c>
      <c r="R211" s="13" t="str">
        <f t="shared" si="15"/>
        <v>Non diskon</v>
      </c>
    </row>
    <row r="212" spans="1:18" x14ac:dyDescent="0.25">
      <c r="A212" s="13" t="s">
        <v>224</v>
      </c>
      <c r="B212" s="13" t="s">
        <v>2191</v>
      </c>
      <c r="C212" s="13" t="s">
        <v>2201</v>
      </c>
      <c r="D212" s="13" t="s">
        <v>2204</v>
      </c>
      <c r="E212" s="13" t="s">
        <v>2210</v>
      </c>
      <c r="F212" s="13" t="s">
        <v>2218</v>
      </c>
      <c r="G212" s="13">
        <v>25.49</v>
      </c>
      <c r="H212" s="44">
        <v>16.7</v>
      </c>
      <c r="I212" s="13">
        <v>21.23</v>
      </c>
      <c r="J212" s="24">
        <v>45800</v>
      </c>
      <c r="K212" s="25">
        <v>32</v>
      </c>
      <c r="L212" s="25">
        <v>2.9846153846153847</v>
      </c>
      <c r="M212" s="13" t="b">
        <v>0</v>
      </c>
      <c r="O212" s="25">
        <f t="shared" si="12"/>
        <v>102</v>
      </c>
      <c r="P212" s="13">
        <f t="shared" si="13"/>
        <v>534.4</v>
      </c>
      <c r="Q212" s="13" t="str">
        <f t="shared" si="14"/>
        <v/>
      </c>
      <c r="R212" s="13" t="str">
        <f t="shared" si="15"/>
        <v>Diskon</v>
      </c>
    </row>
    <row r="213" spans="1:18" x14ac:dyDescent="0.25">
      <c r="A213" s="13" t="s">
        <v>225</v>
      </c>
      <c r="B213" s="13" t="s">
        <v>2191</v>
      </c>
      <c r="C213" s="13" t="s">
        <v>2196</v>
      </c>
      <c r="D213" s="13" t="s">
        <v>2204</v>
      </c>
      <c r="E213" s="13" t="s">
        <v>2213</v>
      </c>
      <c r="F213" s="13" t="s">
        <v>2216</v>
      </c>
      <c r="G213" s="13">
        <v>82.94</v>
      </c>
      <c r="H213" s="44">
        <v>0</v>
      </c>
      <c r="I213" s="13">
        <v>82.94</v>
      </c>
      <c r="J213" s="24">
        <v>45855</v>
      </c>
      <c r="K213" s="25">
        <v>46</v>
      </c>
      <c r="L213" s="25">
        <v>1.5</v>
      </c>
      <c r="M213" s="13" t="b">
        <v>0</v>
      </c>
      <c r="O213" s="25">
        <f t="shared" si="12"/>
        <v>47</v>
      </c>
      <c r="P213" s="13">
        <f t="shared" si="13"/>
        <v>0</v>
      </c>
      <c r="Q213" s="13" t="str">
        <f t="shared" si="14"/>
        <v/>
      </c>
      <c r="R213" s="13" t="str">
        <f t="shared" si="15"/>
        <v>Non diskon</v>
      </c>
    </row>
    <row r="214" spans="1:18" x14ac:dyDescent="0.25">
      <c r="A214" s="13" t="s">
        <v>226</v>
      </c>
      <c r="B214" s="13" t="s">
        <v>2191</v>
      </c>
      <c r="C214" s="13" t="s">
        <v>2197</v>
      </c>
      <c r="D214" s="13" t="s">
        <v>2204</v>
      </c>
      <c r="E214" s="13" t="s">
        <v>2209</v>
      </c>
      <c r="F214" s="13" t="s">
        <v>2219</v>
      </c>
      <c r="G214" s="13">
        <v>99.71</v>
      </c>
      <c r="H214" s="44">
        <v>0</v>
      </c>
      <c r="I214" s="13">
        <v>99.71</v>
      </c>
      <c r="J214" s="24">
        <v>45525</v>
      </c>
      <c r="K214" s="25">
        <v>23</v>
      </c>
      <c r="L214" s="25">
        <v>1.4</v>
      </c>
      <c r="M214" s="13" t="b">
        <v>0</v>
      </c>
      <c r="O214" s="25">
        <f t="shared" si="12"/>
        <v>377</v>
      </c>
      <c r="P214" s="13">
        <f t="shared" si="13"/>
        <v>0</v>
      </c>
      <c r="Q214" s="13" t="str">
        <f t="shared" si="14"/>
        <v/>
      </c>
      <c r="R214" s="13" t="str">
        <f t="shared" si="15"/>
        <v>Non diskon</v>
      </c>
    </row>
    <row r="215" spans="1:18" x14ac:dyDescent="0.25">
      <c r="A215" s="13" t="s">
        <v>227</v>
      </c>
      <c r="B215" s="13" t="s">
        <v>2192</v>
      </c>
      <c r="C215" s="13" t="s">
        <v>2198</v>
      </c>
      <c r="D215" s="13" t="s">
        <v>2206</v>
      </c>
      <c r="F215" s="13" t="s">
        <v>2216</v>
      </c>
      <c r="G215" s="13">
        <v>69.739999999999995</v>
      </c>
      <c r="H215" s="44">
        <v>0</v>
      </c>
      <c r="I215" s="13">
        <v>69.739999999999995</v>
      </c>
      <c r="J215" s="24">
        <v>45875</v>
      </c>
      <c r="K215" s="25">
        <v>11</v>
      </c>
      <c r="L215" s="25">
        <v>3.3</v>
      </c>
      <c r="M215" s="13" t="b">
        <v>1</v>
      </c>
      <c r="N215" s="13" t="s">
        <v>2229</v>
      </c>
      <c r="O215" s="25">
        <f t="shared" si="12"/>
        <v>27</v>
      </c>
      <c r="P215" s="13">
        <f t="shared" si="13"/>
        <v>0</v>
      </c>
      <c r="Q215" s="13">
        <f t="shared" si="14"/>
        <v>1</v>
      </c>
      <c r="R215" s="13" t="str">
        <f t="shared" si="15"/>
        <v>Non diskon</v>
      </c>
    </row>
    <row r="216" spans="1:18" x14ac:dyDescent="0.25">
      <c r="A216" s="13" t="s">
        <v>228</v>
      </c>
      <c r="B216" s="13" t="s">
        <v>2194</v>
      </c>
      <c r="C216" s="13" t="s">
        <v>2200</v>
      </c>
      <c r="D216" s="13" t="s">
        <v>2207</v>
      </c>
      <c r="E216" s="13" t="s">
        <v>2211</v>
      </c>
      <c r="F216" s="13" t="s">
        <v>2220</v>
      </c>
      <c r="G216" s="13">
        <v>57.19</v>
      </c>
      <c r="H216" s="44">
        <v>0</v>
      </c>
      <c r="I216" s="13">
        <v>57.19</v>
      </c>
      <c r="J216" s="24">
        <v>45875</v>
      </c>
      <c r="K216" s="25">
        <v>12</v>
      </c>
      <c r="L216" s="25">
        <v>2.5</v>
      </c>
      <c r="M216" s="13" t="b">
        <v>0</v>
      </c>
      <c r="O216" s="25">
        <f t="shared" si="12"/>
        <v>27</v>
      </c>
      <c r="P216" s="13">
        <f t="shared" si="13"/>
        <v>0</v>
      </c>
      <c r="Q216" s="13" t="str">
        <f t="shared" si="14"/>
        <v/>
      </c>
      <c r="R216" s="13" t="str">
        <f t="shared" si="15"/>
        <v>Non diskon</v>
      </c>
    </row>
    <row r="217" spans="1:18" x14ac:dyDescent="0.25">
      <c r="A217" s="13" t="s">
        <v>229</v>
      </c>
      <c r="B217" s="13" t="s">
        <v>2191</v>
      </c>
      <c r="C217" s="13" t="s">
        <v>2200</v>
      </c>
      <c r="D217" s="13" t="s">
        <v>2207</v>
      </c>
      <c r="E217" s="13" t="s">
        <v>2211</v>
      </c>
      <c r="F217" s="13" t="s">
        <v>2214</v>
      </c>
      <c r="G217" s="13">
        <v>58.65</v>
      </c>
      <c r="H217" s="44">
        <v>0</v>
      </c>
      <c r="I217" s="13">
        <v>58.65</v>
      </c>
      <c r="J217" s="24">
        <v>45875</v>
      </c>
      <c r="K217" s="25">
        <v>4</v>
      </c>
      <c r="L217" s="25">
        <v>1.1000000000000001</v>
      </c>
      <c r="M217" s="13" t="b">
        <v>0</v>
      </c>
      <c r="O217" s="25">
        <f t="shared" si="12"/>
        <v>27</v>
      </c>
      <c r="P217" s="13">
        <f t="shared" si="13"/>
        <v>0</v>
      </c>
      <c r="Q217" s="13" t="str">
        <f t="shared" si="14"/>
        <v/>
      </c>
      <c r="R217" s="13" t="str">
        <f t="shared" si="15"/>
        <v>Non diskon</v>
      </c>
    </row>
    <row r="218" spans="1:18" x14ac:dyDescent="0.25">
      <c r="A218" s="13" t="s">
        <v>230</v>
      </c>
      <c r="B218" s="13" t="s">
        <v>2190</v>
      </c>
      <c r="C218" s="13" t="s">
        <v>2197</v>
      </c>
      <c r="D218" s="13" t="s">
        <v>2206</v>
      </c>
      <c r="E218" s="13" t="s">
        <v>2208</v>
      </c>
      <c r="F218" s="13" t="s">
        <v>2215</v>
      </c>
      <c r="G218" s="13">
        <v>110.22</v>
      </c>
      <c r="H218" s="44">
        <v>0</v>
      </c>
      <c r="I218" s="13">
        <v>110.22</v>
      </c>
      <c r="J218" s="24">
        <v>45875</v>
      </c>
      <c r="K218" s="25">
        <v>4</v>
      </c>
      <c r="L218" s="25">
        <v>1.6</v>
      </c>
      <c r="M218" s="13" t="b">
        <v>0</v>
      </c>
      <c r="O218" s="25">
        <f t="shared" si="12"/>
        <v>27</v>
      </c>
      <c r="P218" s="13">
        <f t="shared" si="13"/>
        <v>0</v>
      </c>
      <c r="Q218" s="13" t="str">
        <f t="shared" si="14"/>
        <v/>
      </c>
      <c r="R218" s="13" t="str">
        <f t="shared" si="15"/>
        <v>Non diskon</v>
      </c>
    </row>
    <row r="219" spans="1:18" x14ac:dyDescent="0.25">
      <c r="A219" s="13" t="s">
        <v>231</v>
      </c>
      <c r="B219" s="13" t="s">
        <v>2191</v>
      </c>
      <c r="C219" s="13" t="s">
        <v>2196</v>
      </c>
      <c r="D219" s="13" t="s">
        <v>2207</v>
      </c>
      <c r="E219" s="13" t="s">
        <v>2211</v>
      </c>
      <c r="F219" s="13" t="s">
        <v>2215</v>
      </c>
      <c r="G219" s="13">
        <v>69.36</v>
      </c>
      <c r="H219" s="44">
        <v>0</v>
      </c>
      <c r="I219" s="13">
        <v>69.36</v>
      </c>
      <c r="J219" s="24">
        <v>45875</v>
      </c>
      <c r="K219" s="25">
        <v>25</v>
      </c>
      <c r="L219" s="25">
        <v>2.9181818181818175</v>
      </c>
      <c r="M219" s="13" t="b">
        <v>0</v>
      </c>
      <c r="O219" s="25">
        <f t="shared" si="12"/>
        <v>27</v>
      </c>
      <c r="P219" s="13">
        <f t="shared" si="13"/>
        <v>0</v>
      </c>
      <c r="Q219" s="13" t="str">
        <f t="shared" si="14"/>
        <v/>
      </c>
      <c r="R219" s="13" t="str">
        <f t="shared" si="15"/>
        <v>Non diskon</v>
      </c>
    </row>
    <row r="220" spans="1:18" x14ac:dyDescent="0.25">
      <c r="A220" s="13" t="s">
        <v>232</v>
      </c>
      <c r="B220" s="13" t="s">
        <v>2194</v>
      </c>
      <c r="C220" s="13" t="s">
        <v>2196</v>
      </c>
      <c r="D220" s="13" t="s">
        <v>2205</v>
      </c>
      <c r="E220" s="13" t="s">
        <v>2210</v>
      </c>
      <c r="F220" s="13" t="s">
        <v>2216</v>
      </c>
      <c r="G220" s="13">
        <v>87.03</v>
      </c>
      <c r="H220" s="44">
        <v>0</v>
      </c>
      <c r="I220" s="13">
        <v>87.03</v>
      </c>
      <c r="J220" s="24">
        <v>45875</v>
      </c>
      <c r="K220" s="25">
        <v>39</v>
      </c>
      <c r="L220" s="25">
        <v>4.3</v>
      </c>
      <c r="M220" s="13" t="b">
        <v>0</v>
      </c>
      <c r="O220" s="25">
        <f t="shared" si="12"/>
        <v>27</v>
      </c>
      <c r="P220" s="13">
        <f t="shared" si="13"/>
        <v>0</v>
      </c>
      <c r="Q220" s="13" t="str">
        <f t="shared" si="14"/>
        <v/>
      </c>
      <c r="R220" s="13" t="str">
        <f t="shared" si="15"/>
        <v>Non diskon</v>
      </c>
    </row>
    <row r="221" spans="1:18" x14ac:dyDescent="0.25">
      <c r="A221" s="13" t="s">
        <v>233</v>
      </c>
      <c r="B221" s="13" t="s">
        <v>2195</v>
      </c>
      <c r="C221" s="13" t="s">
        <v>2196</v>
      </c>
      <c r="D221" s="13" t="s">
        <v>2205</v>
      </c>
      <c r="E221" s="13" t="s">
        <v>2211</v>
      </c>
      <c r="F221" s="13" t="s">
        <v>2224</v>
      </c>
      <c r="G221" s="13">
        <v>160.6</v>
      </c>
      <c r="H221" s="44">
        <v>18.399999999999999</v>
      </c>
      <c r="I221" s="13">
        <v>131.05000000000001</v>
      </c>
      <c r="J221" s="24">
        <v>45875</v>
      </c>
      <c r="K221" s="25">
        <v>41</v>
      </c>
      <c r="L221" s="25">
        <v>3</v>
      </c>
      <c r="M221" s="13" t="b">
        <v>0</v>
      </c>
      <c r="O221" s="25">
        <f t="shared" si="12"/>
        <v>27</v>
      </c>
      <c r="P221" s="13">
        <f t="shared" si="13"/>
        <v>754.4</v>
      </c>
      <c r="Q221" s="13" t="str">
        <f t="shared" si="14"/>
        <v/>
      </c>
      <c r="R221" s="13" t="str">
        <f t="shared" si="15"/>
        <v>Diskon</v>
      </c>
    </row>
    <row r="222" spans="1:18" x14ac:dyDescent="0.25">
      <c r="A222" s="13" t="s">
        <v>234</v>
      </c>
      <c r="B222" s="13" t="s">
        <v>2190</v>
      </c>
      <c r="C222" s="13" t="s">
        <v>2200</v>
      </c>
      <c r="D222" s="13" t="s">
        <v>2204</v>
      </c>
      <c r="E222" s="13" t="s">
        <v>2212</v>
      </c>
      <c r="F222" s="13" t="s">
        <v>2223</v>
      </c>
      <c r="G222" s="13">
        <v>167.02</v>
      </c>
      <c r="H222" s="44">
        <v>0</v>
      </c>
      <c r="I222" s="13">
        <v>167.02</v>
      </c>
      <c r="J222" s="24">
        <v>45687</v>
      </c>
      <c r="K222" s="25">
        <v>26</v>
      </c>
      <c r="L222" s="25">
        <v>2.6</v>
      </c>
      <c r="M222" s="13" t="b">
        <v>1</v>
      </c>
      <c r="N222" s="13" t="s">
        <v>2226</v>
      </c>
      <c r="O222" s="25">
        <f t="shared" si="12"/>
        <v>215</v>
      </c>
      <c r="P222" s="13">
        <f t="shared" si="13"/>
        <v>0</v>
      </c>
      <c r="Q222" s="13">
        <f t="shared" si="14"/>
        <v>1</v>
      </c>
      <c r="R222" s="13" t="str">
        <f t="shared" si="15"/>
        <v>Non diskon</v>
      </c>
    </row>
    <row r="223" spans="1:18" x14ac:dyDescent="0.25">
      <c r="A223" s="13" t="s">
        <v>235</v>
      </c>
      <c r="B223" s="13" t="s">
        <v>2191</v>
      </c>
      <c r="C223" s="13" t="s">
        <v>2196</v>
      </c>
      <c r="D223" s="13" t="s">
        <v>2207</v>
      </c>
      <c r="E223" s="13" t="s">
        <v>2211</v>
      </c>
      <c r="F223" s="13" t="s">
        <v>2218</v>
      </c>
      <c r="G223" s="13">
        <v>26.09</v>
      </c>
      <c r="H223" s="44">
        <v>0</v>
      </c>
      <c r="I223" s="13">
        <v>26.09</v>
      </c>
      <c r="J223" s="24">
        <v>45875</v>
      </c>
      <c r="K223" s="25">
        <v>32</v>
      </c>
      <c r="L223" s="25">
        <v>4.5999999999999996</v>
      </c>
      <c r="M223" s="13" t="b">
        <v>1</v>
      </c>
      <c r="N223" s="13" t="s">
        <v>2227</v>
      </c>
      <c r="O223" s="25">
        <f t="shared" si="12"/>
        <v>27</v>
      </c>
      <c r="P223" s="13">
        <f t="shared" si="13"/>
        <v>0</v>
      </c>
      <c r="Q223" s="13">
        <f t="shared" si="14"/>
        <v>1</v>
      </c>
      <c r="R223" s="13" t="str">
        <f t="shared" si="15"/>
        <v>Non diskon</v>
      </c>
    </row>
    <row r="224" spans="1:18" x14ac:dyDescent="0.25">
      <c r="A224" s="13" t="s">
        <v>236</v>
      </c>
      <c r="B224" s="13" t="s">
        <v>2190</v>
      </c>
      <c r="C224" s="13" t="s">
        <v>2200</v>
      </c>
      <c r="D224" s="13" t="s">
        <v>2207</v>
      </c>
      <c r="E224" s="13" t="s">
        <v>2208</v>
      </c>
      <c r="F224" s="13" t="s">
        <v>2224</v>
      </c>
      <c r="G224" s="13">
        <v>246.65</v>
      </c>
      <c r="H224" s="44">
        <v>0</v>
      </c>
      <c r="I224" s="13">
        <v>246.65</v>
      </c>
      <c r="J224" s="24">
        <v>45875</v>
      </c>
      <c r="K224" s="25">
        <v>17</v>
      </c>
      <c r="L224" s="25">
        <v>2.9</v>
      </c>
      <c r="M224" s="13" t="b">
        <v>1</v>
      </c>
      <c r="N224" s="13" t="s">
        <v>2227</v>
      </c>
      <c r="O224" s="25">
        <f t="shared" si="12"/>
        <v>27</v>
      </c>
      <c r="P224" s="13">
        <f t="shared" si="13"/>
        <v>0</v>
      </c>
      <c r="Q224" s="13">
        <f t="shared" si="14"/>
        <v>1</v>
      </c>
      <c r="R224" s="13" t="str">
        <f t="shared" si="15"/>
        <v>Non diskon</v>
      </c>
    </row>
    <row r="225" spans="1:18" x14ac:dyDescent="0.25">
      <c r="A225" s="13" t="s">
        <v>237</v>
      </c>
      <c r="B225" s="13" t="s">
        <v>2190</v>
      </c>
      <c r="C225" s="13" t="s">
        <v>2203</v>
      </c>
      <c r="D225" s="13" t="s">
        <v>2207</v>
      </c>
      <c r="E225" s="13" t="s">
        <v>2210</v>
      </c>
      <c r="F225" s="13" t="s">
        <v>2214</v>
      </c>
      <c r="G225" s="13">
        <v>206.91</v>
      </c>
      <c r="H225" s="44">
        <v>0</v>
      </c>
      <c r="I225" s="13">
        <v>206.91</v>
      </c>
      <c r="J225" s="24">
        <v>45875</v>
      </c>
      <c r="K225" s="25">
        <v>34</v>
      </c>
      <c r="L225" s="25">
        <v>2.2999999999999998</v>
      </c>
      <c r="M225" s="13" t="b">
        <v>0</v>
      </c>
      <c r="O225" s="25">
        <f t="shared" si="12"/>
        <v>27</v>
      </c>
      <c r="P225" s="13">
        <f t="shared" si="13"/>
        <v>0</v>
      </c>
      <c r="Q225" s="13" t="str">
        <f t="shared" si="14"/>
        <v/>
      </c>
      <c r="R225" s="13" t="str">
        <f t="shared" si="15"/>
        <v>Non diskon</v>
      </c>
    </row>
    <row r="226" spans="1:18" x14ac:dyDescent="0.25">
      <c r="A226" s="13" t="s">
        <v>238</v>
      </c>
      <c r="B226" s="13" t="s">
        <v>2195</v>
      </c>
      <c r="C226" s="13" t="s">
        <v>2202</v>
      </c>
      <c r="D226" s="13" t="s">
        <v>2205</v>
      </c>
      <c r="E226" s="13" t="s">
        <v>2208</v>
      </c>
      <c r="F226" s="13" t="s">
        <v>2216</v>
      </c>
      <c r="G226" s="13">
        <v>85.08</v>
      </c>
      <c r="H226" s="44">
        <v>0</v>
      </c>
      <c r="I226" s="13">
        <v>85.08</v>
      </c>
      <c r="J226" s="24">
        <v>45875</v>
      </c>
      <c r="K226" s="25">
        <v>29</v>
      </c>
      <c r="L226" s="25">
        <v>2.980952380952381</v>
      </c>
      <c r="M226" s="13" t="b">
        <v>0</v>
      </c>
      <c r="O226" s="25">
        <f t="shared" si="12"/>
        <v>27</v>
      </c>
      <c r="P226" s="13">
        <f t="shared" si="13"/>
        <v>0</v>
      </c>
      <c r="Q226" s="13" t="str">
        <f t="shared" si="14"/>
        <v/>
      </c>
      <c r="R226" s="13" t="str">
        <f t="shared" si="15"/>
        <v>Non diskon</v>
      </c>
    </row>
    <row r="227" spans="1:18" x14ac:dyDescent="0.25">
      <c r="A227" s="13" t="s">
        <v>239</v>
      </c>
      <c r="B227" s="13" t="s">
        <v>2190</v>
      </c>
      <c r="C227" s="13" t="s">
        <v>2203</v>
      </c>
      <c r="D227" s="13" t="s">
        <v>2204</v>
      </c>
      <c r="E227" s="13" t="s">
        <v>2211</v>
      </c>
      <c r="F227" s="13" t="s">
        <v>2217</v>
      </c>
      <c r="G227" s="13">
        <v>240.32</v>
      </c>
      <c r="H227" s="44">
        <v>54.8</v>
      </c>
      <c r="I227" s="13">
        <v>108.62</v>
      </c>
      <c r="J227" s="24">
        <v>45653</v>
      </c>
      <c r="K227" s="25">
        <v>3</v>
      </c>
      <c r="L227" s="25">
        <v>4.5</v>
      </c>
      <c r="M227" s="13" t="b">
        <v>0</v>
      </c>
      <c r="O227" s="25">
        <f t="shared" si="12"/>
        <v>249</v>
      </c>
      <c r="P227" s="13">
        <f t="shared" si="13"/>
        <v>164.39999999999998</v>
      </c>
      <c r="Q227" s="13" t="str">
        <f t="shared" si="14"/>
        <v/>
      </c>
      <c r="R227" s="13" t="str">
        <f t="shared" si="15"/>
        <v>Diskon</v>
      </c>
    </row>
    <row r="228" spans="1:18" x14ac:dyDescent="0.25">
      <c r="A228" s="13" t="s">
        <v>240</v>
      </c>
      <c r="B228" s="13" t="s">
        <v>2195</v>
      </c>
      <c r="C228" s="13" t="s">
        <v>2197</v>
      </c>
      <c r="D228" s="13" t="s">
        <v>2206</v>
      </c>
      <c r="E228" s="13" t="s">
        <v>2211</v>
      </c>
      <c r="F228" s="13" t="s">
        <v>2214</v>
      </c>
      <c r="G228" s="13">
        <v>130.12</v>
      </c>
      <c r="H228" s="44">
        <v>1.4</v>
      </c>
      <c r="I228" s="13">
        <v>128.30000000000001</v>
      </c>
      <c r="J228" s="24">
        <v>45875</v>
      </c>
      <c r="K228" s="25">
        <v>0</v>
      </c>
      <c r="L228" s="25">
        <v>5</v>
      </c>
      <c r="M228" s="13" t="b">
        <v>0</v>
      </c>
      <c r="O228" s="25">
        <f t="shared" si="12"/>
        <v>27</v>
      </c>
      <c r="P228" s="13">
        <f t="shared" si="13"/>
        <v>0</v>
      </c>
      <c r="Q228" s="13" t="str">
        <f t="shared" si="14"/>
        <v/>
      </c>
      <c r="R228" s="13" t="str">
        <f t="shared" si="15"/>
        <v>Diskon</v>
      </c>
    </row>
    <row r="229" spans="1:18" x14ac:dyDescent="0.25">
      <c r="A229" s="13" t="s">
        <v>241</v>
      </c>
      <c r="B229" s="13" t="s">
        <v>2194</v>
      </c>
      <c r="C229" s="13" t="s">
        <v>2200</v>
      </c>
      <c r="D229" s="13" t="s">
        <v>2204</v>
      </c>
      <c r="E229" s="13" t="s">
        <v>2212</v>
      </c>
      <c r="F229" s="13" t="s">
        <v>2216</v>
      </c>
      <c r="G229" s="13">
        <v>42.29</v>
      </c>
      <c r="H229" s="44">
        <v>15.8</v>
      </c>
      <c r="I229" s="13">
        <v>35.61</v>
      </c>
      <c r="J229" s="24">
        <v>45598</v>
      </c>
      <c r="K229" s="25">
        <v>11</v>
      </c>
      <c r="L229" s="25">
        <v>1.6</v>
      </c>
      <c r="M229" s="13" t="b">
        <v>0</v>
      </c>
      <c r="O229" s="25">
        <f t="shared" si="12"/>
        <v>304</v>
      </c>
      <c r="P229" s="13">
        <f t="shared" si="13"/>
        <v>173.8</v>
      </c>
      <c r="Q229" s="13" t="str">
        <f t="shared" si="14"/>
        <v/>
      </c>
      <c r="R229" s="13" t="str">
        <f t="shared" si="15"/>
        <v>Diskon</v>
      </c>
    </row>
    <row r="230" spans="1:18" x14ac:dyDescent="0.25">
      <c r="A230" s="13" t="s">
        <v>242</v>
      </c>
      <c r="B230" s="13" t="s">
        <v>2190</v>
      </c>
      <c r="C230" s="13" t="s">
        <v>2200</v>
      </c>
      <c r="D230" s="13" t="s">
        <v>2204</v>
      </c>
      <c r="E230" s="13" t="s">
        <v>2210</v>
      </c>
      <c r="F230" s="13" t="s">
        <v>2221</v>
      </c>
      <c r="G230" s="13">
        <v>191.54</v>
      </c>
      <c r="H230" s="44">
        <v>0</v>
      </c>
      <c r="I230" s="13">
        <v>191.54</v>
      </c>
      <c r="J230" s="24">
        <v>45575</v>
      </c>
      <c r="K230" s="25">
        <v>18</v>
      </c>
      <c r="L230" s="25">
        <v>1.2</v>
      </c>
      <c r="M230" s="13" t="b">
        <v>0</v>
      </c>
      <c r="O230" s="25">
        <f t="shared" si="12"/>
        <v>327</v>
      </c>
      <c r="P230" s="13">
        <f t="shared" si="13"/>
        <v>0</v>
      </c>
      <c r="Q230" s="13" t="str">
        <f t="shared" si="14"/>
        <v/>
      </c>
      <c r="R230" s="13" t="str">
        <f t="shared" si="15"/>
        <v>Non diskon</v>
      </c>
    </row>
    <row r="231" spans="1:18" x14ac:dyDescent="0.25">
      <c r="A231" s="13" t="s">
        <v>243</v>
      </c>
      <c r="B231" s="13" t="s">
        <v>2192</v>
      </c>
      <c r="C231" s="13" t="s">
        <v>2201</v>
      </c>
      <c r="D231" s="13" t="s">
        <v>2204</v>
      </c>
      <c r="F231" s="13" t="s">
        <v>2221</v>
      </c>
      <c r="G231" s="13">
        <v>42.23</v>
      </c>
      <c r="H231" s="44">
        <v>0</v>
      </c>
      <c r="I231" s="13">
        <v>42.23</v>
      </c>
      <c r="J231" s="24">
        <v>45852</v>
      </c>
      <c r="K231" s="25">
        <v>15</v>
      </c>
      <c r="L231" s="25">
        <v>3.2731707317073173</v>
      </c>
      <c r="M231" s="13" t="b">
        <v>0</v>
      </c>
      <c r="O231" s="25">
        <f t="shared" si="12"/>
        <v>50</v>
      </c>
      <c r="P231" s="13">
        <f t="shared" si="13"/>
        <v>0</v>
      </c>
      <c r="Q231" s="13" t="str">
        <f t="shared" si="14"/>
        <v/>
      </c>
      <c r="R231" s="13" t="str">
        <f t="shared" si="15"/>
        <v>Non diskon</v>
      </c>
    </row>
    <row r="232" spans="1:18" x14ac:dyDescent="0.25">
      <c r="A232" s="13" t="s">
        <v>244</v>
      </c>
      <c r="B232" s="13" t="s">
        <v>2193</v>
      </c>
      <c r="C232" s="13" t="s">
        <v>2200</v>
      </c>
      <c r="D232" s="13" t="s">
        <v>2207</v>
      </c>
      <c r="E232" s="13" t="s">
        <v>2210</v>
      </c>
      <c r="F232" s="13" t="s">
        <v>2218</v>
      </c>
      <c r="G232" s="13">
        <v>109.76</v>
      </c>
      <c r="H232" s="44">
        <v>0</v>
      </c>
      <c r="I232" s="13">
        <v>109.76</v>
      </c>
      <c r="J232" s="24">
        <v>45875</v>
      </c>
      <c r="K232" s="25">
        <v>16</v>
      </c>
      <c r="L232" s="25">
        <v>4.3</v>
      </c>
      <c r="M232" s="13" t="b">
        <v>0</v>
      </c>
      <c r="O232" s="25">
        <f t="shared" si="12"/>
        <v>27</v>
      </c>
      <c r="P232" s="13">
        <f t="shared" si="13"/>
        <v>0</v>
      </c>
      <c r="Q232" s="13" t="str">
        <f t="shared" si="14"/>
        <v/>
      </c>
      <c r="R232" s="13" t="str">
        <f t="shared" si="15"/>
        <v>Non diskon</v>
      </c>
    </row>
    <row r="233" spans="1:18" x14ac:dyDescent="0.25">
      <c r="A233" s="13" t="s">
        <v>245</v>
      </c>
      <c r="B233" s="13" t="s">
        <v>2192</v>
      </c>
      <c r="C233" s="13" t="s">
        <v>2199</v>
      </c>
      <c r="D233" s="13" t="s">
        <v>2207</v>
      </c>
      <c r="F233" s="13" t="s">
        <v>2214</v>
      </c>
      <c r="G233" s="13">
        <v>76.8</v>
      </c>
      <c r="H233" s="44">
        <v>43.3</v>
      </c>
      <c r="I233" s="13">
        <v>43.55</v>
      </c>
      <c r="J233" s="24">
        <v>45875</v>
      </c>
      <c r="K233" s="25">
        <v>24</v>
      </c>
      <c r="L233" s="25">
        <v>2.5131578947368416</v>
      </c>
      <c r="M233" s="13" t="b">
        <v>0</v>
      </c>
      <c r="O233" s="25">
        <f t="shared" si="12"/>
        <v>27</v>
      </c>
      <c r="P233" s="13">
        <f t="shared" si="13"/>
        <v>1039.1999999999998</v>
      </c>
      <c r="Q233" s="13" t="str">
        <f t="shared" si="14"/>
        <v/>
      </c>
      <c r="R233" s="13" t="str">
        <f t="shared" si="15"/>
        <v>Diskon</v>
      </c>
    </row>
    <row r="234" spans="1:18" x14ac:dyDescent="0.25">
      <c r="A234" s="13" t="s">
        <v>246</v>
      </c>
      <c r="B234" s="13" t="s">
        <v>2195</v>
      </c>
      <c r="C234" s="13" t="s">
        <v>2203</v>
      </c>
      <c r="D234" s="13" t="s">
        <v>2205</v>
      </c>
      <c r="F234" s="13" t="s">
        <v>2216</v>
      </c>
      <c r="G234" s="13">
        <v>56.34</v>
      </c>
      <c r="H234" s="44">
        <v>22.4</v>
      </c>
      <c r="I234" s="13">
        <v>43.72</v>
      </c>
      <c r="J234" s="24">
        <v>45875</v>
      </c>
      <c r="K234" s="25">
        <v>37</v>
      </c>
      <c r="L234" s="25">
        <v>2.5</v>
      </c>
      <c r="M234" s="13" t="b">
        <v>1</v>
      </c>
      <c r="N234" s="13" t="s">
        <v>2230</v>
      </c>
      <c r="O234" s="25">
        <f t="shared" si="12"/>
        <v>27</v>
      </c>
      <c r="P234" s="13">
        <f t="shared" si="13"/>
        <v>828.8</v>
      </c>
      <c r="Q234" s="13">
        <f t="shared" si="14"/>
        <v>1</v>
      </c>
      <c r="R234" s="13" t="str">
        <f t="shared" si="15"/>
        <v>Diskon</v>
      </c>
    </row>
    <row r="235" spans="1:18" x14ac:dyDescent="0.25">
      <c r="A235" s="13" t="s">
        <v>247</v>
      </c>
      <c r="B235" s="13" t="s">
        <v>2191</v>
      </c>
      <c r="C235" s="13" t="s">
        <v>2202</v>
      </c>
      <c r="D235" s="13" t="s">
        <v>2206</v>
      </c>
      <c r="F235" s="13" t="s">
        <v>2221</v>
      </c>
      <c r="G235" s="13">
        <v>88.41</v>
      </c>
      <c r="H235" s="44">
        <v>0</v>
      </c>
      <c r="I235" s="13">
        <v>88.41</v>
      </c>
      <c r="J235" s="24">
        <v>45875</v>
      </c>
      <c r="K235" s="25">
        <v>24</v>
      </c>
      <c r="L235" s="25">
        <v>4.4000000000000004</v>
      </c>
      <c r="M235" s="13" t="b">
        <v>0</v>
      </c>
      <c r="O235" s="25">
        <f t="shared" si="12"/>
        <v>27</v>
      </c>
      <c r="P235" s="13">
        <f t="shared" si="13"/>
        <v>0</v>
      </c>
      <c r="Q235" s="13" t="str">
        <f t="shared" si="14"/>
        <v/>
      </c>
      <c r="R235" s="13" t="str">
        <f t="shared" si="15"/>
        <v>Non diskon</v>
      </c>
    </row>
    <row r="236" spans="1:18" x14ac:dyDescent="0.25">
      <c r="A236" s="13" t="s">
        <v>248</v>
      </c>
      <c r="B236" s="13" t="s">
        <v>2191</v>
      </c>
      <c r="C236" s="13" t="s">
        <v>2202</v>
      </c>
      <c r="D236" s="13" t="s">
        <v>2204</v>
      </c>
      <c r="E236" s="13" t="s">
        <v>2210</v>
      </c>
      <c r="F236" s="13" t="s">
        <v>2216</v>
      </c>
      <c r="G236" s="13">
        <v>25.96</v>
      </c>
      <c r="H236" s="44">
        <v>0</v>
      </c>
      <c r="I236" s="13">
        <v>25.96</v>
      </c>
      <c r="J236" s="24">
        <v>45569</v>
      </c>
      <c r="K236" s="25">
        <v>2</v>
      </c>
      <c r="L236" s="25">
        <v>1.4</v>
      </c>
      <c r="M236" s="13" t="b">
        <v>0</v>
      </c>
      <c r="O236" s="25">
        <f t="shared" si="12"/>
        <v>333</v>
      </c>
      <c r="P236" s="13">
        <f t="shared" si="13"/>
        <v>0</v>
      </c>
      <c r="Q236" s="13" t="str">
        <f t="shared" si="14"/>
        <v/>
      </c>
      <c r="R236" s="13" t="str">
        <f t="shared" si="15"/>
        <v>Non diskon</v>
      </c>
    </row>
    <row r="237" spans="1:18" x14ac:dyDescent="0.25">
      <c r="A237" s="13" t="s">
        <v>249</v>
      </c>
      <c r="B237" s="13" t="s">
        <v>2194</v>
      </c>
      <c r="C237" s="13" t="s">
        <v>2196</v>
      </c>
      <c r="D237" s="13" t="s">
        <v>2204</v>
      </c>
      <c r="E237" s="13" t="s">
        <v>2211</v>
      </c>
      <c r="F237" s="13" t="s">
        <v>2214</v>
      </c>
      <c r="G237" s="13">
        <v>60.25</v>
      </c>
      <c r="H237" s="44">
        <v>0</v>
      </c>
      <c r="I237" s="13">
        <v>60.25</v>
      </c>
      <c r="J237" s="24">
        <v>45520</v>
      </c>
      <c r="K237" s="25">
        <v>25</v>
      </c>
      <c r="L237" s="25">
        <v>4.0999999999999996</v>
      </c>
      <c r="M237" s="13" t="b">
        <v>0</v>
      </c>
      <c r="O237" s="25">
        <f t="shared" si="12"/>
        <v>382</v>
      </c>
      <c r="P237" s="13">
        <f t="shared" si="13"/>
        <v>0</v>
      </c>
      <c r="Q237" s="13" t="str">
        <f t="shared" si="14"/>
        <v/>
      </c>
      <c r="R237" s="13" t="str">
        <f t="shared" si="15"/>
        <v>Non diskon</v>
      </c>
    </row>
    <row r="238" spans="1:18" x14ac:dyDescent="0.25">
      <c r="A238" s="13" t="s">
        <v>250</v>
      </c>
      <c r="B238" s="13" t="s">
        <v>2192</v>
      </c>
      <c r="C238" s="13" t="s">
        <v>2200</v>
      </c>
      <c r="D238" s="13" t="s">
        <v>2206</v>
      </c>
      <c r="F238" s="13" t="s">
        <v>2214</v>
      </c>
      <c r="G238" s="13">
        <v>52.33</v>
      </c>
      <c r="H238" s="44">
        <v>19.100000000000001</v>
      </c>
      <c r="I238" s="13">
        <v>42.33</v>
      </c>
      <c r="J238" s="24">
        <v>45875</v>
      </c>
      <c r="K238" s="25">
        <v>4</v>
      </c>
      <c r="L238" s="25">
        <v>2.7333333333333334</v>
      </c>
      <c r="M238" s="13" t="b">
        <v>0</v>
      </c>
      <c r="O238" s="25">
        <f t="shared" si="12"/>
        <v>27</v>
      </c>
      <c r="P238" s="13">
        <f t="shared" si="13"/>
        <v>76.400000000000006</v>
      </c>
      <c r="Q238" s="13" t="str">
        <f t="shared" si="14"/>
        <v/>
      </c>
      <c r="R238" s="13" t="str">
        <f t="shared" si="15"/>
        <v>Diskon</v>
      </c>
    </row>
    <row r="239" spans="1:18" x14ac:dyDescent="0.25">
      <c r="A239" s="13" t="s">
        <v>251</v>
      </c>
      <c r="B239" s="13" t="s">
        <v>2192</v>
      </c>
      <c r="C239" s="13" t="s">
        <v>2199</v>
      </c>
      <c r="D239" s="13" t="s">
        <v>2206</v>
      </c>
      <c r="F239" s="13" t="s">
        <v>2217</v>
      </c>
      <c r="G239" s="13">
        <v>67.61</v>
      </c>
      <c r="H239" s="44">
        <v>0</v>
      </c>
      <c r="I239" s="13">
        <v>67.61</v>
      </c>
      <c r="J239" s="24">
        <v>45875</v>
      </c>
      <c r="K239" s="25">
        <v>14</v>
      </c>
      <c r="L239" s="25">
        <v>1.8</v>
      </c>
      <c r="M239" s="13" t="b">
        <v>0</v>
      </c>
      <c r="O239" s="25">
        <f t="shared" si="12"/>
        <v>27</v>
      </c>
      <c r="P239" s="13">
        <f t="shared" si="13"/>
        <v>0</v>
      </c>
      <c r="Q239" s="13" t="str">
        <f t="shared" si="14"/>
        <v/>
      </c>
      <c r="R239" s="13" t="str">
        <f t="shared" si="15"/>
        <v>Non diskon</v>
      </c>
    </row>
    <row r="240" spans="1:18" x14ac:dyDescent="0.25">
      <c r="A240" s="13" t="s">
        <v>252</v>
      </c>
      <c r="B240" s="13" t="s">
        <v>2193</v>
      </c>
      <c r="C240" s="13" t="s">
        <v>2203</v>
      </c>
      <c r="D240" s="13" t="s">
        <v>2204</v>
      </c>
      <c r="E240" s="13" t="s">
        <v>2209</v>
      </c>
      <c r="F240" s="13" t="s">
        <v>2224</v>
      </c>
      <c r="G240" s="13">
        <v>136</v>
      </c>
      <c r="H240" s="44">
        <v>0</v>
      </c>
      <c r="I240" s="13">
        <v>136</v>
      </c>
      <c r="J240" s="24">
        <v>45870</v>
      </c>
      <c r="K240" s="25">
        <v>46</v>
      </c>
      <c r="L240" s="25">
        <v>4.5</v>
      </c>
      <c r="M240" s="13" t="b">
        <v>0</v>
      </c>
      <c r="O240" s="25">
        <f t="shared" si="12"/>
        <v>32</v>
      </c>
      <c r="P240" s="13">
        <f t="shared" si="13"/>
        <v>0</v>
      </c>
      <c r="Q240" s="13" t="str">
        <f t="shared" si="14"/>
        <v/>
      </c>
      <c r="R240" s="13" t="str">
        <f t="shared" si="15"/>
        <v>Non diskon</v>
      </c>
    </row>
    <row r="241" spans="1:18" x14ac:dyDescent="0.25">
      <c r="A241" s="13" t="s">
        <v>253</v>
      </c>
      <c r="B241" s="13" t="s">
        <v>2193</v>
      </c>
      <c r="C241" s="13" t="s">
        <v>2196</v>
      </c>
      <c r="D241" s="13" t="s">
        <v>2206</v>
      </c>
      <c r="F241" s="13" t="s">
        <v>2224</v>
      </c>
      <c r="G241" s="13">
        <v>74.48</v>
      </c>
      <c r="H241" s="44">
        <v>0</v>
      </c>
      <c r="I241" s="13">
        <v>74.48</v>
      </c>
      <c r="J241" s="24">
        <v>45875</v>
      </c>
      <c r="K241" s="25">
        <v>24</v>
      </c>
      <c r="L241" s="25">
        <v>3.7</v>
      </c>
      <c r="M241" s="13" t="b">
        <v>0</v>
      </c>
      <c r="O241" s="25">
        <f t="shared" si="12"/>
        <v>27</v>
      </c>
      <c r="P241" s="13">
        <f t="shared" si="13"/>
        <v>0</v>
      </c>
      <c r="Q241" s="13" t="str">
        <f t="shared" si="14"/>
        <v/>
      </c>
      <c r="R241" s="13" t="str">
        <f t="shared" si="15"/>
        <v>Non diskon</v>
      </c>
    </row>
    <row r="242" spans="1:18" x14ac:dyDescent="0.25">
      <c r="A242" s="13" t="s">
        <v>254</v>
      </c>
      <c r="B242" s="13" t="s">
        <v>2195</v>
      </c>
      <c r="C242" s="13" t="s">
        <v>2203</v>
      </c>
      <c r="D242" s="13" t="s">
        <v>2206</v>
      </c>
      <c r="E242" s="13" t="s">
        <v>2212</v>
      </c>
      <c r="F242" s="13" t="s">
        <v>2215</v>
      </c>
      <c r="G242" s="13">
        <v>101.39</v>
      </c>
      <c r="H242" s="44">
        <v>0</v>
      </c>
      <c r="I242" s="13">
        <v>101.39</v>
      </c>
      <c r="J242" s="24">
        <v>45875</v>
      </c>
      <c r="K242" s="25">
        <v>33</v>
      </c>
      <c r="L242" s="25">
        <v>2.4</v>
      </c>
      <c r="M242" s="13" t="b">
        <v>1</v>
      </c>
      <c r="N242" s="13" t="s">
        <v>2226</v>
      </c>
      <c r="O242" s="25">
        <f t="shared" si="12"/>
        <v>27</v>
      </c>
      <c r="P242" s="13">
        <f t="shared" si="13"/>
        <v>0</v>
      </c>
      <c r="Q242" s="13">
        <f t="shared" si="14"/>
        <v>1</v>
      </c>
      <c r="R242" s="13" t="str">
        <f t="shared" si="15"/>
        <v>Non diskon</v>
      </c>
    </row>
    <row r="243" spans="1:18" x14ac:dyDescent="0.25">
      <c r="A243" s="13" t="s">
        <v>255</v>
      </c>
      <c r="B243" s="13" t="s">
        <v>2195</v>
      </c>
      <c r="C243" s="13" t="s">
        <v>2203</v>
      </c>
      <c r="D243" s="13" t="s">
        <v>2206</v>
      </c>
      <c r="E243" s="13" t="s">
        <v>2211</v>
      </c>
      <c r="F243" s="13" t="s">
        <v>2220</v>
      </c>
      <c r="G243" s="13">
        <v>169.68</v>
      </c>
      <c r="H243" s="44">
        <v>41.7</v>
      </c>
      <c r="I243" s="13">
        <v>98.92</v>
      </c>
      <c r="J243" s="24">
        <v>45875</v>
      </c>
      <c r="K243" s="25">
        <v>43</v>
      </c>
      <c r="L243" s="25">
        <v>4.5999999999999996</v>
      </c>
      <c r="M243" s="13" t="b">
        <v>0</v>
      </c>
      <c r="O243" s="25">
        <f t="shared" si="12"/>
        <v>27</v>
      </c>
      <c r="P243" s="13">
        <f t="shared" si="13"/>
        <v>1793.1000000000001</v>
      </c>
      <c r="Q243" s="13" t="str">
        <f t="shared" si="14"/>
        <v/>
      </c>
      <c r="R243" s="13" t="str">
        <f t="shared" si="15"/>
        <v>Diskon</v>
      </c>
    </row>
    <row r="244" spans="1:18" x14ac:dyDescent="0.25">
      <c r="A244" s="13" t="s">
        <v>256</v>
      </c>
      <c r="B244" s="13" t="s">
        <v>2192</v>
      </c>
      <c r="C244" s="13" t="s">
        <v>2203</v>
      </c>
      <c r="D244" s="13" t="s">
        <v>2205</v>
      </c>
      <c r="F244" s="13" t="s">
        <v>2223</v>
      </c>
      <c r="G244" s="13">
        <v>52.45</v>
      </c>
      <c r="H244" s="44">
        <v>0</v>
      </c>
      <c r="I244" s="13">
        <v>52.45</v>
      </c>
      <c r="J244" s="24">
        <v>45875</v>
      </c>
      <c r="K244" s="25">
        <v>34</v>
      </c>
      <c r="L244" s="25">
        <v>2.1</v>
      </c>
      <c r="M244" s="13" t="b">
        <v>0</v>
      </c>
      <c r="O244" s="25">
        <f t="shared" si="12"/>
        <v>27</v>
      </c>
      <c r="P244" s="13">
        <f t="shared" si="13"/>
        <v>0</v>
      </c>
      <c r="Q244" s="13" t="str">
        <f t="shared" si="14"/>
        <v/>
      </c>
      <c r="R244" s="13" t="str">
        <f t="shared" si="15"/>
        <v>Non diskon</v>
      </c>
    </row>
    <row r="245" spans="1:18" x14ac:dyDescent="0.25">
      <c r="A245" s="13" t="s">
        <v>257</v>
      </c>
      <c r="B245" s="13" t="s">
        <v>2193</v>
      </c>
      <c r="C245" s="13" t="s">
        <v>2197</v>
      </c>
      <c r="D245" s="13" t="s">
        <v>2207</v>
      </c>
      <c r="E245" s="13" t="s">
        <v>2211</v>
      </c>
      <c r="F245" s="13" t="s">
        <v>2215</v>
      </c>
      <c r="G245" s="13">
        <v>153.85</v>
      </c>
      <c r="H245" s="44">
        <v>47.6</v>
      </c>
      <c r="I245" s="13">
        <v>80.62</v>
      </c>
      <c r="J245" s="24">
        <v>45875</v>
      </c>
      <c r="K245" s="25">
        <v>12</v>
      </c>
      <c r="L245" s="25">
        <v>3.1</v>
      </c>
      <c r="M245" s="13" t="b">
        <v>0</v>
      </c>
      <c r="O245" s="25">
        <f t="shared" si="12"/>
        <v>27</v>
      </c>
      <c r="P245" s="13">
        <f t="shared" si="13"/>
        <v>571.20000000000005</v>
      </c>
      <c r="Q245" s="13" t="str">
        <f t="shared" si="14"/>
        <v/>
      </c>
      <c r="R245" s="13" t="str">
        <f t="shared" si="15"/>
        <v>Diskon</v>
      </c>
    </row>
    <row r="246" spans="1:18" x14ac:dyDescent="0.25">
      <c r="A246" s="13" t="s">
        <v>258</v>
      </c>
      <c r="B246" s="13" t="s">
        <v>2194</v>
      </c>
      <c r="C246" s="13" t="s">
        <v>2199</v>
      </c>
      <c r="D246" s="13" t="s">
        <v>2206</v>
      </c>
      <c r="E246" s="13" t="s">
        <v>2213</v>
      </c>
      <c r="F246" s="13" t="s">
        <v>2224</v>
      </c>
      <c r="G246" s="13">
        <v>32.700000000000003</v>
      </c>
      <c r="H246" s="44">
        <v>50.5</v>
      </c>
      <c r="I246" s="13">
        <v>16.190000000000001</v>
      </c>
      <c r="J246" s="24">
        <v>45875</v>
      </c>
      <c r="K246" s="25">
        <v>46</v>
      </c>
      <c r="L246" s="25">
        <v>1.3</v>
      </c>
      <c r="M246" s="13" t="b">
        <v>0</v>
      </c>
      <c r="O246" s="25">
        <f t="shared" si="12"/>
        <v>27</v>
      </c>
      <c r="P246" s="13">
        <f t="shared" si="13"/>
        <v>2323</v>
      </c>
      <c r="Q246" s="13" t="str">
        <f t="shared" si="14"/>
        <v/>
      </c>
      <c r="R246" s="13" t="str">
        <f t="shared" si="15"/>
        <v>Diskon</v>
      </c>
    </row>
    <row r="247" spans="1:18" x14ac:dyDescent="0.25">
      <c r="A247" s="13" t="s">
        <v>259</v>
      </c>
      <c r="B247" s="13" t="s">
        <v>2190</v>
      </c>
      <c r="C247" s="13" t="s">
        <v>2197</v>
      </c>
      <c r="D247" s="13" t="s">
        <v>2206</v>
      </c>
      <c r="E247" s="13" t="s">
        <v>2209</v>
      </c>
      <c r="F247" s="13" t="s">
        <v>2222</v>
      </c>
      <c r="G247" s="13">
        <v>104.27</v>
      </c>
      <c r="H247" s="44">
        <v>54.6</v>
      </c>
      <c r="I247" s="13">
        <v>47.34</v>
      </c>
      <c r="J247" s="24">
        <v>45875</v>
      </c>
      <c r="K247" s="25">
        <v>42</v>
      </c>
      <c r="L247" s="25">
        <v>4.2</v>
      </c>
      <c r="M247" s="13" t="b">
        <v>0</v>
      </c>
      <c r="O247" s="25">
        <f t="shared" si="12"/>
        <v>27</v>
      </c>
      <c r="P247" s="13">
        <f t="shared" si="13"/>
        <v>2293.2000000000003</v>
      </c>
      <c r="Q247" s="13" t="str">
        <f t="shared" si="14"/>
        <v/>
      </c>
      <c r="R247" s="13" t="str">
        <f t="shared" si="15"/>
        <v>Diskon</v>
      </c>
    </row>
    <row r="248" spans="1:18" x14ac:dyDescent="0.25">
      <c r="A248" s="13" t="s">
        <v>260</v>
      </c>
      <c r="B248" s="13" t="s">
        <v>2195</v>
      </c>
      <c r="C248" s="13" t="s">
        <v>2203</v>
      </c>
      <c r="D248" s="13" t="s">
        <v>2207</v>
      </c>
      <c r="E248" s="13" t="s">
        <v>2213</v>
      </c>
      <c r="F248" s="13" t="s">
        <v>2218</v>
      </c>
      <c r="G248" s="13">
        <v>80.040000000000006</v>
      </c>
      <c r="H248" s="44">
        <v>50.9</v>
      </c>
      <c r="I248" s="13">
        <v>39.299999999999997</v>
      </c>
      <c r="J248" s="24">
        <v>45875</v>
      </c>
      <c r="K248" s="25">
        <v>45</v>
      </c>
      <c r="L248" s="25">
        <v>2.9636363636363638</v>
      </c>
      <c r="M248" s="13" t="b">
        <v>0</v>
      </c>
      <c r="O248" s="25">
        <f t="shared" si="12"/>
        <v>27</v>
      </c>
      <c r="P248" s="13">
        <f t="shared" si="13"/>
        <v>2290.5</v>
      </c>
      <c r="Q248" s="13" t="str">
        <f t="shared" si="14"/>
        <v/>
      </c>
      <c r="R248" s="13" t="str">
        <f t="shared" si="15"/>
        <v>Diskon</v>
      </c>
    </row>
    <row r="249" spans="1:18" x14ac:dyDescent="0.25">
      <c r="A249" s="13" t="s">
        <v>261</v>
      </c>
      <c r="B249" s="13" t="s">
        <v>2194</v>
      </c>
      <c r="C249" s="13" t="s">
        <v>2198</v>
      </c>
      <c r="D249" s="13" t="s">
        <v>2204</v>
      </c>
      <c r="E249" s="13" t="s">
        <v>2213</v>
      </c>
      <c r="F249" s="13" t="s">
        <v>2216</v>
      </c>
      <c r="G249" s="13">
        <v>72.069999999999993</v>
      </c>
      <c r="H249" s="44">
        <v>0</v>
      </c>
      <c r="I249" s="13">
        <v>72.069999999999993</v>
      </c>
      <c r="J249" s="24">
        <v>45785</v>
      </c>
      <c r="K249" s="25">
        <v>20</v>
      </c>
      <c r="L249" s="25">
        <v>3.0384615384615379</v>
      </c>
      <c r="M249" s="13" t="b">
        <v>1</v>
      </c>
      <c r="N249" s="13" t="s">
        <v>2225</v>
      </c>
      <c r="O249" s="25">
        <f t="shared" si="12"/>
        <v>117</v>
      </c>
      <c r="P249" s="13">
        <f t="shared" si="13"/>
        <v>0</v>
      </c>
      <c r="Q249" s="13">
        <f t="shared" si="14"/>
        <v>1</v>
      </c>
      <c r="R249" s="13" t="str">
        <f t="shared" si="15"/>
        <v>Non diskon</v>
      </c>
    </row>
    <row r="250" spans="1:18" x14ac:dyDescent="0.25">
      <c r="A250" s="13" t="s">
        <v>262</v>
      </c>
      <c r="B250" s="13" t="s">
        <v>2190</v>
      </c>
      <c r="C250" s="13" t="s">
        <v>2196</v>
      </c>
      <c r="D250" s="13" t="s">
        <v>2206</v>
      </c>
      <c r="E250" s="13" t="s">
        <v>2213</v>
      </c>
      <c r="F250" s="13" t="s">
        <v>2220</v>
      </c>
      <c r="G250" s="13">
        <v>220.99</v>
      </c>
      <c r="H250" s="44">
        <v>0</v>
      </c>
      <c r="I250" s="13">
        <v>220.99</v>
      </c>
      <c r="J250" s="24">
        <v>45875</v>
      </c>
      <c r="K250" s="25">
        <v>42</v>
      </c>
      <c r="L250" s="25">
        <v>3.6</v>
      </c>
      <c r="M250" s="13" t="b">
        <v>0</v>
      </c>
      <c r="O250" s="25">
        <f t="shared" si="12"/>
        <v>27</v>
      </c>
      <c r="P250" s="13">
        <f t="shared" si="13"/>
        <v>0</v>
      </c>
      <c r="Q250" s="13" t="str">
        <f t="shared" si="14"/>
        <v/>
      </c>
      <c r="R250" s="13" t="str">
        <f t="shared" si="15"/>
        <v>Non diskon</v>
      </c>
    </row>
    <row r="251" spans="1:18" x14ac:dyDescent="0.25">
      <c r="A251" s="13" t="s">
        <v>263</v>
      </c>
      <c r="B251" s="13" t="s">
        <v>2190</v>
      </c>
      <c r="C251" s="13" t="s">
        <v>2197</v>
      </c>
      <c r="D251" s="13" t="s">
        <v>2206</v>
      </c>
      <c r="E251" s="13" t="s">
        <v>2212</v>
      </c>
      <c r="F251" s="13" t="s">
        <v>2216</v>
      </c>
      <c r="G251" s="13">
        <v>117.36</v>
      </c>
      <c r="H251" s="44">
        <v>14.6</v>
      </c>
      <c r="I251" s="13">
        <v>100.23</v>
      </c>
      <c r="J251" s="24">
        <v>45875</v>
      </c>
      <c r="K251" s="25">
        <v>33</v>
      </c>
      <c r="L251" s="25">
        <v>3.15</v>
      </c>
      <c r="M251" s="13" t="b">
        <v>1</v>
      </c>
      <c r="N251" s="13" t="s">
        <v>2226</v>
      </c>
      <c r="O251" s="25">
        <f t="shared" si="12"/>
        <v>27</v>
      </c>
      <c r="P251" s="13">
        <f t="shared" si="13"/>
        <v>481.8</v>
      </c>
      <c r="Q251" s="13">
        <f t="shared" si="14"/>
        <v>1</v>
      </c>
      <c r="R251" s="13" t="str">
        <f t="shared" si="15"/>
        <v>Diskon</v>
      </c>
    </row>
    <row r="252" spans="1:18" x14ac:dyDescent="0.25">
      <c r="A252" s="13" t="s">
        <v>264</v>
      </c>
      <c r="B252" s="13" t="s">
        <v>2190</v>
      </c>
      <c r="C252" s="13" t="s">
        <v>2198</v>
      </c>
      <c r="D252" s="13" t="s">
        <v>2204</v>
      </c>
      <c r="E252" s="13" t="s">
        <v>2209</v>
      </c>
      <c r="F252" s="13" t="s">
        <v>2222</v>
      </c>
      <c r="G252" s="13">
        <v>198.76</v>
      </c>
      <c r="H252" s="44">
        <v>48.8</v>
      </c>
      <c r="I252" s="13">
        <v>101.77</v>
      </c>
      <c r="J252" s="24">
        <v>45773</v>
      </c>
      <c r="K252" s="25">
        <v>36</v>
      </c>
      <c r="L252" s="25">
        <v>3</v>
      </c>
      <c r="M252" s="13" t="b">
        <v>0</v>
      </c>
      <c r="O252" s="25">
        <f t="shared" si="12"/>
        <v>129</v>
      </c>
      <c r="P252" s="13">
        <f t="shared" si="13"/>
        <v>1756.8</v>
      </c>
      <c r="Q252" s="13" t="str">
        <f t="shared" si="14"/>
        <v/>
      </c>
      <c r="R252" s="13" t="str">
        <f t="shared" si="15"/>
        <v>Diskon</v>
      </c>
    </row>
    <row r="253" spans="1:18" x14ac:dyDescent="0.25">
      <c r="A253" s="13" t="s">
        <v>265</v>
      </c>
      <c r="B253" s="13" t="s">
        <v>2190</v>
      </c>
      <c r="C253" s="13" t="s">
        <v>2200</v>
      </c>
      <c r="D253" s="13" t="s">
        <v>2206</v>
      </c>
      <c r="E253" s="13" t="s">
        <v>2209</v>
      </c>
      <c r="F253" s="13" t="s">
        <v>2216</v>
      </c>
      <c r="G253" s="13">
        <v>121.03</v>
      </c>
      <c r="H253" s="44">
        <v>0</v>
      </c>
      <c r="I253" s="13">
        <v>121.03</v>
      </c>
      <c r="J253" s="24">
        <v>45875</v>
      </c>
      <c r="K253" s="25">
        <v>14</v>
      </c>
      <c r="L253" s="25">
        <v>1.6</v>
      </c>
      <c r="M253" s="13" t="b">
        <v>1</v>
      </c>
      <c r="N253" s="13" t="s">
        <v>2229</v>
      </c>
      <c r="O253" s="25">
        <f t="shared" si="12"/>
        <v>27</v>
      </c>
      <c r="P253" s="13">
        <f t="shared" si="13"/>
        <v>0</v>
      </c>
      <c r="Q253" s="13">
        <f t="shared" si="14"/>
        <v>1</v>
      </c>
      <c r="R253" s="13" t="str">
        <f t="shared" si="15"/>
        <v>Non diskon</v>
      </c>
    </row>
    <row r="254" spans="1:18" x14ac:dyDescent="0.25">
      <c r="A254" s="13" t="s">
        <v>266</v>
      </c>
      <c r="B254" s="13" t="s">
        <v>2191</v>
      </c>
      <c r="C254" s="13" t="s">
        <v>2200</v>
      </c>
      <c r="D254" s="13" t="s">
        <v>2206</v>
      </c>
      <c r="E254" s="13" t="s">
        <v>2209</v>
      </c>
      <c r="F254" s="13" t="s">
        <v>2217</v>
      </c>
      <c r="G254" s="13">
        <v>88.62</v>
      </c>
      <c r="H254" s="44">
        <v>0</v>
      </c>
      <c r="I254" s="13">
        <v>88.62</v>
      </c>
      <c r="J254" s="24">
        <v>45875</v>
      </c>
      <c r="K254" s="25">
        <v>48</v>
      </c>
      <c r="L254" s="25">
        <v>2.4</v>
      </c>
      <c r="M254" s="13" t="b">
        <v>0</v>
      </c>
      <c r="O254" s="25">
        <f t="shared" si="12"/>
        <v>27</v>
      </c>
      <c r="P254" s="13">
        <f t="shared" si="13"/>
        <v>0</v>
      </c>
      <c r="Q254" s="13" t="str">
        <f t="shared" si="14"/>
        <v/>
      </c>
      <c r="R254" s="13" t="str">
        <f t="shared" si="15"/>
        <v>Non diskon</v>
      </c>
    </row>
    <row r="255" spans="1:18" x14ac:dyDescent="0.25">
      <c r="A255" s="13" t="s">
        <v>267</v>
      </c>
      <c r="B255" s="13" t="s">
        <v>2193</v>
      </c>
      <c r="C255" s="13" t="s">
        <v>2200</v>
      </c>
      <c r="D255" s="13" t="s">
        <v>2207</v>
      </c>
      <c r="E255" s="13" t="s">
        <v>2208</v>
      </c>
      <c r="F255" s="13" t="s">
        <v>2220</v>
      </c>
      <c r="G255" s="13">
        <v>88.94</v>
      </c>
      <c r="H255" s="44">
        <v>0</v>
      </c>
      <c r="I255" s="13">
        <v>88.94</v>
      </c>
      <c r="J255" s="24">
        <v>45875</v>
      </c>
      <c r="K255" s="25">
        <v>29</v>
      </c>
      <c r="L255" s="25">
        <v>3.9</v>
      </c>
      <c r="M255" s="13" t="b">
        <v>0</v>
      </c>
      <c r="O255" s="25">
        <f t="shared" si="12"/>
        <v>27</v>
      </c>
      <c r="P255" s="13">
        <f t="shared" si="13"/>
        <v>0</v>
      </c>
      <c r="Q255" s="13" t="str">
        <f t="shared" si="14"/>
        <v/>
      </c>
      <c r="R255" s="13" t="str">
        <f t="shared" si="15"/>
        <v>Non diskon</v>
      </c>
    </row>
    <row r="256" spans="1:18" x14ac:dyDescent="0.25">
      <c r="A256" s="13" t="s">
        <v>268</v>
      </c>
      <c r="B256" s="13" t="s">
        <v>2194</v>
      </c>
      <c r="C256" s="13" t="s">
        <v>2196</v>
      </c>
      <c r="D256" s="13" t="s">
        <v>2205</v>
      </c>
      <c r="E256" s="13" t="s">
        <v>2210</v>
      </c>
      <c r="F256" s="13" t="s">
        <v>2216</v>
      </c>
      <c r="G256" s="13">
        <v>115.7</v>
      </c>
      <c r="H256" s="44">
        <v>17.8</v>
      </c>
      <c r="I256" s="13">
        <v>95.11</v>
      </c>
      <c r="J256" s="24">
        <v>45875</v>
      </c>
      <c r="K256" s="25">
        <v>32</v>
      </c>
      <c r="L256" s="25">
        <v>1.7</v>
      </c>
      <c r="M256" s="13" t="b">
        <v>0</v>
      </c>
      <c r="O256" s="25">
        <f t="shared" si="12"/>
        <v>27</v>
      </c>
      <c r="P256" s="13">
        <f t="shared" si="13"/>
        <v>569.6</v>
      </c>
      <c r="Q256" s="13" t="str">
        <f t="shared" si="14"/>
        <v/>
      </c>
      <c r="R256" s="13" t="str">
        <f t="shared" si="15"/>
        <v>Diskon</v>
      </c>
    </row>
    <row r="257" spans="1:18" x14ac:dyDescent="0.25">
      <c r="A257" s="13" t="s">
        <v>269</v>
      </c>
      <c r="B257" s="13" t="s">
        <v>2194</v>
      </c>
      <c r="C257" s="13" t="s">
        <v>2203</v>
      </c>
      <c r="D257" s="13" t="s">
        <v>2206</v>
      </c>
      <c r="E257" s="13" t="s">
        <v>2211</v>
      </c>
      <c r="F257" s="13" t="s">
        <v>2216</v>
      </c>
      <c r="G257" s="13">
        <v>75.66</v>
      </c>
      <c r="H257" s="44">
        <v>0</v>
      </c>
      <c r="I257" s="13">
        <v>75.66</v>
      </c>
      <c r="J257" s="24">
        <v>45875</v>
      </c>
      <c r="K257" s="25">
        <v>20</v>
      </c>
      <c r="L257" s="25">
        <v>3</v>
      </c>
      <c r="M257" s="13" t="b">
        <v>0</v>
      </c>
      <c r="O257" s="25">
        <f t="shared" si="12"/>
        <v>27</v>
      </c>
      <c r="P257" s="13">
        <f t="shared" si="13"/>
        <v>0</v>
      </c>
      <c r="Q257" s="13" t="str">
        <f t="shared" si="14"/>
        <v/>
      </c>
      <c r="R257" s="13" t="str">
        <f t="shared" si="15"/>
        <v>Non diskon</v>
      </c>
    </row>
    <row r="258" spans="1:18" x14ac:dyDescent="0.25">
      <c r="A258" s="13" t="s">
        <v>270</v>
      </c>
      <c r="B258" s="13" t="s">
        <v>2192</v>
      </c>
      <c r="C258" s="13" t="s">
        <v>2201</v>
      </c>
      <c r="D258" s="13" t="s">
        <v>2205</v>
      </c>
      <c r="F258" s="13" t="s">
        <v>2220</v>
      </c>
      <c r="G258" s="13">
        <v>42.11</v>
      </c>
      <c r="H258" s="44">
        <v>0</v>
      </c>
      <c r="I258" s="13">
        <v>42.11</v>
      </c>
      <c r="J258" s="24">
        <v>45875</v>
      </c>
      <c r="K258" s="25">
        <v>26</v>
      </c>
      <c r="L258" s="25">
        <v>4</v>
      </c>
      <c r="M258" s="13" t="b">
        <v>0</v>
      </c>
      <c r="O258" s="25">
        <f t="shared" si="12"/>
        <v>27</v>
      </c>
      <c r="P258" s="13">
        <f t="shared" si="13"/>
        <v>0</v>
      </c>
      <c r="Q258" s="13" t="str">
        <f t="shared" si="14"/>
        <v/>
      </c>
      <c r="R258" s="13" t="str">
        <f t="shared" si="15"/>
        <v>Non diskon</v>
      </c>
    </row>
    <row r="259" spans="1:18" x14ac:dyDescent="0.25">
      <c r="A259" s="13" t="s">
        <v>271</v>
      </c>
      <c r="B259" s="13" t="s">
        <v>2190</v>
      </c>
      <c r="C259" s="13" t="s">
        <v>2200</v>
      </c>
      <c r="D259" s="13" t="s">
        <v>2204</v>
      </c>
      <c r="E259" s="13" t="s">
        <v>2211</v>
      </c>
      <c r="F259" s="13" t="s">
        <v>2221</v>
      </c>
      <c r="G259" s="13">
        <v>247.9</v>
      </c>
      <c r="H259" s="44">
        <v>4.3</v>
      </c>
      <c r="I259" s="13">
        <v>237.24</v>
      </c>
      <c r="J259" s="24">
        <v>45651</v>
      </c>
      <c r="K259" s="25">
        <v>25</v>
      </c>
      <c r="L259" s="25">
        <v>4.5999999999999996</v>
      </c>
      <c r="M259" s="13" t="b">
        <v>0</v>
      </c>
      <c r="O259" s="25">
        <f t="shared" ref="O259:O322" si="16">DATE(2025,9,2)-J259</f>
        <v>251</v>
      </c>
      <c r="P259" s="13">
        <f t="shared" ref="P259:P322" si="17">H259*K259</f>
        <v>107.5</v>
      </c>
      <c r="Q259" s="13" t="str">
        <f t="shared" ref="Q259:Q322" si="18">IF(M259=FALSE,"",1)</f>
        <v/>
      </c>
      <c r="R259" s="13" t="str">
        <f t="shared" ref="R259:R322" si="19">IF(H259=0,"Non diskon","Diskon")</f>
        <v>Diskon</v>
      </c>
    </row>
    <row r="260" spans="1:18" x14ac:dyDescent="0.25">
      <c r="A260" s="13" t="s">
        <v>272</v>
      </c>
      <c r="B260" s="13" t="s">
        <v>2193</v>
      </c>
      <c r="C260" s="13" t="s">
        <v>2198</v>
      </c>
      <c r="D260" s="13" t="s">
        <v>2204</v>
      </c>
      <c r="E260" s="13" t="s">
        <v>2208</v>
      </c>
      <c r="F260" s="13" t="s">
        <v>2221</v>
      </c>
      <c r="G260" s="13">
        <v>143.44999999999999</v>
      </c>
      <c r="H260" s="44">
        <v>0</v>
      </c>
      <c r="I260" s="13">
        <v>143.44999999999999</v>
      </c>
      <c r="J260" s="24">
        <v>45562</v>
      </c>
      <c r="K260" s="25">
        <v>39</v>
      </c>
      <c r="L260" s="25">
        <v>3.1936170212765949</v>
      </c>
      <c r="M260" s="13" t="b">
        <v>1</v>
      </c>
      <c r="N260" s="13" t="s">
        <v>2228</v>
      </c>
      <c r="O260" s="25">
        <f t="shared" si="16"/>
        <v>340</v>
      </c>
      <c r="P260" s="13">
        <f t="shared" si="17"/>
        <v>0</v>
      </c>
      <c r="Q260" s="13">
        <f t="shared" si="18"/>
        <v>1</v>
      </c>
      <c r="R260" s="13" t="str">
        <f t="shared" si="19"/>
        <v>Non diskon</v>
      </c>
    </row>
    <row r="261" spans="1:18" x14ac:dyDescent="0.25">
      <c r="A261" s="13" t="s">
        <v>273</v>
      </c>
      <c r="B261" s="13" t="s">
        <v>2192</v>
      </c>
      <c r="C261" s="13" t="s">
        <v>2198</v>
      </c>
      <c r="D261" s="13" t="s">
        <v>2205</v>
      </c>
      <c r="F261" s="13" t="s">
        <v>2221</v>
      </c>
      <c r="G261" s="13">
        <v>24.96</v>
      </c>
      <c r="H261" s="44">
        <v>44.7</v>
      </c>
      <c r="I261" s="13">
        <v>13.8</v>
      </c>
      <c r="J261" s="24">
        <v>45875</v>
      </c>
      <c r="K261" s="25">
        <v>44</v>
      </c>
      <c r="L261" s="25">
        <v>2.8694444444444449</v>
      </c>
      <c r="M261" s="13" t="b">
        <v>0</v>
      </c>
      <c r="O261" s="25">
        <f t="shared" si="16"/>
        <v>27</v>
      </c>
      <c r="P261" s="13">
        <f t="shared" si="17"/>
        <v>1966.8000000000002</v>
      </c>
      <c r="Q261" s="13" t="str">
        <f t="shared" si="18"/>
        <v/>
      </c>
      <c r="R261" s="13" t="str">
        <f t="shared" si="19"/>
        <v>Diskon</v>
      </c>
    </row>
    <row r="262" spans="1:18" x14ac:dyDescent="0.25">
      <c r="A262" s="13" t="s">
        <v>274</v>
      </c>
      <c r="B262" s="13" t="s">
        <v>2190</v>
      </c>
      <c r="C262" s="13" t="s">
        <v>2203</v>
      </c>
      <c r="D262" s="13" t="s">
        <v>2207</v>
      </c>
      <c r="E262" s="13" t="s">
        <v>2208</v>
      </c>
      <c r="F262" s="13" t="s">
        <v>2222</v>
      </c>
      <c r="G262" s="13">
        <v>109.74</v>
      </c>
      <c r="H262" s="44">
        <v>0</v>
      </c>
      <c r="I262" s="13">
        <v>109.74</v>
      </c>
      <c r="J262" s="24">
        <v>45875</v>
      </c>
      <c r="K262" s="25">
        <v>45</v>
      </c>
      <c r="L262" s="25">
        <v>1.9</v>
      </c>
      <c r="M262" s="13" t="b">
        <v>0</v>
      </c>
      <c r="O262" s="25">
        <f t="shared" si="16"/>
        <v>27</v>
      </c>
      <c r="P262" s="13">
        <f t="shared" si="17"/>
        <v>0</v>
      </c>
      <c r="Q262" s="13" t="str">
        <f t="shared" si="18"/>
        <v/>
      </c>
      <c r="R262" s="13" t="str">
        <f t="shared" si="19"/>
        <v>Non diskon</v>
      </c>
    </row>
    <row r="263" spans="1:18" x14ac:dyDescent="0.25">
      <c r="A263" s="13" t="s">
        <v>275</v>
      </c>
      <c r="B263" s="13" t="s">
        <v>2195</v>
      </c>
      <c r="C263" s="13" t="s">
        <v>2200</v>
      </c>
      <c r="D263" s="13" t="s">
        <v>2207</v>
      </c>
      <c r="E263" s="13" t="s">
        <v>2208</v>
      </c>
      <c r="F263" s="13" t="s">
        <v>2219</v>
      </c>
      <c r="G263" s="13">
        <v>161.13999999999999</v>
      </c>
      <c r="H263" s="44">
        <v>0</v>
      </c>
      <c r="I263" s="13">
        <v>161.13999999999999</v>
      </c>
      <c r="J263" s="24">
        <v>45875</v>
      </c>
      <c r="K263" s="25">
        <v>44</v>
      </c>
      <c r="L263" s="25">
        <v>1.6</v>
      </c>
      <c r="M263" s="13" t="b">
        <v>0</v>
      </c>
      <c r="O263" s="25">
        <f t="shared" si="16"/>
        <v>27</v>
      </c>
      <c r="P263" s="13">
        <f t="shared" si="17"/>
        <v>0</v>
      </c>
      <c r="Q263" s="13" t="str">
        <f t="shared" si="18"/>
        <v/>
      </c>
      <c r="R263" s="13" t="str">
        <f t="shared" si="19"/>
        <v>Non diskon</v>
      </c>
    </row>
    <row r="264" spans="1:18" x14ac:dyDescent="0.25">
      <c r="A264" s="13" t="s">
        <v>276</v>
      </c>
      <c r="B264" s="13" t="s">
        <v>2190</v>
      </c>
      <c r="C264" s="13" t="s">
        <v>2198</v>
      </c>
      <c r="D264" s="13" t="s">
        <v>2204</v>
      </c>
      <c r="E264" s="13" t="s">
        <v>2211</v>
      </c>
      <c r="F264" s="13" t="s">
        <v>2224</v>
      </c>
      <c r="G264" s="13">
        <v>220.14</v>
      </c>
      <c r="H264" s="44">
        <v>9.1999999999999993</v>
      </c>
      <c r="I264" s="13">
        <v>199.89</v>
      </c>
      <c r="J264" s="24">
        <v>45835</v>
      </c>
      <c r="K264" s="25">
        <v>23</v>
      </c>
      <c r="L264" s="25">
        <v>4.8</v>
      </c>
      <c r="M264" s="13" t="b">
        <v>0</v>
      </c>
      <c r="O264" s="25">
        <f t="shared" si="16"/>
        <v>67</v>
      </c>
      <c r="P264" s="13">
        <f t="shared" si="17"/>
        <v>211.6</v>
      </c>
      <c r="Q264" s="13" t="str">
        <f t="shared" si="18"/>
        <v/>
      </c>
      <c r="R264" s="13" t="str">
        <f t="shared" si="19"/>
        <v>Diskon</v>
      </c>
    </row>
    <row r="265" spans="1:18" x14ac:dyDescent="0.25">
      <c r="A265" s="13" t="s">
        <v>277</v>
      </c>
      <c r="B265" s="13" t="s">
        <v>2195</v>
      </c>
      <c r="C265" s="13" t="s">
        <v>2203</v>
      </c>
      <c r="D265" s="13" t="s">
        <v>2207</v>
      </c>
      <c r="E265" s="13" t="s">
        <v>2210</v>
      </c>
      <c r="F265" s="13" t="s">
        <v>2215</v>
      </c>
      <c r="G265" s="13">
        <v>57.33</v>
      </c>
      <c r="H265" s="44">
        <v>0</v>
      </c>
      <c r="I265" s="13">
        <v>57.33</v>
      </c>
      <c r="J265" s="24">
        <v>45875</v>
      </c>
      <c r="K265" s="25">
        <v>23</v>
      </c>
      <c r="L265" s="25">
        <v>2</v>
      </c>
      <c r="M265" s="13" t="b">
        <v>0</v>
      </c>
      <c r="O265" s="25">
        <f t="shared" si="16"/>
        <v>27</v>
      </c>
      <c r="P265" s="13">
        <f t="shared" si="17"/>
        <v>0</v>
      </c>
      <c r="Q265" s="13" t="str">
        <f t="shared" si="18"/>
        <v/>
      </c>
      <c r="R265" s="13" t="str">
        <f t="shared" si="19"/>
        <v>Non diskon</v>
      </c>
    </row>
    <row r="266" spans="1:18" x14ac:dyDescent="0.25">
      <c r="A266" s="13" t="s">
        <v>278</v>
      </c>
      <c r="B266" s="13" t="s">
        <v>2194</v>
      </c>
      <c r="C266" s="13" t="s">
        <v>2196</v>
      </c>
      <c r="D266" s="13" t="s">
        <v>2206</v>
      </c>
      <c r="E266" s="13" t="s">
        <v>2211</v>
      </c>
      <c r="F266" s="13" t="s">
        <v>2219</v>
      </c>
      <c r="G266" s="13">
        <v>108.24</v>
      </c>
      <c r="H266" s="44">
        <v>0</v>
      </c>
      <c r="I266" s="13">
        <v>108.24</v>
      </c>
      <c r="J266" s="24">
        <v>45875</v>
      </c>
      <c r="K266" s="25">
        <v>8</v>
      </c>
      <c r="L266" s="25">
        <v>2.2999999999999998</v>
      </c>
      <c r="M266" s="13" t="b">
        <v>0</v>
      </c>
      <c r="O266" s="25">
        <f t="shared" si="16"/>
        <v>27</v>
      </c>
      <c r="P266" s="13">
        <f t="shared" si="17"/>
        <v>0</v>
      </c>
      <c r="Q266" s="13" t="str">
        <f t="shared" si="18"/>
        <v/>
      </c>
      <c r="R266" s="13" t="str">
        <f t="shared" si="19"/>
        <v>Non diskon</v>
      </c>
    </row>
    <row r="267" spans="1:18" x14ac:dyDescent="0.25">
      <c r="A267" s="13" t="s">
        <v>279</v>
      </c>
      <c r="B267" s="13" t="s">
        <v>2192</v>
      </c>
      <c r="C267" s="13" t="s">
        <v>2198</v>
      </c>
      <c r="D267" s="13" t="s">
        <v>2207</v>
      </c>
      <c r="F267" s="13" t="s">
        <v>2218</v>
      </c>
      <c r="G267" s="13">
        <v>67.930000000000007</v>
      </c>
      <c r="H267" s="44">
        <v>0</v>
      </c>
      <c r="I267" s="13">
        <v>67.930000000000007</v>
      </c>
      <c r="J267" s="24">
        <v>45875</v>
      </c>
      <c r="K267" s="25">
        <v>22</v>
      </c>
      <c r="L267" s="25">
        <v>4.5999999999999996</v>
      </c>
      <c r="M267" s="13" t="b">
        <v>0</v>
      </c>
      <c r="O267" s="25">
        <f t="shared" si="16"/>
        <v>27</v>
      </c>
      <c r="P267" s="13">
        <f t="shared" si="17"/>
        <v>0</v>
      </c>
      <c r="Q267" s="13" t="str">
        <f t="shared" si="18"/>
        <v/>
      </c>
      <c r="R267" s="13" t="str">
        <f t="shared" si="19"/>
        <v>Non diskon</v>
      </c>
    </row>
    <row r="268" spans="1:18" x14ac:dyDescent="0.25">
      <c r="A268" s="13" t="s">
        <v>280</v>
      </c>
      <c r="B268" s="13" t="s">
        <v>2195</v>
      </c>
      <c r="C268" s="13" t="s">
        <v>2196</v>
      </c>
      <c r="D268" s="13" t="s">
        <v>2205</v>
      </c>
      <c r="E268" s="13" t="s">
        <v>2212</v>
      </c>
      <c r="F268" s="13" t="s">
        <v>2219</v>
      </c>
      <c r="G268" s="13">
        <v>168.96</v>
      </c>
      <c r="H268" s="44">
        <v>0</v>
      </c>
      <c r="I268" s="13">
        <v>168.96</v>
      </c>
      <c r="J268" s="24">
        <v>45875</v>
      </c>
      <c r="K268" s="25">
        <v>9</v>
      </c>
      <c r="L268" s="25">
        <v>3.0424242424242425</v>
      </c>
      <c r="M268" s="13" t="b">
        <v>0</v>
      </c>
      <c r="O268" s="25">
        <f t="shared" si="16"/>
        <v>27</v>
      </c>
      <c r="P268" s="13">
        <f t="shared" si="17"/>
        <v>0</v>
      </c>
      <c r="Q268" s="13" t="str">
        <f t="shared" si="18"/>
        <v/>
      </c>
      <c r="R268" s="13" t="str">
        <f t="shared" si="19"/>
        <v>Non diskon</v>
      </c>
    </row>
    <row r="269" spans="1:18" x14ac:dyDescent="0.25">
      <c r="A269" s="13" t="s">
        <v>281</v>
      </c>
      <c r="B269" s="13" t="s">
        <v>2191</v>
      </c>
      <c r="C269" s="13" t="s">
        <v>2201</v>
      </c>
      <c r="D269" s="13" t="s">
        <v>2206</v>
      </c>
      <c r="E269" s="13" t="s">
        <v>2210</v>
      </c>
      <c r="F269" s="13" t="s">
        <v>2217</v>
      </c>
      <c r="G269" s="13">
        <v>90.63</v>
      </c>
      <c r="H269" s="44">
        <v>0</v>
      </c>
      <c r="I269" s="13">
        <v>90.63</v>
      </c>
      <c r="J269" s="24">
        <v>45875</v>
      </c>
      <c r="K269" s="25">
        <v>33</v>
      </c>
      <c r="L269" s="25">
        <v>4.2</v>
      </c>
      <c r="M269" s="13" t="b">
        <v>0</v>
      </c>
      <c r="O269" s="25">
        <f t="shared" si="16"/>
        <v>27</v>
      </c>
      <c r="P269" s="13">
        <f t="shared" si="17"/>
        <v>0</v>
      </c>
      <c r="Q269" s="13" t="str">
        <f t="shared" si="18"/>
        <v/>
      </c>
      <c r="R269" s="13" t="str">
        <f t="shared" si="19"/>
        <v>Non diskon</v>
      </c>
    </row>
    <row r="270" spans="1:18" x14ac:dyDescent="0.25">
      <c r="A270" s="13" t="s">
        <v>282</v>
      </c>
      <c r="B270" s="13" t="s">
        <v>2192</v>
      </c>
      <c r="C270" s="13" t="s">
        <v>2199</v>
      </c>
      <c r="D270" s="13" t="s">
        <v>2204</v>
      </c>
      <c r="F270" s="13" t="s">
        <v>2220</v>
      </c>
      <c r="G270" s="13">
        <v>72.3</v>
      </c>
      <c r="H270" s="44">
        <v>0.4</v>
      </c>
      <c r="I270" s="13">
        <v>72.010000000000005</v>
      </c>
      <c r="J270" s="24">
        <v>45655</v>
      </c>
      <c r="K270" s="25">
        <v>38</v>
      </c>
      <c r="L270" s="25">
        <v>3</v>
      </c>
      <c r="M270" s="13" t="b">
        <v>1</v>
      </c>
      <c r="N270" s="13" t="s">
        <v>2225</v>
      </c>
      <c r="O270" s="25">
        <f t="shared" si="16"/>
        <v>247</v>
      </c>
      <c r="P270" s="13">
        <f t="shared" si="17"/>
        <v>15.200000000000001</v>
      </c>
      <c r="Q270" s="13">
        <f t="shared" si="18"/>
        <v>1</v>
      </c>
      <c r="R270" s="13" t="str">
        <f t="shared" si="19"/>
        <v>Diskon</v>
      </c>
    </row>
    <row r="271" spans="1:18" x14ac:dyDescent="0.25">
      <c r="A271" s="13" t="s">
        <v>283</v>
      </c>
      <c r="B271" s="13" t="s">
        <v>2194</v>
      </c>
      <c r="C271" s="13" t="s">
        <v>2200</v>
      </c>
      <c r="D271" s="13" t="s">
        <v>2205</v>
      </c>
      <c r="E271" s="13" t="s">
        <v>2210</v>
      </c>
      <c r="F271" s="13" t="s">
        <v>2221</v>
      </c>
      <c r="G271" s="13">
        <v>27.98</v>
      </c>
      <c r="H271" s="44">
        <v>0</v>
      </c>
      <c r="I271" s="13">
        <v>27.98</v>
      </c>
      <c r="J271" s="24">
        <v>45875</v>
      </c>
      <c r="K271" s="25">
        <v>0</v>
      </c>
      <c r="L271" s="25">
        <v>3</v>
      </c>
      <c r="M271" s="13" t="b">
        <v>0</v>
      </c>
      <c r="O271" s="25">
        <f t="shared" si="16"/>
        <v>27</v>
      </c>
      <c r="P271" s="13">
        <f t="shared" si="17"/>
        <v>0</v>
      </c>
      <c r="Q271" s="13" t="str">
        <f t="shared" si="18"/>
        <v/>
      </c>
      <c r="R271" s="13" t="str">
        <f t="shared" si="19"/>
        <v>Non diskon</v>
      </c>
    </row>
    <row r="272" spans="1:18" x14ac:dyDescent="0.25">
      <c r="A272" s="13" t="s">
        <v>284</v>
      </c>
      <c r="B272" s="13" t="s">
        <v>2195</v>
      </c>
      <c r="C272" s="13" t="s">
        <v>2203</v>
      </c>
      <c r="D272" s="13" t="s">
        <v>2207</v>
      </c>
      <c r="F272" s="13" t="s">
        <v>2222</v>
      </c>
      <c r="G272" s="13">
        <v>92.73</v>
      </c>
      <c r="H272" s="44">
        <v>0</v>
      </c>
      <c r="I272" s="13">
        <v>92.73</v>
      </c>
      <c r="J272" s="24">
        <v>45875</v>
      </c>
      <c r="K272" s="25">
        <v>15</v>
      </c>
      <c r="L272" s="25">
        <v>1.4</v>
      </c>
      <c r="M272" s="13" t="b">
        <v>0</v>
      </c>
      <c r="O272" s="25">
        <f t="shared" si="16"/>
        <v>27</v>
      </c>
      <c r="P272" s="13">
        <f t="shared" si="17"/>
        <v>0</v>
      </c>
      <c r="Q272" s="13" t="str">
        <f t="shared" si="18"/>
        <v/>
      </c>
      <c r="R272" s="13" t="str">
        <f t="shared" si="19"/>
        <v>Non diskon</v>
      </c>
    </row>
    <row r="273" spans="1:18" x14ac:dyDescent="0.25">
      <c r="A273" s="13" t="s">
        <v>285</v>
      </c>
      <c r="B273" s="13" t="s">
        <v>2194</v>
      </c>
      <c r="C273" s="13" t="s">
        <v>2199</v>
      </c>
      <c r="D273" s="13" t="s">
        <v>2207</v>
      </c>
      <c r="E273" s="13" t="s">
        <v>2211</v>
      </c>
      <c r="F273" s="13" t="s">
        <v>2217</v>
      </c>
      <c r="G273" s="13">
        <v>64.28</v>
      </c>
      <c r="H273" s="44">
        <v>0</v>
      </c>
      <c r="I273" s="13">
        <v>64.28</v>
      </c>
      <c r="J273" s="24">
        <v>45875</v>
      </c>
      <c r="K273" s="25">
        <v>46</v>
      </c>
      <c r="L273" s="25">
        <v>3</v>
      </c>
      <c r="M273" s="13" t="b">
        <v>0</v>
      </c>
      <c r="O273" s="25">
        <f t="shared" si="16"/>
        <v>27</v>
      </c>
      <c r="P273" s="13">
        <f t="shared" si="17"/>
        <v>0</v>
      </c>
      <c r="Q273" s="13" t="str">
        <f t="shared" si="18"/>
        <v/>
      </c>
      <c r="R273" s="13" t="str">
        <f t="shared" si="19"/>
        <v>Non diskon</v>
      </c>
    </row>
    <row r="274" spans="1:18" x14ac:dyDescent="0.25">
      <c r="A274" s="13" t="s">
        <v>286</v>
      </c>
      <c r="B274" s="13" t="s">
        <v>2195</v>
      </c>
      <c r="C274" s="13" t="s">
        <v>2201</v>
      </c>
      <c r="D274" s="13" t="s">
        <v>2206</v>
      </c>
      <c r="E274" s="13" t="s">
        <v>2213</v>
      </c>
      <c r="F274" s="13" t="s">
        <v>2216</v>
      </c>
      <c r="G274" s="13">
        <v>133.12</v>
      </c>
      <c r="H274" s="44">
        <v>0</v>
      </c>
      <c r="I274" s="13">
        <v>133.12</v>
      </c>
      <c r="J274" s="24">
        <v>45875</v>
      </c>
      <c r="K274" s="25">
        <v>35</v>
      </c>
      <c r="L274" s="25">
        <v>1.9</v>
      </c>
      <c r="M274" s="13" t="b">
        <v>0</v>
      </c>
      <c r="O274" s="25">
        <f t="shared" si="16"/>
        <v>27</v>
      </c>
      <c r="P274" s="13">
        <f t="shared" si="17"/>
        <v>0</v>
      </c>
      <c r="Q274" s="13" t="str">
        <f t="shared" si="18"/>
        <v/>
      </c>
      <c r="R274" s="13" t="str">
        <f t="shared" si="19"/>
        <v>Non diskon</v>
      </c>
    </row>
    <row r="275" spans="1:18" x14ac:dyDescent="0.25">
      <c r="A275" s="13" t="s">
        <v>287</v>
      </c>
      <c r="B275" s="13" t="s">
        <v>2191</v>
      </c>
      <c r="C275" s="13" t="s">
        <v>2202</v>
      </c>
      <c r="D275" s="13" t="s">
        <v>2205</v>
      </c>
      <c r="E275" s="13" t="s">
        <v>2211</v>
      </c>
      <c r="F275" s="13" t="s">
        <v>2224</v>
      </c>
      <c r="G275" s="13">
        <v>70.36</v>
      </c>
      <c r="H275" s="44">
        <v>0</v>
      </c>
      <c r="I275" s="13">
        <v>70.36</v>
      </c>
      <c r="J275" s="24">
        <v>45875</v>
      </c>
      <c r="K275" s="25">
        <v>0</v>
      </c>
      <c r="L275" s="25">
        <v>2.9074999999999998</v>
      </c>
      <c r="M275" s="13" t="b">
        <v>0</v>
      </c>
      <c r="O275" s="25">
        <f t="shared" si="16"/>
        <v>27</v>
      </c>
      <c r="P275" s="13">
        <f t="shared" si="17"/>
        <v>0</v>
      </c>
      <c r="Q275" s="13" t="str">
        <f t="shared" si="18"/>
        <v/>
      </c>
      <c r="R275" s="13" t="str">
        <f t="shared" si="19"/>
        <v>Non diskon</v>
      </c>
    </row>
    <row r="276" spans="1:18" x14ac:dyDescent="0.25">
      <c r="A276" s="13" t="s">
        <v>288</v>
      </c>
      <c r="B276" s="13" t="s">
        <v>2190</v>
      </c>
      <c r="C276" s="13" t="s">
        <v>2197</v>
      </c>
      <c r="D276" s="13" t="s">
        <v>2207</v>
      </c>
      <c r="E276" s="13" t="s">
        <v>2208</v>
      </c>
      <c r="F276" s="13" t="s">
        <v>2215</v>
      </c>
      <c r="G276" s="13">
        <v>199.01</v>
      </c>
      <c r="H276" s="44">
        <v>0</v>
      </c>
      <c r="I276" s="13">
        <v>199.01</v>
      </c>
      <c r="J276" s="24">
        <v>45875</v>
      </c>
      <c r="K276" s="25">
        <v>8</v>
      </c>
      <c r="L276" s="25">
        <v>4.4000000000000004</v>
      </c>
      <c r="M276" s="13" t="b">
        <v>0</v>
      </c>
      <c r="O276" s="25">
        <f t="shared" si="16"/>
        <v>27</v>
      </c>
      <c r="P276" s="13">
        <f t="shared" si="17"/>
        <v>0</v>
      </c>
      <c r="Q276" s="13" t="str">
        <f t="shared" si="18"/>
        <v/>
      </c>
      <c r="R276" s="13" t="str">
        <f t="shared" si="19"/>
        <v>Non diskon</v>
      </c>
    </row>
    <row r="277" spans="1:18" x14ac:dyDescent="0.25">
      <c r="A277" s="13" t="s">
        <v>289</v>
      </c>
      <c r="B277" s="13" t="s">
        <v>2194</v>
      </c>
      <c r="C277" s="13" t="s">
        <v>2200</v>
      </c>
      <c r="D277" s="13" t="s">
        <v>2207</v>
      </c>
      <c r="E277" s="13" t="s">
        <v>2209</v>
      </c>
      <c r="F277" s="13" t="s">
        <v>2222</v>
      </c>
      <c r="G277" s="13">
        <v>62.41</v>
      </c>
      <c r="H277" s="44">
        <v>37.1</v>
      </c>
      <c r="I277" s="13">
        <v>39.26</v>
      </c>
      <c r="J277" s="24">
        <v>45875</v>
      </c>
      <c r="K277" s="25">
        <v>6</v>
      </c>
      <c r="L277" s="25">
        <v>4.0999999999999996</v>
      </c>
      <c r="M277" s="13" t="b">
        <v>0</v>
      </c>
      <c r="O277" s="25">
        <f t="shared" si="16"/>
        <v>27</v>
      </c>
      <c r="P277" s="13">
        <f t="shared" si="17"/>
        <v>222.60000000000002</v>
      </c>
      <c r="Q277" s="13" t="str">
        <f t="shared" si="18"/>
        <v/>
      </c>
      <c r="R277" s="13" t="str">
        <f t="shared" si="19"/>
        <v>Diskon</v>
      </c>
    </row>
    <row r="278" spans="1:18" x14ac:dyDescent="0.25">
      <c r="A278" s="13" t="s">
        <v>290</v>
      </c>
      <c r="B278" s="13" t="s">
        <v>2193</v>
      </c>
      <c r="C278" s="13" t="s">
        <v>2197</v>
      </c>
      <c r="D278" s="13" t="s">
        <v>2207</v>
      </c>
      <c r="E278" s="13" t="s">
        <v>2212</v>
      </c>
      <c r="F278" s="13" t="s">
        <v>2216</v>
      </c>
      <c r="G278" s="13">
        <v>71.44</v>
      </c>
      <c r="H278" s="44">
        <v>0</v>
      </c>
      <c r="I278" s="13">
        <v>71.44</v>
      </c>
      <c r="J278" s="24">
        <v>45875</v>
      </c>
      <c r="K278" s="25">
        <v>45</v>
      </c>
      <c r="L278" s="25">
        <v>4</v>
      </c>
      <c r="M278" s="13" t="b">
        <v>0</v>
      </c>
      <c r="O278" s="25">
        <f t="shared" si="16"/>
        <v>27</v>
      </c>
      <c r="P278" s="13">
        <f t="shared" si="17"/>
        <v>0</v>
      </c>
      <c r="Q278" s="13" t="str">
        <f t="shared" si="18"/>
        <v/>
      </c>
      <c r="R278" s="13" t="str">
        <f t="shared" si="19"/>
        <v>Non diskon</v>
      </c>
    </row>
    <row r="279" spans="1:18" x14ac:dyDescent="0.25">
      <c r="A279" s="13" t="s">
        <v>291</v>
      </c>
      <c r="B279" s="13" t="s">
        <v>2195</v>
      </c>
      <c r="C279" s="13" t="s">
        <v>2196</v>
      </c>
      <c r="D279" s="13" t="s">
        <v>2205</v>
      </c>
      <c r="F279" s="13" t="s">
        <v>2219</v>
      </c>
      <c r="G279" s="13">
        <v>89.69</v>
      </c>
      <c r="H279" s="44">
        <v>0</v>
      </c>
      <c r="I279" s="13">
        <v>89.69</v>
      </c>
      <c r="J279" s="24">
        <v>45875</v>
      </c>
      <c r="K279" s="25">
        <v>50</v>
      </c>
      <c r="L279" s="25">
        <v>4.3</v>
      </c>
      <c r="M279" s="13" t="b">
        <v>0</v>
      </c>
      <c r="O279" s="25">
        <f t="shared" si="16"/>
        <v>27</v>
      </c>
      <c r="P279" s="13">
        <f t="shared" si="17"/>
        <v>0</v>
      </c>
      <c r="Q279" s="13" t="str">
        <f t="shared" si="18"/>
        <v/>
      </c>
      <c r="R279" s="13" t="str">
        <f t="shared" si="19"/>
        <v>Non diskon</v>
      </c>
    </row>
    <row r="280" spans="1:18" x14ac:dyDescent="0.25">
      <c r="A280" s="13" t="s">
        <v>292</v>
      </c>
      <c r="B280" s="13" t="s">
        <v>2190</v>
      </c>
      <c r="C280" s="13" t="s">
        <v>2199</v>
      </c>
      <c r="D280" s="13" t="s">
        <v>2204</v>
      </c>
      <c r="E280" s="13" t="s">
        <v>2211</v>
      </c>
      <c r="F280" s="13" t="s">
        <v>2218</v>
      </c>
      <c r="G280" s="13">
        <v>161.65</v>
      </c>
      <c r="H280" s="44">
        <v>10.199999999999999</v>
      </c>
      <c r="I280" s="13">
        <v>145.16</v>
      </c>
      <c r="J280" s="24">
        <v>45746</v>
      </c>
      <c r="K280" s="25">
        <v>42</v>
      </c>
      <c r="L280" s="25">
        <v>2.4137931034482762</v>
      </c>
      <c r="M280" s="13" t="b">
        <v>0</v>
      </c>
      <c r="O280" s="25">
        <f t="shared" si="16"/>
        <v>156</v>
      </c>
      <c r="P280" s="13">
        <f t="shared" si="17"/>
        <v>428.4</v>
      </c>
      <c r="Q280" s="13" t="str">
        <f t="shared" si="18"/>
        <v/>
      </c>
      <c r="R280" s="13" t="str">
        <f t="shared" si="19"/>
        <v>Diskon</v>
      </c>
    </row>
    <row r="281" spans="1:18" x14ac:dyDescent="0.25">
      <c r="A281" s="13" t="s">
        <v>293</v>
      </c>
      <c r="B281" s="13" t="s">
        <v>2192</v>
      </c>
      <c r="C281" s="13" t="s">
        <v>2197</v>
      </c>
      <c r="D281" s="13" t="s">
        <v>2205</v>
      </c>
      <c r="F281" s="13" t="s">
        <v>2217</v>
      </c>
      <c r="G281" s="13">
        <v>46.59</v>
      </c>
      <c r="H281" s="44">
        <v>0</v>
      </c>
      <c r="I281" s="13">
        <v>46.59</v>
      </c>
      <c r="J281" s="24">
        <v>45875</v>
      </c>
      <c r="K281" s="25">
        <v>29</v>
      </c>
      <c r="L281" s="25">
        <v>4.8</v>
      </c>
      <c r="M281" s="13" t="b">
        <v>0</v>
      </c>
      <c r="O281" s="25">
        <f t="shared" si="16"/>
        <v>27</v>
      </c>
      <c r="P281" s="13">
        <f t="shared" si="17"/>
        <v>0</v>
      </c>
      <c r="Q281" s="13" t="str">
        <f t="shared" si="18"/>
        <v/>
      </c>
      <c r="R281" s="13" t="str">
        <f t="shared" si="19"/>
        <v>Non diskon</v>
      </c>
    </row>
    <row r="282" spans="1:18" x14ac:dyDescent="0.25">
      <c r="A282" s="13" t="s">
        <v>294</v>
      </c>
      <c r="B282" s="13" t="s">
        <v>2192</v>
      </c>
      <c r="C282" s="13" t="s">
        <v>2196</v>
      </c>
      <c r="D282" s="13" t="s">
        <v>2206</v>
      </c>
      <c r="F282" s="13" t="s">
        <v>2215</v>
      </c>
      <c r="G282" s="13">
        <v>74.2</v>
      </c>
      <c r="H282" s="44">
        <v>0</v>
      </c>
      <c r="I282" s="13">
        <v>74.2</v>
      </c>
      <c r="J282" s="24">
        <v>45875</v>
      </c>
      <c r="K282" s="25">
        <v>22</v>
      </c>
      <c r="L282" s="25">
        <v>1.7</v>
      </c>
      <c r="M282" s="13" t="b">
        <v>0</v>
      </c>
      <c r="O282" s="25">
        <f t="shared" si="16"/>
        <v>27</v>
      </c>
      <c r="P282" s="13">
        <f t="shared" si="17"/>
        <v>0</v>
      </c>
      <c r="Q282" s="13" t="str">
        <f t="shared" si="18"/>
        <v/>
      </c>
      <c r="R282" s="13" t="str">
        <f t="shared" si="19"/>
        <v>Non diskon</v>
      </c>
    </row>
    <row r="283" spans="1:18" x14ac:dyDescent="0.25">
      <c r="A283" s="13" t="s">
        <v>295</v>
      </c>
      <c r="B283" s="13" t="s">
        <v>2194</v>
      </c>
      <c r="C283" s="13" t="s">
        <v>2197</v>
      </c>
      <c r="D283" s="13" t="s">
        <v>2206</v>
      </c>
      <c r="E283" s="13" t="s">
        <v>2210</v>
      </c>
      <c r="F283" s="13" t="s">
        <v>2224</v>
      </c>
      <c r="G283" s="13">
        <v>99.67</v>
      </c>
      <c r="H283" s="44">
        <v>0</v>
      </c>
      <c r="I283" s="13">
        <v>99.67</v>
      </c>
      <c r="J283" s="24">
        <v>45875</v>
      </c>
      <c r="K283" s="25">
        <v>13</v>
      </c>
      <c r="L283" s="25">
        <v>5</v>
      </c>
      <c r="M283" s="13" t="b">
        <v>0</v>
      </c>
      <c r="O283" s="25">
        <f t="shared" si="16"/>
        <v>27</v>
      </c>
      <c r="P283" s="13">
        <f t="shared" si="17"/>
        <v>0</v>
      </c>
      <c r="Q283" s="13" t="str">
        <f t="shared" si="18"/>
        <v/>
      </c>
      <c r="R283" s="13" t="str">
        <f t="shared" si="19"/>
        <v>Non diskon</v>
      </c>
    </row>
    <row r="284" spans="1:18" x14ac:dyDescent="0.25">
      <c r="A284" s="13" t="s">
        <v>296</v>
      </c>
      <c r="B284" s="13" t="s">
        <v>2193</v>
      </c>
      <c r="C284" s="13" t="s">
        <v>2203</v>
      </c>
      <c r="D284" s="13" t="s">
        <v>2206</v>
      </c>
      <c r="E284" s="13" t="s">
        <v>2212</v>
      </c>
      <c r="F284" s="13" t="s">
        <v>2223</v>
      </c>
      <c r="G284" s="13">
        <v>112.74</v>
      </c>
      <c r="H284" s="44">
        <v>23</v>
      </c>
      <c r="I284" s="13">
        <v>86.81</v>
      </c>
      <c r="J284" s="24">
        <v>45875</v>
      </c>
      <c r="K284" s="25">
        <v>37</v>
      </c>
      <c r="L284" s="25">
        <v>1</v>
      </c>
      <c r="M284" s="13" t="b">
        <v>0</v>
      </c>
      <c r="O284" s="25">
        <f t="shared" si="16"/>
        <v>27</v>
      </c>
      <c r="P284" s="13">
        <f t="shared" si="17"/>
        <v>851</v>
      </c>
      <c r="Q284" s="13" t="str">
        <f t="shared" si="18"/>
        <v/>
      </c>
      <c r="R284" s="13" t="str">
        <f t="shared" si="19"/>
        <v>Diskon</v>
      </c>
    </row>
    <row r="285" spans="1:18" x14ac:dyDescent="0.25">
      <c r="A285" s="13" t="s">
        <v>297</v>
      </c>
      <c r="B285" s="13" t="s">
        <v>2191</v>
      </c>
      <c r="C285" s="13" t="s">
        <v>2198</v>
      </c>
      <c r="D285" s="13" t="s">
        <v>2207</v>
      </c>
      <c r="E285" s="13" t="s">
        <v>2210</v>
      </c>
      <c r="F285" s="13" t="s">
        <v>2216</v>
      </c>
      <c r="G285" s="13">
        <v>95.82</v>
      </c>
      <c r="H285" s="44">
        <v>39.4</v>
      </c>
      <c r="I285" s="13">
        <v>58.07</v>
      </c>
      <c r="J285" s="24">
        <v>45875</v>
      </c>
      <c r="K285" s="25">
        <v>6</v>
      </c>
      <c r="L285" s="25">
        <v>2.953125</v>
      </c>
      <c r="M285" s="13" t="b">
        <v>1</v>
      </c>
      <c r="N285" s="13" t="s">
        <v>2227</v>
      </c>
      <c r="O285" s="25">
        <f t="shared" si="16"/>
        <v>27</v>
      </c>
      <c r="P285" s="13">
        <f t="shared" si="17"/>
        <v>236.39999999999998</v>
      </c>
      <c r="Q285" s="13">
        <f t="shared" si="18"/>
        <v>1</v>
      </c>
      <c r="R285" s="13" t="str">
        <f t="shared" si="19"/>
        <v>Diskon</v>
      </c>
    </row>
    <row r="286" spans="1:18" x14ac:dyDescent="0.25">
      <c r="A286" s="13" t="s">
        <v>298</v>
      </c>
      <c r="B286" s="13" t="s">
        <v>2193</v>
      </c>
      <c r="C286" s="13" t="s">
        <v>2201</v>
      </c>
      <c r="D286" s="13" t="s">
        <v>2205</v>
      </c>
      <c r="E286" s="13" t="s">
        <v>2213</v>
      </c>
      <c r="F286" s="13" t="s">
        <v>2220</v>
      </c>
      <c r="G286" s="13">
        <v>157.41999999999999</v>
      </c>
      <c r="H286" s="44">
        <v>0</v>
      </c>
      <c r="I286" s="13">
        <v>157.41999999999999</v>
      </c>
      <c r="J286" s="24">
        <v>45875</v>
      </c>
      <c r="K286" s="25">
        <v>38</v>
      </c>
      <c r="L286" s="25">
        <v>2.4</v>
      </c>
      <c r="M286" s="13" t="b">
        <v>0</v>
      </c>
      <c r="O286" s="25">
        <f t="shared" si="16"/>
        <v>27</v>
      </c>
      <c r="P286" s="13">
        <f t="shared" si="17"/>
        <v>0</v>
      </c>
      <c r="Q286" s="13" t="str">
        <f t="shared" si="18"/>
        <v/>
      </c>
      <c r="R286" s="13" t="str">
        <f t="shared" si="19"/>
        <v>Non diskon</v>
      </c>
    </row>
    <row r="287" spans="1:18" x14ac:dyDescent="0.25">
      <c r="A287" s="13" t="s">
        <v>299</v>
      </c>
      <c r="B287" s="13" t="s">
        <v>2192</v>
      </c>
      <c r="C287" s="13" t="s">
        <v>2196</v>
      </c>
      <c r="D287" s="13" t="s">
        <v>2206</v>
      </c>
      <c r="F287" s="13" t="s">
        <v>2214</v>
      </c>
      <c r="G287" s="13">
        <v>60.17</v>
      </c>
      <c r="H287" s="44">
        <v>14.1</v>
      </c>
      <c r="I287" s="13">
        <v>51.69</v>
      </c>
      <c r="J287" s="24">
        <v>45875</v>
      </c>
      <c r="K287" s="25">
        <v>38</v>
      </c>
      <c r="L287" s="25">
        <v>5</v>
      </c>
      <c r="M287" s="13" t="b">
        <v>0</v>
      </c>
      <c r="O287" s="25">
        <f t="shared" si="16"/>
        <v>27</v>
      </c>
      <c r="P287" s="13">
        <f t="shared" si="17"/>
        <v>535.79999999999995</v>
      </c>
      <c r="Q287" s="13" t="str">
        <f t="shared" si="18"/>
        <v/>
      </c>
      <c r="R287" s="13" t="str">
        <f t="shared" si="19"/>
        <v>Diskon</v>
      </c>
    </row>
    <row r="288" spans="1:18" x14ac:dyDescent="0.25">
      <c r="A288" s="13" t="s">
        <v>300</v>
      </c>
      <c r="B288" s="13" t="s">
        <v>2190</v>
      </c>
      <c r="C288" s="13" t="s">
        <v>2199</v>
      </c>
      <c r="D288" s="13" t="s">
        <v>2205</v>
      </c>
      <c r="E288" s="13" t="s">
        <v>2208</v>
      </c>
      <c r="F288" s="13" t="s">
        <v>2215</v>
      </c>
      <c r="G288" s="13">
        <v>169.03</v>
      </c>
      <c r="H288" s="44">
        <v>0</v>
      </c>
      <c r="I288" s="13">
        <v>169.03</v>
      </c>
      <c r="J288" s="24">
        <v>45875</v>
      </c>
      <c r="K288" s="25">
        <v>16</v>
      </c>
      <c r="L288" s="25">
        <v>1.7</v>
      </c>
      <c r="M288" s="13" t="b">
        <v>0</v>
      </c>
      <c r="O288" s="25">
        <f t="shared" si="16"/>
        <v>27</v>
      </c>
      <c r="P288" s="13">
        <f t="shared" si="17"/>
        <v>0</v>
      </c>
      <c r="Q288" s="13" t="str">
        <f t="shared" si="18"/>
        <v/>
      </c>
      <c r="R288" s="13" t="str">
        <f t="shared" si="19"/>
        <v>Non diskon</v>
      </c>
    </row>
    <row r="289" spans="1:18" x14ac:dyDescent="0.25">
      <c r="A289" s="13" t="s">
        <v>301</v>
      </c>
      <c r="B289" s="13" t="s">
        <v>2195</v>
      </c>
      <c r="C289" s="13" t="s">
        <v>2197</v>
      </c>
      <c r="D289" s="13" t="s">
        <v>2206</v>
      </c>
      <c r="E289" s="13" t="s">
        <v>2210</v>
      </c>
      <c r="F289" s="13" t="s">
        <v>2215</v>
      </c>
      <c r="G289" s="13">
        <v>175.86</v>
      </c>
      <c r="H289" s="44">
        <v>0</v>
      </c>
      <c r="I289" s="13">
        <v>175.86</v>
      </c>
      <c r="J289" s="24">
        <v>45875</v>
      </c>
      <c r="K289" s="25">
        <v>0</v>
      </c>
      <c r="L289" s="25">
        <v>4.5999999999999996</v>
      </c>
      <c r="M289" s="13" t="b">
        <v>0</v>
      </c>
      <c r="O289" s="25">
        <f t="shared" si="16"/>
        <v>27</v>
      </c>
      <c r="P289" s="13">
        <f t="shared" si="17"/>
        <v>0</v>
      </c>
      <c r="Q289" s="13" t="str">
        <f t="shared" si="18"/>
        <v/>
      </c>
      <c r="R289" s="13" t="str">
        <f t="shared" si="19"/>
        <v>Non diskon</v>
      </c>
    </row>
    <row r="290" spans="1:18" x14ac:dyDescent="0.25">
      <c r="A290" s="13" t="s">
        <v>302</v>
      </c>
      <c r="B290" s="13" t="s">
        <v>2193</v>
      </c>
      <c r="C290" s="13" t="s">
        <v>2199</v>
      </c>
      <c r="D290" s="13" t="s">
        <v>2207</v>
      </c>
      <c r="F290" s="13" t="s">
        <v>2224</v>
      </c>
      <c r="G290" s="13">
        <v>169.75</v>
      </c>
      <c r="H290" s="44">
        <v>0</v>
      </c>
      <c r="I290" s="13">
        <v>169.75</v>
      </c>
      <c r="J290" s="24">
        <v>45875</v>
      </c>
      <c r="K290" s="25">
        <v>5</v>
      </c>
      <c r="L290" s="25">
        <v>2.7</v>
      </c>
      <c r="M290" s="13" t="b">
        <v>0</v>
      </c>
      <c r="O290" s="25">
        <f t="shared" si="16"/>
        <v>27</v>
      </c>
      <c r="P290" s="13">
        <f t="shared" si="17"/>
        <v>0</v>
      </c>
      <c r="Q290" s="13" t="str">
        <f t="shared" si="18"/>
        <v/>
      </c>
      <c r="R290" s="13" t="str">
        <f t="shared" si="19"/>
        <v>Non diskon</v>
      </c>
    </row>
    <row r="291" spans="1:18" x14ac:dyDescent="0.25">
      <c r="A291" s="13" t="s">
        <v>303</v>
      </c>
      <c r="B291" s="13" t="s">
        <v>2192</v>
      </c>
      <c r="C291" s="13" t="s">
        <v>2200</v>
      </c>
      <c r="D291" s="13" t="s">
        <v>2207</v>
      </c>
      <c r="F291" s="13" t="s">
        <v>2214</v>
      </c>
      <c r="G291" s="13">
        <v>51.77</v>
      </c>
      <c r="H291" s="44">
        <v>24.3</v>
      </c>
      <c r="I291" s="13">
        <v>39.19</v>
      </c>
      <c r="J291" s="24">
        <v>45875</v>
      </c>
      <c r="K291" s="25">
        <v>50</v>
      </c>
      <c r="L291" s="25">
        <v>3.7</v>
      </c>
      <c r="M291" s="13" t="b">
        <v>0</v>
      </c>
      <c r="O291" s="25">
        <f t="shared" si="16"/>
        <v>27</v>
      </c>
      <c r="P291" s="13">
        <f t="shared" si="17"/>
        <v>1215</v>
      </c>
      <c r="Q291" s="13" t="str">
        <f t="shared" si="18"/>
        <v/>
      </c>
      <c r="R291" s="13" t="str">
        <f t="shared" si="19"/>
        <v>Diskon</v>
      </c>
    </row>
    <row r="292" spans="1:18" x14ac:dyDescent="0.25">
      <c r="A292" s="13" t="s">
        <v>304</v>
      </c>
      <c r="B292" s="13" t="s">
        <v>2191</v>
      </c>
      <c r="C292" s="13" t="s">
        <v>2199</v>
      </c>
      <c r="D292" s="13" t="s">
        <v>2206</v>
      </c>
      <c r="E292" s="13" t="s">
        <v>2213</v>
      </c>
      <c r="F292" s="13" t="s">
        <v>2216</v>
      </c>
      <c r="G292" s="13">
        <v>83.09</v>
      </c>
      <c r="H292" s="44">
        <v>0</v>
      </c>
      <c r="I292" s="13">
        <v>83.09</v>
      </c>
      <c r="J292" s="24">
        <v>45875</v>
      </c>
      <c r="K292" s="25">
        <v>22</v>
      </c>
      <c r="L292" s="25">
        <v>2.2999999999999998</v>
      </c>
      <c r="M292" s="13" t="b">
        <v>0</v>
      </c>
      <c r="O292" s="25">
        <f t="shared" si="16"/>
        <v>27</v>
      </c>
      <c r="P292" s="13">
        <f t="shared" si="17"/>
        <v>0</v>
      </c>
      <c r="Q292" s="13" t="str">
        <f t="shared" si="18"/>
        <v/>
      </c>
      <c r="R292" s="13" t="str">
        <f t="shared" si="19"/>
        <v>Non diskon</v>
      </c>
    </row>
    <row r="293" spans="1:18" x14ac:dyDescent="0.25">
      <c r="A293" s="13" t="s">
        <v>305</v>
      </c>
      <c r="B293" s="13" t="s">
        <v>2190</v>
      </c>
      <c r="C293" s="13" t="s">
        <v>2201</v>
      </c>
      <c r="D293" s="13" t="s">
        <v>2205</v>
      </c>
      <c r="E293" s="13" t="s">
        <v>2212</v>
      </c>
      <c r="F293" s="13" t="s">
        <v>2223</v>
      </c>
      <c r="G293" s="13">
        <v>176.1</v>
      </c>
      <c r="H293" s="44">
        <v>0</v>
      </c>
      <c r="I293" s="13">
        <v>176.1</v>
      </c>
      <c r="J293" s="24">
        <v>45875</v>
      </c>
      <c r="K293" s="25">
        <v>12</v>
      </c>
      <c r="L293" s="25">
        <v>4.5999999999999996</v>
      </c>
      <c r="M293" s="13" t="b">
        <v>0</v>
      </c>
      <c r="O293" s="25">
        <f t="shared" si="16"/>
        <v>27</v>
      </c>
      <c r="P293" s="13">
        <f t="shared" si="17"/>
        <v>0</v>
      </c>
      <c r="Q293" s="13" t="str">
        <f t="shared" si="18"/>
        <v/>
      </c>
      <c r="R293" s="13" t="str">
        <f t="shared" si="19"/>
        <v>Non diskon</v>
      </c>
    </row>
    <row r="294" spans="1:18" x14ac:dyDescent="0.25">
      <c r="A294" s="13" t="s">
        <v>306</v>
      </c>
      <c r="B294" s="13" t="s">
        <v>2194</v>
      </c>
      <c r="C294" s="13" t="s">
        <v>2199</v>
      </c>
      <c r="D294" s="13" t="s">
        <v>2206</v>
      </c>
      <c r="E294" s="13" t="s">
        <v>2213</v>
      </c>
      <c r="F294" s="13" t="s">
        <v>2219</v>
      </c>
      <c r="G294" s="13">
        <v>69.11</v>
      </c>
      <c r="H294" s="44">
        <v>0</v>
      </c>
      <c r="I294" s="13">
        <v>69.11</v>
      </c>
      <c r="J294" s="24">
        <v>45875</v>
      </c>
      <c r="K294" s="25">
        <v>18</v>
      </c>
      <c r="L294" s="25">
        <v>3.9</v>
      </c>
      <c r="M294" s="13" t="b">
        <v>0</v>
      </c>
      <c r="O294" s="25">
        <f t="shared" si="16"/>
        <v>27</v>
      </c>
      <c r="P294" s="13">
        <f t="shared" si="17"/>
        <v>0</v>
      </c>
      <c r="Q294" s="13" t="str">
        <f t="shared" si="18"/>
        <v/>
      </c>
      <c r="R294" s="13" t="str">
        <f t="shared" si="19"/>
        <v>Non diskon</v>
      </c>
    </row>
    <row r="295" spans="1:18" x14ac:dyDescent="0.25">
      <c r="A295" s="13" t="s">
        <v>307</v>
      </c>
      <c r="B295" s="13" t="s">
        <v>2193</v>
      </c>
      <c r="C295" s="13" t="s">
        <v>2196</v>
      </c>
      <c r="D295" s="13" t="s">
        <v>2204</v>
      </c>
      <c r="E295" s="13" t="s">
        <v>2210</v>
      </c>
      <c r="F295" s="13" t="s">
        <v>2223</v>
      </c>
      <c r="G295" s="13">
        <v>117.85</v>
      </c>
      <c r="H295" s="44">
        <v>0</v>
      </c>
      <c r="I295" s="13">
        <v>117.85</v>
      </c>
      <c r="J295" s="24">
        <v>45649</v>
      </c>
      <c r="K295" s="25">
        <v>34</v>
      </c>
      <c r="L295" s="25">
        <v>3.3</v>
      </c>
      <c r="M295" s="13" t="b">
        <v>0</v>
      </c>
      <c r="O295" s="25">
        <f t="shared" si="16"/>
        <v>253</v>
      </c>
      <c r="P295" s="13">
        <f t="shared" si="17"/>
        <v>0</v>
      </c>
      <c r="Q295" s="13" t="str">
        <f t="shared" si="18"/>
        <v/>
      </c>
      <c r="R295" s="13" t="str">
        <f t="shared" si="19"/>
        <v>Non diskon</v>
      </c>
    </row>
    <row r="296" spans="1:18" x14ac:dyDescent="0.25">
      <c r="A296" s="13" t="s">
        <v>308</v>
      </c>
      <c r="B296" s="13" t="s">
        <v>2193</v>
      </c>
      <c r="C296" s="13" t="s">
        <v>2198</v>
      </c>
      <c r="D296" s="13" t="s">
        <v>2206</v>
      </c>
      <c r="E296" s="13" t="s">
        <v>2213</v>
      </c>
      <c r="F296" s="13" t="s">
        <v>2223</v>
      </c>
      <c r="G296" s="13">
        <v>96.17</v>
      </c>
      <c r="H296" s="44">
        <v>36</v>
      </c>
      <c r="I296" s="13">
        <v>61.55</v>
      </c>
      <c r="J296" s="24">
        <v>45875</v>
      </c>
      <c r="K296" s="25">
        <v>45</v>
      </c>
      <c r="L296" s="25">
        <v>3.5</v>
      </c>
      <c r="M296" s="13" t="b">
        <v>0</v>
      </c>
      <c r="O296" s="25">
        <f t="shared" si="16"/>
        <v>27</v>
      </c>
      <c r="P296" s="13">
        <f t="shared" si="17"/>
        <v>1620</v>
      </c>
      <c r="Q296" s="13" t="str">
        <f t="shared" si="18"/>
        <v/>
      </c>
      <c r="R296" s="13" t="str">
        <f t="shared" si="19"/>
        <v>Diskon</v>
      </c>
    </row>
    <row r="297" spans="1:18" x14ac:dyDescent="0.25">
      <c r="A297" s="13" t="s">
        <v>309</v>
      </c>
      <c r="B297" s="13" t="s">
        <v>2193</v>
      </c>
      <c r="C297" s="13" t="s">
        <v>2196</v>
      </c>
      <c r="D297" s="13" t="s">
        <v>2204</v>
      </c>
      <c r="E297" s="13" t="s">
        <v>2211</v>
      </c>
      <c r="F297" s="13" t="s">
        <v>2214</v>
      </c>
      <c r="G297" s="13">
        <v>80.14</v>
      </c>
      <c r="H297" s="44">
        <v>0</v>
      </c>
      <c r="I297" s="13">
        <v>80.14</v>
      </c>
      <c r="J297" s="24">
        <v>45747</v>
      </c>
      <c r="K297" s="25">
        <v>10</v>
      </c>
      <c r="L297" s="25">
        <v>5</v>
      </c>
      <c r="M297" s="13" t="b">
        <v>0</v>
      </c>
      <c r="O297" s="25">
        <f t="shared" si="16"/>
        <v>155</v>
      </c>
      <c r="P297" s="13">
        <f t="shared" si="17"/>
        <v>0</v>
      </c>
      <c r="Q297" s="13" t="str">
        <f t="shared" si="18"/>
        <v/>
      </c>
      <c r="R297" s="13" t="str">
        <f t="shared" si="19"/>
        <v>Non diskon</v>
      </c>
    </row>
    <row r="298" spans="1:18" x14ac:dyDescent="0.25">
      <c r="A298" s="13" t="s">
        <v>310</v>
      </c>
      <c r="B298" s="13" t="s">
        <v>2192</v>
      </c>
      <c r="C298" s="13" t="s">
        <v>2202</v>
      </c>
      <c r="D298" s="13" t="s">
        <v>2207</v>
      </c>
      <c r="F298" s="13" t="s">
        <v>2215</v>
      </c>
      <c r="G298" s="13">
        <v>55.08</v>
      </c>
      <c r="H298" s="44">
        <v>13</v>
      </c>
      <c r="I298" s="13">
        <v>47.92</v>
      </c>
      <c r="J298" s="24">
        <v>45875</v>
      </c>
      <c r="K298" s="25">
        <v>17</v>
      </c>
      <c r="L298" s="25">
        <v>3.9</v>
      </c>
      <c r="M298" s="13" t="b">
        <v>0</v>
      </c>
      <c r="O298" s="25">
        <f t="shared" si="16"/>
        <v>27</v>
      </c>
      <c r="P298" s="13">
        <f t="shared" si="17"/>
        <v>221</v>
      </c>
      <c r="Q298" s="13" t="str">
        <f t="shared" si="18"/>
        <v/>
      </c>
      <c r="R298" s="13" t="str">
        <f t="shared" si="19"/>
        <v>Diskon</v>
      </c>
    </row>
    <row r="299" spans="1:18" x14ac:dyDescent="0.25">
      <c r="A299" s="13" t="s">
        <v>311</v>
      </c>
      <c r="B299" s="13" t="s">
        <v>2195</v>
      </c>
      <c r="C299" s="13" t="s">
        <v>2199</v>
      </c>
      <c r="D299" s="13" t="s">
        <v>2206</v>
      </c>
      <c r="E299" s="13" t="s">
        <v>2210</v>
      </c>
      <c r="F299" s="13" t="s">
        <v>2215</v>
      </c>
      <c r="G299" s="13">
        <v>165.84</v>
      </c>
      <c r="H299" s="44">
        <v>50.4</v>
      </c>
      <c r="I299" s="13">
        <v>82.26</v>
      </c>
      <c r="J299" s="24">
        <v>45875</v>
      </c>
      <c r="K299" s="25">
        <v>17</v>
      </c>
      <c r="L299" s="25">
        <v>3.2</v>
      </c>
      <c r="M299" s="13" t="b">
        <v>1</v>
      </c>
      <c r="N299" s="13" t="s">
        <v>2227</v>
      </c>
      <c r="O299" s="25">
        <f t="shared" si="16"/>
        <v>27</v>
      </c>
      <c r="P299" s="13">
        <f t="shared" si="17"/>
        <v>856.8</v>
      </c>
      <c r="Q299" s="13">
        <f t="shared" si="18"/>
        <v>1</v>
      </c>
      <c r="R299" s="13" t="str">
        <f t="shared" si="19"/>
        <v>Diskon</v>
      </c>
    </row>
    <row r="300" spans="1:18" x14ac:dyDescent="0.25">
      <c r="A300" s="13" t="s">
        <v>312</v>
      </c>
      <c r="B300" s="13" t="s">
        <v>2195</v>
      </c>
      <c r="C300" s="13" t="s">
        <v>2202</v>
      </c>
      <c r="D300" s="13" t="s">
        <v>2207</v>
      </c>
      <c r="E300" s="13" t="s">
        <v>2211</v>
      </c>
      <c r="F300" s="13" t="s">
        <v>2214</v>
      </c>
      <c r="G300" s="13">
        <v>82.7</v>
      </c>
      <c r="H300" s="44">
        <v>0</v>
      </c>
      <c r="I300" s="13">
        <v>82.7</v>
      </c>
      <c r="J300" s="24">
        <v>45875</v>
      </c>
      <c r="K300" s="25">
        <v>20</v>
      </c>
      <c r="L300" s="25">
        <v>4</v>
      </c>
      <c r="M300" s="13" t="b">
        <v>0</v>
      </c>
      <c r="O300" s="25">
        <f t="shared" si="16"/>
        <v>27</v>
      </c>
      <c r="P300" s="13">
        <f t="shared" si="17"/>
        <v>0</v>
      </c>
      <c r="Q300" s="13" t="str">
        <f t="shared" si="18"/>
        <v/>
      </c>
      <c r="R300" s="13" t="str">
        <f t="shared" si="19"/>
        <v>Non diskon</v>
      </c>
    </row>
    <row r="301" spans="1:18" x14ac:dyDescent="0.25">
      <c r="A301" s="13" t="s">
        <v>313</v>
      </c>
      <c r="B301" s="13" t="s">
        <v>2190</v>
      </c>
      <c r="C301" s="13" t="s">
        <v>2198</v>
      </c>
      <c r="D301" s="13" t="s">
        <v>2204</v>
      </c>
      <c r="E301" s="13" t="s">
        <v>2210</v>
      </c>
      <c r="F301" s="13" t="s">
        <v>2223</v>
      </c>
      <c r="G301" s="13">
        <v>222.86</v>
      </c>
      <c r="H301" s="44">
        <v>6.6</v>
      </c>
      <c r="I301" s="13">
        <v>208.15</v>
      </c>
      <c r="J301" s="24">
        <v>45645</v>
      </c>
      <c r="K301" s="25">
        <v>29</v>
      </c>
      <c r="L301" s="25">
        <v>2.1</v>
      </c>
      <c r="M301" s="13" t="b">
        <v>0</v>
      </c>
      <c r="O301" s="25">
        <f t="shared" si="16"/>
        <v>257</v>
      </c>
      <c r="P301" s="13">
        <f t="shared" si="17"/>
        <v>191.39999999999998</v>
      </c>
      <c r="Q301" s="13" t="str">
        <f t="shared" si="18"/>
        <v/>
      </c>
      <c r="R301" s="13" t="str">
        <f t="shared" si="19"/>
        <v>Diskon</v>
      </c>
    </row>
    <row r="302" spans="1:18" x14ac:dyDescent="0.25">
      <c r="A302" s="13" t="s">
        <v>314</v>
      </c>
      <c r="B302" s="13" t="s">
        <v>2191</v>
      </c>
      <c r="C302" s="13" t="s">
        <v>2199</v>
      </c>
      <c r="D302" s="13" t="s">
        <v>2205</v>
      </c>
      <c r="E302" s="13" t="s">
        <v>2209</v>
      </c>
      <c r="F302" s="13" t="s">
        <v>2218</v>
      </c>
      <c r="G302" s="13">
        <v>107.15</v>
      </c>
      <c r="H302" s="44">
        <v>0</v>
      </c>
      <c r="I302" s="13">
        <v>107.15</v>
      </c>
      <c r="J302" s="24">
        <v>45875</v>
      </c>
      <c r="K302" s="25">
        <v>33</v>
      </c>
      <c r="L302" s="25">
        <v>2.9742857142857138</v>
      </c>
      <c r="M302" s="13" t="b">
        <v>1</v>
      </c>
      <c r="N302" s="13" t="s">
        <v>2230</v>
      </c>
      <c r="O302" s="25">
        <f t="shared" si="16"/>
        <v>27</v>
      </c>
      <c r="P302" s="13">
        <f t="shared" si="17"/>
        <v>0</v>
      </c>
      <c r="Q302" s="13">
        <f t="shared" si="18"/>
        <v>1</v>
      </c>
      <c r="R302" s="13" t="str">
        <f t="shared" si="19"/>
        <v>Non diskon</v>
      </c>
    </row>
    <row r="303" spans="1:18" x14ac:dyDescent="0.25">
      <c r="A303" s="13" t="s">
        <v>315</v>
      </c>
      <c r="B303" s="13" t="s">
        <v>2193</v>
      </c>
      <c r="C303" s="13" t="s">
        <v>2200</v>
      </c>
      <c r="D303" s="13" t="s">
        <v>2206</v>
      </c>
      <c r="E303" s="13" t="s">
        <v>2211</v>
      </c>
      <c r="F303" s="13" t="s">
        <v>2218</v>
      </c>
      <c r="G303" s="13">
        <v>85.54</v>
      </c>
      <c r="H303" s="44">
        <v>0</v>
      </c>
      <c r="I303" s="13">
        <v>85.54</v>
      </c>
      <c r="J303" s="24">
        <v>45875</v>
      </c>
      <c r="K303" s="25">
        <v>30</v>
      </c>
      <c r="L303" s="25">
        <v>3.3021276595744684</v>
      </c>
      <c r="M303" s="13" t="b">
        <v>0</v>
      </c>
      <c r="O303" s="25">
        <f t="shared" si="16"/>
        <v>27</v>
      </c>
      <c r="P303" s="13">
        <f t="shared" si="17"/>
        <v>0</v>
      </c>
      <c r="Q303" s="13" t="str">
        <f t="shared" si="18"/>
        <v/>
      </c>
      <c r="R303" s="13" t="str">
        <f t="shared" si="19"/>
        <v>Non diskon</v>
      </c>
    </row>
    <row r="304" spans="1:18" x14ac:dyDescent="0.25">
      <c r="A304" s="13" t="s">
        <v>316</v>
      </c>
      <c r="B304" s="13" t="s">
        <v>2194</v>
      </c>
      <c r="C304" s="13" t="s">
        <v>2199</v>
      </c>
      <c r="D304" s="13" t="s">
        <v>2207</v>
      </c>
      <c r="E304" s="13" t="s">
        <v>2208</v>
      </c>
      <c r="F304" s="13" t="s">
        <v>2220</v>
      </c>
      <c r="G304" s="13">
        <v>34.36</v>
      </c>
      <c r="H304" s="44">
        <v>5.4</v>
      </c>
      <c r="I304" s="13">
        <v>32.5</v>
      </c>
      <c r="J304" s="24">
        <v>45875</v>
      </c>
      <c r="K304" s="25">
        <v>49</v>
      </c>
      <c r="L304" s="25">
        <v>4.5</v>
      </c>
      <c r="M304" s="13" t="b">
        <v>0</v>
      </c>
      <c r="O304" s="25">
        <f t="shared" si="16"/>
        <v>27</v>
      </c>
      <c r="P304" s="13">
        <f t="shared" si="17"/>
        <v>264.60000000000002</v>
      </c>
      <c r="Q304" s="13" t="str">
        <f t="shared" si="18"/>
        <v/>
      </c>
      <c r="R304" s="13" t="str">
        <f t="shared" si="19"/>
        <v>Diskon</v>
      </c>
    </row>
    <row r="305" spans="1:18" x14ac:dyDescent="0.25">
      <c r="A305" s="13" t="s">
        <v>317</v>
      </c>
      <c r="B305" s="13" t="s">
        <v>2194</v>
      </c>
      <c r="C305" s="13" t="s">
        <v>2199</v>
      </c>
      <c r="D305" s="13" t="s">
        <v>2205</v>
      </c>
      <c r="E305" s="13" t="s">
        <v>2208</v>
      </c>
      <c r="F305" s="13" t="s">
        <v>2216</v>
      </c>
      <c r="G305" s="13">
        <v>111.25</v>
      </c>
      <c r="H305" s="44">
        <v>42.2</v>
      </c>
      <c r="I305" s="13">
        <v>64.3</v>
      </c>
      <c r="J305" s="24">
        <v>45875</v>
      </c>
      <c r="K305" s="25">
        <v>34</v>
      </c>
      <c r="L305" s="25">
        <v>3</v>
      </c>
      <c r="M305" s="13" t="b">
        <v>0</v>
      </c>
      <c r="O305" s="25">
        <f t="shared" si="16"/>
        <v>27</v>
      </c>
      <c r="P305" s="13">
        <f t="shared" si="17"/>
        <v>1434.8000000000002</v>
      </c>
      <c r="Q305" s="13" t="str">
        <f t="shared" si="18"/>
        <v/>
      </c>
      <c r="R305" s="13" t="str">
        <f t="shared" si="19"/>
        <v>Diskon</v>
      </c>
    </row>
    <row r="306" spans="1:18" x14ac:dyDescent="0.25">
      <c r="A306" s="13" t="s">
        <v>318</v>
      </c>
      <c r="B306" s="13" t="s">
        <v>2191</v>
      </c>
      <c r="C306" s="13" t="s">
        <v>2196</v>
      </c>
      <c r="D306" s="13" t="s">
        <v>2204</v>
      </c>
      <c r="E306" s="13" t="s">
        <v>2211</v>
      </c>
      <c r="F306" s="13" t="s">
        <v>2215</v>
      </c>
      <c r="G306" s="13">
        <v>39.97</v>
      </c>
      <c r="H306" s="44">
        <v>35.200000000000003</v>
      </c>
      <c r="I306" s="13">
        <v>25.9</v>
      </c>
      <c r="J306" s="24">
        <v>45679</v>
      </c>
      <c r="K306" s="25">
        <v>15</v>
      </c>
      <c r="L306" s="25">
        <v>2.2999999999999998</v>
      </c>
      <c r="M306" s="13" t="b">
        <v>0</v>
      </c>
      <c r="O306" s="25">
        <f t="shared" si="16"/>
        <v>223</v>
      </c>
      <c r="P306" s="13">
        <f t="shared" si="17"/>
        <v>528</v>
      </c>
      <c r="Q306" s="13" t="str">
        <f t="shared" si="18"/>
        <v/>
      </c>
      <c r="R306" s="13" t="str">
        <f t="shared" si="19"/>
        <v>Diskon</v>
      </c>
    </row>
    <row r="307" spans="1:18" x14ac:dyDescent="0.25">
      <c r="A307" s="13" t="s">
        <v>319</v>
      </c>
      <c r="B307" s="13" t="s">
        <v>2193</v>
      </c>
      <c r="C307" s="13" t="s">
        <v>2203</v>
      </c>
      <c r="D307" s="13" t="s">
        <v>2207</v>
      </c>
      <c r="E307" s="13" t="s">
        <v>2213</v>
      </c>
      <c r="F307" s="13" t="s">
        <v>2217</v>
      </c>
      <c r="G307" s="13">
        <v>60.34</v>
      </c>
      <c r="H307" s="44">
        <v>0</v>
      </c>
      <c r="I307" s="13">
        <v>60.34</v>
      </c>
      <c r="J307" s="24">
        <v>45875</v>
      </c>
      <c r="K307" s="25">
        <v>4</v>
      </c>
      <c r="L307" s="25">
        <v>3.2576923076923077</v>
      </c>
      <c r="M307" s="13" t="b">
        <v>0</v>
      </c>
      <c r="O307" s="25">
        <f t="shared" si="16"/>
        <v>27</v>
      </c>
      <c r="P307" s="13">
        <f t="shared" si="17"/>
        <v>0</v>
      </c>
      <c r="Q307" s="13" t="str">
        <f t="shared" si="18"/>
        <v/>
      </c>
      <c r="R307" s="13" t="str">
        <f t="shared" si="19"/>
        <v>Non diskon</v>
      </c>
    </row>
    <row r="308" spans="1:18" x14ac:dyDescent="0.25">
      <c r="A308" s="13" t="s">
        <v>320</v>
      </c>
      <c r="B308" s="13" t="s">
        <v>2192</v>
      </c>
      <c r="C308" s="13" t="s">
        <v>2202</v>
      </c>
      <c r="D308" s="13" t="s">
        <v>2207</v>
      </c>
      <c r="F308" s="13" t="s">
        <v>2219</v>
      </c>
      <c r="G308" s="13">
        <v>17.7</v>
      </c>
      <c r="H308" s="44">
        <v>0</v>
      </c>
      <c r="I308" s="13">
        <v>17.7</v>
      </c>
      <c r="J308" s="24">
        <v>45875</v>
      </c>
      <c r="K308" s="25">
        <v>42</v>
      </c>
      <c r="L308" s="25">
        <v>3.9</v>
      </c>
      <c r="M308" s="13" t="b">
        <v>0</v>
      </c>
      <c r="O308" s="25">
        <f t="shared" si="16"/>
        <v>27</v>
      </c>
      <c r="P308" s="13">
        <f t="shared" si="17"/>
        <v>0</v>
      </c>
      <c r="Q308" s="13" t="str">
        <f t="shared" si="18"/>
        <v/>
      </c>
      <c r="R308" s="13" t="str">
        <f t="shared" si="19"/>
        <v>Non diskon</v>
      </c>
    </row>
    <row r="309" spans="1:18" x14ac:dyDescent="0.25">
      <c r="A309" s="13" t="s">
        <v>321</v>
      </c>
      <c r="B309" s="13" t="s">
        <v>2194</v>
      </c>
      <c r="C309" s="13" t="s">
        <v>2199</v>
      </c>
      <c r="D309" s="13" t="s">
        <v>2207</v>
      </c>
      <c r="E309" s="13" t="s">
        <v>2213</v>
      </c>
      <c r="F309" s="13" t="s">
        <v>2217</v>
      </c>
      <c r="G309" s="13">
        <v>57.88</v>
      </c>
      <c r="H309" s="44">
        <v>0</v>
      </c>
      <c r="I309" s="13">
        <v>57.88</v>
      </c>
      <c r="J309" s="24">
        <v>45875</v>
      </c>
      <c r="K309" s="25">
        <v>39</v>
      </c>
      <c r="L309" s="25">
        <v>3</v>
      </c>
      <c r="M309" s="13" t="b">
        <v>0</v>
      </c>
      <c r="O309" s="25">
        <f t="shared" si="16"/>
        <v>27</v>
      </c>
      <c r="P309" s="13">
        <f t="shared" si="17"/>
        <v>0</v>
      </c>
      <c r="Q309" s="13" t="str">
        <f t="shared" si="18"/>
        <v/>
      </c>
      <c r="R309" s="13" t="str">
        <f t="shared" si="19"/>
        <v>Non diskon</v>
      </c>
    </row>
    <row r="310" spans="1:18" x14ac:dyDescent="0.25">
      <c r="A310" s="13" t="s">
        <v>322</v>
      </c>
      <c r="B310" s="13" t="s">
        <v>2191</v>
      </c>
      <c r="C310" s="13" t="s">
        <v>2199</v>
      </c>
      <c r="D310" s="13" t="s">
        <v>2207</v>
      </c>
      <c r="E310" s="13" t="s">
        <v>2210</v>
      </c>
      <c r="F310" s="13" t="s">
        <v>2219</v>
      </c>
      <c r="G310" s="13">
        <v>25.15</v>
      </c>
      <c r="H310" s="44">
        <v>0</v>
      </c>
      <c r="I310" s="13">
        <v>25.15</v>
      </c>
      <c r="J310" s="24">
        <v>45875</v>
      </c>
      <c r="K310" s="25">
        <v>34</v>
      </c>
      <c r="L310" s="25">
        <v>2.6</v>
      </c>
      <c r="M310" s="13" t="b">
        <v>0</v>
      </c>
      <c r="O310" s="25">
        <f t="shared" si="16"/>
        <v>27</v>
      </c>
      <c r="P310" s="13">
        <f t="shared" si="17"/>
        <v>0</v>
      </c>
      <c r="Q310" s="13" t="str">
        <f t="shared" si="18"/>
        <v/>
      </c>
      <c r="R310" s="13" t="str">
        <f t="shared" si="19"/>
        <v>Non diskon</v>
      </c>
    </row>
    <row r="311" spans="1:18" x14ac:dyDescent="0.25">
      <c r="A311" s="13" t="s">
        <v>323</v>
      </c>
      <c r="B311" s="13" t="s">
        <v>2190</v>
      </c>
      <c r="C311" s="13" t="s">
        <v>2199</v>
      </c>
      <c r="D311" s="13" t="s">
        <v>2204</v>
      </c>
      <c r="E311" s="13" t="s">
        <v>2209</v>
      </c>
      <c r="F311" s="13" t="s">
        <v>2223</v>
      </c>
      <c r="G311" s="13">
        <v>157.44999999999999</v>
      </c>
      <c r="H311" s="44">
        <v>0</v>
      </c>
      <c r="I311" s="13">
        <v>157.44999999999999</v>
      </c>
      <c r="J311" s="24">
        <v>45803</v>
      </c>
      <c r="K311" s="25">
        <v>7</v>
      </c>
      <c r="L311" s="25">
        <v>2.9</v>
      </c>
      <c r="M311" s="13" t="b">
        <v>0</v>
      </c>
      <c r="O311" s="25">
        <f t="shared" si="16"/>
        <v>99</v>
      </c>
      <c r="P311" s="13">
        <f t="shared" si="17"/>
        <v>0</v>
      </c>
      <c r="Q311" s="13" t="str">
        <f t="shared" si="18"/>
        <v/>
      </c>
      <c r="R311" s="13" t="str">
        <f t="shared" si="19"/>
        <v>Non diskon</v>
      </c>
    </row>
    <row r="312" spans="1:18" x14ac:dyDescent="0.25">
      <c r="A312" s="13" t="s">
        <v>324</v>
      </c>
      <c r="B312" s="13" t="s">
        <v>2194</v>
      </c>
      <c r="C312" s="13" t="s">
        <v>2200</v>
      </c>
      <c r="D312" s="13" t="s">
        <v>2205</v>
      </c>
      <c r="E312" s="13" t="s">
        <v>2209</v>
      </c>
      <c r="F312" s="13" t="s">
        <v>2223</v>
      </c>
      <c r="G312" s="13">
        <v>65.72</v>
      </c>
      <c r="H312" s="44">
        <v>9.1</v>
      </c>
      <c r="I312" s="13">
        <v>59.74</v>
      </c>
      <c r="J312" s="24">
        <v>45875</v>
      </c>
      <c r="K312" s="25">
        <v>10</v>
      </c>
      <c r="L312" s="25">
        <v>2.8</v>
      </c>
      <c r="M312" s="13" t="b">
        <v>1</v>
      </c>
      <c r="N312" s="13" t="s">
        <v>2228</v>
      </c>
      <c r="O312" s="25">
        <f t="shared" si="16"/>
        <v>27</v>
      </c>
      <c r="P312" s="13">
        <f t="shared" si="17"/>
        <v>91</v>
      </c>
      <c r="Q312" s="13">
        <f t="shared" si="18"/>
        <v>1</v>
      </c>
      <c r="R312" s="13" t="str">
        <f t="shared" si="19"/>
        <v>Diskon</v>
      </c>
    </row>
    <row r="313" spans="1:18" x14ac:dyDescent="0.25">
      <c r="A313" s="13" t="s">
        <v>325</v>
      </c>
      <c r="B313" s="13" t="s">
        <v>2195</v>
      </c>
      <c r="C313" s="13" t="s">
        <v>2203</v>
      </c>
      <c r="D313" s="13" t="s">
        <v>2205</v>
      </c>
      <c r="E313" s="13" t="s">
        <v>2211</v>
      </c>
      <c r="F313" s="13" t="s">
        <v>2224</v>
      </c>
      <c r="G313" s="13">
        <v>92.8</v>
      </c>
      <c r="H313" s="44">
        <v>0</v>
      </c>
      <c r="I313" s="13">
        <v>92.8</v>
      </c>
      <c r="J313" s="24">
        <v>45875</v>
      </c>
      <c r="K313" s="25">
        <v>25</v>
      </c>
      <c r="L313" s="25">
        <v>2.5</v>
      </c>
      <c r="M313" s="13" t="b">
        <v>0</v>
      </c>
      <c r="O313" s="25">
        <f t="shared" si="16"/>
        <v>27</v>
      </c>
      <c r="P313" s="13">
        <f t="shared" si="17"/>
        <v>0</v>
      </c>
      <c r="Q313" s="13" t="str">
        <f t="shared" si="18"/>
        <v/>
      </c>
      <c r="R313" s="13" t="str">
        <f t="shared" si="19"/>
        <v>Non diskon</v>
      </c>
    </row>
    <row r="314" spans="1:18" x14ac:dyDescent="0.25">
      <c r="A314" s="13" t="s">
        <v>326</v>
      </c>
      <c r="B314" s="13" t="s">
        <v>2195</v>
      </c>
      <c r="C314" s="13" t="s">
        <v>2198</v>
      </c>
      <c r="D314" s="13" t="s">
        <v>2205</v>
      </c>
      <c r="E314" s="13" t="s">
        <v>2208</v>
      </c>
      <c r="F314" s="13" t="s">
        <v>2219</v>
      </c>
      <c r="G314" s="13">
        <v>88.65</v>
      </c>
      <c r="H314" s="44">
        <v>0</v>
      </c>
      <c r="I314" s="13">
        <v>88.65</v>
      </c>
      <c r="J314" s="24">
        <v>45875</v>
      </c>
      <c r="K314" s="25">
        <v>11</v>
      </c>
      <c r="L314" s="25">
        <v>3.3</v>
      </c>
      <c r="M314" s="13" t="b">
        <v>0</v>
      </c>
      <c r="O314" s="25">
        <f t="shared" si="16"/>
        <v>27</v>
      </c>
      <c r="P314" s="13">
        <f t="shared" si="17"/>
        <v>0</v>
      </c>
      <c r="Q314" s="13" t="str">
        <f t="shared" si="18"/>
        <v/>
      </c>
      <c r="R314" s="13" t="str">
        <f t="shared" si="19"/>
        <v>Non diskon</v>
      </c>
    </row>
    <row r="315" spans="1:18" x14ac:dyDescent="0.25">
      <c r="A315" s="13" t="s">
        <v>327</v>
      </c>
      <c r="B315" s="13" t="s">
        <v>2191</v>
      </c>
      <c r="C315" s="13" t="s">
        <v>2196</v>
      </c>
      <c r="D315" s="13" t="s">
        <v>2205</v>
      </c>
      <c r="E315" s="13" t="s">
        <v>2211</v>
      </c>
      <c r="F315" s="13" t="s">
        <v>2221</v>
      </c>
      <c r="G315" s="13">
        <v>47.07</v>
      </c>
      <c r="H315" s="44">
        <v>57.4</v>
      </c>
      <c r="I315" s="13">
        <v>20.05</v>
      </c>
      <c r="J315" s="24">
        <v>45875</v>
      </c>
      <c r="K315" s="25">
        <v>24</v>
      </c>
      <c r="L315" s="25">
        <v>1.3</v>
      </c>
      <c r="M315" s="13" t="b">
        <v>1</v>
      </c>
      <c r="N315" s="13" t="s">
        <v>2226</v>
      </c>
      <c r="O315" s="25">
        <f t="shared" si="16"/>
        <v>27</v>
      </c>
      <c r="P315" s="13">
        <f t="shared" si="17"/>
        <v>1377.6</v>
      </c>
      <c r="Q315" s="13">
        <f t="shared" si="18"/>
        <v>1</v>
      </c>
      <c r="R315" s="13" t="str">
        <f t="shared" si="19"/>
        <v>Diskon</v>
      </c>
    </row>
    <row r="316" spans="1:18" x14ac:dyDescent="0.25">
      <c r="A316" s="13" t="s">
        <v>328</v>
      </c>
      <c r="B316" s="13" t="s">
        <v>2190</v>
      </c>
      <c r="C316" s="13" t="s">
        <v>2201</v>
      </c>
      <c r="D316" s="13" t="s">
        <v>2207</v>
      </c>
      <c r="E316" s="13" t="s">
        <v>2212</v>
      </c>
      <c r="F316" s="13" t="s">
        <v>2214</v>
      </c>
      <c r="G316" s="13">
        <v>101.75</v>
      </c>
      <c r="H316" s="44">
        <v>0</v>
      </c>
      <c r="I316" s="13">
        <v>101.75</v>
      </c>
      <c r="J316" s="24">
        <v>45875</v>
      </c>
      <c r="K316" s="25">
        <v>7</v>
      </c>
      <c r="L316" s="25">
        <v>3.1</v>
      </c>
      <c r="M316" s="13" t="b">
        <v>0</v>
      </c>
      <c r="O316" s="25">
        <f t="shared" si="16"/>
        <v>27</v>
      </c>
      <c r="P316" s="13">
        <f t="shared" si="17"/>
        <v>0</v>
      </c>
      <c r="Q316" s="13" t="str">
        <f t="shared" si="18"/>
        <v/>
      </c>
      <c r="R316" s="13" t="str">
        <f t="shared" si="19"/>
        <v>Non diskon</v>
      </c>
    </row>
    <row r="317" spans="1:18" x14ac:dyDescent="0.25">
      <c r="A317" s="13" t="s">
        <v>329</v>
      </c>
      <c r="B317" s="13" t="s">
        <v>2195</v>
      </c>
      <c r="C317" s="13" t="s">
        <v>2199</v>
      </c>
      <c r="D317" s="13" t="s">
        <v>2204</v>
      </c>
      <c r="E317" s="13" t="s">
        <v>2212</v>
      </c>
      <c r="F317" s="13" t="s">
        <v>2219</v>
      </c>
      <c r="G317" s="13">
        <v>131.08000000000001</v>
      </c>
      <c r="H317" s="44">
        <v>7.5</v>
      </c>
      <c r="I317" s="13">
        <v>121.25</v>
      </c>
      <c r="J317" s="24">
        <v>45630</v>
      </c>
      <c r="K317" s="25">
        <v>20</v>
      </c>
      <c r="L317" s="25">
        <v>4.5</v>
      </c>
      <c r="M317" s="13" t="b">
        <v>1</v>
      </c>
      <c r="N317" s="13" t="s">
        <v>2230</v>
      </c>
      <c r="O317" s="25">
        <f t="shared" si="16"/>
        <v>272</v>
      </c>
      <c r="P317" s="13">
        <f t="shared" si="17"/>
        <v>150</v>
      </c>
      <c r="Q317" s="13">
        <f t="shared" si="18"/>
        <v>1</v>
      </c>
      <c r="R317" s="13" t="str">
        <f t="shared" si="19"/>
        <v>Diskon</v>
      </c>
    </row>
    <row r="318" spans="1:18" x14ac:dyDescent="0.25">
      <c r="A318" s="13" t="s">
        <v>330</v>
      </c>
      <c r="B318" s="13" t="s">
        <v>2191</v>
      </c>
      <c r="C318" s="13" t="s">
        <v>2196</v>
      </c>
      <c r="D318" s="13" t="s">
        <v>2206</v>
      </c>
      <c r="E318" s="13" t="s">
        <v>2212</v>
      </c>
      <c r="F318" s="13" t="s">
        <v>2216</v>
      </c>
      <c r="G318" s="13">
        <v>82.06</v>
      </c>
      <c r="H318" s="44">
        <v>26.1</v>
      </c>
      <c r="I318" s="13">
        <v>60.64</v>
      </c>
      <c r="J318" s="24">
        <v>45875</v>
      </c>
      <c r="K318" s="25">
        <v>32</v>
      </c>
      <c r="L318" s="25">
        <v>1.5</v>
      </c>
      <c r="M318" s="13" t="b">
        <v>0</v>
      </c>
      <c r="O318" s="25">
        <f t="shared" si="16"/>
        <v>27</v>
      </c>
      <c r="P318" s="13">
        <f t="shared" si="17"/>
        <v>835.2</v>
      </c>
      <c r="Q318" s="13" t="str">
        <f t="shared" si="18"/>
        <v/>
      </c>
      <c r="R318" s="13" t="str">
        <f t="shared" si="19"/>
        <v>Diskon</v>
      </c>
    </row>
    <row r="319" spans="1:18" x14ac:dyDescent="0.25">
      <c r="A319" s="13" t="s">
        <v>331</v>
      </c>
      <c r="B319" s="13" t="s">
        <v>2195</v>
      </c>
      <c r="C319" s="13" t="s">
        <v>2200</v>
      </c>
      <c r="D319" s="13" t="s">
        <v>2207</v>
      </c>
      <c r="E319" s="13" t="s">
        <v>2209</v>
      </c>
      <c r="F319" s="13" t="s">
        <v>2223</v>
      </c>
      <c r="G319" s="13">
        <v>66.31</v>
      </c>
      <c r="H319" s="44">
        <v>0</v>
      </c>
      <c r="I319" s="13">
        <v>66.31</v>
      </c>
      <c r="J319" s="24">
        <v>45875</v>
      </c>
      <c r="K319" s="25">
        <v>47</v>
      </c>
      <c r="L319" s="25">
        <v>3.9</v>
      </c>
      <c r="M319" s="13" t="b">
        <v>0</v>
      </c>
      <c r="O319" s="25">
        <f t="shared" si="16"/>
        <v>27</v>
      </c>
      <c r="P319" s="13">
        <f t="shared" si="17"/>
        <v>0</v>
      </c>
      <c r="Q319" s="13" t="str">
        <f t="shared" si="18"/>
        <v/>
      </c>
      <c r="R319" s="13" t="str">
        <f t="shared" si="19"/>
        <v>Non diskon</v>
      </c>
    </row>
    <row r="320" spans="1:18" x14ac:dyDescent="0.25">
      <c r="A320" s="13" t="s">
        <v>332</v>
      </c>
      <c r="B320" s="13" t="s">
        <v>2192</v>
      </c>
      <c r="C320" s="13" t="s">
        <v>2197</v>
      </c>
      <c r="D320" s="13" t="s">
        <v>2206</v>
      </c>
      <c r="F320" s="13" t="s">
        <v>2220</v>
      </c>
      <c r="G320" s="13">
        <v>26.03</v>
      </c>
      <c r="H320" s="44">
        <v>0</v>
      </c>
      <c r="I320" s="13">
        <v>26.03</v>
      </c>
      <c r="J320" s="24">
        <v>45875</v>
      </c>
      <c r="K320" s="25">
        <v>15</v>
      </c>
      <c r="L320" s="25">
        <v>3.8</v>
      </c>
      <c r="M320" s="13" t="b">
        <v>0</v>
      </c>
      <c r="O320" s="25">
        <f t="shared" si="16"/>
        <v>27</v>
      </c>
      <c r="P320" s="13">
        <f t="shared" si="17"/>
        <v>0</v>
      </c>
      <c r="Q320" s="13" t="str">
        <f t="shared" si="18"/>
        <v/>
      </c>
      <c r="R320" s="13" t="str">
        <f t="shared" si="19"/>
        <v>Non diskon</v>
      </c>
    </row>
    <row r="321" spans="1:18" x14ac:dyDescent="0.25">
      <c r="A321" s="13" t="s">
        <v>333</v>
      </c>
      <c r="B321" s="13" t="s">
        <v>2193</v>
      </c>
      <c r="C321" s="13" t="s">
        <v>2197</v>
      </c>
      <c r="D321" s="13" t="s">
        <v>2204</v>
      </c>
      <c r="E321" s="13" t="s">
        <v>2210</v>
      </c>
      <c r="F321" s="13" t="s">
        <v>2221</v>
      </c>
      <c r="G321" s="13">
        <v>152.53</v>
      </c>
      <c r="H321" s="44">
        <v>0</v>
      </c>
      <c r="I321" s="13">
        <v>152.53</v>
      </c>
      <c r="J321" s="24">
        <v>45617</v>
      </c>
      <c r="K321" s="25">
        <v>24</v>
      </c>
      <c r="L321" s="25">
        <v>4.2</v>
      </c>
      <c r="M321" s="13" t="b">
        <v>0</v>
      </c>
      <c r="O321" s="25">
        <f t="shared" si="16"/>
        <v>285</v>
      </c>
      <c r="P321" s="13">
        <f t="shared" si="17"/>
        <v>0</v>
      </c>
      <c r="Q321" s="13" t="str">
        <f t="shared" si="18"/>
        <v/>
      </c>
      <c r="R321" s="13" t="str">
        <f t="shared" si="19"/>
        <v>Non diskon</v>
      </c>
    </row>
    <row r="322" spans="1:18" x14ac:dyDescent="0.25">
      <c r="A322" s="13" t="s">
        <v>334</v>
      </c>
      <c r="B322" s="13" t="s">
        <v>2194</v>
      </c>
      <c r="C322" s="13" t="s">
        <v>2199</v>
      </c>
      <c r="D322" s="13" t="s">
        <v>2206</v>
      </c>
      <c r="E322" s="13" t="s">
        <v>2210</v>
      </c>
      <c r="F322" s="13" t="s">
        <v>2221</v>
      </c>
      <c r="G322" s="13">
        <v>26.16</v>
      </c>
      <c r="H322" s="44">
        <v>16.2</v>
      </c>
      <c r="I322" s="13">
        <v>21.92</v>
      </c>
      <c r="J322" s="24">
        <v>45875</v>
      </c>
      <c r="K322" s="25">
        <v>13</v>
      </c>
      <c r="L322" s="25">
        <v>2.2999999999999998</v>
      </c>
      <c r="M322" s="13" t="b">
        <v>0</v>
      </c>
      <c r="O322" s="25">
        <f t="shared" si="16"/>
        <v>27</v>
      </c>
      <c r="P322" s="13">
        <f t="shared" si="17"/>
        <v>210.6</v>
      </c>
      <c r="Q322" s="13" t="str">
        <f t="shared" si="18"/>
        <v/>
      </c>
      <c r="R322" s="13" t="str">
        <f t="shared" si="19"/>
        <v>Diskon</v>
      </c>
    </row>
    <row r="323" spans="1:18" x14ac:dyDescent="0.25">
      <c r="A323" s="13" t="s">
        <v>335</v>
      </c>
      <c r="B323" s="13" t="s">
        <v>2195</v>
      </c>
      <c r="C323" s="13" t="s">
        <v>2197</v>
      </c>
      <c r="D323" s="13" t="s">
        <v>2205</v>
      </c>
      <c r="E323" s="13" t="s">
        <v>2211</v>
      </c>
      <c r="F323" s="13" t="s">
        <v>2219</v>
      </c>
      <c r="G323" s="13">
        <v>89.17</v>
      </c>
      <c r="H323" s="44">
        <v>10.8</v>
      </c>
      <c r="I323" s="13">
        <v>79.540000000000006</v>
      </c>
      <c r="J323" s="24">
        <v>45875</v>
      </c>
      <c r="K323" s="25">
        <v>27</v>
      </c>
      <c r="L323" s="25">
        <v>3.3</v>
      </c>
      <c r="M323" s="13" t="b">
        <v>0</v>
      </c>
      <c r="O323" s="25">
        <f t="shared" ref="O323:O386" si="20">DATE(2025,9,2)-J323</f>
        <v>27</v>
      </c>
      <c r="P323" s="13">
        <f t="shared" ref="P323:P386" si="21">H323*K323</f>
        <v>291.60000000000002</v>
      </c>
      <c r="Q323" s="13" t="str">
        <f t="shared" ref="Q323:Q386" si="22">IF(M323=FALSE,"",1)</f>
        <v/>
      </c>
      <c r="R323" s="13" t="str">
        <f t="shared" ref="R323:R386" si="23">IF(H323=0,"Non diskon","Diskon")</f>
        <v>Diskon</v>
      </c>
    </row>
    <row r="324" spans="1:18" x14ac:dyDescent="0.25">
      <c r="A324" s="13" t="s">
        <v>336</v>
      </c>
      <c r="B324" s="13" t="s">
        <v>2194</v>
      </c>
      <c r="C324" s="13" t="s">
        <v>2200</v>
      </c>
      <c r="D324" s="13" t="s">
        <v>2204</v>
      </c>
      <c r="F324" s="13" t="s">
        <v>2217</v>
      </c>
      <c r="G324" s="13">
        <v>106.37</v>
      </c>
      <c r="H324" s="44">
        <v>0</v>
      </c>
      <c r="I324" s="13">
        <v>106.37</v>
      </c>
      <c r="J324" s="24">
        <v>45753</v>
      </c>
      <c r="K324" s="25">
        <v>37</v>
      </c>
      <c r="L324" s="25">
        <v>4.9000000000000004</v>
      </c>
      <c r="M324" s="13" t="b">
        <v>0</v>
      </c>
      <c r="O324" s="25">
        <f t="shared" si="20"/>
        <v>149</v>
      </c>
      <c r="P324" s="13">
        <f t="shared" si="21"/>
        <v>0</v>
      </c>
      <c r="Q324" s="13" t="str">
        <f t="shared" si="22"/>
        <v/>
      </c>
      <c r="R324" s="13" t="str">
        <f t="shared" si="23"/>
        <v>Non diskon</v>
      </c>
    </row>
    <row r="325" spans="1:18" x14ac:dyDescent="0.25">
      <c r="A325" s="13" t="s">
        <v>337</v>
      </c>
      <c r="B325" s="13" t="s">
        <v>2195</v>
      </c>
      <c r="C325" s="13" t="s">
        <v>2199</v>
      </c>
      <c r="D325" s="13" t="s">
        <v>2206</v>
      </c>
      <c r="E325" s="13" t="s">
        <v>2208</v>
      </c>
      <c r="F325" s="13" t="s">
        <v>2217</v>
      </c>
      <c r="G325" s="13">
        <v>80.95</v>
      </c>
      <c r="H325" s="44">
        <v>36.799999999999997</v>
      </c>
      <c r="I325" s="13">
        <v>51.16</v>
      </c>
      <c r="J325" s="24">
        <v>45875</v>
      </c>
      <c r="K325" s="25">
        <v>16</v>
      </c>
      <c r="L325" s="25">
        <v>2.5</v>
      </c>
      <c r="M325" s="13" t="b">
        <v>0</v>
      </c>
      <c r="O325" s="25">
        <f t="shared" si="20"/>
        <v>27</v>
      </c>
      <c r="P325" s="13">
        <f t="shared" si="21"/>
        <v>588.79999999999995</v>
      </c>
      <c r="Q325" s="13" t="str">
        <f t="shared" si="22"/>
        <v/>
      </c>
      <c r="R325" s="13" t="str">
        <f t="shared" si="23"/>
        <v>Diskon</v>
      </c>
    </row>
    <row r="326" spans="1:18" x14ac:dyDescent="0.25">
      <c r="A326" s="13" t="s">
        <v>338</v>
      </c>
      <c r="B326" s="13" t="s">
        <v>2190</v>
      </c>
      <c r="C326" s="13" t="s">
        <v>2198</v>
      </c>
      <c r="D326" s="13" t="s">
        <v>2207</v>
      </c>
      <c r="E326" s="13" t="s">
        <v>2213</v>
      </c>
      <c r="F326" s="13" t="s">
        <v>2222</v>
      </c>
      <c r="G326" s="13">
        <v>169.84</v>
      </c>
      <c r="H326" s="44">
        <v>50.2</v>
      </c>
      <c r="I326" s="13">
        <v>84.58</v>
      </c>
      <c r="J326" s="24">
        <v>45875</v>
      </c>
      <c r="K326" s="25">
        <v>21</v>
      </c>
      <c r="L326" s="25">
        <v>3</v>
      </c>
      <c r="M326" s="13" t="b">
        <v>1</v>
      </c>
      <c r="N326" s="13" t="s">
        <v>2228</v>
      </c>
      <c r="O326" s="25">
        <f t="shared" si="20"/>
        <v>27</v>
      </c>
      <c r="P326" s="13">
        <f t="shared" si="21"/>
        <v>1054.2</v>
      </c>
      <c r="Q326" s="13">
        <f t="shared" si="22"/>
        <v>1</v>
      </c>
      <c r="R326" s="13" t="str">
        <f t="shared" si="23"/>
        <v>Diskon</v>
      </c>
    </row>
    <row r="327" spans="1:18" x14ac:dyDescent="0.25">
      <c r="A327" s="13" t="s">
        <v>339</v>
      </c>
      <c r="B327" s="13" t="s">
        <v>2195</v>
      </c>
      <c r="C327" s="13" t="s">
        <v>2203</v>
      </c>
      <c r="D327" s="13" t="s">
        <v>2206</v>
      </c>
      <c r="E327" s="13" t="s">
        <v>2213</v>
      </c>
      <c r="F327" s="13" t="s">
        <v>2220</v>
      </c>
      <c r="G327" s="13">
        <v>159.4</v>
      </c>
      <c r="H327" s="44">
        <v>8.8000000000000007</v>
      </c>
      <c r="I327" s="13">
        <v>145.37</v>
      </c>
      <c r="J327" s="24">
        <v>45875</v>
      </c>
      <c r="K327" s="25">
        <v>43</v>
      </c>
      <c r="L327" s="25">
        <v>4.5</v>
      </c>
      <c r="M327" s="13" t="b">
        <v>0</v>
      </c>
      <c r="O327" s="25">
        <f t="shared" si="20"/>
        <v>27</v>
      </c>
      <c r="P327" s="13">
        <f t="shared" si="21"/>
        <v>378.40000000000003</v>
      </c>
      <c r="Q327" s="13" t="str">
        <f t="shared" si="22"/>
        <v/>
      </c>
      <c r="R327" s="13" t="str">
        <f t="shared" si="23"/>
        <v>Diskon</v>
      </c>
    </row>
    <row r="328" spans="1:18" x14ac:dyDescent="0.25">
      <c r="A328" s="13" t="s">
        <v>340</v>
      </c>
      <c r="B328" s="13" t="s">
        <v>2194</v>
      </c>
      <c r="C328" s="13" t="s">
        <v>2203</v>
      </c>
      <c r="D328" s="13" t="s">
        <v>2205</v>
      </c>
      <c r="E328" s="13" t="s">
        <v>2210</v>
      </c>
      <c r="F328" s="13" t="s">
        <v>2216</v>
      </c>
      <c r="G328" s="13">
        <v>106.53</v>
      </c>
      <c r="H328" s="44">
        <v>46.5</v>
      </c>
      <c r="I328" s="13">
        <v>56.99</v>
      </c>
      <c r="J328" s="24">
        <v>45875</v>
      </c>
      <c r="K328" s="25">
        <v>17</v>
      </c>
      <c r="L328" s="25">
        <v>3.1021739130434773</v>
      </c>
      <c r="M328" s="13" t="b">
        <v>0</v>
      </c>
      <c r="O328" s="25">
        <f t="shared" si="20"/>
        <v>27</v>
      </c>
      <c r="P328" s="13">
        <f t="shared" si="21"/>
        <v>790.5</v>
      </c>
      <c r="Q328" s="13" t="str">
        <f t="shared" si="22"/>
        <v/>
      </c>
      <c r="R328" s="13" t="str">
        <f t="shared" si="23"/>
        <v>Diskon</v>
      </c>
    </row>
    <row r="329" spans="1:18" x14ac:dyDescent="0.25">
      <c r="A329" s="13" t="s">
        <v>341</v>
      </c>
      <c r="B329" s="13" t="s">
        <v>2192</v>
      </c>
      <c r="C329" s="13" t="s">
        <v>2202</v>
      </c>
      <c r="D329" s="13" t="s">
        <v>2204</v>
      </c>
      <c r="F329" s="13" t="s">
        <v>2216</v>
      </c>
      <c r="G329" s="13">
        <v>78.81</v>
      </c>
      <c r="H329" s="44">
        <v>44.7</v>
      </c>
      <c r="I329" s="13">
        <v>43.58</v>
      </c>
      <c r="J329" s="24">
        <v>45548</v>
      </c>
      <c r="K329" s="25">
        <v>34</v>
      </c>
      <c r="L329" s="25">
        <v>1.4</v>
      </c>
      <c r="M329" s="13" t="b">
        <v>0</v>
      </c>
      <c r="O329" s="25">
        <f t="shared" si="20"/>
        <v>354</v>
      </c>
      <c r="P329" s="13">
        <f t="shared" si="21"/>
        <v>1519.8000000000002</v>
      </c>
      <c r="Q329" s="13" t="str">
        <f t="shared" si="22"/>
        <v/>
      </c>
      <c r="R329" s="13" t="str">
        <f t="shared" si="23"/>
        <v>Diskon</v>
      </c>
    </row>
    <row r="330" spans="1:18" x14ac:dyDescent="0.25">
      <c r="A330" s="13" t="s">
        <v>342</v>
      </c>
      <c r="B330" s="13" t="s">
        <v>2190</v>
      </c>
      <c r="C330" s="13" t="s">
        <v>2197</v>
      </c>
      <c r="D330" s="13" t="s">
        <v>2207</v>
      </c>
      <c r="E330" s="13" t="s">
        <v>2212</v>
      </c>
      <c r="F330" s="13" t="s">
        <v>2218</v>
      </c>
      <c r="G330" s="13">
        <v>117.45</v>
      </c>
      <c r="H330" s="44">
        <v>29.5</v>
      </c>
      <c r="I330" s="13">
        <v>82.8</v>
      </c>
      <c r="J330" s="24">
        <v>45875</v>
      </c>
      <c r="K330" s="25">
        <v>43</v>
      </c>
      <c r="L330" s="25">
        <v>1.2</v>
      </c>
      <c r="M330" s="13" t="b">
        <v>0</v>
      </c>
      <c r="O330" s="25">
        <f t="shared" si="20"/>
        <v>27</v>
      </c>
      <c r="P330" s="13">
        <f t="shared" si="21"/>
        <v>1268.5</v>
      </c>
      <c r="Q330" s="13" t="str">
        <f t="shared" si="22"/>
        <v/>
      </c>
      <c r="R330" s="13" t="str">
        <f t="shared" si="23"/>
        <v>Diskon</v>
      </c>
    </row>
    <row r="331" spans="1:18" x14ac:dyDescent="0.25">
      <c r="A331" s="13" t="s">
        <v>343</v>
      </c>
      <c r="B331" s="13" t="s">
        <v>2192</v>
      </c>
      <c r="C331" s="13" t="s">
        <v>2202</v>
      </c>
      <c r="D331" s="13" t="s">
        <v>2204</v>
      </c>
      <c r="F331" s="13" t="s">
        <v>2221</v>
      </c>
      <c r="G331" s="13">
        <v>76.94</v>
      </c>
      <c r="H331" s="44">
        <v>0</v>
      </c>
      <c r="I331" s="13">
        <v>76.94</v>
      </c>
      <c r="J331" s="24">
        <v>45821</v>
      </c>
      <c r="K331" s="25">
        <v>21</v>
      </c>
      <c r="L331" s="25">
        <v>4.3</v>
      </c>
      <c r="M331" s="13" t="b">
        <v>0</v>
      </c>
      <c r="O331" s="25">
        <f t="shared" si="20"/>
        <v>81</v>
      </c>
      <c r="P331" s="13">
        <f t="shared" si="21"/>
        <v>0</v>
      </c>
      <c r="Q331" s="13" t="str">
        <f t="shared" si="22"/>
        <v/>
      </c>
      <c r="R331" s="13" t="str">
        <f t="shared" si="23"/>
        <v>Non diskon</v>
      </c>
    </row>
    <row r="332" spans="1:18" x14ac:dyDescent="0.25">
      <c r="A332" s="13" t="s">
        <v>344</v>
      </c>
      <c r="B332" s="13" t="s">
        <v>2190</v>
      </c>
      <c r="C332" s="13" t="s">
        <v>2202</v>
      </c>
      <c r="D332" s="13" t="s">
        <v>2207</v>
      </c>
      <c r="E332" s="13" t="s">
        <v>2209</v>
      </c>
      <c r="F332" s="13" t="s">
        <v>2217</v>
      </c>
      <c r="G332" s="13">
        <v>232.19</v>
      </c>
      <c r="H332" s="44">
        <v>0</v>
      </c>
      <c r="I332" s="13">
        <v>232.19</v>
      </c>
      <c r="J332" s="24">
        <v>45875</v>
      </c>
      <c r="K332" s="25">
        <v>31</v>
      </c>
      <c r="L332" s="25">
        <v>1.3</v>
      </c>
      <c r="M332" s="13" t="b">
        <v>1</v>
      </c>
      <c r="N332" s="13" t="s">
        <v>2229</v>
      </c>
      <c r="O332" s="25">
        <f t="shared" si="20"/>
        <v>27</v>
      </c>
      <c r="P332" s="13">
        <f t="shared" si="21"/>
        <v>0</v>
      </c>
      <c r="Q332" s="13">
        <f t="shared" si="22"/>
        <v>1</v>
      </c>
      <c r="R332" s="13" t="str">
        <f t="shared" si="23"/>
        <v>Non diskon</v>
      </c>
    </row>
    <row r="333" spans="1:18" x14ac:dyDescent="0.25">
      <c r="A333" s="13" t="s">
        <v>345</v>
      </c>
      <c r="B333" s="13" t="s">
        <v>2195</v>
      </c>
      <c r="C333" s="13" t="s">
        <v>2203</v>
      </c>
      <c r="D333" s="13" t="s">
        <v>2206</v>
      </c>
      <c r="E333" s="13" t="s">
        <v>2212</v>
      </c>
      <c r="F333" s="13" t="s">
        <v>2222</v>
      </c>
      <c r="G333" s="13">
        <v>80.400000000000006</v>
      </c>
      <c r="H333" s="44">
        <v>52.1</v>
      </c>
      <c r="I333" s="13">
        <v>38.51</v>
      </c>
      <c r="J333" s="24">
        <v>45875</v>
      </c>
      <c r="K333" s="25">
        <v>7</v>
      </c>
      <c r="L333" s="25">
        <v>1.2</v>
      </c>
      <c r="M333" s="13" t="b">
        <v>0</v>
      </c>
      <c r="O333" s="25">
        <f t="shared" si="20"/>
        <v>27</v>
      </c>
      <c r="P333" s="13">
        <f t="shared" si="21"/>
        <v>364.7</v>
      </c>
      <c r="Q333" s="13" t="str">
        <f t="shared" si="22"/>
        <v/>
      </c>
      <c r="R333" s="13" t="str">
        <f t="shared" si="23"/>
        <v>Diskon</v>
      </c>
    </row>
    <row r="334" spans="1:18" x14ac:dyDescent="0.25">
      <c r="A334" s="13" t="s">
        <v>346</v>
      </c>
      <c r="B334" s="13" t="s">
        <v>2194</v>
      </c>
      <c r="C334" s="13" t="s">
        <v>2199</v>
      </c>
      <c r="D334" s="13" t="s">
        <v>2207</v>
      </c>
      <c r="E334" s="13" t="s">
        <v>2208</v>
      </c>
      <c r="F334" s="13" t="s">
        <v>2216</v>
      </c>
      <c r="G334" s="13">
        <v>102.82</v>
      </c>
      <c r="H334" s="44">
        <v>0</v>
      </c>
      <c r="I334" s="13">
        <v>102.82</v>
      </c>
      <c r="J334" s="24">
        <v>45875</v>
      </c>
      <c r="K334" s="25">
        <v>50</v>
      </c>
      <c r="L334" s="25">
        <v>3.6</v>
      </c>
      <c r="M334" s="13" t="b">
        <v>0</v>
      </c>
      <c r="O334" s="25">
        <f t="shared" si="20"/>
        <v>27</v>
      </c>
      <c r="P334" s="13">
        <f t="shared" si="21"/>
        <v>0</v>
      </c>
      <c r="Q334" s="13" t="str">
        <f t="shared" si="22"/>
        <v/>
      </c>
      <c r="R334" s="13" t="str">
        <f t="shared" si="23"/>
        <v>Non diskon</v>
      </c>
    </row>
    <row r="335" spans="1:18" x14ac:dyDescent="0.25">
      <c r="A335" s="13" t="s">
        <v>347</v>
      </c>
      <c r="B335" s="13" t="s">
        <v>2192</v>
      </c>
      <c r="C335" s="13" t="s">
        <v>2196</v>
      </c>
      <c r="D335" s="13" t="s">
        <v>2204</v>
      </c>
      <c r="F335" s="13" t="s">
        <v>2222</v>
      </c>
      <c r="G335" s="13">
        <v>48.5</v>
      </c>
      <c r="H335" s="44">
        <v>0</v>
      </c>
      <c r="I335" s="13">
        <v>48.5</v>
      </c>
      <c r="J335" s="24">
        <v>45786</v>
      </c>
      <c r="K335" s="25">
        <v>46</v>
      </c>
      <c r="L335" s="25">
        <v>2.9116666666666675</v>
      </c>
      <c r="M335" s="13" t="b">
        <v>0</v>
      </c>
      <c r="O335" s="25">
        <f t="shared" si="20"/>
        <v>116</v>
      </c>
      <c r="P335" s="13">
        <f t="shared" si="21"/>
        <v>0</v>
      </c>
      <c r="Q335" s="13" t="str">
        <f t="shared" si="22"/>
        <v/>
      </c>
      <c r="R335" s="13" t="str">
        <f t="shared" si="23"/>
        <v>Non diskon</v>
      </c>
    </row>
    <row r="336" spans="1:18" x14ac:dyDescent="0.25">
      <c r="A336" s="13" t="s">
        <v>348</v>
      </c>
      <c r="B336" s="13" t="s">
        <v>2194</v>
      </c>
      <c r="C336" s="13" t="s">
        <v>2199</v>
      </c>
      <c r="D336" s="13" t="s">
        <v>2206</v>
      </c>
      <c r="F336" s="13" t="s">
        <v>2215</v>
      </c>
      <c r="G336" s="13">
        <v>88.4</v>
      </c>
      <c r="H336" s="44">
        <v>0</v>
      </c>
      <c r="I336" s="13">
        <v>88.4</v>
      </c>
      <c r="J336" s="24">
        <v>45875</v>
      </c>
      <c r="K336" s="25">
        <v>1</v>
      </c>
      <c r="L336" s="25">
        <v>1.4</v>
      </c>
      <c r="M336" s="13" t="b">
        <v>0</v>
      </c>
      <c r="O336" s="25">
        <f t="shared" si="20"/>
        <v>27</v>
      </c>
      <c r="P336" s="13">
        <f t="shared" si="21"/>
        <v>0</v>
      </c>
      <c r="Q336" s="13" t="str">
        <f t="shared" si="22"/>
        <v/>
      </c>
      <c r="R336" s="13" t="str">
        <f t="shared" si="23"/>
        <v>Non diskon</v>
      </c>
    </row>
    <row r="337" spans="1:18" x14ac:dyDescent="0.25">
      <c r="A337" s="13" t="s">
        <v>349</v>
      </c>
      <c r="B337" s="13" t="s">
        <v>2193</v>
      </c>
      <c r="C337" s="13" t="s">
        <v>2199</v>
      </c>
      <c r="D337" s="13" t="s">
        <v>2205</v>
      </c>
      <c r="E337" s="13" t="s">
        <v>2210</v>
      </c>
      <c r="F337" s="13" t="s">
        <v>2216</v>
      </c>
      <c r="G337" s="13">
        <v>112.5</v>
      </c>
      <c r="H337" s="44">
        <v>0</v>
      </c>
      <c r="I337" s="13">
        <v>112.5</v>
      </c>
      <c r="J337" s="24">
        <v>45875</v>
      </c>
      <c r="K337" s="25">
        <v>11</v>
      </c>
      <c r="L337" s="25">
        <v>4.3</v>
      </c>
      <c r="M337" s="13" t="b">
        <v>0</v>
      </c>
      <c r="O337" s="25">
        <f t="shared" si="20"/>
        <v>27</v>
      </c>
      <c r="P337" s="13">
        <f t="shared" si="21"/>
        <v>0</v>
      </c>
      <c r="Q337" s="13" t="str">
        <f t="shared" si="22"/>
        <v/>
      </c>
      <c r="R337" s="13" t="str">
        <f t="shared" si="23"/>
        <v>Non diskon</v>
      </c>
    </row>
    <row r="338" spans="1:18" x14ac:dyDescent="0.25">
      <c r="A338" s="13" t="s">
        <v>350</v>
      </c>
      <c r="B338" s="13" t="s">
        <v>2194</v>
      </c>
      <c r="C338" s="13" t="s">
        <v>2196</v>
      </c>
      <c r="D338" s="13" t="s">
        <v>2206</v>
      </c>
      <c r="E338" s="13" t="s">
        <v>2211</v>
      </c>
      <c r="F338" s="13" t="s">
        <v>2218</v>
      </c>
      <c r="G338" s="13">
        <v>97.95</v>
      </c>
      <c r="H338" s="44">
        <v>11.1</v>
      </c>
      <c r="I338" s="13">
        <v>87.08</v>
      </c>
      <c r="J338" s="24">
        <v>45875</v>
      </c>
      <c r="K338" s="25">
        <v>25</v>
      </c>
      <c r="L338" s="25">
        <v>2.4</v>
      </c>
      <c r="M338" s="13" t="b">
        <v>0</v>
      </c>
      <c r="O338" s="25">
        <f t="shared" si="20"/>
        <v>27</v>
      </c>
      <c r="P338" s="13">
        <f t="shared" si="21"/>
        <v>277.5</v>
      </c>
      <c r="Q338" s="13" t="str">
        <f t="shared" si="22"/>
        <v/>
      </c>
      <c r="R338" s="13" t="str">
        <f t="shared" si="23"/>
        <v>Diskon</v>
      </c>
    </row>
    <row r="339" spans="1:18" x14ac:dyDescent="0.25">
      <c r="A339" s="13" t="s">
        <v>351</v>
      </c>
      <c r="B339" s="13" t="s">
        <v>2190</v>
      </c>
      <c r="C339" s="13" t="s">
        <v>2200</v>
      </c>
      <c r="D339" s="13" t="s">
        <v>2207</v>
      </c>
      <c r="E339" s="13" t="s">
        <v>2213</v>
      </c>
      <c r="F339" s="13" t="s">
        <v>2215</v>
      </c>
      <c r="G339" s="13">
        <v>114.51</v>
      </c>
      <c r="H339" s="44">
        <v>36.9</v>
      </c>
      <c r="I339" s="13">
        <v>72.260000000000005</v>
      </c>
      <c r="J339" s="24">
        <v>45875</v>
      </c>
      <c r="K339" s="25">
        <v>33</v>
      </c>
      <c r="L339" s="25">
        <v>1.5</v>
      </c>
      <c r="M339" s="13" t="b">
        <v>0</v>
      </c>
      <c r="O339" s="25">
        <f t="shared" si="20"/>
        <v>27</v>
      </c>
      <c r="P339" s="13">
        <f t="shared" si="21"/>
        <v>1217.7</v>
      </c>
      <c r="Q339" s="13" t="str">
        <f t="shared" si="22"/>
        <v/>
      </c>
      <c r="R339" s="13" t="str">
        <f t="shared" si="23"/>
        <v>Diskon</v>
      </c>
    </row>
    <row r="340" spans="1:18" x14ac:dyDescent="0.25">
      <c r="A340" s="13" t="s">
        <v>352</v>
      </c>
      <c r="B340" s="13" t="s">
        <v>2194</v>
      </c>
      <c r="C340" s="13" t="s">
        <v>2196</v>
      </c>
      <c r="D340" s="13" t="s">
        <v>2205</v>
      </c>
      <c r="E340" s="13" t="s">
        <v>2212</v>
      </c>
      <c r="F340" s="13" t="s">
        <v>2224</v>
      </c>
      <c r="G340" s="13">
        <v>27.85</v>
      </c>
      <c r="H340" s="44">
        <v>0</v>
      </c>
      <c r="I340" s="13">
        <v>27.85</v>
      </c>
      <c r="J340" s="24">
        <v>45875</v>
      </c>
      <c r="K340" s="25">
        <v>0</v>
      </c>
      <c r="L340" s="25">
        <v>1.5</v>
      </c>
      <c r="M340" s="13" t="b">
        <v>0</v>
      </c>
      <c r="O340" s="25">
        <f t="shared" si="20"/>
        <v>27</v>
      </c>
      <c r="P340" s="13">
        <f t="shared" si="21"/>
        <v>0</v>
      </c>
      <c r="Q340" s="13" t="str">
        <f t="shared" si="22"/>
        <v/>
      </c>
      <c r="R340" s="13" t="str">
        <f t="shared" si="23"/>
        <v>Non diskon</v>
      </c>
    </row>
    <row r="341" spans="1:18" x14ac:dyDescent="0.25">
      <c r="A341" s="13" t="s">
        <v>353</v>
      </c>
      <c r="B341" s="13" t="s">
        <v>2193</v>
      </c>
      <c r="C341" s="13" t="s">
        <v>2201</v>
      </c>
      <c r="D341" s="13" t="s">
        <v>2204</v>
      </c>
      <c r="E341" s="13" t="s">
        <v>2208</v>
      </c>
      <c r="F341" s="13" t="s">
        <v>2219</v>
      </c>
      <c r="G341" s="13">
        <v>82.08</v>
      </c>
      <c r="H341" s="44">
        <v>40.6</v>
      </c>
      <c r="I341" s="13">
        <v>48.76</v>
      </c>
      <c r="J341" s="24">
        <v>45800</v>
      </c>
      <c r="K341" s="25">
        <v>43</v>
      </c>
      <c r="L341" s="25">
        <v>2.5</v>
      </c>
      <c r="M341" s="13" t="b">
        <v>1</v>
      </c>
      <c r="N341" s="13" t="s">
        <v>2228</v>
      </c>
      <c r="O341" s="25">
        <f t="shared" si="20"/>
        <v>102</v>
      </c>
      <c r="P341" s="13">
        <f t="shared" si="21"/>
        <v>1745.8</v>
      </c>
      <c r="Q341" s="13">
        <f t="shared" si="22"/>
        <v>1</v>
      </c>
      <c r="R341" s="13" t="str">
        <f t="shared" si="23"/>
        <v>Diskon</v>
      </c>
    </row>
    <row r="342" spans="1:18" x14ac:dyDescent="0.25">
      <c r="A342" s="13" t="s">
        <v>354</v>
      </c>
      <c r="B342" s="13" t="s">
        <v>2194</v>
      </c>
      <c r="C342" s="13" t="s">
        <v>2199</v>
      </c>
      <c r="D342" s="13" t="s">
        <v>2207</v>
      </c>
      <c r="E342" s="13" t="s">
        <v>2210</v>
      </c>
      <c r="F342" s="13" t="s">
        <v>2216</v>
      </c>
      <c r="G342" s="13">
        <v>116.41</v>
      </c>
      <c r="H342" s="44">
        <v>40.700000000000003</v>
      </c>
      <c r="I342" s="13">
        <v>69.03</v>
      </c>
      <c r="J342" s="24">
        <v>45875</v>
      </c>
      <c r="K342" s="25">
        <v>23</v>
      </c>
      <c r="L342" s="25">
        <v>1.2</v>
      </c>
      <c r="M342" s="13" t="b">
        <v>0</v>
      </c>
      <c r="O342" s="25">
        <f t="shared" si="20"/>
        <v>27</v>
      </c>
      <c r="P342" s="13">
        <f t="shared" si="21"/>
        <v>936.1</v>
      </c>
      <c r="Q342" s="13" t="str">
        <f t="shared" si="22"/>
        <v/>
      </c>
      <c r="R342" s="13" t="str">
        <f t="shared" si="23"/>
        <v>Diskon</v>
      </c>
    </row>
    <row r="343" spans="1:18" x14ac:dyDescent="0.25">
      <c r="A343" s="13" t="s">
        <v>355</v>
      </c>
      <c r="B343" s="13" t="s">
        <v>2194</v>
      </c>
      <c r="C343" s="13" t="s">
        <v>2201</v>
      </c>
      <c r="D343" s="13" t="s">
        <v>2204</v>
      </c>
      <c r="E343" s="13" t="s">
        <v>2213</v>
      </c>
      <c r="F343" s="13" t="s">
        <v>2217</v>
      </c>
      <c r="G343" s="13">
        <v>95.61</v>
      </c>
      <c r="H343" s="44">
        <v>0</v>
      </c>
      <c r="I343" s="13">
        <v>95.61</v>
      </c>
      <c r="J343" s="24">
        <v>45818</v>
      </c>
      <c r="K343" s="25">
        <v>47</v>
      </c>
      <c r="L343" s="25">
        <v>4.7</v>
      </c>
      <c r="M343" s="13" t="b">
        <v>1</v>
      </c>
      <c r="N343" s="13" t="s">
        <v>2228</v>
      </c>
      <c r="O343" s="25">
        <f t="shared" si="20"/>
        <v>84</v>
      </c>
      <c r="P343" s="13">
        <f t="shared" si="21"/>
        <v>0</v>
      </c>
      <c r="Q343" s="13">
        <f t="shared" si="22"/>
        <v>1</v>
      </c>
      <c r="R343" s="13" t="str">
        <f t="shared" si="23"/>
        <v>Non diskon</v>
      </c>
    </row>
    <row r="344" spans="1:18" x14ac:dyDescent="0.25">
      <c r="A344" s="13" t="s">
        <v>356</v>
      </c>
      <c r="B344" s="13" t="s">
        <v>2193</v>
      </c>
      <c r="C344" s="13" t="s">
        <v>2199</v>
      </c>
      <c r="D344" s="13" t="s">
        <v>2206</v>
      </c>
      <c r="E344" s="13" t="s">
        <v>2213</v>
      </c>
      <c r="F344" s="13" t="s">
        <v>2217</v>
      </c>
      <c r="G344" s="13">
        <v>70.040000000000006</v>
      </c>
      <c r="H344" s="44">
        <v>0</v>
      </c>
      <c r="I344" s="13">
        <v>70.040000000000006</v>
      </c>
      <c r="J344" s="24">
        <v>45875</v>
      </c>
      <c r="K344" s="25">
        <v>12</v>
      </c>
      <c r="L344" s="25">
        <v>2.4</v>
      </c>
      <c r="M344" s="13" t="b">
        <v>0</v>
      </c>
      <c r="O344" s="25">
        <f t="shared" si="20"/>
        <v>27</v>
      </c>
      <c r="P344" s="13">
        <f t="shared" si="21"/>
        <v>0</v>
      </c>
      <c r="Q344" s="13" t="str">
        <f t="shared" si="22"/>
        <v/>
      </c>
      <c r="R344" s="13" t="str">
        <f t="shared" si="23"/>
        <v>Non diskon</v>
      </c>
    </row>
    <row r="345" spans="1:18" x14ac:dyDescent="0.25">
      <c r="A345" s="13" t="s">
        <v>357</v>
      </c>
      <c r="B345" s="13" t="s">
        <v>2193</v>
      </c>
      <c r="C345" s="13" t="s">
        <v>2198</v>
      </c>
      <c r="D345" s="13" t="s">
        <v>2205</v>
      </c>
      <c r="E345" s="13" t="s">
        <v>2210</v>
      </c>
      <c r="F345" s="13" t="s">
        <v>2218</v>
      </c>
      <c r="G345" s="13">
        <v>112.59</v>
      </c>
      <c r="H345" s="44">
        <v>54</v>
      </c>
      <c r="I345" s="13">
        <v>51.79</v>
      </c>
      <c r="J345" s="24">
        <v>45875</v>
      </c>
      <c r="K345" s="25">
        <v>17</v>
      </c>
      <c r="L345" s="25">
        <v>4</v>
      </c>
      <c r="M345" s="13" t="b">
        <v>0</v>
      </c>
      <c r="O345" s="25">
        <f t="shared" si="20"/>
        <v>27</v>
      </c>
      <c r="P345" s="13">
        <f t="shared" si="21"/>
        <v>918</v>
      </c>
      <c r="Q345" s="13" t="str">
        <f t="shared" si="22"/>
        <v/>
      </c>
      <c r="R345" s="13" t="str">
        <f t="shared" si="23"/>
        <v>Diskon</v>
      </c>
    </row>
    <row r="346" spans="1:18" x14ac:dyDescent="0.25">
      <c r="A346" s="13" t="s">
        <v>358</v>
      </c>
      <c r="B346" s="13" t="s">
        <v>2192</v>
      </c>
      <c r="C346" s="13" t="s">
        <v>2196</v>
      </c>
      <c r="D346" s="13" t="s">
        <v>2207</v>
      </c>
      <c r="F346" s="13" t="s">
        <v>2223</v>
      </c>
      <c r="G346" s="13">
        <v>26.8</v>
      </c>
      <c r="H346" s="44">
        <v>0.9</v>
      </c>
      <c r="I346" s="13">
        <v>26.56</v>
      </c>
      <c r="J346" s="24">
        <v>45875</v>
      </c>
      <c r="K346" s="25">
        <v>25</v>
      </c>
      <c r="L346" s="25">
        <v>1.2</v>
      </c>
      <c r="M346" s="13" t="b">
        <v>1</v>
      </c>
      <c r="N346" s="13" t="s">
        <v>2225</v>
      </c>
      <c r="O346" s="25">
        <f t="shared" si="20"/>
        <v>27</v>
      </c>
      <c r="P346" s="13">
        <f t="shared" si="21"/>
        <v>22.5</v>
      </c>
      <c r="Q346" s="13">
        <f t="shared" si="22"/>
        <v>1</v>
      </c>
      <c r="R346" s="13" t="str">
        <f t="shared" si="23"/>
        <v>Diskon</v>
      </c>
    </row>
    <row r="347" spans="1:18" x14ac:dyDescent="0.25">
      <c r="A347" s="13" t="s">
        <v>359</v>
      </c>
      <c r="B347" s="13" t="s">
        <v>2191</v>
      </c>
      <c r="C347" s="13" t="s">
        <v>2200</v>
      </c>
      <c r="D347" s="13" t="s">
        <v>2207</v>
      </c>
      <c r="E347" s="13" t="s">
        <v>2209</v>
      </c>
      <c r="F347" s="13" t="s">
        <v>2219</v>
      </c>
      <c r="G347" s="13">
        <v>50.09</v>
      </c>
      <c r="H347" s="44">
        <v>0</v>
      </c>
      <c r="I347" s="13">
        <v>50.09</v>
      </c>
      <c r="J347" s="24">
        <v>45875</v>
      </c>
      <c r="K347" s="25">
        <v>47</v>
      </c>
      <c r="L347" s="25">
        <v>4</v>
      </c>
      <c r="M347" s="13" t="b">
        <v>0</v>
      </c>
      <c r="O347" s="25">
        <f t="shared" si="20"/>
        <v>27</v>
      </c>
      <c r="P347" s="13">
        <f t="shared" si="21"/>
        <v>0</v>
      </c>
      <c r="Q347" s="13" t="str">
        <f t="shared" si="22"/>
        <v/>
      </c>
      <c r="R347" s="13" t="str">
        <f t="shared" si="23"/>
        <v>Non diskon</v>
      </c>
    </row>
    <row r="348" spans="1:18" x14ac:dyDescent="0.25">
      <c r="A348" s="13" t="s">
        <v>360</v>
      </c>
      <c r="B348" s="13" t="s">
        <v>2194</v>
      </c>
      <c r="C348" s="13" t="s">
        <v>2199</v>
      </c>
      <c r="D348" s="13" t="s">
        <v>2204</v>
      </c>
      <c r="E348" s="13" t="s">
        <v>2212</v>
      </c>
      <c r="F348" s="13" t="s">
        <v>2220</v>
      </c>
      <c r="G348" s="13">
        <v>92.84</v>
      </c>
      <c r="H348" s="44">
        <v>4.2</v>
      </c>
      <c r="I348" s="13">
        <v>88.94</v>
      </c>
      <c r="J348" s="24">
        <v>45670</v>
      </c>
      <c r="K348" s="25">
        <v>0</v>
      </c>
      <c r="L348" s="25">
        <v>2.8142857142857149</v>
      </c>
      <c r="M348" s="13" t="b">
        <v>1</v>
      </c>
      <c r="N348" s="13" t="s">
        <v>2226</v>
      </c>
      <c r="O348" s="25">
        <f t="shared" si="20"/>
        <v>232</v>
      </c>
      <c r="P348" s="13">
        <f t="shared" si="21"/>
        <v>0</v>
      </c>
      <c r="Q348" s="13">
        <f t="shared" si="22"/>
        <v>1</v>
      </c>
      <c r="R348" s="13" t="str">
        <f t="shared" si="23"/>
        <v>Diskon</v>
      </c>
    </row>
    <row r="349" spans="1:18" x14ac:dyDescent="0.25">
      <c r="A349" s="13" t="s">
        <v>361</v>
      </c>
      <c r="B349" s="13" t="s">
        <v>2191</v>
      </c>
      <c r="C349" s="13" t="s">
        <v>2197</v>
      </c>
      <c r="D349" s="13" t="s">
        <v>2207</v>
      </c>
      <c r="E349" s="13" t="s">
        <v>2211</v>
      </c>
      <c r="F349" s="13" t="s">
        <v>2218</v>
      </c>
      <c r="G349" s="13">
        <v>114.63</v>
      </c>
      <c r="H349" s="44">
        <v>0</v>
      </c>
      <c r="I349" s="13">
        <v>114.63</v>
      </c>
      <c r="J349" s="24">
        <v>45875</v>
      </c>
      <c r="K349" s="25">
        <v>47</v>
      </c>
      <c r="L349" s="25">
        <v>3.8</v>
      </c>
      <c r="M349" s="13" t="b">
        <v>1</v>
      </c>
      <c r="N349" s="13" t="s">
        <v>2229</v>
      </c>
      <c r="O349" s="25">
        <f t="shared" si="20"/>
        <v>27</v>
      </c>
      <c r="P349" s="13">
        <f t="shared" si="21"/>
        <v>0</v>
      </c>
      <c r="Q349" s="13">
        <f t="shared" si="22"/>
        <v>1</v>
      </c>
      <c r="R349" s="13" t="str">
        <f t="shared" si="23"/>
        <v>Non diskon</v>
      </c>
    </row>
    <row r="350" spans="1:18" x14ac:dyDescent="0.25">
      <c r="A350" s="13" t="s">
        <v>362</v>
      </c>
      <c r="B350" s="13" t="s">
        <v>2192</v>
      </c>
      <c r="C350" s="13" t="s">
        <v>2202</v>
      </c>
      <c r="D350" s="13" t="s">
        <v>2207</v>
      </c>
      <c r="F350" s="13" t="s">
        <v>2223</v>
      </c>
      <c r="G350" s="13">
        <v>21.9</v>
      </c>
      <c r="H350" s="44">
        <v>29.2</v>
      </c>
      <c r="I350" s="13">
        <v>15.51</v>
      </c>
      <c r="J350" s="24">
        <v>45875</v>
      </c>
      <c r="K350" s="25">
        <v>35</v>
      </c>
      <c r="L350" s="25">
        <v>2</v>
      </c>
      <c r="M350" s="13" t="b">
        <v>0</v>
      </c>
      <c r="O350" s="25">
        <f t="shared" si="20"/>
        <v>27</v>
      </c>
      <c r="P350" s="13">
        <f t="shared" si="21"/>
        <v>1022</v>
      </c>
      <c r="Q350" s="13" t="str">
        <f t="shared" si="22"/>
        <v/>
      </c>
      <c r="R350" s="13" t="str">
        <f t="shared" si="23"/>
        <v>Diskon</v>
      </c>
    </row>
    <row r="351" spans="1:18" x14ac:dyDescent="0.25">
      <c r="A351" s="13" t="s">
        <v>363</v>
      </c>
      <c r="B351" s="13" t="s">
        <v>2195</v>
      </c>
      <c r="C351" s="13" t="s">
        <v>2196</v>
      </c>
      <c r="D351" s="13" t="s">
        <v>2204</v>
      </c>
      <c r="E351" s="13" t="s">
        <v>2212</v>
      </c>
      <c r="F351" s="13" t="s">
        <v>2222</v>
      </c>
      <c r="G351" s="13">
        <v>100.55</v>
      </c>
      <c r="H351" s="44">
        <v>46.7</v>
      </c>
      <c r="I351" s="13">
        <v>53.59</v>
      </c>
      <c r="J351" s="24">
        <v>45689</v>
      </c>
      <c r="K351" s="25">
        <v>30</v>
      </c>
      <c r="L351" s="25">
        <v>3.0424242424242425</v>
      </c>
      <c r="M351" s="13" t="b">
        <v>0</v>
      </c>
      <c r="O351" s="25">
        <f t="shared" si="20"/>
        <v>213</v>
      </c>
      <c r="P351" s="13">
        <f t="shared" si="21"/>
        <v>1401</v>
      </c>
      <c r="Q351" s="13" t="str">
        <f t="shared" si="22"/>
        <v/>
      </c>
      <c r="R351" s="13" t="str">
        <f t="shared" si="23"/>
        <v>Diskon</v>
      </c>
    </row>
    <row r="352" spans="1:18" x14ac:dyDescent="0.25">
      <c r="A352" s="13" t="s">
        <v>364</v>
      </c>
      <c r="B352" s="13" t="s">
        <v>2192</v>
      </c>
      <c r="C352" s="13" t="s">
        <v>2203</v>
      </c>
      <c r="D352" s="13" t="s">
        <v>2207</v>
      </c>
      <c r="F352" s="13" t="s">
        <v>2224</v>
      </c>
      <c r="G352" s="13">
        <v>47.45</v>
      </c>
      <c r="H352" s="44">
        <v>16.399999999999999</v>
      </c>
      <c r="I352" s="13">
        <v>39.67</v>
      </c>
      <c r="J352" s="24">
        <v>45875</v>
      </c>
      <c r="K352" s="25">
        <v>33</v>
      </c>
      <c r="L352" s="25">
        <v>1.7</v>
      </c>
      <c r="M352" s="13" t="b">
        <v>0</v>
      </c>
      <c r="O352" s="25">
        <f t="shared" si="20"/>
        <v>27</v>
      </c>
      <c r="P352" s="13">
        <f t="shared" si="21"/>
        <v>541.19999999999993</v>
      </c>
      <c r="Q352" s="13" t="str">
        <f t="shared" si="22"/>
        <v/>
      </c>
      <c r="R352" s="13" t="str">
        <f t="shared" si="23"/>
        <v>Diskon</v>
      </c>
    </row>
    <row r="353" spans="1:18" x14ac:dyDescent="0.25">
      <c r="A353" s="13" t="s">
        <v>365</v>
      </c>
      <c r="B353" s="13" t="s">
        <v>2194</v>
      </c>
      <c r="C353" s="13" t="s">
        <v>2200</v>
      </c>
      <c r="D353" s="13" t="s">
        <v>2207</v>
      </c>
      <c r="E353" s="13" t="s">
        <v>2208</v>
      </c>
      <c r="F353" s="13" t="s">
        <v>2224</v>
      </c>
      <c r="G353" s="13">
        <v>113.21</v>
      </c>
      <c r="H353" s="44">
        <v>0</v>
      </c>
      <c r="I353" s="13">
        <v>113.21</v>
      </c>
      <c r="J353" s="24">
        <v>45875</v>
      </c>
      <c r="K353" s="25">
        <v>8</v>
      </c>
      <c r="L353" s="25">
        <v>2.7</v>
      </c>
      <c r="M353" s="13" t="b">
        <v>0</v>
      </c>
      <c r="O353" s="25">
        <f t="shared" si="20"/>
        <v>27</v>
      </c>
      <c r="P353" s="13">
        <f t="shared" si="21"/>
        <v>0</v>
      </c>
      <c r="Q353" s="13" t="str">
        <f t="shared" si="22"/>
        <v/>
      </c>
      <c r="R353" s="13" t="str">
        <f t="shared" si="23"/>
        <v>Non diskon</v>
      </c>
    </row>
    <row r="354" spans="1:18" x14ac:dyDescent="0.25">
      <c r="A354" s="13" t="s">
        <v>366</v>
      </c>
      <c r="B354" s="13" t="s">
        <v>2195</v>
      </c>
      <c r="C354" s="13" t="s">
        <v>2198</v>
      </c>
      <c r="D354" s="13" t="s">
        <v>2204</v>
      </c>
      <c r="E354" s="13" t="s">
        <v>2212</v>
      </c>
      <c r="F354" s="13" t="s">
        <v>2216</v>
      </c>
      <c r="G354" s="13">
        <v>163.27000000000001</v>
      </c>
      <c r="H354" s="44">
        <v>0</v>
      </c>
      <c r="I354" s="13">
        <v>163.27000000000001</v>
      </c>
      <c r="J354" s="24">
        <v>45770</v>
      </c>
      <c r="K354" s="25">
        <v>24</v>
      </c>
      <c r="L354" s="25">
        <v>2.5</v>
      </c>
      <c r="M354" s="13" t="b">
        <v>0</v>
      </c>
      <c r="O354" s="25">
        <f t="shared" si="20"/>
        <v>132</v>
      </c>
      <c r="P354" s="13">
        <f t="shared" si="21"/>
        <v>0</v>
      </c>
      <c r="Q354" s="13" t="str">
        <f t="shared" si="22"/>
        <v/>
      </c>
      <c r="R354" s="13" t="str">
        <f t="shared" si="23"/>
        <v>Non diskon</v>
      </c>
    </row>
    <row r="355" spans="1:18" x14ac:dyDescent="0.25">
      <c r="A355" s="13" t="s">
        <v>367</v>
      </c>
      <c r="B355" s="13" t="s">
        <v>2192</v>
      </c>
      <c r="C355" s="13" t="s">
        <v>2197</v>
      </c>
      <c r="D355" s="13" t="s">
        <v>2206</v>
      </c>
      <c r="F355" s="13" t="s">
        <v>2216</v>
      </c>
      <c r="G355" s="13">
        <v>44.58</v>
      </c>
      <c r="H355" s="44">
        <v>0</v>
      </c>
      <c r="I355" s="13">
        <v>44.58</v>
      </c>
      <c r="J355" s="24">
        <v>45875</v>
      </c>
      <c r="K355" s="25">
        <v>21</v>
      </c>
      <c r="L355" s="25">
        <v>3.1288461538461547</v>
      </c>
      <c r="M355" s="13" t="b">
        <v>0</v>
      </c>
      <c r="O355" s="25">
        <f t="shared" si="20"/>
        <v>27</v>
      </c>
      <c r="P355" s="13">
        <f t="shared" si="21"/>
        <v>0</v>
      </c>
      <c r="Q355" s="13" t="str">
        <f t="shared" si="22"/>
        <v/>
      </c>
      <c r="R355" s="13" t="str">
        <f t="shared" si="23"/>
        <v>Non diskon</v>
      </c>
    </row>
    <row r="356" spans="1:18" x14ac:dyDescent="0.25">
      <c r="A356" s="13" t="s">
        <v>368</v>
      </c>
      <c r="B356" s="13" t="s">
        <v>2195</v>
      </c>
      <c r="C356" s="13" t="s">
        <v>2203</v>
      </c>
      <c r="D356" s="13" t="s">
        <v>2207</v>
      </c>
      <c r="E356" s="13" t="s">
        <v>2209</v>
      </c>
      <c r="F356" s="13" t="s">
        <v>2214</v>
      </c>
      <c r="G356" s="13">
        <v>166.53</v>
      </c>
      <c r="H356" s="44">
        <v>0</v>
      </c>
      <c r="I356" s="13">
        <v>166.53</v>
      </c>
      <c r="J356" s="24">
        <v>45875</v>
      </c>
      <c r="K356" s="25">
        <v>28</v>
      </c>
      <c r="L356" s="25">
        <v>1.7</v>
      </c>
      <c r="M356" s="13" t="b">
        <v>0</v>
      </c>
      <c r="O356" s="25">
        <f t="shared" si="20"/>
        <v>27</v>
      </c>
      <c r="P356" s="13">
        <f t="shared" si="21"/>
        <v>0</v>
      </c>
      <c r="Q356" s="13" t="str">
        <f t="shared" si="22"/>
        <v/>
      </c>
      <c r="R356" s="13" t="str">
        <f t="shared" si="23"/>
        <v>Non diskon</v>
      </c>
    </row>
    <row r="357" spans="1:18" x14ac:dyDescent="0.25">
      <c r="A357" s="13" t="s">
        <v>369</v>
      </c>
      <c r="B357" s="13" t="s">
        <v>2193</v>
      </c>
      <c r="C357" s="13" t="s">
        <v>2198</v>
      </c>
      <c r="D357" s="13" t="s">
        <v>2207</v>
      </c>
      <c r="E357" s="13" t="s">
        <v>2208</v>
      </c>
      <c r="F357" s="13" t="s">
        <v>2215</v>
      </c>
      <c r="G357" s="13">
        <v>144.61000000000001</v>
      </c>
      <c r="H357" s="44">
        <v>0</v>
      </c>
      <c r="I357" s="13">
        <v>144.61000000000001</v>
      </c>
      <c r="J357" s="24">
        <v>45875</v>
      </c>
      <c r="K357" s="25">
        <v>21</v>
      </c>
      <c r="L357" s="25">
        <v>2.5</v>
      </c>
      <c r="M357" s="13" t="b">
        <v>0</v>
      </c>
      <c r="O357" s="25">
        <f t="shared" si="20"/>
        <v>27</v>
      </c>
      <c r="P357" s="13">
        <f t="shared" si="21"/>
        <v>0</v>
      </c>
      <c r="Q357" s="13" t="str">
        <f t="shared" si="22"/>
        <v/>
      </c>
      <c r="R357" s="13" t="str">
        <f t="shared" si="23"/>
        <v>Non diskon</v>
      </c>
    </row>
    <row r="358" spans="1:18" x14ac:dyDescent="0.25">
      <c r="A358" s="13" t="s">
        <v>370</v>
      </c>
      <c r="B358" s="13" t="s">
        <v>2192</v>
      </c>
      <c r="C358" s="13" t="s">
        <v>2199</v>
      </c>
      <c r="D358" s="13" t="s">
        <v>2206</v>
      </c>
      <c r="F358" s="13" t="s">
        <v>2222</v>
      </c>
      <c r="G358" s="13">
        <v>31</v>
      </c>
      <c r="H358" s="44">
        <v>0</v>
      </c>
      <c r="I358" s="13">
        <v>31</v>
      </c>
      <c r="J358" s="24">
        <v>45875</v>
      </c>
      <c r="K358" s="25">
        <v>29</v>
      </c>
      <c r="L358" s="25">
        <v>1.9</v>
      </c>
      <c r="M358" s="13" t="b">
        <v>0</v>
      </c>
      <c r="O358" s="25">
        <f t="shared" si="20"/>
        <v>27</v>
      </c>
      <c r="P358" s="13">
        <f t="shared" si="21"/>
        <v>0</v>
      </c>
      <c r="Q358" s="13" t="str">
        <f t="shared" si="22"/>
        <v/>
      </c>
      <c r="R358" s="13" t="str">
        <f t="shared" si="23"/>
        <v>Non diskon</v>
      </c>
    </row>
    <row r="359" spans="1:18" x14ac:dyDescent="0.25">
      <c r="A359" s="13" t="s">
        <v>371</v>
      </c>
      <c r="B359" s="13" t="s">
        <v>2192</v>
      </c>
      <c r="C359" s="13" t="s">
        <v>2203</v>
      </c>
      <c r="D359" s="13" t="s">
        <v>2205</v>
      </c>
      <c r="F359" s="13" t="s">
        <v>2215</v>
      </c>
      <c r="G359" s="13">
        <v>68.569999999999993</v>
      </c>
      <c r="H359" s="44">
        <v>29.4</v>
      </c>
      <c r="I359" s="13">
        <v>48.41</v>
      </c>
      <c r="J359" s="24">
        <v>45875</v>
      </c>
      <c r="K359" s="25">
        <v>4</v>
      </c>
      <c r="L359" s="25">
        <v>3.5</v>
      </c>
      <c r="M359" s="13" t="b">
        <v>0</v>
      </c>
      <c r="O359" s="25">
        <f t="shared" si="20"/>
        <v>27</v>
      </c>
      <c r="P359" s="13">
        <f t="shared" si="21"/>
        <v>117.6</v>
      </c>
      <c r="Q359" s="13" t="str">
        <f t="shared" si="22"/>
        <v/>
      </c>
      <c r="R359" s="13" t="str">
        <f t="shared" si="23"/>
        <v>Diskon</v>
      </c>
    </row>
    <row r="360" spans="1:18" x14ac:dyDescent="0.25">
      <c r="A360" s="13" t="s">
        <v>372</v>
      </c>
      <c r="B360" s="13" t="s">
        <v>2195</v>
      </c>
      <c r="C360" s="13" t="s">
        <v>2203</v>
      </c>
      <c r="D360" s="13" t="s">
        <v>2207</v>
      </c>
      <c r="E360" s="13" t="s">
        <v>2209</v>
      </c>
      <c r="F360" s="13" t="s">
        <v>2214</v>
      </c>
      <c r="G360" s="13">
        <v>73.040000000000006</v>
      </c>
      <c r="H360" s="44">
        <v>56.5</v>
      </c>
      <c r="I360" s="13">
        <v>31.77</v>
      </c>
      <c r="J360" s="24">
        <v>45875</v>
      </c>
      <c r="K360" s="25">
        <v>15</v>
      </c>
      <c r="L360" s="25">
        <v>3</v>
      </c>
      <c r="M360" s="13" t="b">
        <v>1</v>
      </c>
      <c r="N360" s="13" t="s">
        <v>2229</v>
      </c>
      <c r="O360" s="25">
        <f t="shared" si="20"/>
        <v>27</v>
      </c>
      <c r="P360" s="13">
        <f t="shared" si="21"/>
        <v>847.5</v>
      </c>
      <c r="Q360" s="13">
        <f t="shared" si="22"/>
        <v>1</v>
      </c>
      <c r="R360" s="13" t="str">
        <f t="shared" si="23"/>
        <v>Diskon</v>
      </c>
    </row>
    <row r="361" spans="1:18" x14ac:dyDescent="0.25">
      <c r="A361" s="13" t="s">
        <v>373</v>
      </c>
      <c r="B361" s="13" t="s">
        <v>2191</v>
      </c>
      <c r="C361" s="13" t="s">
        <v>2200</v>
      </c>
      <c r="D361" s="13" t="s">
        <v>2204</v>
      </c>
      <c r="E361" s="13" t="s">
        <v>2209</v>
      </c>
      <c r="F361" s="13" t="s">
        <v>2223</v>
      </c>
      <c r="G361" s="13">
        <v>95.19</v>
      </c>
      <c r="H361" s="44">
        <v>0</v>
      </c>
      <c r="I361" s="13">
        <v>95.19</v>
      </c>
      <c r="J361" s="24">
        <v>45697</v>
      </c>
      <c r="K361" s="25">
        <v>13</v>
      </c>
      <c r="L361" s="25">
        <v>4.0999999999999996</v>
      </c>
      <c r="M361" s="13" t="b">
        <v>0</v>
      </c>
      <c r="O361" s="25">
        <f t="shared" si="20"/>
        <v>205</v>
      </c>
      <c r="P361" s="13">
        <f t="shared" si="21"/>
        <v>0</v>
      </c>
      <c r="Q361" s="13" t="str">
        <f t="shared" si="22"/>
        <v/>
      </c>
      <c r="R361" s="13" t="str">
        <f t="shared" si="23"/>
        <v>Non diskon</v>
      </c>
    </row>
    <row r="362" spans="1:18" x14ac:dyDescent="0.25">
      <c r="A362" s="13" t="s">
        <v>374</v>
      </c>
      <c r="B362" s="13" t="s">
        <v>2191</v>
      </c>
      <c r="C362" s="13" t="s">
        <v>2202</v>
      </c>
      <c r="D362" s="13" t="s">
        <v>2205</v>
      </c>
      <c r="E362" s="13" t="s">
        <v>2212</v>
      </c>
      <c r="F362" s="13" t="s">
        <v>2223</v>
      </c>
      <c r="G362" s="13">
        <v>104.94</v>
      </c>
      <c r="H362" s="44">
        <v>0</v>
      </c>
      <c r="I362" s="13">
        <v>104.94</v>
      </c>
      <c r="J362" s="24">
        <v>45875</v>
      </c>
      <c r="K362" s="25">
        <v>42</v>
      </c>
      <c r="L362" s="25">
        <v>2</v>
      </c>
      <c r="M362" s="13" t="b">
        <v>0</v>
      </c>
      <c r="O362" s="25">
        <f t="shared" si="20"/>
        <v>27</v>
      </c>
      <c r="P362" s="13">
        <f t="shared" si="21"/>
        <v>0</v>
      </c>
      <c r="Q362" s="13" t="str">
        <f t="shared" si="22"/>
        <v/>
      </c>
      <c r="R362" s="13" t="str">
        <f t="shared" si="23"/>
        <v>Non diskon</v>
      </c>
    </row>
    <row r="363" spans="1:18" x14ac:dyDescent="0.25">
      <c r="A363" s="13" t="s">
        <v>375</v>
      </c>
      <c r="B363" s="13" t="s">
        <v>2194</v>
      </c>
      <c r="C363" s="13" t="s">
        <v>2202</v>
      </c>
      <c r="D363" s="13" t="s">
        <v>2204</v>
      </c>
      <c r="E363" s="13" t="s">
        <v>2211</v>
      </c>
      <c r="F363" s="13" t="s">
        <v>2221</v>
      </c>
      <c r="G363" s="13">
        <v>97.29</v>
      </c>
      <c r="H363" s="44">
        <v>0</v>
      </c>
      <c r="I363" s="13">
        <v>97.29</v>
      </c>
      <c r="J363" s="24">
        <v>45867</v>
      </c>
      <c r="K363" s="25">
        <v>42</v>
      </c>
      <c r="L363" s="25">
        <v>4.5</v>
      </c>
      <c r="M363" s="13" t="b">
        <v>0</v>
      </c>
      <c r="O363" s="25">
        <f t="shared" si="20"/>
        <v>35</v>
      </c>
      <c r="P363" s="13">
        <f t="shared" si="21"/>
        <v>0</v>
      </c>
      <c r="Q363" s="13" t="str">
        <f t="shared" si="22"/>
        <v/>
      </c>
      <c r="R363" s="13" t="str">
        <f t="shared" si="23"/>
        <v>Non diskon</v>
      </c>
    </row>
    <row r="364" spans="1:18" x14ac:dyDescent="0.25">
      <c r="A364" s="13" t="s">
        <v>376</v>
      </c>
      <c r="B364" s="13" t="s">
        <v>2193</v>
      </c>
      <c r="C364" s="13" t="s">
        <v>2199</v>
      </c>
      <c r="D364" s="13" t="s">
        <v>2205</v>
      </c>
      <c r="E364" s="13" t="s">
        <v>2209</v>
      </c>
      <c r="F364" s="13" t="s">
        <v>2217</v>
      </c>
      <c r="G364" s="13">
        <v>83.05</v>
      </c>
      <c r="H364" s="44">
        <v>39.799999999999997</v>
      </c>
      <c r="I364" s="13">
        <v>50</v>
      </c>
      <c r="J364" s="24">
        <v>45875</v>
      </c>
      <c r="K364" s="25">
        <v>5</v>
      </c>
      <c r="L364" s="25">
        <v>3.4</v>
      </c>
      <c r="M364" s="13" t="b">
        <v>0</v>
      </c>
      <c r="O364" s="25">
        <f t="shared" si="20"/>
        <v>27</v>
      </c>
      <c r="P364" s="13">
        <f t="shared" si="21"/>
        <v>199</v>
      </c>
      <c r="Q364" s="13" t="str">
        <f t="shared" si="22"/>
        <v/>
      </c>
      <c r="R364" s="13" t="str">
        <f t="shared" si="23"/>
        <v>Diskon</v>
      </c>
    </row>
    <row r="365" spans="1:18" x14ac:dyDescent="0.25">
      <c r="A365" s="13" t="s">
        <v>377</v>
      </c>
      <c r="B365" s="13" t="s">
        <v>2190</v>
      </c>
      <c r="C365" s="13" t="s">
        <v>2197</v>
      </c>
      <c r="D365" s="13" t="s">
        <v>2206</v>
      </c>
      <c r="E365" s="13" t="s">
        <v>2210</v>
      </c>
      <c r="F365" s="13" t="s">
        <v>2221</v>
      </c>
      <c r="G365" s="13">
        <v>86.13</v>
      </c>
      <c r="H365" s="44">
        <v>0</v>
      </c>
      <c r="I365" s="13">
        <v>86.13</v>
      </c>
      <c r="J365" s="24">
        <v>45875</v>
      </c>
      <c r="K365" s="25">
        <v>28</v>
      </c>
      <c r="L365" s="25">
        <v>2.7</v>
      </c>
      <c r="M365" s="13" t="b">
        <v>0</v>
      </c>
      <c r="O365" s="25">
        <f t="shared" si="20"/>
        <v>27</v>
      </c>
      <c r="P365" s="13">
        <f t="shared" si="21"/>
        <v>0</v>
      </c>
      <c r="Q365" s="13" t="str">
        <f t="shared" si="22"/>
        <v/>
      </c>
      <c r="R365" s="13" t="str">
        <f t="shared" si="23"/>
        <v>Non diskon</v>
      </c>
    </row>
    <row r="366" spans="1:18" x14ac:dyDescent="0.25">
      <c r="A366" s="13" t="s">
        <v>378</v>
      </c>
      <c r="B366" s="13" t="s">
        <v>2194</v>
      </c>
      <c r="C366" s="13" t="s">
        <v>2198</v>
      </c>
      <c r="D366" s="13" t="s">
        <v>2207</v>
      </c>
      <c r="E366" s="13" t="s">
        <v>2210</v>
      </c>
      <c r="F366" s="13" t="s">
        <v>2217</v>
      </c>
      <c r="G366" s="13">
        <v>104.13</v>
      </c>
      <c r="H366" s="44">
        <v>28.7</v>
      </c>
      <c r="I366" s="13">
        <v>74.239999999999995</v>
      </c>
      <c r="J366" s="24">
        <v>45875</v>
      </c>
      <c r="K366" s="25">
        <v>23</v>
      </c>
      <c r="L366" s="25">
        <v>3.1</v>
      </c>
      <c r="M366" s="13" t="b">
        <v>0</v>
      </c>
      <c r="O366" s="25">
        <f t="shared" si="20"/>
        <v>27</v>
      </c>
      <c r="P366" s="13">
        <f t="shared" si="21"/>
        <v>660.1</v>
      </c>
      <c r="Q366" s="13" t="str">
        <f t="shared" si="22"/>
        <v/>
      </c>
      <c r="R366" s="13" t="str">
        <f t="shared" si="23"/>
        <v>Diskon</v>
      </c>
    </row>
    <row r="367" spans="1:18" x14ac:dyDescent="0.25">
      <c r="A367" s="13" t="s">
        <v>379</v>
      </c>
      <c r="B367" s="13" t="s">
        <v>2192</v>
      </c>
      <c r="C367" s="13" t="s">
        <v>2197</v>
      </c>
      <c r="D367" s="13" t="s">
        <v>2206</v>
      </c>
      <c r="F367" s="13" t="s">
        <v>2220</v>
      </c>
      <c r="G367" s="13">
        <v>41.7</v>
      </c>
      <c r="H367" s="44">
        <v>0</v>
      </c>
      <c r="I367" s="13">
        <v>41.7</v>
      </c>
      <c r="J367" s="24">
        <v>45875</v>
      </c>
      <c r="K367" s="25">
        <v>18</v>
      </c>
      <c r="L367" s="25">
        <v>3.2</v>
      </c>
      <c r="M367" s="13" t="b">
        <v>0</v>
      </c>
      <c r="O367" s="25">
        <f t="shared" si="20"/>
        <v>27</v>
      </c>
      <c r="P367" s="13">
        <f t="shared" si="21"/>
        <v>0</v>
      </c>
      <c r="Q367" s="13" t="str">
        <f t="shared" si="22"/>
        <v/>
      </c>
      <c r="R367" s="13" t="str">
        <f t="shared" si="23"/>
        <v>Non diskon</v>
      </c>
    </row>
    <row r="368" spans="1:18" x14ac:dyDescent="0.25">
      <c r="A368" s="13" t="s">
        <v>380</v>
      </c>
      <c r="B368" s="13" t="s">
        <v>2190</v>
      </c>
      <c r="C368" s="13" t="s">
        <v>2198</v>
      </c>
      <c r="D368" s="13" t="s">
        <v>2204</v>
      </c>
      <c r="E368" s="13" t="s">
        <v>2209</v>
      </c>
      <c r="F368" s="13" t="s">
        <v>2217</v>
      </c>
      <c r="G368" s="13">
        <v>80.11</v>
      </c>
      <c r="H368" s="44">
        <v>0</v>
      </c>
      <c r="I368" s="13">
        <v>80.11</v>
      </c>
      <c r="J368" s="24">
        <v>45763</v>
      </c>
      <c r="K368" s="25">
        <v>34</v>
      </c>
      <c r="L368" s="25">
        <v>1.8</v>
      </c>
      <c r="M368" s="13" t="b">
        <v>0</v>
      </c>
      <c r="O368" s="25">
        <f t="shared" si="20"/>
        <v>139</v>
      </c>
      <c r="P368" s="13">
        <f t="shared" si="21"/>
        <v>0</v>
      </c>
      <c r="Q368" s="13" t="str">
        <f t="shared" si="22"/>
        <v/>
      </c>
      <c r="R368" s="13" t="str">
        <f t="shared" si="23"/>
        <v>Non diskon</v>
      </c>
    </row>
    <row r="369" spans="1:18" x14ac:dyDescent="0.25">
      <c r="A369" s="13" t="s">
        <v>381</v>
      </c>
      <c r="B369" s="13" t="s">
        <v>2191</v>
      </c>
      <c r="C369" s="13" t="s">
        <v>2201</v>
      </c>
      <c r="D369" s="13" t="s">
        <v>2206</v>
      </c>
      <c r="E369" s="13" t="s">
        <v>2209</v>
      </c>
      <c r="F369" s="13" t="s">
        <v>2217</v>
      </c>
      <c r="G369" s="13">
        <v>97.84</v>
      </c>
      <c r="H369" s="44">
        <v>0</v>
      </c>
      <c r="I369" s="13">
        <v>97.84</v>
      </c>
      <c r="J369" s="24">
        <v>45875</v>
      </c>
      <c r="K369" s="25">
        <v>16</v>
      </c>
      <c r="L369" s="25">
        <v>2.9846153846153847</v>
      </c>
      <c r="M369" s="13" t="b">
        <v>0</v>
      </c>
      <c r="O369" s="25">
        <f t="shared" si="20"/>
        <v>27</v>
      </c>
      <c r="P369" s="13">
        <f t="shared" si="21"/>
        <v>0</v>
      </c>
      <c r="Q369" s="13" t="str">
        <f t="shared" si="22"/>
        <v/>
      </c>
      <c r="R369" s="13" t="str">
        <f t="shared" si="23"/>
        <v>Non diskon</v>
      </c>
    </row>
    <row r="370" spans="1:18" x14ac:dyDescent="0.25">
      <c r="A370" s="13" t="s">
        <v>382</v>
      </c>
      <c r="B370" s="13" t="s">
        <v>2194</v>
      </c>
      <c r="C370" s="13" t="s">
        <v>2202</v>
      </c>
      <c r="D370" s="13" t="s">
        <v>2206</v>
      </c>
      <c r="E370" s="13" t="s">
        <v>2208</v>
      </c>
      <c r="F370" s="13" t="s">
        <v>2221</v>
      </c>
      <c r="G370" s="13">
        <v>77.37</v>
      </c>
      <c r="H370" s="44">
        <v>35.200000000000003</v>
      </c>
      <c r="I370" s="13">
        <v>50.14</v>
      </c>
      <c r="J370" s="24">
        <v>45875</v>
      </c>
      <c r="K370" s="25">
        <v>14</v>
      </c>
      <c r="L370" s="25">
        <v>2.2999999999999998</v>
      </c>
      <c r="M370" s="13" t="b">
        <v>0</v>
      </c>
      <c r="O370" s="25">
        <f t="shared" si="20"/>
        <v>27</v>
      </c>
      <c r="P370" s="13">
        <f t="shared" si="21"/>
        <v>492.80000000000007</v>
      </c>
      <c r="Q370" s="13" t="str">
        <f t="shared" si="22"/>
        <v/>
      </c>
      <c r="R370" s="13" t="str">
        <f t="shared" si="23"/>
        <v>Diskon</v>
      </c>
    </row>
    <row r="371" spans="1:18" x14ac:dyDescent="0.25">
      <c r="A371" s="13" t="s">
        <v>383</v>
      </c>
      <c r="B371" s="13" t="s">
        <v>2192</v>
      </c>
      <c r="C371" s="13" t="s">
        <v>2200</v>
      </c>
      <c r="D371" s="13" t="s">
        <v>2206</v>
      </c>
      <c r="F371" s="13" t="s">
        <v>2214</v>
      </c>
      <c r="G371" s="13">
        <v>36.35</v>
      </c>
      <c r="H371" s="44">
        <v>37.6</v>
      </c>
      <c r="I371" s="13">
        <v>22.68</v>
      </c>
      <c r="J371" s="24">
        <v>45875</v>
      </c>
      <c r="K371" s="25">
        <v>49</v>
      </c>
      <c r="L371" s="25">
        <v>4</v>
      </c>
      <c r="M371" s="13" t="b">
        <v>1</v>
      </c>
      <c r="N371" s="13" t="s">
        <v>2229</v>
      </c>
      <c r="O371" s="25">
        <f t="shared" si="20"/>
        <v>27</v>
      </c>
      <c r="P371" s="13">
        <f t="shared" si="21"/>
        <v>1842.4</v>
      </c>
      <c r="Q371" s="13">
        <f t="shared" si="22"/>
        <v>1</v>
      </c>
      <c r="R371" s="13" t="str">
        <f t="shared" si="23"/>
        <v>Diskon</v>
      </c>
    </row>
    <row r="372" spans="1:18" x14ac:dyDescent="0.25">
      <c r="A372" s="13" t="s">
        <v>384</v>
      </c>
      <c r="B372" s="13" t="s">
        <v>2190</v>
      </c>
      <c r="C372" s="13" t="s">
        <v>2198</v>
      </c>
      <c r="D372" s="13" t="s">
        <v>2205</v>
      </c>
      <c r="E372" s="13" t="s">
        <v>2211</v>
      </c>
      <c r="F372" s="13" t="s">
        <v>2220</v>
      </c>
      <c r="G372" s="13">
        <v>181.04</v>
      </c>
      <c r="H372" s="44">
        <v>20.2</v>
      </c>
      <c r="I372" s="13">
        <v>144.47</v>
      </c>
      <c r="J372" s="24">
        <v>45875</v>
      </c>
      <c r="K372" s="25">
        <v>17</v>
      </c>
      <c r="L372" s="25">
        <v>3.0177777777777774</v>
      </c>
      <c r="M372" s="13" t="b">
        <v>1</v>
      </c>
      <c r="N372" s="13" t="s">
        <v>2226</v>
      </c>
      <c r="O372" s="25">
        <f t="shared" si="20"/>
        <v>27</v>
      </c>
      <c r="P372" s="13">
        <f t="shared" si="21"/>
        <v>343.4</v>
      </c>
      <c r="Q372" s="13">
        <f t="shared" si="22"/>
        <v>1</v>
      </c>
      <c r="R372" s="13" t="str">
        <f t="shared" si="23"/>
        <v>Diskon</v>
      </c>
    </row>
    <row r="373" spans="1:18" x14ac:dyDescent="0.25">
      <c r="A373" s="13" t="s">
        <v>385</v>
      </c>
      <c r="B373" s="13" t="s">
        <v>2190</v>
      </c>
      <c r="C373" s="13" t="s">
        <v>2196</v>
      </c>
      <c r="D373" s="13" t="s">
        <v>2204</v>
      </c>
      <c r="E373" s="13" t="s">
        <v>2208</v>
      </c>
      <c r="F373" s="13" t="s">
        <v>2216</v>
      </c>
      <c r="G373" s="13">
        <v>158.37</v>
      </c>
      <c r="H373" s="44">
        <v>0</v>
      </c>
      <c r="I373" s="13">
        <v>158.37</v>
      </c>
      <c r="J373" s="24">
        <v>45703</v>
      </c>
      <c r="K373" s="25">
        <v>33</v>
      </c>
      <c r="L373" s="25">
        <v>2.7030303030303036</v>
      </c>
      <c r="M373" s="13" t="b">
        <v>0</v>
      </c>
      <c r="O373" s="25">
        <f t="shared" si="20"/>
        <v>199</v>
      </c>
      <c r="P373" s="13">
        <f t="shared" si="21"/>
        <v>0</v>
      </c>
      <c r="Q373" s="13" t="str">
        <f t="shared" si="22"/>
        <v/>
      </c>
      <c r="R373" s="13" t="str">
        <f t="shared" si="23"/>
        <v>Non diskon</v>
      </c>
    </row>
    <row r="374" spans="1:18" x14ac:dyDescent="0.25">
      <c r="A374" s="13" t="s">
        <v>386</v>
      </c>
      <c r="B374" s="13" t="s">
        <v>2193</v>
      </c>
      <c r="C374" s="13" t="s">
        <v>2203</v>
      </c>
      <c r="D374" s="13" t="s">
        <v>2207</v>
      </c>
      <c r="E374" s="13" t="s">
        <v>2211</v>
      </c>
      <c r="F374" s="13" t="s">
        <v>2223</v>
      </c>
      <c r="G374" s="13">
        <v>91.98</v>
      </c>
      <c r="H374" s="44">
        <v>0</v>
      </c>
      <c r="I374" s="13">
        <v>91.98</v>
      </c>
      <c r="J374" s="24">
        <v>45875</v>
      </c>
      <c r="K374" s="25">
        <v>48</v>
      </c>
      <c r="L374" s="25">
        <v>3.9</v>
      </c>
      <c r="M374" s="13" t="b">
        <v>0</v>
      </c>
      <c r="O374" s="25">
        <f t="shared" si="20"/>
        <v>27</v>
      </c>
      <c r="P374" s="13">
        <f t="shared" si="21"/>
        <v>0</v>
      </c>
      <c r="Q374" s="13" t="str">
        <f t="shared" si="22"/>
        <v/>
      </c>
      <c r="R374" s="13" t="str">
        <f t="shared" si="23"/>
        <v>Non diskon</v>
      </c>
    </row>
    <row r="375" spans="1:18" x14ac:dyDescent="0.25">
      <c r="A375" s="13" t="s">
        <v>387</v>
      </c>
      <c r="B375" s="13" t="s">
        <v>2193</v>
      </c>
      <c r="C375" s="13" t="s">
        <v>2196</v>
      </c>
      <c r="D375" s="13" t="s">
        <v>2205</v>
      </c>
      <c r="E375" s="13" t="s">
        <v>2210</v>
      </c>
      <c r="F375" s="13" t="s">
        <v>2224</v>
      </c>
      <c r="G375" s="13">
        <v>140.29</v>
      </c>
      <c r="H375" s="44">
        <v>55.3</v>
      </c>
      <c r="I375" s="13">
        <v>62.71</v>
      </c>
      <c r="J375" s="24">
        <v>45875</v>
      </c>
      <c r="K375" s="25">
        <v>5</v>
      </c>
      <c r="L375" s="25">
        <v>4.4000000000000004</v>
      </c>
      <c r="M375" s="13" t="b">
        <v>0</v>
      </c>
      <c r="O375" s="25">
        <f t="shared" si="20"/>
        <v>27</v>
      </c>
      <c r="P375" s="13">
        <f t="shared" si="21"/>
        <v>276.5</v>
      </c>
      <c r="Q375" s="13" t="str">
        <f t="shared" si="22"/>
        <v/>
      </c>
      <c r="R375" s="13" t="str">
        <f t="shared" si="23"/>
        <v>Diskon</v>
      </c>
    </row>
    <row r="376" spans="1:18" x14ac:dyDescent="0.25">
      <c r="A376" s="13" t="s">
        <v>388</v>
      </c>
      <c r="B376" s="13" t="s">
        <v>2191</v>
      </c>
      <c r="C376" s="13" t="s">
        <v>2197</v>
      </c>
      <c r="D376" s="13" t="s">
        <v>2204</v>
      </c>
      <c r="E376" s="13" t="s">
        <v>2208</v>
      </c>
      <c r="F376" s="13" t="s">
        <v>2214</v>
      </c>
      <c r="G376" s="13">
        <v>26.01</v>
      </c>
      <c r="H376" s="44">
        <v>0</v>
      </c>
      <c r="I376" s="13">
        <v>26.01</v>
      </c>
      <c r="J376" s="24">
        <v>45711</v>
      </c>
      <c r="K376" s="25">
        <v>9</v>
      </c>
      <c r="L376" s="25">
        <v>4</v>
      </c>
      <c r="M376" s="13" t="b">
        <v>0</v>
      </c>
      <c r="O376" s="25">
        <f t="shared" si="20"/>
        <v>191</v>
      </c>
      <c r="P376" s="13">
        <f t="shared" si="21"/>
        <v>0</v>
      </c>
      <c r="Q376" s="13" t="str">
        <f t="shared" si="22"/>
        <v/>
      </c>
      <c r="R376" s="13" t="str">
        <f t="shared" si="23"/>
        <v>Non diskon</v>
      </c>
    </row>
    <row r="377" spans="1:18" x14ac:dyDescent="0.25">
      <c r="A377" s="13" t="s">
        <v>389</v>
      </c>
      <c r="B377" s="13" t="s">
        <v>2191</v>
      </c>
      <c r="C377" s="13" t="s">
        <v>2203</v>
      </c>
      <c r="D377" s="13" t="s">
        <v>2205</v>
      </c>
      <c r="E377" s="13" t="s">
        <v>2208</v>
      </c>
      <c r="F377" s="13" t="s">
        <v>2219</v>
      </c>
      <c r="G377" s="13">
        <v>51.06</v>
      </c>
      <c r="H377" s="44">
        <v>9.5</v>
      </c>
      <c r="I377" s="13">
        <v>46.21</v>
      </c>
      <c r="J377" s="24">
        <v>45875</v>
      </c>
      <c r="K377" s="25">
        <v>34</v>
      </c>
      <c r="L377" s="25">
        <v>1.1000000000000001</v>
      </c>
      <c r="M377" s="13" t="b">
        <v>0</v>
      </c>
      <c r="O377" s="25">
        <f t="shared" si="20"/>
        <v>27</v>
      </c>
      <c r="P377" s="13">
        <f t="shared" si="21"/>
        <v>323</v>
      </c>
      <c r="Q377" s="13" t="str">
        <f t="shared" si="22"/>
        <v/>
      </c>
      <c r="R377" s="13" t="str">
        <f t="shared" si="23"/>
        <v>Diskon</v>
      </c>
    </row>
    <row r="378" spans="1:18" x14ac:dyDescent="0.25">
      <c r="A378" s="13" t="s">
        <v>390</v>
      </c>
      <c r="B378" s="13" t="s">
        <v>2190</v>
      </c>
      <c r="C378" s="13" t="s">
        <v>2202</v>
      </c>
      <c r="D378" s="13" t="s">
        <v>2206</v>
      </c>
      <c r="E378" s="13" t="s">
        <v>2212</v>
      </c>
      <c r="F378" s="13" t="s">
        <v>2214</v>
      </c>
      <c r="G378" s="13">
        <v>132.91999999999999</v>
      </c>
      <c r="H378" s="44">
        <v>0</v>
      </c>
      <c r="I378" s="13">
        <v>132.91999999999999</v>
      </c>
      <c r="J378" s="24">
        <v>45875</v>
      </c>
      <c r="K378" s="25">
        <v>36</v>
      </c>
      <c r="L378" s="25">
        <v>1.2</v>
      </c>
      <c r="M378" s="13" t="b">
        <v>0</v>
      </c>
      <c r="O378" s="25">
        <f t="shared" si="20"/>
        <v>27</v>
      </c>
      <c r="P378" s="13">
        <f t="shared" si="21"/>
        <v>0</v>
      </c>
      <c r="Q378" s="13" t="str">
        <f t="shared" si="22"/>
        <v/>
      </c>
      <c r="R378" s="13" t="str">
        <f t="shared" si="23"/>
        <v>Non diskon</v>
      </c>
    </row>
    <row r="379" spans="1:18" x14ac:dyDescent="0.25">
      <c r="A379" s="13" t="s">
        <v>391</v>
      </c>
      <c r="B379" s="13" t="s">
        <v>2192</v>
      </c>
      <c r="C379" s="13" t="s">
        <v>2202</v>
      </c>
      <c r="D379" s="13" t="s">
        <v>2206</v>
      </c>
      <c r="F379" s="13" t="s">
        <v>2223</v>
      </c>
      <c r="G379" s="13">
        <v>16.57</v>
      </c>
      <c r="H379" s="44">
        <v>0</v>
      </c>
      <c r="I379" s="13">
        <v>16.57</v>
      </c>
      <c r="J379" s="24">
        <v>45875</v>
      </c>
      <c r="K379" s="25">
        <v>17</v>
      </c>
      <c r="L379" s="25">
        <v>3.2720930232558145</v>
      </c>
      <c r="M379" s="13" t="b">
        <v>0</v>
      </c>
      <c r="O379" s="25">
        <f t="shared" si="20"/>
        <v>27</v>
      </c>
      <c r="P379" s="13">
        <f t="shared" si="21"/>
        <v>0</v>
      </c>
      <c r="Q379" s="13" t="str">
        <f t="shared" si="22"/>
        <v/>
      </c>
      <c r="R379" s="13" t="str">
        <f t="shared" si="23"/>
        <v>Non diskon</v>
      </c>
    </row>
    <row r="380" spans="1:18" x14ac:dyDescent="0.25">
      <c r="A380" s="13" t="s">
        <v>392</v>
      </c>
      <c r="B380" s="13" t="s">
        <v>2194</v>
      </c>
      <c r="C380" s="13" t="s">
        <v>2203</v>
      </c>
      <c r="D380" s="13" t="s">
        <v>2205</v>
      </c>
      <c r="E380" s="13" t="s">
        <v>2212</v>
      </c>
      <c r="F380" s="13" t="s">
        <v>2216</v>
      </c>
      <c r="G380" s="13">
        <v>78.599999999999994</v>
      </c>
      <c r="H380" s="44">
        <v>45.8</v>
      </c>
      <c r="I380" s="13">
        <v>42.6</v>
      </c>
      <c r="J380" s="24">
        <v>45875</v>
      </c>
      <c r="K380" s="25">
        <v>6</v>
      </c>
      <c r="L380" s="25">
        <v>2.7</v>
      </c>
      <c r="M380" s="13" t="b">
        <v>0</v>
      </c>
      <c r="O380" s="25">
        <f t="shared" si="20"/>
        <v>27</v>
      </c>
      <c r="P380" s="13">
        <f t="shared" si="21"/>
        <v>274.79999999999995</v>
      </c>
      <c r="Q380" s="13" t="str">
        <f t="shared" si="22"/>
        <v/>
      </c>
      <c r="R380" s="13" t="str">
        <f t="shared" si="23"/>
        <v>Diskon</v>
      </c>
    </row>
    <row r="381" spans="1:18" x14ac:dyDescent="0.25">
      <c r="A381" s="13" t="s">
        <v>393</v>
      </c>
      <c r="B381" s="13" t="s">
        <v>2192</v>
      </c>
      <c r="C381" s="13" t="s">
        <v>2199</v>
      </c>
      <c r="D381" s="13" t="s">
        <v>2207</v>
      </c>
      <c r="F381" s="13" t="s">
        <v>2224</v>
      </c>
      <c r="G381" s="13">
        <v>69.38</v>
      </c>
      <c r="H381" s="44">
        <v>0</v>
      </c>
      <c r="I381" s="13">
        <v>69.38</v>
      </c>
      <c r="J381" s="24">
        <v>45875</v>
      </c>
      <c r="K381" s="25">
        <v>43</v>
      </c>
      <c r="L381" s="25">
        <v>2.4</v>
      </c>
      <c r="M381" s="13" t="b">
        <v>0</v>
      </c>
      <c r="O381" s="25">
        <f t="shared" si="20"/>
        <v>27</v>
      </c>
      <c r="P381" s="13">
        <f t="shared" si="21"/>
        <v>0</v>
      </c>
      <c r="Q381" s="13" t="str">
        <f t="shared" si="22"/>
        <v/>
      </c>
      <c r="R381" s="13" t="str">
        <f t="shared" si="23"/>
        <v>Non diskon</v>
      </c>
    </row>
    <row r="382" spans="1:18" x14ac:dyDescent="0.25">
      <c r="A382" s="13" t="s">
        <v>394</v>
      </c>
      <c r="B382" s="13" t="s">
        <v>2192</v>
      </c>
      <c r="C382" s="13" t="s">
        <v>2199</v>
      </c>
      <c r="D382" s="13" t="s">
        <v>2206</v>
      </c>
      <c r="F382" s="13" t="s">
        <v>2215</v>
      </c>
      <c r="G382" s="13">
        <v>23.58</v>
      </c>
      <c r="H382" s="44">
        <v>0</v>
      </c>
      <c r="I382" s="13">
        <v>23.58</v>
      </c>
      <c r="J382" s="24">
        <v>45875</v>
      </c>
      <c r="K382" s="25">
        <v>16</v>
      </c>
      <c r="L382" s="25">
        <v>1.3</v>
      </c>
      <c r="M382" s="13" t="b">
        <v>0</v>
      </c>
      <c r="O382" s="25">
        <f t="shared" si="20"/>
        <v>27</v>
      </c>
      <c r="P382" s="13">
        <f t="shared" si="21"/>
        <v>0</v>
      </c>
      <c r="Q382" s="13" t="str">
        <f t="shared" si="22"/>
        <v/>
      </c>
      <c r="R382" s="13" t="str">
        <f t="shared" si="23"/>
        <v>Non diskon</v>
      </c>
    </row>
    <row r="383" spans="1:18" x14ac:dyDescent="0.25">
      <c r="A383" s="13" t="s">
        <v>395</v>
      </c>
      <c r="B383" s="13" t="s">
        <v>2191</v>
      </c>
      <c r="C383" s="13" t="s">
        <v>2200</v>
      </c>
      <c r="D383" s="13" t="s">
        <v>2204</v>
      </c>
      <c r="E383" s="13" t="s">
        <v>2212</v>
      </c>
      <c r="F383" s="13" t="s">
        <v>2222</v>
      </c>
      <c r="G383" s="13">
        <v>119.91</v>
      </c>
      <c r="H383" s="44">
        <v>27.8</v>
      </c>
      <c r="I383" s="13">
        <v>86.58</v>
      </c>
      <c r="J383" s="24">
        <v>45563</v>
      </c>
      <c r="K383" s="25">
        <v>12</v>
      </c>
      <c r="L383" s="25">
        <v>1.7</v>
      </c>
      <c r="M383" s="13" t="b">
        <v>0</v>
      </c>
      <c r="O383" s="25">
        <f t="shared" si="20"/>
        <v>339</v>
      </c>
      <c r="P383" s="13">
        <f t="shared" si="21"/>
        <v>333.6</v>
      </c>
      <c r="Q383" s="13" t="str">
        <f t="shared" si="22"/>
        <v/>
      </c>
      <c r="R383" s="13" t="str">
        <f t="shared" si="23"/>
        <v>Diskon</v>
      </c>
    </row>
    <row r="384" spans="1:18" x14ac:dyDescent="0.25">
      <c r="A384" s="13" t="s">
        <v>396</v>
      </c>
      <c r="B384" s="13" t="s">
        <v>2190</v>
      </c>
      <c r="C384" s="13" t="s">
        <v>2200</v>
      </c>
      <c r="D384" s="13" t="s">
        <v>2207</v>
      </c>
      <c r="E384" s="13" t="s">
        <v>2213</v>
      </c>
      <c r="F384" s="13" t="s">
        <v>2216</v>
      </c>
      <c r="G384" s="13">
        <v>111.05</v>
      </c>
      <c r="H384" s="44">
        <v>1.4</v>
      </c>
      <c r="I384" s="13">
        <v>109.5</v>
      </c>
      <c r="J384" s="24">
        <v>45875</v>
      </c>
      <c r="K384" s="25">
        <v>7</v>
      </c>
      <c r="L384" s="25">
        <v>2.8</v>
      </c>
      <c r="M384" s="13" t="b">
        <v>0</v>
      </c>
      <c r="O384" s="25">
        <f t="shared" si="20"/>
        <v>27</v>
      </c>
      <c r="P384" s="13">
        <f t="shared" si="21"/>
        <v>9.7999999999999989</v>
      </c>
      <c r="Q384" s="13" t="str">
        <f t="shared" si="22"/>
        <v/>
      </c>
      <c r="R384" s="13" t="str">
        <f t="shared" si="23"/>
        <v>Diskon</v>
      </c>
    </row>
    <row r="385" spans="1:18" x14ac:dyDescent="0.25">
      <c r="A385" s="13" t="s">
        <v>397</v>
      </c>
      <c r="B385" s="13" t="s">
        <v>2192</v>
      </c>
      <c r="C385" s="13" t="s">
        <v>2198</v>
      </c>
      <c r="D385" s="13" t="s">
        <v>2207</v>
      </c>
      <c r="F385" s="13" t="s">
        <v>2218</v>
      </c>
      <c r="G385" s="13">
        <v>60.22</v>
      </c>
      <c r="H385" s="44">
        <v>0</v>
      </c>
      <c r="I385" s="13">
        <v>60.22</v>
      </c>
      <c r="J385" s="24">
        <v>45875</v>
      </c>
      <c r="K385" s="25">
        <v>6</v>
      </c>
      <c r="L385" s="25">
        <v>2.1</v>
      </c>
      <c r="M385" s="13" t="b">
        <v>0</v>
      </c>
      <c r="O385" s="25">
        <f t="shared" si="20"/>
        <v>27</v>
      </c>
      <c r="P385" s="13">
        <f t="shared" si="21"/>
        <v>0</v>
      </c>
      <c r="Q385" s="13" t="str">
        <f t="shared" si="22"/>
        <v/>
      </c>
      <c r="R385" s="13" t="str">
        <f t="shared" si="23"/>
        <v>Non diskon</v>
      </c>
    </row>
    <row r="386" spans="1:18" x14ac:dyDescent="0.25">
      <c r="A386" s="13" t="s">
        <v>398</v>
      </c>
      <c r="B386" s="13" t="s">
        <v>2190</v>
      </c>
      <c r="C386" s="13" t="s">
        <v>2202</v>
      </c>
      <c r="D386" s="13" t="s">
        <v>2205</v>
      </c>
      <c r="E386" s="13" t="s">
        <v>2213</v>
      </c>
      <c r="F386" s="13" t="s">
        <v>2222</v>
      </c>
      <c r="G386" s="13">
        <v>133.52000000000001</v>
      </c>
      <c r="H386" s="44">
        <v>0</v>
      </c>
      <c r="I386" s="13">
        <v>133.52000000000001</v>
      </c>
      <c r="J386" s="24">
        <v>45875</v>
      </c>
      <c r="K386" s="25">
        <v>27</v>
      </c>
      <c r="L386" s="25">
        <v>3.6</v>
      </c>
      <c r="M386" s="13" t="b">
        <v>0</v>
      </c>
      <c r="O386" s="25">
        <f t="shared" si="20"/>
        <v>27</v>
      </c>
      <c r="P386" s="13">
        <f t="shared" si="21"/>
        <v>0</v>
      </c>
      <c r="Q386" s="13" t="str">
        <f t="shared" si="22"/>
        <v/>
      </c>
      <c r="R386" s="13" t="str">
        <f t="shared" si="23"/>
        <v>Non diskon</v>
      </c>
    </row>
    <row r="387" spans="1:18" x14ac:dyDescent="0.25">
      <c r="A387" s="13" t="s">
        <v>399</v>
      </c>
      <c r="B387" s="13" t="s">
        <v>2195</v>
      </c>
      <c r="C387" s="13" t="s">
        <v>2198</v>
      </c>
      <c r="D387" s="13" t="s">
        <v>2204</v>
      </c>
      <c r="E387" s="13" t="s">
        <v>2208</v>
      </c>
      <c r="F387" s="13" t="s">
        <v>2224</v>
      </c>
      <c r="G387" s="13">
        <v>54.97</v>
      </c>
      <c r="H387" s="44">
        <v>49.6</v>
      </c>
      <c r="I387" s="13">
        <v>27.7</v>
      </c>
      <c r="J387" s="24">
        <v>45573</v>
      </c>
      <c r="K387" s="25">
        <v>48</v>
      </c>
      <c r="L387" s="25">
        <v>4.5</v>
      </c>
      <c r="M387" s="13" t="b">
        <v>0</v>
      </c>
      <c r="O387" s="25">
        <f t="shared" ref="O387:O450" si="24">DATE(2025,9,2)-J387</f>
        <v>329</v>
      </c>
      <c r="P387" s="13">
        <f t="shared" ref="P387:P450" si="25">H387*K387</f>
        <v>2380.8000000000002</v>
      </c>
      <c r="Q387" s="13" t="str">
        <f t="shared" ref="Q387:Q450" si="26">IF(M387=FALSE,"",1)</f>
        <v/>
      </c>
      <c r="R387" s="13" t="str">
        <f t="shared" ref="R387:R450" si="27">IF(H387=0,"Non diskon","Diskon")</f>
        <v>Diskon</v>
      </c>
    </row>
    <row r="388" spans="1:18" x14ac:dyDescent="0.25">
      <c r="A388" s="13" t="s">
        <v>400</v>
      </c>
      <c r="B388" s="13" t="s">
        <v>2191</v>
      </c>
      <c r="C388" s="13" t="s">
        <v>2197</v>
      </c>
      <c r="D388" s="13" t="s">
        <v>2205</v>
      </c>
      <c r="E388" s="13" t="s">
        <v>2209</v>
      </c>
      <c r="F388" s="13" t="s">
        <v>2217</v>
      </c>
      <c r="G388" s="13">
        <v>85.94</v>
      </c>
      <c r="H388" s="44">
        <v>0</v>
      </c>
      <c r="I388" s="13">
        <v>85.94</v>
      </c>
      <c r="J388" s="24">
        <v>45875</v>
      </c>
      <c r="K388" s="25">
        <v>42</v>
      </c>
      <c r="L388" s="25">
        <v>4.3</v>
      </c>
      <c r="M388" s="13" t="b">
        <v>0</v>
      </c>
      <c r="O388" s="25">
        <f t="shared" si="24"/>
        <v>27</v>
      </c>
      <c r="P388" s="13">
        <f t="shared" si="25"/>
        <v>0</v>
      </c>
      <c r="Q388" s="13" t="str">
        <f t="shared" si="26"/>
        <v/>
      </c>
      <c r="R388" s="13" t="str">
        <f t="shared" si="27"/>
        <v>Non diskon</v>
      </c>
    </row>
    <row r="389" spans="1:18" x14ac:dyDescent="0.25">
      <c r="A389" s="13" t="s">
        <v>401</v>
      </c>
      <c r="B389" s="13" t="s">
        <v>2192</v>
      </c>
      <c r="C389" s="13" t="s">
        <v>2200</v>
      </c>
      <c r="D389" s="13" t="s">
        <v>2206</v>
      </c>
      <c r="F389" s="13" t="s">
        <v>2216</v>
      </c>
      <c r="G389" s="13">
        <v>24.64</v>
      </c>
      <c r="H389" s="44">
        <v>0</v>
      </c>
      <c r="I389" s="13">
        <v>24.64</v>
      </c>
      <c r="J389" s="24">
        <v>45875</v>
      </c>
      <c r="K389" s="25">
        <v>6</v>
      </c>
      <c r="L389" s="25">
        <v>4.4000000000000004</v>
      </c>
      <c r="M389" s="13" t="b">
        <v>0</v>
      </c>
      <c r="O389" s="25">
        <f t="shared" si="24"/>
        <v>27</v>
      </c>
      <c r="P389" s="13">
        <f t="shared" si="25"/>
        <v>0</v>
      </c>
      <c r="Q389" s="13" t="str">
        <f t="shared" si="26"/>
        <v/>
      </c>
      <c r="R389" s="13" t="str">
        <f t="shared" si="27"/>
        <v>Non diskon</v>
      </c>
    </row>
    <row r="390" spans="1:18" x14ac:dyDescent="0.25">
      <c r="A390" s="13" t="s">
        <v>402</v>
      </c>
      <c r="B390" s="13" t="s">
        <v>2192</v>
      </c>
      <c r="C390" s="13" t="s">
        <v>2198</v>
      </c>
      <c r="D390" s="13" t="s">
        <v>2204</v>
      </c>
      <c r="F390" s="13" t="s">
        <v>2219</v>
      </c>
      <c r="G390" s="13">
        <v>28.82</v>
      </c>
      <c r="H390" s="44">
        <v>0</v>
      </c>
      <c r="I390" s="13">
        <v>28.82</v>
      </c>
      <c r="J390" s="24">
        <v>45588</v>
      </c>
      <c r="K390" s="25">
        <v>30</v>
      </c>
      <c r="L390" s="25">
        <v>2.8</v>
      </c>
      <c r="M390" s="13" t="b">
        <v>0</v>
      </c>
      <c r="O390" s="25">
        <f t="shared" si="24"/>
        <v>314</v>
      </c>
      <c r="P390" s="13">
        <f t="shared" si="25"/>
        <v>0</v>
      </c>
      <c r="Q390" s="13" t="str">
        <f t="shared" si="26"/>
        <v/>
      </c>
      <c r="R390" s="13" t="str">
        <f t="shared" si="27"/>
        <v>Non diskon</v>
      </c>
    </row>
    <row r="391" spans="1:18" x14ac:dyDescent="0.25">
      <c r="A391" s="13" t="s">
        <v>403</v>
      </c>
      <c r="B391" s="13" t="s">
        <v>2193</v>
      </c>
      <c r="C391" s="13" t="s">
        <v>2203</v>
      </c>
      <c r="D391" s="13" t="s">
        <v>2207</v>
      </c>
      <c r="E391" s="13" t="s">
        <v>2209</v>
      </c>
      <c r="F391" s="13" t="s">
        <v>2215</v>
      </c>
      <c r="G391" s="13">
        <v>79.59</v>
      </c>
      <c r="H391" s="44">
        <v>24.3</v>
      </c>
      <c r="I391" s="13">
        <v>60.25</v>
      </c>
      <c r="J391" s="24">
        <v>45875</v>
      </c>
      <c r="K391" s="25">
        <v>37</v>
      </c>
      <c r="L391" s="25">
        <v>1.7</v>
      </c>
      <c r="M391" s="13" t="b">
        <v>0</v>
      </c>
      <c r="O391" s="25">
        <f t="shared" si="24"/>
        <v>27</v>
      </c>
      <c r="P391" s="13">
        <f t="shared" si="25"/>
        <v>899.1</v>
      </c>
      <c r="Q391" s="13" t="str">
        <f t="shared" si="26"/>
        <v/>
      </c>
      <c r="R391" s="13" t="str">
        <f t="shared" si="27"/>
        <v>Diskon</v>
      </c>
    </row>
    <row r="392" spans="1:18" x14ac:dyDescent="0.25">
      <c r="A392" s="13" t="s">
        <v>404</v>
      </c>
      <c r="B392" s="13" t="s">
        <v>2195</v>
      </c>
      <c r="C392" s="13" t="s">
        <v>2202</v>
      </c>
      <c r="D392" s="13" t="s">
        <v>2206</v>
      </c>
      <c r="E392" s="13" t="s">
        <v>2208</v>
      </c>
      <c r="F392" s="13" t="s">
        <v>2219</v>
      </c>
      <c r="G392" s="13">
        <v>49.44</v>
      </c>
      <c r="H392" s="44">
        <v>0</v>
      </c>
      <c r="I392" s="13">
        <v>49.44</v>
      </c>
      <c r="J392" s="24">
        <v>45875</v>
      </c>
      <c r="K392" s="25">
        <v>19</v>
      </c>
      <c r="L392" s="25">
        <v>3.4</v>
      </c>
      <c r="M392" s="13" t="b">
        <v>0</v>
      </c>
      <c r="O392" s="25">
        <f t="shared" si="24"/>
        <v>27</v>
      </c>
      <c r="P392" s="13">
        <f t="shared" si="25"/>
        <v>0</v>
      </c>
      <c r="Q392" s="13" t="str">
        <f t="shared" si="26"/>
        <v/>
      </c>
      <c r="R392" s="13" t="str">
        <f t="shared" si="27"/>
        <v>Non diskon</v>
      </c>
    </row>
    <row r="393" spans="1:18" x14ac:dyDescent="0.25">
      <c r="A393" s="13" t="s">
        <v>405</v>
      </c>
      <c r="B393" s="13" t="s">
        <v>2191</v>
      </c>
      <c r="C393" s="13" t="s">
        <v>2199</v>
      </c>
      <c r="D393" s="13" t="s">
        <v>2205</v>
      </c>
      <c r="E393" s="13" t="s">
        <v>2212</v>
      </c>
      <c r="F393" s="13" t="s">
        <v>2219</v>
      </c>
      <c r="G393" s="13">
        <v>41.46</v>
      </c>
      <c r="H393" s="44">
        <v>0</v>
      </c>
      <c r="I393" s="13">
        <v>41.46</v>
      </c>
      <c r="J393" s="24">
        <v>45875</v>
      </c>
      <c r="K393" s="25">
        <v>36</v>
      </c>
      <c r="L393" s="25">
        <v>3.5</v>
      </c>
      <c r="M393" s="13" t="b">
        <v>0</v>
      </c>
      <c r="O393" s="25">
        <f t="shared" si="24"/>
        <v>27</v>
      </c>
      <c r="P393" s="13">
        <f t="shared" si="25"/>
        <v>0</v>
      </c>
      <c r="Q393" s="13" t="str">
        <f t="shared" si="26"/>
        <v/>
      </c>
      <c r="R393" s="13" t="str">
        <f t="shared" si="27"/>
        <v>Non diskon</v>
      </c>
    </row>
    <row r="394" spans="1:18" x14ac:dyDescent="0.25">
      <c r="A394" s="13" t="s">
        <v>406</v>
      </c>
      <c r="B394" s="13" t="s">
        <v>2195</v>
      </c>
      <c r="C394" s="13" t="s">
        <v>2197</v>
      </c>
      <c r="D394" s="13" t="s">
        <v>2206</v>
      </c>
      <c r="E394" s="13" t="s">
        <v>2212</v>
      </c>
      <c r="F394" s="13" t="s">
        <v>2221</v>
      </c>
      <c r="G394" s="13">
        <v>131.76</v>
      </c>
      <c r="H394" s="44">
        <v>35.4</v>
      </c>
      <c r="I394" s="13">
        <v>85.12</v>
      </c>
      <c r="J394" s="24">
        <v>45875</v>
      </c>
      <c r="K394" s="25">
        <v>21</v>
      </c>
      <c r="L394" s="25">
        <v>4.7</v>
      </c>
      <c r="M394" s="13" t="b">
        <v>0</v>
      </c>
      <c r="O394" s="25">
        <f t="shared" si="24"/>
        <v>27</v>
      </c>
      <c r="P394" s="13">
        <f t="shared" si="25"/>
        <v>743.4</v>
      </c>
      <c r="Q394" s="13" t="str">
        <f t="shared" si="26"/>
        <v/>
      </c>
      <c r="R394" s="13" t="str">
        <f t="shared" si="27"/>
        <v>Diskon</v>
      </c>
    </row>
    <row r="395" spans="1:18" x14ac:dyDescent="0.25">
      <c r="A395" s="13" t="s">
        <v>407</v>
      </c>
      <c r="B395" s="13" t="s">
        <v>2194</v>
      </c>
      <c r="C395" s="13" t="s">
        <v>2199</v>
      </c>
      <c r="D395" s="13" t="s">
        <v>2206</v>
      </c>
      <c r="E395" s="13" t="s">
        <v>2213</v>
      </c>
      <c r="F395" s="13" t="s">
        <v>2219</v>
      </c>
      <c r="G395" s="13">
        <v>56.53</v>
      </c>
      <c r="H395" s="44">
        <v>27.9</v>
      </c>
      <c r="I395" s="13">
        <v>40.76</v>
      </c>
      <c r="J395" s="24">
        <v>45875</v>
      </c>
      <c r="K395" s="25">
        <v>22</v>
      </c>
      <c r="L395" s="25">
        <v>2.8142857142857149</v>
      </c>
      <c r="M395" s="13" t="b">
        <v>0</v>
      </c>
      <c r="O395" s="25">
        <f t="shared" si="24"/>
        <v>27</v>
      </c>
      <c r="P395" s="13">
        <f t="shared" si="25"/>
        <v>613.79999999999995</v>
      </c>
      <c r="Q395" s="13" t="str">
        <f t="shared" si="26"/>
        <v/>
      </c>
      <c r="R395" s="13" t="str">
        <f t="shared" si="27"/>
        <v>Diskon</v>
      </c>
    </row>
    <row r="396" spans="1:18" x14ac:dyDescent="0.25">
      <c r="A396" s="13" t="s">
        <v>408</v>
      </c>
      <c r="B396" s="13" t="s">
        <v>2191</v>
      </c>
      <c r="C396" s="13" t="s">
        <v>2196</v>
      </c>
      <c r="D396" s="13" t="s">
        <v>2205</v>
      </c>
      <c r="F396" s="13" t="s">
        <v>2219</v>
      </c>
      <c r="G396" s="13">
        <v>111.72</v>
      </c>
      <c r="H396" s="44">
        <v>33.299999999999997</v>
      </c>
      <c r="I396" s="13">
        <v>74.52</v>
      </c>
      <c r="J396" s="24">
        <v>45875</v>
      </c>
      <c r="K396" s="25">
        <v>47</v>
      </c>
      <c r="L396" s="25">
        <v>2</v>
      </c>
      <c r="M396" s="13" t="b">
        <v>1</v>
      </c>
      <c r="N396" s="13" t="s">
        <v>2228</v>
      </c>
      <c r="O396" s="25">
        <f t="shared" si="24"/>
        <v>27</v>
      </c>
      <c r="P396" s="13">
        <f t="shared" si="25"/>
        <v>1565.1</v>
      </c>
      <c r="Q396" s="13">
        <f t="shared" si="26"/>
        <v>1</v>
      </c>
      <c r="R396" s="13" t="str">
        <f t="shared" si="27"/>
        <v>Diskon</v>
      </c>
    </row>
    <row r="397" spans="1:18" x14ac:dyDescent="0.25">
      <c r="A397" s="13" t="s">
        <v>409</v>
      </c>
      <c r="B397" s="13" t="s">
        <v>2191</v>
      </c>
      <c r="C397" s="13" t="s">
        <v>2196</v>
      </c>
      <c r="D397" s="13" t="s">
        <v>2205</v>
      </c>
      <c r="E397" s="13" t="s">
        <v>2209</v>
      </c>
      <c r="F397" s="13" t="s">
        <v>2221</v>
      </c>
      <c r="G397" s="13">
        <v>99.96</v>
      </c>
      <c r="H397" s="44">
        <v>47.6</v>
      </c>
      <c r="I397" s="13">
        <v>52.38</v>
      </c>
      <c r="J397" s="24">
        <v>45875</v>
      </c>
      <c r="K397" s="25">
        <v>18</v>
      </c>
      <c r="L397" s="25">
        <v>2</v>
      </c>
      <c r="M397" s="13" t="b">
        <v>1</v>
      </c>
      <c r="N397" s="13" t="s">
        <v>2228</v>
      </c>
      <c r="O397" s="25">
        <f t="shared" si="24"/>
        <v>27</v>
      </c>
      <c r="P397" s="13">
        <f t="shared" si="25"/>
        <v>856.80000000000007</v>
      </c>
      <c r="Q397" s="13">
        <f t="shared" si="26"/>
        <v>1</v>
      </c>
      <c r="R397" s="13" t="str">
        <f t="shared" si="27"/>
        <v>Diskon</v>
      </c>
    </row>
    <row r="398" spans="1:18" x14ac:dyDescent="0.25">
      <c r="A398" s="13" t="s">
        <v>410</v>
      </c>
      <c r="B398" s="13" t="s">
        <v>2195</v>
      </c>
      <c r="C398" s="13" t="s">
        <v>2197</v>
      </c>
      <c r="D398" s="13" t="s">
        <v>2206</v>
      </c>
      <c r="E398" s="13" t="s">
        <v>2212</v>
      </c>
      <c r="F398" s="13" t="s">
        <v>2214</v>
      </c>
      <c r="G398" s="13">
        <v>110.04</v>
      </c>
      <c r="H398" s="44">
        <v>57.1</v>
      </c>
      <c r="I398" s="13">
        <v>47.21</v>
      </c>
      <c r="J398" s="24">
        <v>45875</v>
      </c>
      <c r="K398" s="25">
        <v>0</v>
      </c>
      <c r="L398" s="25">
        <v>4.7</v>
      </c>
      <c r="M398" s="13" t="b">
        <v>0</v>
      </c>
      <c r="O398" s="25">
        <f t="shared" si="24"/>
        <v>27</v>
      </c>
      <c r="P398" s="13">
        <f t="shared" si="25"/>
        <v>0</v>
      </c>
      <c r="Q398" s="13" t="str">
        <f t="shared" si="26"/>
        <v/>
      </c>
      <c r="R398" s="13" t="str">
        <f t="shared" si="27"/>
        <v>Diskon</v>
      </c>
    </row>
    <row r="399" spans="1:18" x14ac:dyDescent="0.25">
      <c r="A399" s="13" t="s">
        <v>411</v>
      </c>
      <c r="B399" s="13" t="s">
        <v>2195</v>
      </c>
      <c r="C399" s="13" t="s">
        <v>2203</v>
      </c>
      <c r="D399" s="13" t="s">
        <v>2205</v>
      </c>
      <c r="E399" s="13" t="s">
        <v>2209</v>
      </c>
      <c r="F399" s="13" t="s">
        <v>2219</v>
      </c>
      <c r="G399" s="13">
        <v>141.84</v>
      </c>
      <c r="H399" s="44">
        <v>0</v>
      </c>
      <c r="I399" s="13">
        <v>141.84</v>
      </c>
      <c r="J399" s="24">
        <v>45875</v>
      </c>
      <c r="K399" s="25">
        <v>39</v>
      </c>
      <c r="L399" s="25">
        <v>1.7</v>
      </c>
      <c r="M399" s="13" t="b">
        <v>0</v>
      </c>
      <c r="O399" s="25">
        <f t="shared" si="24"/>
        <v>27</v>
      </c>
      <c r="P399" s="13">
        <f t="shared" si="25"/>
        <v>0</v>
      </c>
      <c r="Q399" s="13" t="str">
        <f t="shared" si="26"/>
        <v/>
      </c>
      <c r="R399" s="13" t="str">
        <f t="shared" si="27"/>
        <v>Non diskon</v>
      </c>
    </row>
    <row r="400" spans="1:18" x14ac:dyDescent="0.25">
      <c r="A400" s="13" t="s">
        <v>412</v>
      </c>
      <c r="B400" s="13" t="s">
        <v>2192</v>
      </c>
      <c r="C400" s="13" t="s">
        <v>2200</v>
      </c>
      <c r="D400" s="13" t="s">
        <v>2205</v>
      </c>
      <c r="F400" s="13" t="s">
        <v>2224</v>
      </c>
      <c r="G400" s="13">
        <v>32.630000000000003</v>
      </c>
      <c r="H400" s="44">
        <v>42.9</v>
      </c>
      <c r="I400" s="13">
        <v>18.63</v>
      </c>
      <c r="J400" s="24">
        <v>45875</v>
      </c>
      <c r="K400" s="25">
        <v>5</v>
      </c>
      <c r="L400" s="25">
        <v>1.1000000000000001</v>
      </c>
      <c r="M400" s="13" t="b">
        <v>0</v>
      </c>
      <c r="O400" s="25">
        <f t="shared" si="24"/>
        <v>27</v>
      </c>
      <c r="P400" s="13">
        <f t="shared" si="25"/>
        <v>214.5</v>
      </c>
      <c r="Q400" s="13" t="str">
        <f t="shared" si="26"/>
        <v/>
      </c>
      <c r="R400" s="13" t="str">
        <f t="shared" si="27"/>
        <v>Diskon</v>
      </c>
    </row>
    <row r="401" spans="1:18" x14ac:dyDescent="0.25">
      <c r="A401" s="13" t="s">
        <v>413</v>
      </c>
      <c r="B401" s="13" t="s">
        <v>2190</v>
      </c>
      <c r="C401" s="13" t="s">
        <v>2196</v>
      </c>
      <c r="D401" s="13" t="s">
        <v>2204</v>
      </c>
      <c r="E401" s="13" t="s">
        <v>2209</v>
      </c>
      <c r="F401" s="13" t="s">
        <v>2216</v>
      </c>
      <c r="G401" s="13">
        <v>189.68</v>
      </c>
      <c r="H401" s="44">
        <v>40.799999999999997</v>
      </c>
      <c r="I401" s="13">
        <v>112.29</v>
      </c>
      <c r="J401" s="24">
        <v>45556</v>
      </c>
      <c r="K401" s="25">
        <v>27</v>
      </c>
      <c r="L401" s="25">
        <v>1.8</v>
      </c>
      <c r="M401" s="13" t="b">
        <v>1</v>
      </c>
      <c r="N401" s="13" t="s">
        <v>2227</v>
      </c>
      <c r="O401" s="25">
        <f t="shared" si="24"/>
        <v>346</v>
      </c>
      <c r="P401" s="13">
        <f t="shared" si="25"/>
        <v>1101.5999999999999</v>
      </c>
      <c r="Q401" s="13">
        <f t="shared" si="26"/>
        <v>1</v>
      </c>
      <c r="R401" s="13" t="str">
        <f t="shared" si="27"/>
        <v>Diskon</v>
      </c>
    </row>
    <row r="402" spans="1:18" x14ac:dyDescent="0.25">
      <c r="A402" s="13" t="s">
        <v>414</v>
      </c>
      <c r="B402" s="13" t="s">
        <v>2195</v>
      </c>
      <c r="C402" s="13" t="s">
        <v>2201</v>
      </c>
      <c r="D402" s="13" t="s">
        <v>2206</v>
      </c>
      <c r="E402" s="13" t="s">
        <v>2208</v>
      </c>
      <c r="F402" s="13" t="s">
        <v>2215</v>
      </c>
      <c r="G402" s="13">
        <v>150.88999999999999</v>
      </c>
      <c r="H402" s="44">
        <v>46.8</v>
      </c>
      <c r="I402" s="13">
        <v>80.27</v>
      </c>
      <c r="J402" s="24">
        <v>45875</v>
      </c>
      <c r="K402" s="25">
        <v>18</v>
      </c>
      <c r="L402" s="25">
        <v>4.9000000000000004</v>
      </c>
      <c r="M402" s="13" t="b">
        <v>0</v>
      </c>
      <c r="O402" s="25">
        <f t="shared" si="24"/>
        <v>27</v>
      </c>
      <c r="P402" s="13">
        <f t="shared" si="25"/>
        <v>842.4</v>
      </c>
      <c r="Q402" s="13" t="str">
        <f t="shared" si="26"/>
        <v/>
      </c>
      <c r="R402" s="13" t="str">
        <f t="shared" si="27"/>
        <v>Diskon</v>
      </c>
    </row>
    <row r="403" spans="1:18" x14ac:dyDescent="0.25">
      <c r="A403" s="13" t="s">
        <v>415</v>
      </c>
      <c r="B403" s="13" t="s">
        <v>2192</v>
      </c>
      <c r="C403" s="13" t="s">
        <v>2202</v>
      </c>
      <c r="D403" s="13" t="s">
        <v>2206</v>
      </c>
      <c r="F403" s="13" t="s">
        <v>2222</v>
      </c>
      <c r="G403" s="13">
        <v>42.66</v>
      </c>
      <c r="H403" s="44">
        <v>21.5</v>
      </c>
      <c r="I403" s="13">
        <v>33.49</v>
      </c>
      <c r="J403" s="24">
        <v>45875</v>
      </c>
      <c r="K403" s="25">
        <v>16</v>
      </c>
      <c r="L403" s="25">
        <v>3.2720930232558145</v>
      </c>
      <c r="M403" s="13" t="b">
        <v>0</v>
      </c>
      <c r="O403" s="25">
        <f t="shared" si="24"/>
        <v>27</v>
      </c>
      <c r="P403" s="13">
        <f t="shared" si="25"/>
        <v>344</v>
      </c>
      <c r="Q403" s="13" t="str">
        <f t="shared" si="26"/>
        <v/>
      </c>
      <c r="R403" s="13" t="str">
        <f t="shared" si="27"/>
        <v>Diskon</v>
      </c>
    </row>
    <row r="404" spans="1:18" x14ac:dyDescent="0.25">
      <c r="A404" s="13" t="s">
        <v>416</v>
      </c>
      <c r="B404" s="13" t="s">
        <v>2192</v>
      </c>
      <c r="C404" s="13" t="s">
        <v>2197</v>
      </c>
      <c r="D404" s="13" t="s">
        <v>2206</v>
      </c>
      <c r="F404" s="13" t="s">
        <v>2214</v>
      </c>
      <c r="G404" s="13">
        <v>62.05</v>
      </c>
      <c r="H404" s="44">
        <v>0</v>
      </c>
      <c r="I404" s="13">
        <v>62.05</v>
      </c>
      <c r="J404" s="24">
        <v>45875</v>
      </c>
      <c r="K404" s="25">
        <v>50</v>
      </c>
      <c r="L404" s="25">
        <v>1.4</v>
      </c>
      <c r="M404" s="13" t="b">
        <v>1</v>
      </c>
      <c r="N404" s="13" t="s">
        <v>2229</v>
      </c>
      <c r="O404" s="25">
        <f t="shared" si="24"/>
        <v>27</v>
      </c>
      <c r="P404" s="13">
        <f t="shared" si="25"/>
        <v>0</v>
      </c>
      <c r="Q404" s="13">
        <f t="shared" si="26"/>
        <v>1</v>
      </c>
      <c r="R404" s="13" t="str">
        <f t="shared" si="27"/>
        <v>Non diskon</v>
      </c>
    </row>
    <row r="405" spans="1:18" x14ac:dyDescent="0.25">
      <c r="A405" s="13" t="s">
        <v>417</v>
      </c>
      <c r="B405" s="13" t="s">
        <v>2192</v>
      </c>
      <c r="C405" s="13" t="s">
        <v>2198</v>
      </c>
      <c r="D405" s="13" t="s">
        <v>2205</v>
      </c>
      <c r="F405" s="13" t="s">
        <v>2220</v>
      </c>
      <c r="G405" s="13">
        <v>74.319999999999993</v>
      </c>
      <c r="H405" s="44">
        <v>0</v>
      </c>
      <c r="I405" s="13">
        <v>74.319999999999993</v>
      </c>
      <c r="J405" s="24">
        <v>45875</v>
      </c>
      <c r="K405" s="25">
        <v>4</v>
      </c>
      <c r="L405" s="25">
        <v>2.2000000000000002</v>
      </c>
      <c r="M405" s="13" t="b">
        <v>0</v>
      </c>
      <c r="O405" s="25">
        <f t="shared" si="24"/>
        <v>27</v>
      </c>
      <c r="P405" s="13">
        <f t="shared" si="25"/>
        <v>0</v>
      </c>
      <c r="Q405" s="13" t="str">
        <f t="shared" si="26"/>
        <v/>
      </c>
      <c r="R405" s="13" t="str">
        <f t="shared" si="27"/>
        <v>Non diskon</v>
      </c>
    </row>
    <row r="406" spans="1:18" x14ac:dyDescent="0.25">
      <c r="A406" s="13" t="s">
        <v>418</v>
      </c>
      <c r="B406" s="13" t="s">
        <v>2190</v>
      </c>
      <c r="C406" s="13" t="s">
        <v>2197</v>
      </c>
      <c r="D406" s="13" t="s">
        <v>2205</v>
      </c>
      <c r="E406" s="13" t="s">
        <v>2212</v>
      </c>
      <c r="F406" s="13" t="s">
        <v>2222</v>
      </c>
      <c r="G406" s="13">
        <v>217.34</v>
      </c>
      <c r="H406" s="44">
        <v>0</v>
      </c>
      <c r="I406" s="13">
        <v>217.34</v>
      </c>
      <c r="J406" s="24">
        <v>45875</v>
      </c>
      <c r="K406" s="25">
        <v>4</v>
      </c>
      <c r="L406" s="25">
        <v>4.2</v>
      </c>
      <c r="M406" s="13" t="b">
        <v>0</v>
      </c>
      <c r="O406" s="25">
        <f t="shared" si="24"/>
        <v>27</v>
      </c>
      <c r="P406" s="13">
        <f t="shared" si="25"/>
        <v>0</v>
      </c>
      <c r="Q406" s="13" t="str">
        <f t="shared" si="26"/>
        <v/>
      </c>
      <c r="R406" s="13" t="str">
        <f t="shared" si="27"/>
        <v>Non diskon</v>
      </c>
    </row>
    <row r="407" spans="1:18" x14ac:dyDescent="0.25">
      <c r="A407" s="13" t="s">
        <v>419</v>
      </c>
      <c r="B407" s="13" t="s">
        <v>2191</v>
      </c>
      <c r="C407" s="13" t="s">
        <v>2196</v>
      </c>
      <c r="D407" s="13" t="s">
        <v>2207</v>
      </c>
      <c r="E407" s="13" t="s">
        <v>2208</v>
      </c>
      <c r="F407" s="13" t="s">
        <v>2217</v>
      </c>
      <c r="G407" s="13">
        <v>111.14</v>
      </c>
      <c r="H407" s="44">
        <v>56.7</v>
      </c>
      <c r="I407" s="13">
        <v>48.12</v>
      </c>
      <c r="J407" s="24">
        <v>45875</v>
      </c>
      <c r="K407" s="25">
        <v>29</v>
      </c>
      <c r="L407" s="25">
        <v>1.5</v>
      </c>
      <c r="M407" s="13" t="b">
        <v>0</v>
      </c>
      <c r="O407" s="25">
        <f t="shared" si="24"/>
        <v>27</v>
      </c>
      <c r="P407" s="13">
        <f t="shared" si="25"/>
        <v>1644.3000000000002</v>
      </c>
      <c r="Q407" s="13" t="str">
        <f t="shared" si="26"/>
        <v/>
      </c>
      <c r="R407" s="13" t="str">
        <f t="shared" si="27"/>
        <v>Diskon</v>
      </c>
    </row>
    <row r="408" spans="1:18" x14ac:dyDescent="0.25">
      <c r="A408" s="13" t="s">
        <v>420</v>
      </c>
      <c r="B408" s="13" t="s">
        <v>2193</v>
      </c>
      <c r="C408" s="13" t="s">
        <v>2200</v>
      </c>
      <c r="D408" s="13" t="s">
        <v>2205</v>
      </c>
      <c r="E408" s="13" t="s">
        <v>2208</v>
      </c>
      <c r="F408" s="13" t="s">
        <v>2222</v>
      </c>
      <c r="G408" s="13">
        <v>62.5</v>
      </c>
      <c r="H408" s="44">
        <v>0</v>
      </c>
      <c r="I408" s="13">
        <v>62.5</v>
      </c>
      <c r="J408" s="24">
        <v>45875</v>
      </c>
      <c r="K408" s="25">
        <v>0</v>
      </c>
      <c r="L408" s="25">
        <v>1.9</v>
      </c>
      <c r="M408" s="13" t="b">
        <v>1</v>
      </c>
      <c r="N408" s="13" t="s">
        <v>2229</v>
      </c>
      <c r="O408" s="25">
        <f t="shared" si="24"/>
        <v>27</v>
      </c>
      <c r="P408" s="13">
        <f t="shared" si="25"/>
        <v>0</v>
      </c>
      <c r="Q408" s="13">
        <f t="shared" si="26"/>
        <v>1</v>
      </c>
      <c r="R408" s="13" t="str">
        <f t="shared" si="27"/>
        <v>Non diskon</v>
      </c>
    </row>
    <row r="409" spans="1:18" x14ac:dyDescent="0.25">
      <c r="A409" s="13" t="s">
        <v>421</v>
      </c>
      <c r="B409" s="13" t="s">
        <v>2190</v>
      </c>
      <c r="C409" s="13" t="s">
        <v>2198</v>
      </c>
      <c r="D409" s="13" t="s">
        <v>2205</v>
      </c>
      <c r="E409" s="13" t="s">
        <v>2212</v>
      </c>
      <c r="F409" s="13" t="s">
        <v>2219</v>
      </c>
      <c r="G409" s="13">
        <v>165.88</v>
      </c>
      <c r="H409" s="44">
        <v>3.4</v>
      </c>
      <c r="I409" s="13">
        <v>160.24</v>
      </c>
      <c r="J409" s="24">
        <v>45875</v>
      </c>
      <c r="K409" s="25">
        <v>42</v>
      </c>
      <c r="L409" s="25">
        <v>2.4</v>
      </c>
      <c r="M409" s="13" t="b">
        <v>0</v>
      </c>
      <c r="O409" s="25">
        <f t="shared" si="24"/>
        <v>27</v>
      </c>
      <c r="P409" s="13">
        <f t="shared" si="25"/>
        <v>142.79999999999998</v>
      </c>
      <c r="Q409" s="13" t="str">
        <f t="shared" si="26"/>
        <v/>
      </c>
      <c r="R409" s="13" t="str">
        <f t="shared" si="27"/>
        <v>Diskon</v>
      </c>
    </row>
    <row r="410" spans="1:18" x14ac:dyDescent="0.25">
      <c r="A410" s="13" t="s">
        <v>422</v>
      </c>
      <c r="B410" s="13" t="s">
        <v>2190</v>
      </c>
      <c r="C410" s="13" t="s">
        <v>2202</v>
      </c>
      <c r="D410" s="13" t="s">
        <v>2206</v>
      </c>
      <c r="E410" s="13" t="s">
        <v>2212</v>
      </c>
      <c r="F410" s="13" t="s">
        <v>2224</v>
      </c>
      <c r="G410" s="13">
        <v>179.8</v>
      </c>
      <c r="H410" s="44">
        <v>0</v>
      </c>
      <c r="I410" s="13">
        <v>179.8</v>
      </c>
      <c r="J410" s="24">
        <v>45875</v>
      </c>
      <c r="K410" s="25">
        <v>25</v>
      </c>
      <c r="L410" s="25">
        <v>1.7</v>
      </c>
      <c r="M410" s="13" t="b">
        <v>0</v>
      </c>
      <c r="O410" s="25">
        <f t="shared" si="24"/>
        <v>27</v>
      </c>
      <c r="P410" s="13">
        <f t="shared" si="25"/>
        <v>0</v>
      </c>
      <c r="Q410" s="13" t="str">
        <f t="shared" si="26"/>
        <v/>
      </c>
      <c r="R410" s="13" t="str">
        <f t="shared" si="27"/>
        <v>Non diskon</v>
      </c>
    </row>
    <row r="411" spans="1:18" x14ac:dyDescent="0.25">
      <c r="A411" s="13" t="s">
        <v>423</v>
      </c>
      <c r="B411" s="13" t="s">
        <v>2192</v>
      </c>
      <c r="C411" s="13" t="s">
        <v>2196</v>
      </c>
      <c r="D411" s="13" t="s">
        <v>2207</v>
      </c>
      <c r="F411" s="13" t="s">
        <v>2221</v>
      </c>
      <c r="G411" s="13">
        <v>34.15</v>
      </c>
      <c r="H411" s="44">
        <v>0</v>
      </c>
      <c r="I411" s="13">
        <v>34.15</v>
      </c>
      <c r="J411" s="24">
        <v>45875</v>
      </c>
      <c r="K411" s="25">
        <v>27</v>
      </c>
      <c r="L411" s="25">
        <v>4.0999999999999996</v>
      </c>
      <c r="M411" s="13" t="b">
        <v>0</v>
      </c>
      <c r="O411" s="25">
        <f t="shared" si="24"/>
        <v>27</v>
      </c>
      <c r="P411" s="13">
        <f t="shared" si="25"/>
        <v>0</v>
      </c>
      <c r="Q411" s="13" t="str">
        <f t="shared" si="26"/>
        <v/>
      </c>
      <c r="R411" s="13" t="str">
        <f t="shared" si="27"/>
        <v>Non diskon</v>
      </c>
    </row>
    <row r="412" spans="1:18" x14ac:dyDescent="0.25">
      <c r="A412" s="13" t="s">
        <v>424</v>
      </c>
      <c r="B412" s="13" t="s">
        <v>2191</v>
      </c>
      <c r="C412" s="13" t="s">
        <v>2202</v>
      </c>
      <c r="D412" s="13" t="s">
        <v>2204</v>
      </c>
      <c r="E412" s="13" t="s">
        <v>2212</v>
      </c>
      <c r="F412" s="13" t="s">
        <v>2220</v>
      </c>
      <c r="G412" s="13">
        <v>101.88</v>
      </c>
      <c r="H412" s="44">
        <v>0</v>
      </c>
      <c r="I412" s="13">
        <v>101.88</v>
      </c>
      <c r="J412" s="24">
        <v>45730</v>
      </c>
      <c r="K412" s="25">
        <v>46</v>
      </c>
      <c r="L412" s="25">
        <v>2.9074999999999998</v>
      </c>
      <c r="M412" s="13" t="b">
        <v>1</v>
      </c>
      <c r="N412" s="13" t="s">
        <v>2226</v>
      </c>
      <c r="O412" s="25">
        <f t="shared" si="24"/>
        <v>172</v>
      </c>
      <c r="P412" s="13">
        <f t="shared" si="25"/>
        <v>0</v>
      </c>
      <c r="Q412" s="13">
        <f t="shared" si="26"/>
        <v>1</v>
      </c>
      <c r="R412" s="13" t="str">
        <f t="shared" si="27"/>
        <v>Non diskon</v>
      </c>
    </row>
    <row r="413" spans="1:18" x14ac:dyDescent="0.25">
      <c r="A413" s="13" t="s">
        <v>425</v>
      </c>
      <c r="B413" s="13" t="s">
        <v>2193</v>
      </c>
      <c r="C413" s="13" t="s">
        <v>2198</v>
      </c>
      <c r="D413" s="13" t="s">
        <v>2207</v>
      </c>
      <c r="E413" s="13" t="s">
        <v>2208</v>
      </c>
      <c r="F413" s="13" t="s">
        <v>2219</v>
      </c>
      <c r="G413" s="13">
        <v>187.58</v>
      </c>
      <c r="H413" s="44">
        <v>0</v>
      </c>
      <c r="I413" s="13">
        <v>187.58</v>
      </c>
      <c r="J413" s="24">
        <v>45875</v>
      </c>
      <c r="K413" s="25">
        <v>46</v>
      </c>
      <c r="L413" s="25">
        <v>2.9</v>
      </c>
      <c r="M413" s="13" t="b">
        <v>0</v>
      </c>
      <c r="O413" s="25">
        <f t="shared" si="24"/>
        <v>27</v>
      </c>
      <c r="P413" s="13">
        <f t="shared" si="25"/>
        <v>0</v>
      </c>
      <c r="Q413" s="13" t="str">
        <f t="shared" si="26"/>
        <v/>
      </c>
      <c r="R413" s="13" t="str">
        <f t="shared" si="27"/>
        <v>Non diskon</v>
      </c>
    </row>
    <row r="414" spans="1:18" x14ac:dyDescent="0.25">
      <c r="A414" s="13" t="s">
        <v>426</v>
      </c>
      <c r="B414" s="13" t="s">
        <v>2190</v>
      </c>
      <c r="C414" s="13" t="s">
        <v>2201</v>
      </c>
      <c r="D414" s="13" t="s">
        <v>2206</v>
      </c>
      <c r="E414" s="13" t="s">
        <v>2209</v>
      </c>
      <c r="F414" s="13" t="s">
        <v>2215</v>
      </c>
      <c r="G414" s="13">
        <v>145.02000000000001</v>
      </c>
      <c r="H414" s="44">
        <v>0</v>
      </c>
      <c r="I414" s="13">
        <v>145.02000000000001</v>
      </c>
      <c r="J414" s="24">
        <v>45875</v>
      </c>
      <c r="K414" s="25">
        <v>36</v>
      </c>
      <c r="L414" s="25">
        <v>2.6</v>
      </c>
      <c r="M414" s="13" t="b">
        <v>0</v>
      </c>
      <c r="O414" s="25">
        <f t="shared" si="24"/>
        <v>27</v>
      </c>
      <c r="P414" s="13">
        <f t="shared" si="25"/>
        <v>0</v>
      </c>
      <c r="Q414" s="13" t="str">
        <f t="shared" si="26"/>
        <v/>
      </c>
      <c r="R414" s="13" t="str">
        <f t="shared" si="27"/>
        <v>Non diskon</v>
      </c>
    </row>
    <row r="415" spans="1:18" x14ac:dyDescent="0.25">
      <c r="A415" s="13" t="s">
        <v>427</v>
      </c>
      <c r="B415" s="13" t="s">
        <v>2194</v>
      </c>
      <c r="C415" s="13" t="s">
        <v>2202</v>
      </c>
      <c r="D415" s="13" t="s">
        <v>2207</v>
      </c>
      <c r="E415" s="13" t="s">
        <v>2212</v>
      </c>
      <c r="F415" s="13" t="s">
        <v>2219</v>
      </c>
      <c r="G415" s="13">
        <v>101.61</v>
      </c>
      <c r="H415" s="44">
        <v>26.9</v>
      </c>
      <c r="I415" s="13">
        <v>74.28</v>
      </c>
      <c r="J415" s="24">
        <v>45875</v>
      </c>
      <c r="K415" s="25">
        <v>38</v>
      </c>
      <c r="L415" s="25">
        <v>3.4</v>
      </c>
      <c r="M415" s="13" t="b">
        <v>1</v>
      </c>
      <c r="N415" s="13" t="s">
        <v>2227</v>
      </c>
      <c r="O415" s="25">
        <f t="shared" si="24"/>
        <v>27</v>
      </c>
      <c r="P415" s="13">
        <f t="shared" si="25"/>
        <v>1022.1999999999999</v>
      </c>
      <c r="Q415" s="13">
        <f t="shared" si="26"/>
        <v>1</v>
      </c>
      <c r="R415" s="13" t="str">
        <f t="shared" si="27"/>
        <v>Diskon</v>
      </c>
    </row>
    <row r="416" spans="1:18" x14ac:dyDescent="0.25">
      <c r="A416" s="13" t="s">
        <v>428</v>
      </c>
      <c r="B416" s="13" t="s">
        <v>2195</v>
      </c>
      <c r="C416" s="13" t="s">
        <v>2200</v>
      </c>
      <c r="D416" s="13" t="s">
        <v>2206</v>
      </c>
      <c r="E416" s="13" t="s">
        <v>2211</v>
      </c>
      <c r="F416" s="13" t="s">
        <v>2221</v>
      </c>
      <c r="G416" s="13">
        <v>71.14</v>
      </c>
      <c r="H416" s="44">
        <v>0</v>
      </c>
      <c r="I416" s="13">
        <v>71.14</v>
      </c>
      <c r="J416" s="24">
        <v>45875</v>
      </c>
      <c r="K416" s="25">
        <v>33</v>
      </c>
      <c r="L416" s="25">
        <v>3.1</v>
      </c>
      <c r="M416" s="13" t="b">
        <v>0</v>
      </c>
      <c r="O416" s="25">
        <f t="shared" si="24"/>
        <v>27</v>
      </c>
      <c r="P416" s="13">
        <f t="shared" si="25"/>
        <v>0</v>
      </c>
      <c r="Q416" s="13" t="str">
        <f t="shared" si="26"/>
        <v/>
      </c>
      <c r="R416" s="13" t="str">
        <f t="shared" si="27"/>
        <v>Non diskon</v>
      </c>
    </row>
    <row r="417" spans="1:18" x14ac:dyDescent="0.25">
      <c r="A417" s="13" t="s">
        <v>429</v>
      </c>
      <c r="B417" s="13" t="s">
        <v>2195</v>
      </c>
      <c r="C417" s="13" t="s">
        <v>2201</v>
      </c>
      <c r="D417" s="13" t="s">
        <v>2207</v>
      </c>
      <c r="E417" s="13" t="s">
        <v>2213</v>
      </c>
      <c r="F417" s="13" t="s">
        <v>2220</v>
      </c>
      <c r="G417" s="13">
        <v>55.21</v>
      </c>
      <c r="H417" s="44">
        <v>0</v>
      </c>
      <c r="I417" s="13">
        <v>55.21</v>
      </c>
      <c r="J417" s="24">
        <v>45875</v>
      </c>
      <c r="K417" s="25">
        <v>2</v>
      </c>
      <c r="L417" s="25">
        <v>3.8</v>
      </c>
      <c r="M417" s="13" t="b">
        <v>1</v>
      </c>
      <c r="N417" s="13" t="s">
        <v>2230</v>
      </c>
      <c r="O417" s="25">
        <f t="shared" si="24"/>
        <v>27</v>
      </c>
      <c r="P417" s="13">
        <f t="shared" si="25"/>
        <v>0</v>
      </c>
      <c r="Q417" s="13">
        <f t="shared" si="26"/>
        <v>1</v>
      </c>
      <c r="R417" s="13" t="str">
        <f t="shared" si="27"/>
        <v>Non diskon</v>
      </c>
    </row>
    <row r="418" spans="1:18" x14ac:dyDescent="0.25">
      <c r="A418" s="13" t="s">
        <v>430</v>
      </c>
      <c r="B418" s="13" t="s">
        <v>2191</v>
      </c>
      <c r="C418" s="13" t="s">
        <v>2196</v>
      </c>
      <c r="D418" s="13" t="s">
        <v>2207</v>
      </c>
      <c r="E418" s="13" t="s">
        <v>2211</v>
      </c>
      <c r="F418" s="13" t="s">
        <v>2216</v>
      </c>
      <c r="G418" s="13">
        <v>94.96</v>
      </c>
      <c r="H418" s="44">
        <v>35.4</v>
      </c>
      <c r="I418" s="13">
        <v>61.34</v>
      </c>
      <c r="J418" s="24">
        <v>45875</v>
      </c>
      <c r="K418" s="25">
        <v>34</v>
      </c>
      <c r="L418" s="25">
        <v>3.9</v>
      </c>
      <c r="M418" s="13" t="b">
        <v>0</v>
      </c>
      <c r="O418" s="25">
        <f t="shared" si="24"/>
        <v>27</v>
      </c>
      <c r="P418" s="13">
        <f t="shared" si="25"/>
        <v>1203.5999999999999</v>
      </c>
      <c r="Q418" s="13" t="str">
        <f t="shared" si="26"/>
        <v/>
      </c>
      <c r="R418" s="13" t="str">
        <f t="shared" si="27"/>
        <v>Diskon</v>
      </c>
    </row>
    <row r="419" spans="1:18" x14ac:dyDescent="0.25">
      <c r="A419" s="13" t="s">
        <v>431</v>
      </c>
      <c r="B419" s="13" t="s">
        <v>2193</v>
      </c>
      <c r="C419" s="13" t="s">
        <v>2199</v>
      </c>
      <c r="D419" s="13" t="s">
        <v>2204</v>
      </c>
      <c r="E419" s="13" t="s">
        <v>2213</v>
      </c>
      <c r="F419" s="13" t="s">
        <v>2223</v>
      </c>
      <c r="G419" s="13">
        <v>138.69</v>
      </c>
      <c r="H419" s="44">
        <v>0</v>
      </c>
      <c r="I419" s="13">
        <v>138.69</v>
      </c>
      <c r="J419" s="24">
        <v>45628</v>
      </c>
      <c r="K419" s="25">
        <v>0</v>
      </c>
      <c r="L419" s="25">
        <v>2.9</v>
      </c>
      <c r="M419" s="13" t="b">
        <v>0</v>
      </c>
      <c r="O419" s="25">
        <f t="shared" si="24"/>
        <v>274</v>
      </c>
      <c r="P419" s="13">
        <f t="shared" si="25"/>
        <v>0</v>
      </c>
      <c r="Q419" s="13" t="str">
        <f t="shared" si="26"/>
        <v/>
      </c>
      <c r="R419" s="13" t="str">
        <f t="shared" si="27"/>
        <v>Non diskon</v>
      </c>
    </row>
    <row r="420" spans="1:18" x14ac:dyDescent="0.25">
      <c r="A420" s="13" t="s">
        <v>432</v>
      </c>
      <c r="B420" s="13" t="s">
        <v>2190</v>
      </c>
      <c r="C420" s="13" t="s">
        <v>2202</v>
      </c>
      <c r="D420" s="13" t="s">
        <v>2204</v>
      </c>
      <c r="E420" s="13" t="s">
        <v>2211</v>
      </c>
      <c r="F420" s="13" t="s">
        <v>2222</v>
      </c>
      <c r="G420" s="13">
        <v>175.7</v>
      </c>
      <c r="H420" s="44">
        <v>0</v>
      </c>
      <c r="I420" s="13">
        <v>175.7</v>
      </c>
      <c r="J420" s="24">
        <v>45711</v>
      </c>
      <c r="K420" s="25">
        <v>20</v>
      </c>
      <c r="L420" s="25">
        <v>3</v>
      </c>
      <c r="M420" s="13" t="b">
        <v>0</v>
      </c>
      <c r="O420" s="25">
        <f t="shared" si="24"/>
        <v>191</v>
      </c>
      <c r="P420" s="13">
        <f t="shared" si="25"/>
        <v>0</v>
      </c>
      <c r="Q420" s="13" t="str">
        <f t="shared" si="26"/>
        <v/>
      </c>
      <c r="R420" s="13" t="str">
        <f t="shared" si="27"/>
        <v>Non diskon</v>
      </c>
    </row>
    <row r="421" spans="1:18" x14ac:dyDescent="0.25">
      <c r="A421" s="13" t="s">
        <v>433</v>
      </c>
      <c r="B421" s="13" t="s">
        <v>2193</v>
      </c>
      <c r="C421" s="13" t="s">
        <v>2197</v>
      </c>
      <c r="D421" s="13" t="s">
        <v>2207</v>
      </c>
      <c r="E421" s="13" t="s">
        <v>2212</v>
      </c>
      <c r="F421" s="13" t="s">
        <v>2216</v>
      </c>
      <c r="G421" s="13">
        <v>145.18</v>
      </c>
      <c r="H421" s="44">
        <v>35.700000000000003</v>
      </c>
      <c r="I421" s="13">
        <v>93.35</v>
      </c>
      <c r="J421" s="24">
        <v>45875</v>
      </c>
      <c r="K421" s="25">
        <v>25</v>
      </c>
      <c r="L421" s="25">
        <v>2.2000000000000002</v>
      </c>
      <c r="M421" s="13" t="b">
        <v>0</v>
      </c>
      <c r="O421" s="25">
        <f t="shared" si="24"/>
        <v>27</v>
      </c>
      <c r="P421" s="13">
        <f t="shared" si="25"/>
        <v>892.50000000000011</v>
      </c>
      <c r="Q421" s="13" t="str">
        <f t="shared" si="26"/>
        <v/>
      </c>
      <c r="R421" s="13" t="str">
        <f t="shared" si="27"/>
        <v>Diskon</v>
      </c>
    </row>
    <row r="422" spans="1:18" x14ac:dyDescent="0.25">
      <c r="A422" s="13" t="s">
        <v>434</v>
      </c>
      <c r="B422" s="13" t="s">
        <v>2195</v>
      </c>
      <c r="C422" s="13" t="s">
        <v>2199</v>
      </c>
      <c r="D422" s="13" t="s">
        <v>2207</v>
      </c>
      <c r="E422" s="13" t="s">
        <v>2213</v>
      </c>
      <c r="F422" s="13" t="s">
        <v>2216</v>
      </c>
      <c r="G422" s="13">
        <v>169.34</v>
      </c>
      <c r="H422" s="44">
        <v>44.6</v>
      </c>
      <c r="I422" s="13">
        <v>93.81</v>
      </c>
      <c r="J422" s="24">
        <v>45875</v>
      </c>
      <c r="K422" s="25">
        <v>37</v>
      </c>
      <c r="L422" s="25">
        <v>2.7</v>
      </c>
      <c r="M422" s="13" t="b">
        <v>0</v>
      </c>
      <c r="O422" s="25">
        <f t="shared" si="24"/>
        <v>27</v>
      </c>
      <c r="P422" s="13">
        <f t="shared" si="25"/>
        <v>1650.2</v>
      </c>
      <c r="Q422" s="13" t="str">
        <f t="shared" si="26"/>
        <v/>
      </c>
      <c r="R422" s="13" t="str">
        <f t="shared" si="27"/>
        <v>Diskon</v>
      </c>
    </row>
    <row r="423" spans="1:18" x14ac:dyDescent="0.25">
      <c r="A423" s="13" t="s">
        <v>435</v>
      </c>
      <c r="B423" s="13" t="s">
        <v>2191</v>
      </c>
      <c r="C423" s="13" t="s">
        <v>2197</v>
      </c>
      <c r="D423" s="13" t="s">
        <v>2207</v>
      </c>
      <c r="E423" s="13" t="s">
        <v>2209</v>
      </c>
      <c r="F423" s="13" t="s">
        <v>2214</v>
      </c>
      <c r="G423" s="13">
        <v>103.14</v>
      </c>
      <c r="H423" s="44">
        <v>0</v>
      </c>
      <c r="I423" s="13">
        <v>103.14</v>
      </c>
      <c r="J423" s="24">
        <v>45875</v>
      </c>
      <c r="K423" s="25">
        <v>13</v>
      </c>
      <c r="L423" s="25">
        <v>4.5</v>
      </c>
      <c r="M423" s="13" t="b">
        <v>0</v>
      </c>
      <c r="O423" s="25">
        <f t="shared" si="24"/>
        <v>27</v>
      </c>
      <c r="P423" s="13">
        <f t="shared" si="25"/>
        <v>0</v>
      </c>
      <c r="Q423" s="13" t="str">
        <f t="shared" si="26"/>
        <v/>
      </c>
      <c r="R423" s="13" t="str">
        <f t="shared" si="27"/>
        <v>Non diskon</v>
      </c>
    </row>
    <row r="424" spans="1:18" x14ac:dyDescent="0.25">
      <c r="A424" s="13" t="s">
        <v>436</v>
      </c>
      <c r="B424" s="13" t="s">
        <v>2191</v>
      </c>
      <c r="C424" s="13" t="s">
        <v>2199</v>
      </c>
      <c r="D424" s="13" t="s">
        <v>2206</v>
      </c>
      <c r="E424" s="13" t="s">
        <v>2213</v>
      </c>
      <c r="F424" s="13" t="s">
        <v>2221</v>
      </c>
      <c r="G424" s="13">
        <v>97.47</v>
      </c>
      <c r="H424" s="44">
        <v>32</v>
      </c>
      <c r="I424" s="13">
        <v>66.28</v>
      </c>
      <c r="J424" s="24">
        <v>45875</v>
      </c>
      <c r="K424" s="25">
        <v>27</v>
      </c>
      <c r="L424" s="25">
        <v>3</v>
      </c>
      <c r="M424" s="13" t="b">
        <v>0</v>
      </c>
      <c r="O424" s="25">
        <f t="shared" si="24"/>
        <v>27</v>
      </c>
      <c r="P424" s="13">
        <f t="shared" si="25"/>
        <v>864</v>
      </c>
      <c r="Q424" s="13" t="str">
        <f t="shared" si="26"/>
        <v/>
      </c>
      <c r="R424" s="13" t="str">
        <f t="shared" si="27"/>
        <v>Diskon</v>
      </c>
    </row>
    <row r="425" spans="1:18" x14ac:dyDescent="0.25">
      <c r="A425" s="13" t="s">
        <v>437</v>
      </c>
      <c r="B425" s="13" t="s">
        <v>2195</v>
      </c>
      <c r="C425" s="13" t="s">
        <v>2201</v>
      </c>
      <c r="D425" s="13" t="s">
        <v>2204</v>
      </c>
      <c r="E425" s="13" t="s">
        <v>2213</v>
      </c>
      <c r="F425" s="13" t="s">
        <v>2222</v>
      </c>
      <c r="G425" s="13">
        <v>50.69</v>
      </c>
      <c r="H425" s="44">
        <v>26.3</v>
      </c>
      <c r="I425" s="13">
        <v>37.36</v>
      </c>
      <c r="J425" s="24">
        <v>45594</v>
      </c>
      <c r="K425" s="25">
        <v>37</v>
      </c>
      <c r="L425" s="25">
        <v>4.0999999999999996</v>
      </c>
      <c r="M425" s="13" t="b">
        <v>0</v>
      </c>
      <c r="O425" s="25">
        <f t="shared" si="24"/>
        <v>308</v>
      </c>
      <c r="P425" s="13">
        <f t="shared" si="25"/>
        <v>973.1</v>
      </c>
      <c r="Q425" s="13" t="str">
        <f t="shared" si="26"/>
        <v/>
      </c>
      <c r="R425" s="13" t="str">
        <f t="shared" si="27"/>
        <v>Diskon</v>
      </c>
    </row>
    <row r="426" spans="1:18" x14ac:dyDescent="0.25">
      <c r="A426" s="13" t="s">
        <v>438</v>
      </c>
      <c r="B426" s="13" t="s">
        <v>2190</v>
      </c>
      <c r="C426" s="13" t="s">
        <v>2198</v>
      </c>
      <c r="D426" s="13" t="s">
        <v>2206</v>
      </c>
      <c r="E426" s="13" t="s">
        <v>2208</v>
      </c>
      <c r="F426" s="13" t="s">
        <v>2216</v>
      </c>
      <c r="G426" s="13">
        <v>127.75</v>
      </c>
      <c r="H426" s="44">
        <v>0</v>
      </c>
      <c r="I426" s="13">
        <v>127.75</v>
      </c>
      <c r="J426" s="24">
        <v>45875</v>
      </c>
      <c r="K426" s="25">
        <v>32</v>
      </c>
      <c r="L426" s="25">
        <v>3.6</v>
      </c>
      <c r="M426" s="13" t="b">
        <v>0</v>
      </c>
      <c r="O426" s="25">
        <f t="shared" si="24"/>
        <v>27</v>
      </c>
      <c r="P426" s="13">
        <f t="shared" si="25"/>
        <v>0</v>
      </c>
      <c r="Q426" s="13" t="str">
        <f t="shared" si="26"/>
        <v/>
      </c>
      <c r="R426" s="13" t="str">
        <f t="shared" si="27"/>
        <v>Non diskon</v>
      </c>
    </row>
    <row r="427" spans="1:18" x14ac:dyDescent="0.25">
      <c r="A427" s="13" t="s">
        <v>439</v>
      </c>
      <c r="B427" s="13" t="s">
        <v>2191</v>
      </c>
      <c r="C427" s="13" t="s">
        <v>2203</v>
      </c>
      <c r="D427" s="13" t="s">
        <v>2205</v>
      </c>
      <c r="E427" s="13" t="s">
        <v>2208</v>
      </c>
      <c r="F427" s="13" t="s">
        <v>2216</v>
      </c>
      <c r="G427" s="13">
        <v>111.64</v>
      </c>
      <c r="H427" s="44">
        <v>0</v>
      </c>
      <c r="I427" s="13">
        <v>111.64</v>
      </c>
      <c r="J427" s="24">
        <v>45875</v>
      </c>
      <c r="K427" s="25">
        <v>13</v>
      </c>
      <c r="L427" s="25">
        <v>4.8</v>
      </c>
      <c r="M427" s="13" t="b">
        <v>0</v>
      </c>
      <c r="O427" s="25">
        <f t="shared" si="24"/>
        <v>27</v>
      </c>
      <c r="P427" s="13">
        <f t="shared" si="25"/>
        <v>0</v>
      </c>
      <c r="Q427" s="13" t="str">
        <f t="shared" si="26"/>
        <v/>
      </c>
      <c r="R427" s="13" t="str">
        <f t="shared" si="27"/>
        <v>Non diskon</v>
      </c>
    </row>
    <row r="428" spans="1:18" x14ac:dyDescent="0.25">
      <c r="A428" s="13" t="s">
        <v>440</v>
      </c>
      <c r="B428" s="13" t="s">
        <v>2193</v>
      </c>
      <c r="C428" s="13" t="s">
        <v>2197</v>
      </c>
      <c r="D428" s="13" t="s">
        <v>2206</v>
      </c>
      <c r="F428" s="13" t="s">
        <v>2223</v>
      </c>
      <c r="G428" s="13">
        <v>134.6</v>
      </c>
      <c r="H428" s="44">
        <v>11.6</v>
      </c>
      <c r="I428" s="13">
        <v>118.99</v>
      </c>
      <c r="J428" s="24">
        <v>45875</v>
      </c>
      <c r="K428" s="25">
        <v>47</v>
      </c>
      <c r="L428" s="25">
        <v>3.9</v>
      </c>
      <c r="M428" s="13" t="b">
        <v>0</v>
      </c>
      <c r="O428" s="25">
        <f t="shared" si="24"/>
        <v>27</v>
      </c>
      <c r="P428" s="13">
        <f t="shared" si="25"/>
        <v>545.19999999999993</v>
      </c>
      <c r="Q428" s="13" t="str">
        <f t="shared" si="26"/>
        <v/>
      </c>
      <c r="R428" s="13" t="str">
        <f t="shared" si="27"/>
        <v>Diskon</v>
      </c>
    </row>
    <row r="429" spans="1:18" x14ac:dyDescent="0.25">
      <c r="A429" s="13" t="s">
        <v>441</v>
      </c>
      <c r="B429" s="13" t="s">
        <v>2194</v>
      </c>
      <c r="C429" s="13" t="s">
        <v>2196</v>
      </c>
      <c r="D429" s="13" t="s">
        <v>2204</v>
      </c>
      <c r="E429" s="13" t="s">
        <v>2211</v>
      </c>
      <c r="F429" s="13" t="s">
        <v>2223</v>
      </c>
      <c r="G429" s="13">
        <v>56.05</v>
      </c>
      <c r="H429" s="44">
        <v>0</v>
      </c>
      <c r="I429" s="13">
        <v>56.05</v>
      </c>
      <c r="J429" s="24">
        <v>45854</v>
      </c>
      <c r="K429" s="25">
        <v>9</v>
      </c>
      <c r="L429" s="25">
        <v>2.9210526315789478</v>
      </c>
      <c r="M429" s="13" t="b">
        <v>0</v>
      </c>
      <c r="O429" s="25">
        <f t="shared" si="24"/>
        <v>48</v>
      </c>
      <c r="P429" s="13">
        <f t="shared" si="25"/>
        <v>0</v>
      </c>
      <c r="Q429" s="13" t="str">
        <f t="shared" si="26"/>
        <v/>
      </c>
      <c r="R429" s="13" t="str">
        <f t="shared" si="27"/>
        <v>Non diskon</v>
      </c>
    </row>
    <row r="430" spans="1:18" x14ac:dyDescent="0.25">
      <c r="A430" s="13" t="s">
        <v>442</v>
      </c>
      <c r="B430" s="13" t="s">
        <v>2195</v>
      </c>
      <c r="C430" s="13" t="s">
        <v>2198</v>
      </c>
      <c r="D430" s="13" t="s">
        <v>2206</v>
      </c>
      <c r="E430" s="13" t="s">
        <v>2208</v>
      </c>
      <c r="F430" s="13" t="s">
        <v>2223</v>
      </c>
      <c r="G430" s="13">
        <v>106.2</v>
      </c>
      <c r="H430" s="44">
        <v>0</v>
      </c>
      <c r="I430" s="13">
        <v>106.2</v>
      </c>
      <c r="J430" s="24">
        <v>45875</v>
      </c>
      <c r="K430" s="25">
        <v>35</v>
      </c>
      <c r="L430" s="25">
        <v>4.5</v>
      </c>
      <c r="M430" s="13" t="b">
        <v>0</v>
      </c>
      <c r="O430" s="25">
        <f t="shared" si="24"/>
        <v>27</v>
      </c>
      <c r="P430" s="13">
        <f t="shared" si="25"/>
        <v>0</v>
      </c>
      <c r="Q430" s="13" t="str">
        <f t="shared" si="26"/>
        <v/>
      </c>
      <c r="R430" s="13" t="str">
        <f t="shared" si="27"/>
        <v>Non diskon</v>
      </c>
    </row>
    <row r="431" spans="1:18" x14ac:dyDescent="0.25">
      <c r="A431" s="13" t="s">
        <v>443</v>
      </c>
      <c r="B431" s="13" t="s">
        <v>2193</v>
      </c>
      <c r="C431" s="13" t="s">
        <v>2199</v>
      </c>
      <c r="D431" s="13" t="s">
        <v>2206</v>
      </c>
      <c r="F431" s="13" t="s">
        <v>2220</v>
      </c>
      <c r="G431" s="13">
        <v>104.26</v>
      </c>
      <c r="H431" s="44">
        <v>20.6</v>
      </c>
      <c r="I431" s="13">
        <v>82.78</v>
      </c>
      <c r="J431" s="24">
        <v>45875</v>
      </c>
      <c r="K431" s="25">
        <v>31</v>
      </c>
      <c r="L431" s="25">
        <v>3</v>
      </c>
      <c r="M431" s="13" t="b">
        <v>0</v>
      </c>
      <c r="O431" s="25">
        <f t="shared" si="24"/>
        <v>27</v>
      </c>
      <c r="P431" s="13">
        <f t="shared" si="25"/>
        <v>638.6</v>
      </c>
      <c r="Q431" s="13" t="str">
        <f t="shared" si="26"/>
        <v/>
      </c>
      <c r="R431" s="13" t="str">
        <f t="shared" si="27"/>
        <v>Diskon</v>
      </c>
    </row>
    <row r="432" spans="1:18" x14ac:dyDescent="0.25">
      <c r="A432" s="13" t="s">
        <v>444</v>
      </c>
      <c r="B432" s="13" t="s">
        <v>2192</v>
      </c>
      <c r="C432" s="13" t="s">
        <v>2197</v>
      </c>
      <c r="D432" s="13" t="s">
        <v>2204</v>
      </c>
      <c r="F432" s="13" t="s">
        <v>2223</v>
      </c>
      <c r="G432" s="13">
        <v>24.53</v>
      </c>
      <c r="H432" s="44">
        <v>0</v>
      </c>
      <c r="I432" s="13">
        <v>24.53</v>
      </c>
      <c r="J432" s="24">
        <v>45524</v>
      </c>
      <c r="K432" s="25">
        <v>44</v>
      </c>
      <c r="L432" s="25">
        <v>4.2</v>
      </c>
      <c r="M432" s="13" t="b">
        <v>0</v>
      </c>
      <c r="O432" s="25">
        <f t="shared" si="24"/>
        <v>378</v>
      </c>
      <c r="P432" s="13">
        <f t="shared" si="25"/>
        <v>0</v>
      </c>
      <c r="Q432" s="13" t="str">
        <f t="shared" si="26"/>
        <v/>
      </c>
      <c r="R432" s="13" t="str">
        <f t="shared" si="27"/>
        <v>Non diskon</v>
      </c>
    </row>
    <row r="433" spans="1:18" x14ac:dyDescent="0.25">
      <c r="A433" s="13" t="s">
        <v>445</v>
      </c>
      <c r="B433" s="13" t="s">
        <v>2193</v>
      </c>
      <c r="C433" s="13" t="s">
        <v>2199</v>
      </c>
      <c r="D433" s="13" t="s">
        <v>2204</v>
      </c>
      <c r="E433" s="13" t="s">
        <v>2209</v>
      </c>
      <c r="F433" s="13" t="s">
        <v>2220</v>
      </c>
      <c r="G433" s="13">
        <v>131.25</v>
      </c>
      <c r="H433" s="44">
        <v>0</v>
      </c>
      <c r="I433" s="13">
        <v>131.25</v>
      </c>
      <c r="J433" s="24">
        <v>45826</v>
      </c>
      <c r="K433" s="25">
        <v>12</v>
      </c>
      <c r="L433" s="25">
        <v>1.6</v>
      </c>
      <c r="M433" s="13" t="b">
        <v>0</v>
      </c>
      <c r="O433" s="25">
        <f t="shared" si="24"/>
        <v>76</v>
      </c>
      <c r="P433" s="13">
        <f t="shared" si="25"/>
        <v>0</v>
      </c>
      <c r="Q433" s="13" t="str">
        <f t="shared" si="26"/>
        <v/>
      </c>
      <c r="R433" s="13" t="str">
        <f t="shared" si="27"/>
        <v>Non diskon</v>
      </c>
    </row>
    <row r="434" spans="1:18" x14ac:dyDescent="0.25">
      <c r="A434" s="13" t="s">
        <v>446</v>
      </c>
      <c r="B434" s="13" t="s">
        <v>2194</v>
      </c>
      <c r="C434" s="13" t="s">
        <v>2203</v>
      </c>
      <c r="D434" s="13" t="s">
        <v>2206</v>
      </c>
      <c r="E434" s="13" t="s">
        <v>2213</v>
      </c>
      <c r="F434" s="13" t="s">
        <v>2214</v>
      </c>
      <c r="G434" s="13">
        <v>72.849999999999994</v>
      </c>
      <c r="H434" s="44">
        <v>0</v>
      </c>
      <c r="I434" s="13">
        <v>72.849999999999994</v>
      </c>
      <c r="J434" s="24">
        <v>45875</v>
      </c>
      <c r="K434" s="25">
        <v>25</v>
      </c>
      <c r="L434" s="25">
        <v>3.8</v>
      </c>
      <c r="M434" s="13" t="b">
        <v>0</v>
      </c>
      <c r="O434" s="25">
        <f t="shared" si="24"/>
        <v>27</v>
      </c>
      <c r="P434" s="13">
        <f t="shared" si="25"/>
        <v>0</v>
      </c>
      <c r="Q434" s="13" t="str">
        <f t="shared" si="26"/>
        <v/>
      </c>
      <c r="R434" s="13" t="str">
        <f t="shared" si="27"/>
        <v>Non diskon</v>
      </c>
    </row>
    <row r="435" spans="1:18" x14ac:dyDescent="0.25">
      <c r="A435" s="13" t="s">
        <v>447</v>
      </c>
      <c r="B435" s="13" t="s">
        <v>2193</v>
      </c>
      <c r="C435" s="13" t="s">
        <v>2196</v>
      </c>
      <c r="D435" s="13" t="s">
        <v>2205</v>
      </c>
      <c r="E435" s="13" t="s">
        <v>2212</v>
      </c>
      <c r="F435" s="13" t="s">
        <v>2220</v>
      </c>
      <c r="G435" s="13">
        <v>135.38999999999999</v>
      </c>
      <c r="H435" s="44">
        <v>0</v>
      </c>
      <c r="I435" s="13">
        <v>135.38999999999999</v>
      </c>
      <c r="J435" s="24">
        <v>45875</v>
      </c>
      <c r="K435" s="25">
        <v>26</v>
      </c>
      <c r="L435" s="25">
        <v>3.9</v>
      </c>
      <c r="M435" s="13" t="b">
        <v>0</v>
      </c>
      <c r="O435" s="25">
        <f t="shared" si="24"/>
        <v>27</v>
      </c>
      <c r="P435" s="13">
        <f t="shared" si="25"/>
        <v>0</v>
      </c>
      <c r="Q435" s="13" t="str">
        <f t="shared" si="26"/>
        <v/>
      </c>
      <c r="R435" s="13" t="str">
        <f t="shared" si="27"/>
        <v>Non diskon</v>
      </c>
    </row>
    <row r="436" spans="1:18" x14ac:dyDescent="0.25">
      <c r="A436" s="13" t="s">
        <v>448</v>
      </c>
      <c r="B436" s="13" t="s">
        <v>2193</v>
      </c>
      <c r="C436" s="13" t="s">
        <v>2196</v>
      </c>
      <c r="D436" s="13" t="s">
        <v>2205</v>
      </c>
      <c r="E436" s="13" t="s">
        <v>2208</v>
      </c>
      <c r="F436" s="13" t="s">
        <v>2222</v>
      </c>
      <c r="G436" s="13">
        <v>166.94</v>
      </c>
      <c r="H436" s="44">
        <v>4.2</v>
      </c>
      <c r="I436" s="13">
        <v>159.93</v>
      </c>
      <c r="J436" s="24">
        <v>45875</v>
      </c>
      <c r="K436" s="25">
        <v>17</v>
      </c>
      <c r="L436" s="25">
        <v>2.6</v>
      </c>
      <c r="M436" s="13" t="b">
        <v>1</v>
      </c>
      <c r="N436" s="13" t="s">
        <v>2225</v>
      </c>
      <c r="O436" s="25">
        <f t="shared" si="24"/>
        <v>27</v>
      </c>
      <c r="P436" s="13">
        <f t="shared" si="25"/>
        <v>71.400000000000006</v>
      </c>
      <c r="Q436" s="13">
        <f t="shared" si="26"/>
        <v>1</v>
      </c>
      <c r="R436" s="13" t="str">
        <f t="shared" si="27"/>
        <v>Diskon</v>
      </c>
    </row>
    <row r="437" spans="1:18" x14ac:dyDescent="0.25">
      <c r="A437" s="13" t="s">
        <v>449</v>
      </c>
      <c r="B437" s="13" t="s">
        <v>2193</v>
      </c>
      <c r="C437" s="13" t="s">
        <v>2198</v>
      </c>
      <c r="D437" s="13" t="s">
        <v>2204</v>
      </c>
      <c r="E437" s="13" t="s">
        <v>2208</v>
      </c>
      <c r="F437" s="13" t="s">
        <v>2220</v>
      </c>
      <c r="G437" s="13">
        <v>135.36000000000001</v>
      </c>
      <c r="H437" s="44">
        <v>41.7</v>
      </c>
      <c r="I437" s="13">
        <v>78.91</v>
      </c>
      <c r="J437" s="24">
        <v>45646</v>
      </c>
      <c r="K437" s="25">
        <v>17</v>
      </c>
      <c r="L437" s="25">
        <v>4.3</v>
      </c>
      <c r="M437" s="13" t="b">
        <v>0</v>
      </c>
      <c r="O437" s="25">
        <f t="shared" si="24"/>
        <v>256</v>
      </c>
      <c r="P437" s="13">
        <f t="shared" si="25"/>
        <v>708.90000000000009</v>
      </c>
      <c r="Q437" s="13" t="str">
        <f t="shared" si="26"/>
        <v/>
      </c>
      <c r="R437" s="13" t="str">
        <f t="shared" si="27"/>
        <v>Diskon</v>
      </c>
    </row>
    <row r="438" spans="1:18" x14ac:dyDescent="0.25">
      <c r="A438" s="13" t="s">
        <v>450</v>
      </c>
      <c r="B438" s="13" t="s">
        <v>2194</v>
      </c>
      <c r="C438" s="13" t="s">
        <v>2201</v>
      </c>
      <c r="D438" s="13" t="s">
        <v>2204</v>
      </c>
      <c r="E438" s="13" t="s">
        <v>2209</v>
      </c>
      <c r="F438" s="13" t="s">
        <v>2219</v>
      </c>
      <c r="G438" s="13">
        <v>96.05</v>
      </c>
      <c r="H438" s="44">
        <v>0</v>
      </c>
      <c r="I438" s="13">
        <v>96.05</v>
      </c>
      <c r="J438" s="24">
        <v>45544</v>
      </c>
      <c r="K438" s="25">
        <v>15</v>
      </c>
      <c r="L438" s="25">
        <v>4</v>
      </c>
      <c r="M438" s="13" t="b">
        <v>0</v>
      </c>
      <c r="O438" s="25">
        <f t="shared" si="24"/>
        <v>358</v>
      </c>
      <c r="P438" s="13">
        <f t="shared" si="25"/>
        <v>0</v>
      </c>
      <c r="Q438" s="13" t="str">
        <f t="shared" si="26"/>
        <v/>
      </c>
      <c r="R438" s="13" t="str">
        <f t="shared" si="27"/>
        <v>Non diskon</v>
      </c>
    </row>
    <row r="439" spans="1:18" x14ac:dyDescent="0.25">
      <c r="A439" s="13" t="s">
        <v>451</v>
      </c>
      <c r="B439" s="13" t="s">
        <v>2190</v>
      </c>
      <c r="C439" s="13" t="s">
        <v>2200</v>
      </c>
      <c r="D439" s="13" t="s">
        <v>2207</v>
      </c>
      <c r="E439" s="13" t="s">
        <v>2209</v>
      </c>
      <c r="F439" s="13" t="s">
        <v>2214</v>
      </c>
      <c r="G439" s="13">
        <v>116.1</v>
      </c>
      <c r="H439" s="44">
        <v>0</v>
      </c>
      <c r="I439" s="13">
        <v>116.1</v>
      </c>
      <c r="J439" s="24">
        <v>45875</v>
      </c>
      <c r="K439" s="25">
        <v>27</v>
      </c>
      <c r="L439" s="25">
        <v>3.6</v>
      </c>
      <c r="M439" s="13" t="b">
        <v>1</v>
      </c>
      <c r="N439" s="13" t="s">
        <v>2229</v>
      </c>
      <c r="O439" s="25">
        <f t="shared" si="24"/>
        <v>27</v>
      </c>
      <c r="P439" s="13">
        <f t="shared" si="25"/>
        <v>0</v>
      </c>
      <c r="Q439" s="13">
        <f t="shared" si="26"/>
        <v>1</v>
      </c>
      <c r="R439" s="13" t="str">
        <f t="shared" si="27"/>
        <v>Non diskon</v>
      </c>
    </row>
    <row r="440" spans="1:18" x14ac:dyDescent="0.25">
      <c r="A440" s="13" t="s">
        <v>452</v>
      </c>
      <c r="B440" s="13" t="s">
        <v>2193</v>
      </c>
      <c r="C440" s="13" t="s">
        <v>2199</v>
      </c>
      <c r="D440" s="13" t="s">
        <v>2206</v>
      </c>
      <c r="E440" s="13" t="s">
        <v>2209</v>
      </c>
      <c r="F440" s="13" t="s">
        <v>2216</v>
      </c>
      <c r="G440" s="13">
        <v>91.53</v>
      </c>
      <c r="H440" s="44">
        <v>0</v>
      </c>
      <c r="I440" s="13">
        <v>91.53</v>
      </c>
      <c r="J440" s="24">
        <v>45875</v>
      </c>
      <c r="K440" s="25">
        <v>8</v>
      </c>
      <c r="L440" s="25">
        <v>1.5</v>
      </c>
      <c r="M440" s="13" t="b">
        <v>0</v>
      </c>
      <c r="O440" s="25">
        <f t="shared" si="24"/>
        <v>27</v>
      </c>
      <c r="P440" s="13">
        <f t="shared" si="25"/>
        <v>0</v>
      </c>
      <c r="Q440" s="13" t="str">
        <f t="shared" si="26"/>
        <v/>
      </c>
      <c r="R440" s="13" t="str">
        <f t="shared" si="27"/>
        <v>Non diskon</v>
      </c>
    </row>
    <row r="441" spans="1:18" x14ac:dyDescent="0.25">
      <c r="A441" s="13" t="s">
        <v>453</v>
      </c>
      <c r="B441" s="13" t="s">
        <v>2194</v>
      </c>
      <c r="C441" s="13" t="s">
        <v>2196</v>
      </c>
      <c r="D441" s="13" t="s">
        <v>2205</v>
      </c>
      <c r="E441" s="13" t="s">
        <v>2212</v>
      </c>
      <c r="F441" s="13" t="s">
        <v>2218</v>
      </c>
      <c r="G441" s="13">
        <v>102.16</v>
      </c>
      <c r="H441" s="44">
        <v>0</v>
      </c>
      <c r="I441" s="13">
        <v>102.16</v>
      </c>
      <c r="J441" s="24">
        <v>45875</v>
      </c>
      <c r="K441" s="25">
        <v>50</v>
      </c>
      <c r="L441" s="25">
        <v>2.9210526315789478</v>
      </c>
      <c r="M441" s="13" t="b">
        <v>0</v>
      </c>
      <c r="O441" s="25">
        <f t="shared" si="24"/>
        <v>27</v>
      </c>
      <c r="P441" s="13">
        <f t="shared" si="25"/>
        <v>0</v>
      </c>
      <c r="Q441" s="13" t="str">
        <f t="shared" si="26"/>
        <v/>
      </c>
      <c r="R441" s="13" t="str">
        <f t="shared" si="27"/>
        <v>Non diskon</v>
      </c>
    </row>
    <row r="442" spans="1:18" x14ac:dyDescent="0.25">
      <c r="A442" s="13" t="s">
        <v>454</v>
      </c>
      <c r="B442" s="13" t="s">
        <v>2193</v>
      </c>
      <c r="C442" s="13" t="s">
        <v>2197</v>
      </c>
      <c r="D442" s="13" t="s">
        <v>2205</v>
      </c>
      <c r="E442" s="13" t="s">
        <v>2209</v>
      </c>
      <c r="F442" s="13" t="s">
        <v>2218</v>
      </c>
      <c r="G442" s="13">
        <v>67.739999999999995</v>
      </c>
      <c r="H442" s="44">
        <v>3.3</v>
      </c>
      <c r="I442" s="13">
        <v>65.5</v>
      </c>
      <c r="J442" s="24">
        <v>45875</v>
      </c>
      <c r="K442" s="25">
        <v>23</v>
      </c>
      <c r="L442" s="25">
        <v>1.5</v>
      </c>
      <c r="M442" s="13" t="b">
        <v>0</v>
      </c>
      <c r="O442" s="25">
        <f t="shared" si="24"/>
        <v>27</v>
      </c>
      <c r="P442" s="13">
        <f t="shared" si="25"/>
        <v>75.899999999999991</v>
      </c>
      <c r="Q442" s="13" t="str">
        <f t="shared" si="26"/>
        <v/>
      </c>
      <c r="R442" s="13" t="str">
        <f t="shared" si="27"/>
        <v>Diskon</v>
      </c>
    </row>
    <row r="443" spans="1:18" x14ac:dyDescent="0.25">
      <c r="A443" s="13" t="s">
        <v>455</v>
      </c>
      <c r="B443" s="13" t="s">
        <v>2192</v>
      </c>
      <c r="C443" s="13" t="s">
        <v>2198</v>
      </c>
      <c r="D443" s="13" t="s">
        <v>2205</v>
      </c>
      <c r="F443" s="13" t="s">
        <v>2220</v>
      </c>
      <c r="G443" s="13">
        <v>38.340000000000003</v>
      </c>
      <c r="H443" s="44">
        <v>0</v>
      </c>
      <c r="I443" s="13">
        <v>38.340000000000003</v>
      </c>
      <c r="J443" s="24">
        <v>45875</v>
      </c>
      <c r="K443" s="25">
        <v>14</v>
      </c>
      <c r="L443" s="25">
        <v>1.4</v>
      </c>
      <c r="M443" s="13" t="b">
        <v>0</v>
      </c>
      <c r="O443" s="25">
        <f t="shared" si="24"/>
        <v>27</v>
      </c>
      <c r="P443" s="13">
        <f t="shared" si="25"/>
        <v>0</v>
      </c>
      <c r="Q443" s="13" t="str">
        <f t="shared" si="26"/>
        <v/>
      </c>
      <c r="R443" s="13" t="str">
        <f t="shared" si="27"/>
        <v>Non diskon</v>
      </c>
    </row>
    <row r="444" spans="1:18" x14ac:dyDescent="0.25">
      <c r="A444" s="13" t="s">
        <v>456</v>
      </c>
      <c r="B444" s="13" t="s">
        <v>2192</v>
      </c>
      <c r="C444" s="13" t="s">
        <v>2196</v>
      </c>
      <c r="D444" s="13" t="s">
        <v>2205</v>
      </c>
      <c r="F444" s="13" t="s">
        <v>2218</v>
      </c>
      <c r="G444" s="13">
        <v>60.49</v>
      </c>
      <c r="H444" s="44">
        <v>0</v>
      </c>
      <c r="I444" s="13">
        <v>60.49</v>
      </c>
      <c r="J444" s="24">
        <v>45875</v>
      </c>
      <c r="K444" s="25">
        <v>30</v>
      </c>
      <c r="L444" s="25">
        <v>2.5</v>
      </c>
      <c r="M444" s="13" t="b">
        <v>0</v>
      </c>
      <c r="O444" s="25">
        <f t="shared" si="24"/>
        <v>27</v>
      </c>
      <c r="P444" s="13">
        <f t="shared" si="25"/>
        <v>0</v>
      </c>
      <c r="Q444" s="13" t="str">
        <f t="shared" si="26"/>
        <v/>
      </c>
      <c r="R444" s="13" t="str">
        <f t="shared" si="27"/>
        <v>Non diskon</v>
      </c>
    </row>
    <row r="445" spans="1:18" x14ac:dyDescent="0.25">
      <c r="A445" s="13" t="s">
        <v>457</v>
      </c>
      <c r="B445" s="13" t="s">
        <v>2190</v>
      </c>
      <c r="C445" s="13" t="s">
        <v>2198</v>
      </c>
      <c r="D445" s="13" t="s">
        <v>2204</v>
      </c>
      <c r="E445" s="13" t="s">
        <v>2209</v>
      </c>
      <c r="F445" s="13" t="s">
        <v>2222</v>
      </c>
      <c r="G445" s="13">
        <v>90.27</v>
      </c>
      <c r="H445" s="44">
        <v>0</v>
      </c>
      <c r="I445" s="13">
        <v>90.27</v>
      </c>
      <c r="J445" s="24">
        <v>45763</v>
      </c>
      <c r="K445" s="25">
        <v>35</v>
      </c>
      <c r="L445" s="25">
        <v>4.2</v>
      </c>
      <c r="M445" s="13" t="b">
        <v>0</v>
      </c>
      <c r="O445" s="25">
        <f t="shared" si="24"/>
        <v>139</v>
      </c>
      <c r="P445" s="13">
        <f t="shared" si="25"/>
        <v>0</v>
      </c>
      <c r="Q445" s="13" t="str">
        <f t="shared" si="26"/>
        <v/>
      </c>
      <c r="R445" s="13" t="str">
        <f t="shared" si="27"/>
        <v>Non diskon</v>
      </c>
    </row>
    <row r="446" spans="1:18" x14ac:dyDescent="0.25">
      <c r="A446" s="13" t="s">
        <v>458</v>
      </c>
      <c r="B446" s="13" t="s">
        <v>2192</v>
      </c>
      <c r="C446" s="13" t="s">
        <v>2198</v>
      </c>
      <c r="D446" s="13" t="s">
        <v>2207</v>
      </c>
      <c r="F446" s="13" t="s">
        <v>2214</v>
      </c>
      <c r="G446" s="13">
        <v>45.42</v>
      </c>
      <c r="H446" s="44">
        <v>0</v>
      </c>
      <c r="I446" s="13">
        <v>45.42</v>
      </c>
      <c r="J446" s="24">
        <v>45875</v>
      </c>
      <c r="K446" s="25">
        <v>36</v>
      </c>
      <c r="L446" s="25">
        <v>1.3</v>
      </c>
      <c r="M446" s="13" t="b">
        <v>0</v>
      </c>
      <c r="O446" s="25">
        <f t="shared" si="24"/>
        <v>27</v>
      </c>
      <c r="P446" s="13">
        <f t="shared" si="25"/>
        <v>0</v>
      </c>
      <c r="Q446" s="13" t="str">
        <f t="shared" si="26"/>
        <v/>
      </c>
      <c r="R446" s="13" t="str">
        <f t="shared" si="27"/>
        <v>Non diskon</v>
      </c>
    </row>
    <row r="447" spans="1:18" x14ac:dyDescent="0.25">
      <c r="A447" s="13" t="s">
        <v>459</v>
      </c>
      <c r="B447" s="13" t="s">
        <v>2191</v>
      </c>
      <c r="C447" s="13" t="s">
        <v>2201</v>
      </c>
      <c r="D447" s="13" t="s">
        <v>2204</v>
      </c>
      <c r="F447" s="13" t="s">
        <v>2223</v>
      </c>
      <c r="G447" s="13">
        <v>58.56</v>
      </c>
      <c r="H447" s="44">
        <v>0</v>
      </c>
      <c r="I447" s="13">
        <v>58.56</v>
      </c>
      <c r="J447" s="24">
        <v>45680</v>
      </c>
      <c r="K447" s="25">
        <v>21</v>
      </c>
      <c r="L447" s="25">
        <v>2.2999999999999998</v>
      </c>
      <c r="M447" s="13" t="b">
        <v>0</v>
      </c>
      <c r="O447" s="25">
        <f t="shared" si="24"/>
        <v>222</v>
      </c>
      <c r="P447" s="13">
        <f t="shared" si="25"/>
        <v>0</v>
      </c>
      <c r="Q447" s="13" t="str">
        <f t="shared" si="26"/>
        <v/>
      </c>
      <c r="R447" s="13" t="str">
        <f t="shared" si="27"/>
        <v>Non diskon</v>
      </c>
    </row>
    <row r="448" spans="1:18" x14ac:dyDescent="0.25">
      <c r="A448" s="13" t="s">
        <v>460</v>
      </c>
      <c r="B448" s="13" t="s">
        <v>2195</v>
      </c>
      <c r="C448" s="13" t="s">
        <v>2200</v>
      </c>
      <c r="D448" s="13" t="s">
        <v>2207</v>
      </c>
      <c r="E448" s="13" t="s">
        <v>2209</v>
      </c>
      <c r="F448" s="13" t="s">
        <v>2215</v>
      </c>
      <c r="G448" s="13">
        <v>167.64</v>
      </c>
      <c r="H448" s="44">
        <v>0</v>
      </c>
      <c r="I448" s="13">
        <v>167.64</v>
      </c>
      <c r="J448" s="24">
        <v>45875</v>
      </c>
      <c r="K448" s="25">
        <v>18</v>
      </c>
      <c r="L448" s="25">
        <v>4.0999999999999996</v>
      </c>
      <c r="M448" s="13" t="b">
        <v>0</v>
      </c>
      <c r="O448" s="25">
        <f t="shared" si="24"/>
        <v>27</v>
      </c>
      <c r="P448" s="13">
        <f t="shared" si="25"/>
        <v>0</v>
      </c>
      <c r="Q448" s="13" t="str">
        <f t="shared" si="26"/>
        <v/>
      </c>
      <c r="R448" s="13" t="str">
        <f t="shared" si="27"/>
        <v>Non diskon</v>
      </c>
    </row>
    <row r="449" spans="1:18" x14ac:dyDescent="0.25">
      <c r="A449" s="13" t="s">
        <v>461</v>
      </c>
      <c r="B449" s="13" t="s">
        <v>2190</v>
      </c>
      <c r="C449" s="13" t="s">
        <v>2196</v>
      </c>
      <c r="D449" s="13" t="s">
        <v>2206</v>
      </c>
      <c r="E449" s="13" t="s">
        <v>2211</v>
      </c>
      <c r="F449" s="13" t="s">
        <v>2214</v>
      </c>
      <c r="G449" s="13">
        <v>193.14</v>
      </c>
      <c r="H449" s="44">
        <v>0</v>
      </c>
      <c r="I449" s="13">
        <v>193.14</v>
      </c>
      <c r="J449" s="24">
        <v>45875</v>
      </c>
      <c r="K449" s="25">
        <v>7</v>
      </c>
      <c r="L449" s="25">
        <v>3.5</v>
      </c>
      <c r="M449" s="13" t="b">
        <v>0</v>
      </c>
      <c r="O449" s="25">
        <f t="shared" si="24"/>
        <v>27</v>
      </c>
      <c r="P449" s="13">
        <f t="shared" si="25"/>
        <v>0</v>
      </c>
      <c r="Q449" s="13" t="str">
        <f t="shared" si="26"/>
        <v/>
      </c>
      <c r="R449" s="13" t="str">
        <f t="shared" si="27"/>
        <v>Non diskon</v>
      </c>
    </row>
    <row r="450" spans="1:18" x14ac:dyDescent="0.25">
      <c r="A450" s="13" t="s">
        <v>462</v>
      </c>
      <c r="B450" s="13" t="s">
        <v>2192</v>
      </c>
      <c r="C450" s="13" t="s">
        <v>2202</v>
      </c>
      <c r="D450" s="13" t="s">
        <v>2205</v>
      </c>
      <c r="F450" s="13" t="s">
        <v>2218</v>
      </c>
      <c r="G450" s="13">
        <v>60.06</v>
      </c>
      <c r="H450" s="44">
        <v>15.6</v>
      </c>
      <c r="I450" s="13">
        <v>50.69</v>
      </c>
      <c r="J450" s="24">
        <v>45875</v>
      </c>
      <c r="K450" s="25">
        <v>49</v>
      </c>
      <c r="L450" s="25">
        <v>2</v>
      </c>
      <c r="M450" s="13" t="b">
        <v>1</v>
      </c>
      <c r="N450" s="13" t="s">
        <v>2225</v>
      </c>
      <c r="O450" s="25">
        <f t="shared" si="24"/>
        <v>27</v>
      </c>
      <c r="P450" s="13">
        <f t="shared" si="25"/>
        <v>764.4</v>
      </c>
      <c r="Q450" s="13">
        <f t="shared" si="26"/>
        <v>1</v>
      </c>
      <c r="R450" s="13" t="str">
        <f t="shared" si="27"/>
        <v>Diskon</v>
      </c>
    </row>
    <row r="451" spans="1:18" x14ac:dyDescent="0.25">
      <c r="A451" s="13" t="s">
        <v>463</v>
      </c>
      <c r="B451" s="13" t="s">
        <v>2194</v>
      </c>
      <c r="C451" s="13" t="s">
        <v>2198</v>
      </c>
      <c r="D451" s="13" t="s">
        <v>2206</v>
      </c>
      <c r="E451" s="13" t="s">
        <v>2213</v>
      </c>
      <c r="F451" s="13" t="s">
        <v>2218</v>
      </c>
      <c r="G451" s="13">
        <v>35.369999999999997</v>
      </c>
      <c r="H451" s="44">
        <v>0</v>
      </c>
      <c r="I451" s="13">
        <v>35.369999999999997</v>
      </c>
      <c r="J451" s="24">
        <v>45875</v>
      </c>
      <c r="K451" s="25">
        <v>29</v>
      </c>
      <c r="L451" s="25">
        <v>4.7</v>
      </c>
      <c r="M451" s="13" t="b">
        <v>0</v>
      </c>
      <c r="O451" s="25">
        <f t="shared" ref="O451:O514" si="28">DATE(2025,9,2)-J451</f>
        <v>27</v>
      </c>
      <c r="P451" s="13">
        <f t="shared" ref="P451:P514" si="29">H451*K451</f>
        <v>0</v>
      </c>
      <c r="Q451" s="13" t="str">
        <f t="shared" ref="Q451:Q514" si="30">IF(M451=FALSE,"",1)</f>
        <v/>
      </c>
      <c r="R451" s="13" t="str">
        <f t="shared" ref="R451:R514" si="31">IF(H451=0,"Non diskon","Diskon")</f>
        <v>Non diskon</v>
      </c>
    </row>
    <row r="452" spans="1:18" x14ac:dyDescent="0.25">
      <c r="A452" s="13" t="s">
        <v>464</v>
      </c>
      <c r="B452" s="13" t="s">
        <v>2192</v>
      </c>
      <c r="C452" s="13" t="s">
        <v>2199</v>
      </c>
      <c r="D452" s="13" t="s">
        <v>2207</v>
      </c>
      <c r="F452" s="13" t="s">
        <v>2223</v>
      </c>
      <c r="G452" s="13">
        <v>39.85</v>
      </c>
      <c r="H452" s="44">
        <v>0</v>
      </c>
      <c r="I452" s="13">
        <v>39.85</v>
      </c>
      <c r="J452" s="24">
        <v>45875</v>
      </c>
      <c r="K452" s="25">
        <v>28</v>
      </c>
      <c r="L452" s="25">
        <v>2.4</v>
      </c>
      <c r="M452" s="13" t="b">
        <v>0</v>
      </c>
      <c r="O452" s="25">
        <f t="shared" si="28"/>
        <v>27</v>
      </c>
      <c r="P452" s="13">
        <f t="shared" si="29"/>
        <v>0</v>
      </c>
      <c r="Q452" s="13" t="str">
        <f t="shared" si="30"/>
        <v/>
      </c>
      <c r="R452" s="13" t="str">
        <f t="shared" si="31"/>
        <v>Non diskon</v>
      </c>
    </row>
    <row r="453" spans="1:18" x14ac:dyDescent="0.25">
      <c r="A453" s="13" t="s">
        <v>465</v>
      </c>
      <c r="B453" s="13" t="s">
        <v>2191</v>
      </c>
      <c r="C453" s="13" t="s">
        <v>2196</v>
      </c>
      <c r="D453" s="13" t="s">
        <v>2205</v>
      </c>
      <c r="E453" s="13" t="s">
        <v>2208</v>
      </c>
      <c r="F453" s="13" t="s">
        <v>2216</v>
      </c>
      <c r="G453" s="13">
        <v>85.34</v>
      </c>
      <c r="H453" s="44">
        <v>59.4</v>
      </c>
      <c r="I453" s="13">
        <v>34.65</v>
      </c>
      <c r="J453" s="24">
        <v>45875</v>
      </c>
      <c r="K453" s="25">
        <v>5</v>
      </c>
      <c r="L453" s="25">
        <v>4.9000000000000004</v>
      </c>
      <c r="M453" s="13" t="b">
        <v>0</v>
      </c>
      <c r="O453" s="25">
        <f t="shared" si="28"/>
        <v>27</v>
      </c>
      <c r="P453" s="13">
        <f t="shared" si="29"/>
        <v>297</v>
      </c>
      <c r="Q453" s="13" t="str">
        <f t="shared" si="30"/>
        <v/>
      </c>
      <c r="R453" s="13" t="str">
        <f t="shared" si="31"/>
        <v>Diskon</v>
      </c>
    </row>
    <row r="454" spans="1:18" x14ac:dyDescent="0.25">
      <c r="A454" s="13" t="s">
        <v>466</v>
      </c>
      <c r="B454" s="13" t="s">
        <v>2194</v>
      </c>
      <c r="C454" s="13" t="s">
        <v>2203</v>
      </c>
      <c r="D454" s="13" t="s">
        <v>2206</v>
      </c>
      <c r="E454" s="13" t="s">
        <v>2211</v>
      </c>
      <c r="F454" s="13" t="s">
        <v>2217</v>
      </c>
      <c r="G454" s="13">
        <v>81.17</v>
      </c>
      <c r="H454" s="44">
        <v>0</v>
      </c>
      <c r="I454" s="13">
        <v>81.17</v>
      </c>
      <c r="J454" s="24">
        <v>45875</v>
      </c>
      <c r="K454" s="25">
        <v>21</v>
      </c>
      <c r="L454" s="25">
        <v>1.2</v>
      </c>
      <c r="M454" s="13" t="b">
        <v>0</v>
      </c>
      <c r="O454" s="25">
        <f t="shared" si="28"/>
        <v>27</v>
      </c>
      <c r="P454" s="13">
        <f t="shared" si="29"/>
        <v>0</v>
      </c>
      <c r="Q454" s="13" t="str">
        <f t="shared" si="30"/>
        <v/>
      </c>
      <c r="R454" s="13" t="str">
        <f t="shared" si="31"/>
        <v>Non diskon</v>
      </c>
    </row>
    <row r="455" spans="1:18" x14ac:dyDescent="0.25">
      <c r="A455" s="13" t="s">
        <v>467</v>
      </c>
      <c r="B455" s="13" t="s">
        <v>2192</v>
      </c>
      <c r="C455" s="13" t="s">
        <v>2201</v>
      </c>
      <c r="D455" s="13" t="s">
        <v>2204</v>
      </c>
      <c r="F455" s="13" t="s">
        <v>2217</v>
      </c>
      <c r="G455" s="13">
        <v>16.809999999999999</v>
      </c>
      <c r="H455" s="44">
        <v>0</v>
      </c>
      <c r="I455" s="13">
        <v>16.809999999999999</v>
      </c>
      <c r="J455" s="24">
        <v>45869</v>
      </c>
      <c r="K455" s="25">
        <v>16</v>
      </c>
      <c r="L455" s="25">
        <v>2.8</v>
      </c>
      <c r="M455" s="13" t="b">
        <v>0</v>
      </c>
      <c r="O455" s="25">
        <f t="shared" si="28"/>
        <v>33</v>
      </c>
      <c r="P455" s="13">
        <f t="shared" si="29"/>
        <v>0</v>
      </c>
      <c r="Q455" s="13" t="str">
        <f t="shared" si="30"/>
        <v/>
      </c>
      <c r="R455" s="13" t="str">
        <f t="shared" si="31"/>
        <v>Non diskon</v>
      </c>
    </row>
    <row r="456" spans="1:18" x14ac:dyDescent="0.25">
      <c r="A456" s="13" t="s">
        <v>468</v>
      </c>
      <c r="B456" s="13" t="s">
        <v>2191</v>
      </c>
      <c r="C456" s="13" t="s">
        <v>2201</v>
      </c>
      <c r="D456" s="13" t="s">
        <v>2205</v>
      </c>
      <c r="E456" s="13" t="s">
        <v>2208</v>
      </c>
      <c r="F456" s="13" t="s">
        <v>2216</v>
      </c>
      <c r="G456" s="13">
        <v>115.71</v>
      </c>
      <c r="H456" s="44">
        <v>55</v>
      </c>
      <c r="I456" s="13">
        <v>52.07</v>
      </c>
      <c r="J456" s="24">
        <v>45875</v>
      </c>
      <c r="K456" s="25">
        <v>6</v>
      </c>
      <c r="L456" s="25">
        <v>1.6</v>
      </c>
      <c r="M456" s="13" t="b">
        <v>0</v>
      </c>
      <c r="O456" s="25">
        <f t="shared" si="28"/>
        <v>27</v>
      </c>
      <c r="P456" s="13">
        <f t="shared" si="29"/>
        <v>330</v>
      </c>
      <c r="Q456" s="13" t="str">
        <f t="shared" si="30"/>
        <v/>
      </c>
      <c r="R456" s="13" t="str">
        <f t="shared" si="31"/>
        <v>Diskon</v>
      </c>
    </row>
    <row r="457" spans="1:18" x14ac:dyDescent="0.25">
      <c r="A457" s="13" t="s">
        <v>469</v>
      </c>
      <c r="B457" s="13" t="s">
        <v>2194</v>
      </c>
      <c r="C457" s="13" t="s">
        <v>2199</v>
      </c>
      <c r="D457" s="13" t="s">
        <v>2207</v>
      </c>
      <c r="E457" s="13" t="s">
        <v>2211</v>
      </c>
      <c r="F457" s="13" t="s">
        <v>2215</v>
      </c>
      <c r="G457" s="13">
        <v>49.87</v>
      </c>
      <c r="H457" s="44">
        <v>0</v>
      </c>
      <c r="I457" s="13">
        <v>49.87</v>
      </c>
      <c r="J457" s="24">
        <v>45875</v>
      </c>
      <c r="K457" s="25">
        <v>17</v>
      </c>
      <c r="L457" s="25">
        <v>2.1</v>
      </c>
      <c r="M457" s="13" t="b">
        <v>0</v>
      </c>
      <c r="O457" s="25">
        <f t="shared" si="28"/>
        <v>27</v>
      </c>
      <c r="P457" s="13">
        <f t="shared" si="29"/>
        <v>0</v>
      </c>
      <c r="Q457" s="13" t="str">
        <f t="shared" si="30"/>
        <v/>
      </c>
      <c r="R457" s="13" t="str">
        <f t="shared" si="31"/>
        <v>Non diskon</v>
      </c>
    </row>
    <row r="458" spans="1:18" x14ac:dyDescent="0.25">
      <c r="A458" s="13" t="s">
        <v>470</v>
      </c>
      <c r="B458" s="13" t="s">
        <v>2193</v>
      </c>
      <c r="C458" s="13" t="s">
        <v>2199</v>
      </c>
      <c r="D458" s="13" t="s">
        <v>2206</v>
      </c>
      <c r="E458" s="13" t="s">
        <v>2212</v>
      </c>
      <c r="F458" s="13" t="s">
        <v>2221</v>
      </c>
      <c r="G458" s="13">
        <v>107.96</v>
      </c>
      <c r="H458" s="44">
        <v>52.9</v>
      </c>
      <c r="I458" s="13">
        <v>50.85</v>
      </c>
      <c r="J458" s="24">
        <v>45875</v>
      </c>
      <c r="K458" s="25">
        <v>2</v>
      </c>
      <c r="L458" s="25">
        <v>4.9000000000000004</v>
      </c>
      <c r="M458" s="13" t="b">
        <v>0</v>
      </c>
      <c r="O458" s="25">
        <f t="shared" si="28"/>
        <v>27</v>
      </c>
      <c r="P458" s="13">
        <f t="shared" si="29"/>
        <v>105.8</v>
      </c>
      <c r="Q458" s="13" t="str">
        <f t="shared" si="30"/>
        <v/>
      </c>
      <c r="R458" s="13" t="str">
        <f t="shared" si="31"/>
        <v>Diskon</v>
      </c>
    </row>
    <row r="459" spans="1:18" x14ac:dyDescent="0.25">
      <c r="A459" s="13" t="s">
        <v>471</v>
      </c>
      <c r="B459" s="13" t="s">
        <v>2193</v>
      </c>
      <c r="C459" s="13" t="s">
        <v>2199</v>
      </c>
      <c r="D459" s="13" t="s">
        <v>2207</v>
      </c>
      <c r="E459" s="13" t="s">
        <v>2213</v>
      </c>
      <c r="F459" s="13" t="s">
        <v>2216</v>
      </c>
      <c r="G459" s="13">
        <v>138.35</v>
      </c>
      <c r="H459" s="44">
        <v>31.7</v>
      </c>
      <c r="I459" s="13">
        <v>94.49</v>
      </c>
      <c r="J459" s="24">
        <v>45875</v>
      </c>
      <c r="K459" s="25">
        <v>3</v>
      </c>
      <c r="L459" s="25">
        <v>2.5</v>
      </c>
      <c r="M459" s="13" t="b">
        <v>0</v>
      </c>
      <c r="O459" s="25">
        <f t="shared" si="28"/>
        <v>27</v>
      </c>
      <c r="P459" s="13">
        <f t="shared" si="29"/>
        <v>95.1</v>
      </c>
      <c r="Q459" s="13" t="str">
        <f t="shared" si="30"/>
        <v/>
      </c>
      <c r="R459" s="13" t="str">
        <f t="shared" si="31"/>
        <v>Diskon</v>
      </c>
    </row>
    <row r="460" spans="1:18" x14ac:dyDescent="0.25">
      <c r="A460" s="13" t="s">
        <v>472</v>
      </c>
      <c r="B460" s="13" t="s">
        <v>2191</v>
      </c>
      <c r="C460" s="13" t="s">
        <v>2202</v>
      </c>
      <c r="D460" s="13" t="s">
        <v>2204</v>
      </c>
      <c r="E460" s="13" t="s">
        <v>2212</v>
      </c>
      <c r="F460" s="13" t="s">
        <v>2214</v>
      </c>
      <c r="G460" s="13">
        <v>32.01</v>
      </c>
      <c r="H460" s="44">
        <v>0</v>
      </c>
      <c r="I460" s="13">
        <v>32.01</v>
      </c>
      <c r="J460" s="24">
        <v>45786</v>
      </c>
      <c r="K460" s="25">
        <v>43</v>
      </c>
      <c r="L460" s="25">
        <v>3.4</v>
      </c>
      <c r="M460" s="13" t="b">
        <v>1</v>
      </c>
      <c r="N460" s="13" t="s">
        <v>2230</v>
      </c>
      <c r="O460" s="25">
        <f t="shared" si="28"/>
        <v>116</v>
      </c>
      <c r="P460" s="13">
        <f t="shared" si="29"/>
        <v>0</v>
      </c>
      <c r="Q460" s="13">
        <f t="shared" si="30"/>
        <v>1</v>
      </c>
      <c r="R460" s="13" t="str">
        <f t="shared" si="31"/>
        <v>Non diskon</v>
      </c>
    </row>
    <row r="461" spans="1:18" x14ac:dyDescent="0.25">
      <c r="A461" s="13" t="s">
        <v>473</v>
      </c>
      <c r="B461" s="13" t="s">
        <v>2195</v>
      </c>
      <c r="C461" s="13" t="s">
        <v>2200</v>
      </c>
      <c r="D461" s="13" t="s">
        <v>2206</v>
      </c>
      <c r="E461" s="13" t="s">
        <v>2212</v>
      </c>
      <c r="F461" s="13" t="s">
        <v>2216</v>
      </c>
      <c r="G461" s="13">
        <v>129.08000000000001</v>
      </c>
      <c r="H461" s="44">
        <v>50.6</v>
      </c>
      <c r="I461" s="13">
        <v>63.77</v>
      </c>
      <c r="J461" s="24">
        <v>45875</v>
      </c>
      <c r="K461" s="25">
        <v>10</v>
      </c>
      <c r="L461" s="25">
        <v>4.4000000000000004</v>
      </c>
      <c r="M461" s="13" t="b">
        <v>0</v>
      </c>
      <c r="O461" s="25">
        <f t="shared" si="28"/>
        <v>27</v>
      </c>
      <c r="P461" s="13">
        <f t="shared" si="29"/>
        <v>506</v>
      </c>
      <c r="Q461" s="13" t="str">
        <f t="shared" si="30"/>
        <v/>
      </c>
      <c r="R461" s="13" t="str">
        <f t="shared" si="31"/>
        <v>Diskon</v>
      </c>
    </row>
    <row r="462" spans="1:18" x14ac:dyDescent="0.25">
      <c r="A462" s="13" t="s">
        <v>474</v>
      </c>
      <c r="B462" s="13" t="s">
        <v>2195</v>
      </c>
      <c r="C462" s="13" t="s">
        <v>2198</v>
      </c>
      <c r="D462" s="13" t="s">
        <v>2205</v>
      </c>
      <c r="E462" s="13" t="s">
        <v>2213</v>
      </c>
      <c r="F462" s="13" t="s">
        <v>2218</v>
      </c>
      <c r="G462" s="13">
        <v>68.569999999999993</v>
      </c>
      <c r="H462" s="44">
        <v>56.4</v>
      </c>
      <c r="I462" s="13">
        <v>29.9</v>
      </c>
      <c r="J462" s="24">
        <v>45875</v>
      </c>
      <c r="K462" s="25">
        <v>30</v>
      </c>
      <c r="L462" s="25">
        <v>1.8</v>
      </c>
      <c r="M462" s="13" t="b">
        <v>0</v>
      </c>
      <c r="O462" s="25">
        <f t="shared" si="28"/>
        <v>27</v>
      </c>
      <c r="P462" s="13">
        <f t="shared" si="29"/>
        <v>1692</v>
      </c>
      <c r="Q462" s="13" t="str">
        <f t="shared" si="30"/>
        <v/>
      </c>
      <c r="R462" s="13" t="str">
        <f t="shared" si="31"/>
        <v>Diskon</v>
      </c>
    </row>
    <row r="463" spans="1:18" x14ac:dyDescent="0.25">
      <c r="A463" s="13" t="s">
        <v>475</v>
      </c>
      <c r="B463" s="13" t="s">
        <v>2192</v>
      </c>
      <c r="C463" s="13" t="s">
        <v>2200</v>
      </c>
      <c r="D463" s="13" t="s">
        <v>2205</v>
      </c>
      <c r="F463" s="13" t="s">
        <v>2218</v>
      </c>
      <c r="G463" s="13">
        <v>46.46</v>
      </c>
      <c r="H463" s="44">
        <v>0</v>
      </c>
      <c r="I463" s="13">
        <v>46.46</v>
      </c>
      <c r="J463" s="24">
        <v>45875</v>
      </c>
      <c r="K463" s="25">
        <v>30</v>
      </c>
      <c r="L463" s="25">
        <v>2.7333333333333334</v>
      </c>
      <c r="M463" s="13" t="b">
        <v>0</v>
      </c>
      <c r="O463" s="25">
        <f t="shared" si="28"/>
        <v>27</v>
      </c>
      <c r="P463" s="13">
        <f t="shared" si="29"/>
        <v>0</v>
      </c>
      <c r="Q463" s="13" t="str">
        <f t="shared" si="30"/>
        <v/>
      </c>
      <c r="R463" s="13" t="str">
        <f t="shared" si="31"/>
        <v>Non diskon</v>
      </c>
    </row>
    <row r="464" spans="1:18" x14ac:dyDescent="0.25">
      <c r="A464" s="13" t="s">
        <v>476</v>
      </c>
      <c r="B464" s="13" t="s">
        <v>2190</v>
      </c>
      <c r="C464" s="13" t="s">
        <v>2198</v>
      </c>
      <c r="D464" s="13" t="s">
        <v>2206</v>
      </c>
      <c r="E464" s="13" t="s">
        <v>2211</v>
      </c>
      <c r="F464" s="13" t="s">
        <v>2217</v>
      </c>
      <c r="G464" s="13">
        <v>124.68</v>
      </c>
      <c r="H464" s="44">
        <v>58.2</v>
      </c>
      <c r="I464" s="13">
        <v>52.12</v>
      </c>
      <c r="J464" s="24">
        <v>45875</v>
      </c>
      <c r="K464" s="25">
        <v>44</v>
      </c>
      <c r="L464" s="25">
        <v>3.2</v>
      </c>
      <c r="M464" s="13" t="b">
        <v>0</v>
      </c>
      <c r="O464" s="25">
        <f t="shared" si="28"/>
        <v>27</v>
      </c>
      <c r="P464" s="13">
        <f t="shared" si="29"/>
        <v>2560.8000000000002</v>
      </c>
      <c r="Q464" s="13" t="str">
        <f t="shared" si="30"/>
        <v/>
      </c>
      <c r="R464" s="13" t="str">
        <f t="shared" si="31"/>
        <v>Diskon</v>
      </c>
    </row>
    <row r="465" spans="1:18" x14ac:dyDescent="0.25">
      <c r="A465" s="13" t="s">
        <v>477</v>
      </c>
      <c r="B465" s="13" t="s">
        <v>2194</v>
      </c>
      <c r="C465" s="13" t="s">
        <v>2200</v>
      </c>
      <c r="D465" s="13" t="s">
        <v>2204</v>
      </c>
      <c r="E465" s="13" t="s">
        <v>2208</v>
      </c>
      <c r="F465" s="13" t="s">
        <v>2214</v>
      </c>
      <c r="G465" s="13">
        <v>36.85</v>
      </c>
      <c r="H465" s="44">
        <v>0</v>
      </c>
      <c r="I465" s="13">
        <v>36.85</v>
      </c>
      <c r="J465" s="24">
        <v>45841</v>
      </c>
      <c r="K465" s="25">
        <v>0</v>
      </c>
      <c r="L465" s="25">
        <v>4.4000000000000004</v>
      </c>
      <c r="M465" s="13" t="b">
        <v>0</v>
      </c>
      <c r="O465" s="25">
        <f t="shared" si="28"/>
        <v>61</v>
      </c>
      <c r="P465" s="13">
        <f t="shared" si="29"/>
        <v>0</v>
      </c>
      <c r="Q465" s="13" t="str">
        <f t="shared" si="30"/>
        <v/>
      </c>
      <c r="R465" s="13" t="str">
        <f t="shared" si="31"/>
        <v>Non diskon</v>
      </c>
    </row>
    <row r="466" spans="1:18" x14ac:dyDescent="0.25">
      <c r="A466" s="13" t="s">
        <v>478</v>
      </c>
      <c r="B466" s="13" t="s">
        <v>2190</v>
      </c>
      <c r="C466" s="13" t="s">
        <v>2201</v>
      </c>
      <c r="D466" s="13" t="s">
        <v>2205</v>
      </c>
      <c r="E466" s="13" t="s">
        <v>2212</v>
      </c>
      <c r="F466" s="13" t="s">
        <v>2216</v>
      </c>
      <c r="G466" s="13">
        <v>229.63</v>
      </c>
      <c r="H466" s="44">
        <v>0.3</v>
      </c>
      <c r="I466" s="13">
        <v>228.94</v>
      </c>
      <c r="J466" s="24">
        <v>45875</v>
      </c>
      <c r="K466" s="25">
        <v>30</v>
      </c>
      <c r="L466" s="25">
        <v>3.4</v>
      </c>
      <c r="M466" s="13" t="b">
        <v>0</v>
      </c>
      <c r="O466" s="25">
        <f t="shared" si="28"/>
        <v>27</v>
      </c>
      <c r="P466" s="13">
        <f t="shared" si="29"/>
        <v>9</v>
      </c>
      <c r="Q466" s="13" t="str">
        <f t="shared" si="30"/>
        <v/>
      </c>
      <c r="R466" s="13" t="str">
        <f t="shared" si="31"/>
        <v>Diskon</v>
      </c>
    </row>
    <row r="467" spans="1:18" x14ac:dyDescent="0.25">
      <c r="A467" s="13" t="s">
        <v>479</v>
      </c>
      <c r="B467" s="13" t="s">
        <v>2191</v>
      </c>
      <c r="C467" s="13" t="s">
        <v>2201</v>
      </c>
      <c r="D467" s="13" t="s">
        <v>2204</v>
      </c>
      <c r="E467" s="13" t="s">
        <v>2210</v>
      </c>
      <c r="F467" s="13" t="s">
        <v>2222</v>
      </c>
      <c r="G467" s="13">
        <v>74.09</v>
      </c>
      <c r="H467" s="44">
        <v>0</v>
      </c>
      <c r="I467" s="13">
        <v>74.09</v>
      </c>
      <c r="J467" s="24">
        <v>45542</v>
      </c>
      <c r="K467" s="25">
        <v>35</v>
      </c>
      <c r="L467" s="25">
        <v>3.4</v>
      </c>
      <c r="M467" s="13" t="b">
        <v>0</v>
      </c>
      <c r="O467" s="25">
        <f t="shared" si="28"/>
        <v>360</v>
      </c>
      <c r="P467" s="13">
        <f t="shared" si="29"/>
        <v>0</v>
      </c>
      <c r="Q467" s="13" t="str">
        <f t="shared" si="30"/>
        <v/>
      </c>
      <c r="R467" s="13" t="str">
        <f t="shared" si="31"/>
        <v>Non diskon</v>
      </c>
    </row>
    <row r="468" spans="1:18" x14ac:dyDescent="0.25">
      <c r="A468" s="13" t="s">
        <v>480</v>
      </c>
      <c r="B468" s="13" t="s">
        <v>2194</v>
      </c>
      <c r="C468" s="13" t="s">
        <v>2198</v>
      </c>
      <c r="D468" s="13" t="s">
        <v>2204</v>
      </c>
      <c r="E468" s="13" t="s">
        <v>2212</v>
      </c>
      <c r="F468" s="13" t="s">
        <v>2224</v>
      </c>
      <c r="G468" s="13">
        <v>27.22</v>
      </c>
      <c r="H468" s="44">
        <v>0</v>
      </c>
      <c r="I468" s="13">
        <v>27.22</v>
      </c>
      <c r="J468" s="24">
        <v>45544</v>
      </c>
      <c r="K468" s="25">
        <v>14</v>
      </c>
      <c r="L468" s="25">
        <v>2.4</v>
      </c>
      <c r="M468" s="13" t="b">
        <v>0</v>
      </c>
      <c r="O468" s="25">
        <f t="shared" si="28"/>
        <v>358</v>
      </c>
      <c r="P468" s="13">
        <f t="shared" si="29"/>
        <v>0</v>
      </c>
      <c r="Q468" s="13" t="str">
        <f t="shared" si="30"/>
        <v/>
      </c>
      <c r="R468" s="13" t="str">
        <f t="shared" si="31"/>
        <v>Non diskon</v>
      </c>
    </row>
    <row r="469" spans="1:18" x14ac:dyDescent="0.25">
      <c r="A469" s="13" t="s">
        <v>481</v>
      </c>
      <c r="B469" s="13" t="s">
        <v>2191</v>
      </c>
      <c r="C469" s="13" t="s">
        <v>2201</v>
      </c>
      <c r="D469" s="13" t="s">
        <v>2204</v>
      </c>
      <c r="E469" s="13" t="s">
        <v>2209</v>
      </c>
      <c r="F469" s="13" t="s">
        <v>2223</v>
      </c>
      <c r="G469" s="13">
        <v>32.64</v>
      </c>
      <c r="H469" s="44">
        <v>1.4</v>
      </c>
      <c r="I469" s="13">
        <v>32.18</v>
      </c>
      <c r="J469" s="24">
        <v>45783</v>
      </c>
      <c r="K469" s="25">
        <v>29</v>
      </c>
      <c r="L469" s="25">
        <v>1.5</v>
      </c>
      <c r="M469" s="13" t="b">
        <v>1</v>
      </c>
      <c r="N469" s="13" t="s">
        <v>2229</v>
      </c>
      <c r="O469" s="25">
        <f t="shared" si="28"/>
        <v>119</v>
      </c>
      <c r="P469" s="13">
        <f t="shared" si="29"/>
        <v>40.599999999999994</v>
      </c>
      <c r="Q469" s="13">
        <f t="shared" si="30"/>
        <v>1</v>
      </c>
      <c r="R469" s="13" t="str">
        <f t="shared" si="31"/>
        <v>Diskon</v>
      </c>
    </row>
    <row r="470" spans="1:18" x14ac:dyDescent="0.25">
      <c r="A470" s="13" t="s">
        <v>482</v>
      </c>
      <c r="B470" s="13" t="s">
        <v>2192</v>
      </c>
      <c r="C470" s="13" t="s">
        <v>2196</v>
      </c>
      <c r="D470" s="13" t="s">
        <v>2207</v>
      </c>
      <c r="F470" s="13" t="s">
        <v>2223</v>
      </c>
      <c r="G470" s="13">
        <v>30.25</v>
      </c>
      <c r="H470" s="44">
        <v>11.8</v>
      </c>
      <c r="I470" s="13">
        <v>26.68</v>
      </c>
      <c r="J470" s="24">
        <v>45875</v>
      </c>
      <c r="K470" s="25">
        <v>30</v>
      </c>
      <c r="L470" s="25">
        <v>3.4</v>
      </c>
      <c r="M470" s="13" t="b">
        <v>0</v>
      </c>
      <c r="O470" s="25">
        <f t="shared" si="28"/>
        <v>27</v>
      </c>
      <c r="P470" s="13">
        <f t="shared" si="29"/>
        <v>354</v>
      </c>
      <c r="Q470" s="13" t="str">
        <f t="shared" si="30"/>
        <v/>
      </c>
      <c r="R470" s="13" t="str">
        <f t="shared" si="31"/>
        <v>Diskon</v>
      </c>
    </row>
    <row r="471" spans="1:18" x14ac:dyDescent="0.25">
      <c r="A471" s="13" t="s">
        <v>483</v>
      </c>
      <c r="B471" s="13" t="s">
        <v>2190</v>
      </c>
      <c r="C471" s="13" t="s">
        <v>2197</v>
      </c>
      <c r="D471" s="13" t="s">
        <v>2207</v>
      </c>
      <c r="E471" s="13" t="s">
        <v>2210</v>
      </c>
      <c r="F471" s="13" t="s">
        <v>2224</v>
      </c>
      <c r="G471" s="13">
        <v>180.57</v>
      </c>
      <c r="H471" s="44">
        <v>0</v>
      </c>
      <c r="I471" s="13">
        <v>180.57</v>
      </c>
      <c r="J471" s="24">
        <v>45875</v>
      </c>
      <c r="K471" s="25">
        <v>28</v>
      </c>
      <c r="L471" s="25">
        <v>3.15</v>
      </c>
      <c r="M471" s="13" t="b">
        <v>0</v>
      </c>
      <c r="O471" s="25">
        <f t="shared" si="28"/>
        <v>27</v>
      </c>
      <c r="P471" s="13">
        <f t="shared" si="29"/>
        <v>0</v>
      </c>
      <c r="Q471" s="13" t="str">
        <f t="shared" si="30"/>
        <v/>
      </c>
      <c r="R471" s="13" t="str">
        <f t="shared" si="31"/>
        <v>Non diskon</v>
      </c>
    </row>
    <row r="472" spans="1:18" x14ac:dyDescent="0.25">
      <c r="A472" s="13" t="s">
        <v>484</v>
      </c>
      <c r="B472" s="13" t="s">
        <v>2194</v>
      </c>
      <c r="C472" s="13" t="s">
        <v>2197</v>
      </c>
      <c r="D472" s="13" t="s">
        <v>2207</v>
      </c>
      <c r="E472" s="13" t="s">
        <v>2212</v>
      </c>
      <c r="F472" s="13" t="s">
        <v>2217</v>
      </c>
      <c r="G472" s="13">
        <v>96.55</v>
      </c>
      <c r="H472" s="44">
        <v>0</v>
      </c>
      <c r="I472" s="13">
        <v>96.55</v>
      </c>
      <c r="J472" s="24">
        <v>45875</v>
      </c>
      <c r="K472" s="25">
        <v>17</v>
      </c>
      <c r="L472" s="25">
        <v>4.4000000000000004</v>
      </c>
      <c r="M472" s="13" t="b">
        <v>0</v>
      </c>
      <c r="O472" s="25">
        <f t="shared" si="28"/>
        <v>27</v>
      </c>
      <c r="P472" s="13">
        <f t="shared" si="29"/>
        <v>0</v>
      </c>
      <c r="Q472" s="13" t="str">
        <f t="shared" si="30"/>
        <v/>
      </c>
      <c r="R472" s="13" t="str">
        <f t="shared" si="31"/>
        <v>Non diskon</v>
      </c>
    </row>
    <row r="473" spans="1:18" x14ac:dyDescent="0.25">
      <c r="A473" s="13" t="s">
        <v>485</v>
      </c>
      <c r="B473" s="13" t="s">
        <v>2194</v>
      </c>
      <c r="C473" s="13" t="s">
        <v>2201</v>
      </c>
      <c r="D473" s="13" t="s">
        <v>2206</v>
      </c>
      <c r="F473" s="13" t="s">
        <v>2215</v>
      </c>
      <c r="G473" s="13">
        <v>68.53</v>
      </c>
      <c r="H473" s="44">
        <v>54.3</v>
      </c>
      <c r="I473" s="13">
        <v>31.32</v>
      </c>
      <c r="J473" s="24">
        <v>45875</v>
      </c>
      <c r="K473" s="25">
        <v>38</v>
      </c>
      <c r="L473" s="25">
        <v>2.9</v>
      </c>
      <c r="M473" s="13" t="b">
        <v>0</v>
      </c>
      <c r="O473" s="25">
        <f t="shared" si="28"/>
        <v>27</v>
      </c>
      <c r="P473" s="13">
        <f t="shared" si="29"/>
        <v>2063.4</v>
      </c>
      <c r="Q473" s="13" t="str">
        <f t="shared" si="30"/>
        <v/>
      </c>
      <c r="R473" s="13" t="str">
        <f t="shared" si="31"/>
        <v>Diskon</v>
      </c>
    </row>
    <row r="474" spans="1:18" x14ac:dyDescent="0.25">
      <c r="A474" s="13" t="s">
        <v>486</v>
      </c>
      <c r="B474" s="13" t="s">
        <v>2193</v>
      </c>
      <c r="C474" s="13" t="s">
        <v>2202</v>
      </c>
      <c r="D474" s="13" t="s">
        <v>2206</v>
      </c>
      <c r="E474" s="13" t="s">
        <v>2212</v>
      </c>
      <c r="F474" s="13" t="s">
        <v>2217</v>
      </c>
      <c r="G474" s="13">
        <v>71.94</v>
      </c>
      <c r="H474" s="44">
        <v>0</v>
      </c>
      <c r="I474" s="13">
        <v>71.94</v>
      </c>
      <c r="J474" s="24">
        <v>45875</v>
      </c>
      <c r="K474" s="25">
        <v>45</v>
      </c>
      <c r="L474" s="25">
        <v>3.3</v>
      </c>
      <c r="M474" s="13" t="b">
        <v>0</v>
      </c>
      <c r="O474" s="25">
        <f t="shared" si="28"/>
        <v>27</v>
      </c>
      <c r="P474" s="13">
        <f t="shared" si="29"/>
        <v>0</v>
      </c>
      <c r="Q474" s="13" t="str">
        <f t="shared" si="30"/>
        <v/>
      </c>
      <c r="R474" s="13" t="str">
        <f t="shared" si="31"/>
        <v>Non diskon</v>
      </c>
    </row>
    <row r="475" spans="1:18" x14ac:dyDescent="0.25">
      <c r="A475" s="13" t="s">
        <v>487</v>
      </c>
      <c r="B475" s="13" t="s">
        <v>2193</v>
      </c>
      <c r="C475" s="13" t="s">
        <v>2202</v>
      </c>
      <c r="D475" s="13" t="s">
        <v>2206</v>
      </c>
      <c r="E475" s="13" t="s">
        <v>2209</v>
      </c>
      <c r="F475" s="13" t="s">
        <v>2219</v>
      </c>
      <c r="G475" s="13">
        <v>80.72</v>
      </c>
      <c r="H475" s="44">
        <v>9.9</v>
      </c>
      <c r="I475" s="13">
        <v>72.73</v>
      </c>
      <c r="J475" s="24">
        <v>45875</v>
      </c>
      <c r="K475" s="25">
        <v>37</v>
      </c>
      <c r="L475" s="25">
        <v>2.5</v>
      </c>
      <c r="M475" s="13" t="b">
        <v>0</v>
      </c>
      <c r="O475" s="25">
        <f t="shared" si="28"/>
        <v>27</v>
      </c>
      <c r="P475" s="13">
        <f t="shared" si="29"/>
        <v>366.3</v>
      </c>
      <c r="Q475" s="13" t="str">
        <f t="shared" si="30"/>
        <v/>
      </c>
      <c r="R475" s="13" t="str">
        <f t="shared" si="31"/>
        <v>Diskon</v>
      </c>
    </row>
    <row r="476" spans="1:18" x14ac:dyDescent="0.25">
      <c r="A476" s="13" t="s">
        <v>488</v>
      </c>
      <c r="B476" s="13" t="s">
        <v>2190</v>
      </c>
      <c r="C476" s="13" t="s">
        <v>2196</v>
      </c>
      <c r="D476" s="13" t="s">
        <v>2205</v>
      </c>
      <c r="E476" s="13" t="s">
        <v>2209</v>
      </c>
      <c r="F476" s="13" t="s">
        <v>2220</v>
      </c>
      <c r="G476" s="13">
        <v>208.8</v>
      </c>
      <c r="H476" s="44">
        <v>0</v>
      </c>
      <c r="I476" s="13">
        <v>208.8</v>
      </c>
      <c r="J476" s="24">
        <v>45875</v>
      </c>
      <c r="K476" s="25">
        <v>13</v>
      </c>
      <c r="L476" s="25">
        <v>1.6</v>
      </c>
      <c r="M476" s="13" t="b">
        <v>0</v>
      </c>
      <c r="O476" s="25">
        <f t="shared" si="28"/>
        <v>27</v>
      </c>
      <c r="P476" s="13">
        <f t="shared" si="29"/>
        <v>0</v>
      </c>
      <c r="Q476" s="13" t="str">
        <f t="shared" si="30"/>
        <v/>
      </c>
      <c r="R476" s="13" t="str">
        <f t="shared" si="31"/>
        <v>Non diskon</v>
      </c>
    </row>
    <row r="477" spans="1:18" x14ac:dyDescent="0.25">
      <c r="A477" s="13" t="s">
        <v>489</v>
      </c>
      <c r="B477" s="13" t="s">
        <v>2193</v>
      </c>
      <c r="C477" s="13" t="s">
        <v>2199</v>
      </c>
      <c r="D477" s="13" t="s">
        <v>2207</v>
      </c>
      <c r="E477" s="13" t="s">
        <v>2213</v>
      </c>
      <c r="F477" s="13" t="s">
        <v>2222</v>
      </c>
      <c r="G477" s="13">
        <v>158.15</v>
      </c>
      <c r="H477" s="44">
        <v>54.1</v>
      </c>
      <c r="I477" s="13">
        <v>72.59</v>
      </c>
      <c r="J477" s="24">
        <v>45875</v>
      </c>
      <c r="K477" s="25">
        <v>36</v>
      </c>
      <c r="L477" s="25">
        <v>4.5</v>
      </c>
      <c r="M477" s="13" t="b">
        <v>0</v>
      </c>
      <c r="O477" s="25">
        <f t="shared" si="28"/>
        <v>27</v>
      </c>
      <c r="P477" s="13">
        <f t="shared" si="29"/>
        <v>1947.6000000000001</v>
      </c>
      <c r="Q477" s="13" t="str">
        <f t="shared" si="30"/>
        <v/>
      </c>
      <c r="R477" s="13" t="str">
        <f t="shared" si="31"/>
        <v>Diskon</v>
      </c>
    </row>
    <row r="478" spans="1:18" x14ac:dyDescent="0.25">
      <c r="A478" s="13" t="s">
        <v>490</v>
      </c>
      <c r="B478" s="13" t="s">
        <v>2191</v>
      </c>
      <c r="C478" s="13" t="s">
        <v>2196</v>
      </c>
      <c r="D478" s="13" t="s">
        <v>2206</v>
      </c>
      <c r="E478" s="13" t="s">
        <v>2210</v>
      </c>
      <c r="F478" s="13" t="s">
        <v>2217</v>
      </c>
      <c r="G478" s="13">
        <v>85.92</v>
      </c>
      <c r="H478" s="44">
        <v>0</v>
      </c>
      <c r="I478" s="13">
        <v>85.92</v>
      </c>
      <c r="J478" s="24">
        <v>45875</v>
      </c>
      <c r="K478" s="25">
        <v>12</v>
      </c>
      <c r="L478" s="25">
        <v>2.9181818181818175</v>
      </c>
      <c r="M478" s="13" t="b">
        <v>0</v>
      </c>
      <c r="O478" s="25">
        <f t="shared" si="28"/>
        <v>27</v>
      </c>
      <c r="P478" s="13">
        <f t="shared" si="29"/>
        <v>0</v>
      </c>
      <c r="Q478" s="13" t="str">
        <f t="shared" si="30"/>
        <v/>
      </c>
      <c r="R478" s="13" t="str">
        <f t="shared" si="31"/>
        <v>Non diskon</v>
      </c>
    </row>
    <row r="479" spans="1:18" x14ac:dyDescent="0.25">
      <c r="A479" s="13" t="s">
        <v>491</v>
      </c>
      <c r="B479" s="13" t="s">
        <v>2192</v>
      </c>
      <c r="C479" s="13" t="s">
        <v>2202</v>
      </c>
      <c r="D479" s="13" t="s">
        <v>2204</v>
      </c>
      <c r="F479" s="13" t="s">
        <v>2215</v>
      </c>
      <c r="G479" s="13">
        <v>69.59</v>
      </c>
      <c r="H479" s="44">
        <v>0</v>
      </c>
      <c r="I479" s="13">
        <v>69.59</v>
      </c>
      <c r="J479" s="24">
        <v>45561</v>
      </c>
      <c r="K479" s="25">
        <v>38</v>
      </c>
      <c r="L479" s="25">
        <v>1.5</v>
      </c>
      <c r="M479" s="13" t="b">
        <v>0</v>
      </c>
      <c r="O479" s="25">
        <f t="shared" si="28"/>
        <v>341</v>
      </c>
      <c r="P479" s="13">
        <f t="shared" si="29"/>
        <v>0</v>
      </c>
      <c r="Q479" s="13" t="str">
        <f t="shared" si="30"/>
        <v/>
      </c>
      <c r="R479" s="13" t="str">
        <f t="shared" si="31"/>
        <v>Non diskon</v>
      </c>
    </row>
    <row r="480" spans="1:18" x14ac:dyDescent="0.25">
      <c r="A480" s="13" t="s">
        <v>492</v>
      </c>
      <c r="B480" s="13" t="s">
        <v>2195</v>
      </c>
      <c r="C480" s="13" t="s">
        <v>2196</v>
      </c>
      <c r="D480" s="13" t="s">
        <v>2205</v>
      </c>
      <c r="E480" s="13" t="s">
        <v>2208</v>
      </c>
      <c r="F480" s="13" t="s">
        <v>2214</v>
      </c>
      <c r="G480" s="13">
        <v>136.16999999999999</v>
      </c>
      <c r="H480" s="44">
        <v>19.100000000000001</v>
      </c>
      <c r="I480" s="13">
        <v>110.16</v>
      </c>
      <c r="J480" s="24">
        <v>45875</v>
      </c>
      <c r="K480" s="25">
        <v>14</v>
      </c>
      <c r="L480" s="25">
        <v>3.0424242424242425</v>
      </c>
      <c r="M480" s="13" t="b">
        <v>0</v>
      </c>
      <c r="O480" s="25">
        <f t="shared" si="28"/>
        <v>27</v>
      </c>
      <c r="P480" s="13">
        <f t="shared" si="29"/>
        <v>267.40000000000003</v>
      </c>
      <c r="Q480" s="13" t="str">
        <f t="shared" si="30"/>
        <v/>
      </c>
      <c r="R480" s="13" t="str">
        <f t="shared" si="31"/>
        <v>Diskon</v>
      </c>
    </row>
    <row r="481" spans="1:18" x14ac:dyDescent="0.25">
      <c r="A481" s="13" t="s">
        <v>493</v>
      </c>
      <c r="B481" s="13" t="s">
        <v>2193</v>
      </c>
      <c r="C481" s="13" t="s">
        <v>2199</v>
      </c>
      <c r="D481" s="13" t="s">
        <v>2204</v>
      </c>
      <c r="E481" s="13" t="s">
        <v>2212</v>
      </c>
      <c r="F481" s="13" t="s">
        <v>2215</v>
      </c>
      <c r="G481" s="13">
        <v>124.26</v>
      </c>
      <c r="H481" s="44">
        <v>0</v>
      </c>
      <c r="I481" s="13">
        <v>124.26</v>
      </c>
      <c r="J481" s="24">
        <v>45512</v>
      </c>
      <c r="K481" s="25">
        <v>44</v>
      </c>
      <c r="L481" s="25">
        <v>4</v>
      </c>
      <c r="M481" s="13" t="b">
        <v>0</v>
      </c>
      <c r="O481" s="25">
        <f t="shared" si="28"/>
        <v>390</v>
      </c>
      <c r="P481" s="13">
        <f t="shared" si="29"/>
        <v>0</v>
      </c>
      <c r="Q481" s="13" t="str">
        <f t="shared" si="30"/>
        <v/>
      </c>
      <c r="R481" s="13" t="str">
        <f t="shared" si="31"/>
        <v>Non diskon</v>
      </c>
    </row>
    <row r="482" spans="1:18" x14ac:dyDescent="0.25">
      <c r="A482" s="13" t="s">
        <v>494</v>
      </c>
      <c r="B482" s="13" t="s">
        <v>2193</v>
      </c>
      <c r="C482" s="13" t="s">
        <v>2198</v>
      </c>
      <c r="D482" s="13" t="s">
        <v>2205</v>
      </c>
      <c r="E482" s="13" t="s">
        <v>2210</v>
      </c>
      <c r="F482" s="13" t="s">
        <v>2216</v>
      </c>
      <c r="G482" s="13">
        <v>129.33000000000001</v>
      </c>
      <c r="H482" s="44">
        <v>0</v>
      </c>
      <c r="I482" s="13">
        <v>129.33000000000001</v>
      </c>
      <c r="J482" s="24">
        <v>45875</v>
      </c>
      <c r="K482" s="25">
        <v>15</v>
      </c>
      <c r="L482" s="25">
        <v>3.1</v>
      </c>
      <c r="M482" s="13" t="b">
        <v>0</v>
      </c>
      <c r="O482" s="25">
        <f t="shared" si="28"/>
        <v>27</v>
      </c>
      <c r="P482" s="13">
        <f t="shared" si="29"/>
        <v>0</v>
      </c>
      <c r="Q482" s="13" t="str">
        <f t="shared" si="30"/>
        <v/>
      </c>
      <c r="R482" s="13" t="str">
        <f t="shared" si="31"/>
        <v>Non diskon</v>
      </c>
    </row>
    <row r="483" spans="1:18" x14ac:dyDescent="0.25">
      <c r="A483" s="13" t="s">
        <v>495</v>
      </c>
      <c r="B483" s="13" t="s">
        <v>2195</v>
      </c>
      <c r="C483" s="13" t="s">
        <v>2200</v>
      </c>
      <c r="D483" s="13" t="s">
        <v>2204</v>
      </c>
      <c r="E483" s="13" t="s">
        <v>2210</v>
      </c>
      <c r="F483" s="13" t="s">
        <v>2222</v>
      </c>
      <c r="G483" s="13">
        <v>123.93</v>
      </c>
      <c r="H483" s="44">
        <v>30</v>
      </c>
      <c r="I483" s="13">
        <v>86.75</v>
      </c>
      <c r="J483" s="24">
        <v>45869</v>
      </c>
      <c r="K483" s="25">
        <v>39</v>
      </c>
      <c r="L483" s="25">
        <v>1.9</v>
      </c>
      <c r="M483" s="13" t="b">
        <v>0</v>
      </c>
      <c r="O483" s="25">
        <f t="shared" si="28"/>
        <v>33</v>
      </c>
      <c r="P483" s="13">
        <f t="shared" si="29"/>
        <v>1170</v>
      </c>
      <c r="Q483" s="13" t="str">
        <f t="shared" si="30"/>
        <v/>
      </c>
      <c r="R483" s="13" t="str">
        <f t="shared" si="31"/>
        <v>Diskon</v>
      </c>
    </row>
    <row r="484" spans="1:18" x14ac:dyDescent="0.25">
      <c r="A484" s="13" t="s">
        <v>496</v>
      </c>
      <c r="B484" s="13" t="s">
        <v>2193</v>
      </c>
      <c r="C484" s="13" t="s">
        <v>2196</v>
      </c>
      <c r="D484" s="13" t="s">
        <v>2207</v>
      </c>
      <c r="E484" s="13" t="s">
        <v>2212</v>
      </c>
      <c r="F484" s="13" t="s">
        <v>2221</v>
      </c>
      <c r="G484" s="13">
        <v>62.76</v>
      </c>
      <c r="H484" s="44">
        <v>0</v>
      </c>
      <c r="I484" s="13">
        <v>62.76</v>
      </c>
      <c r="J484" s="24">
        <v>45875</v>
      </c>
      <c r="K484" s="25">
        <v>12</v>
      </c>
      <c r="L484" s="25">
        <v>4.7</v>
      </c>
      <c r="M484" s="13" t="b">
        <v>0</v>
      </c>
      <c r="O484" s="25">
        <f t="shared" si="28"/>
        <v>27</v>
      </c>
      <c r="P484" s="13">
        <f t="shared" si="29"/>
        <v>0</v>
      </c>
      <c r="Q484" s="13" t="str">
        <f t="shared" si="30"/>
        <v/>
      </c>
      <c r="R484" s="13" t="str">
        <f t="shared" si="31"/>
        <v>Non diskon</v>
      </c>
    </row>
    <row r="485" spans="1:18" x14ac:dyDescent="0.25">
      <c r="A485" s="13" t="s">
        <v>497</v>
      </c>
      <c r="B485" s="13" t="s">
        <v>2193</v>
      </c>
      <c r="C485" s="13" t="s">
        <v>2197</v>
      </c>
      <c r="D485" s="13" t="s">
        <v>2204</v>
      </c>
      <c r="E485" s="13" t="s">
        <v>2212</v>
      </c>
      <c r="F485" s="13" t="s">
        <v>2219</v>
      </c>
      <c r="G485" s="13">
        <v>74.540000000000006</v>
      </c>
      <c r="H485" s="44">
        <v>0</v>
      </c>
      <c r="I485" s="13">
        <v>74.540000000000006</v>
      </c>
      <c r="J485" s="24">
        <v>45603</v>
      </c>
      <c r="K485" s="25">
        <v>4</v>
      </c>
      <c r="L485" s="25">
        <v>3.5</v>
      </c>
      <c r="M485" s="13" t="b">
        <v>0</v>
      </c>
      <c r="O485" s="25">
        <f t="shared" si="28"/>
        <v>299</v>
      </c>
      <c r="P485" s="13">
        <f t="shared" si="29"/>
        <v>0</v>
      </c>
      <c r="Q485" s="13" t="str">
        <f t="shared" si="30"/>
        <v/>
      </c>
      <c r="R485" s="13" t="str">
        <f t="shared" si="31"/>
        <v>Non diskon</v>
      </c>
    </row>
    <row r="486" spans="1:18" x14ac:dyDescent="0.25">
      <c r="A486" s="13" t="s">
        <v>498</v>
      </c>
      <c r="B486" s="13" t="s">
        <v>2191</v>
      </c>
      <c r="C486" s="13" t="s">
        <v>2202</v>
      </c>
      <c r="D486" s="13" t="s">
        <v>2207</v>
      </c>
      <c r="E486" s="13" t="s">
        <v>2210</v>
      </c>
      <c r="F486" s="13" t="s">
        <v>2215</v>
      </c>
      <c r="G486" s="13">
        <v>114.03</v>
      </c>
      <c r="H486" s="44">
        <v>0</v>
      </c>
      <c r="I486" s="13">
        <v>114.03</v>
      </c>
      <c r="J486" s="24">
        <v>45875</v>
      </c>
      <c r="K486" s="25">
        <v>2</v>
      </c>
      <c r="L486" s="25">
        <v>2.9074999999999998</v>
      </c>
      <c r="M486" s="13" t="b">
        <v>0</v>
      </c>
      <c r="O486" s="25">
        <f t="shared" si="28"/>
        <v>27</v>
      </c>
      <c r="P486" s="13">
        <f t="shared" si="29"/>
        <v>0</v>
      </c>
      <c r="Q486" s="13" t="str">
        <f t="shared" si="30"/>
        <v/>
      </c>
      <c r="R486" s="13" t="str">
        <f t="shared" si="31"/>
        <v>Non diskon</v>
      </c>
    </row>
    <row r="487" spans="1:18" x14ac:dyDescent="0.25">
      <c r="A487" s="13" t="s">
        <v>499</v>
      </c>
      <c r="B487" s="13" t="s">
        <v>2192</v>
      </c>
      <c r="C487" s="13" t="s">
        <v>2202</v>
      </c>
      <c r="D487" s="13" t="s">
        <v>2206</v>
      </c>
      <c r="F487" s="13" t="s">
        <v>2217</v>
      </c>
      <c r="G487" s="13">
        <v>20.59</v>
      </c>
      <c r="H487" s="44">
        <v>27.6</v>
      </c>
      <c r="I487" s="13">
        <v>14.91</v>
      </c>
      <c r="J487" s="24">
        <v>45875</v>
      </c>
      <c r="K487" s="25">
        <v>36</v>
      </c>
      <c r="L487" s="25">
        <v>3.2720930232558145</v>
      </c>
      <c r="M487" s="13" t="b">
        <v>0</v>
      </c>
      <c r="O487" s="25">
        <f t="shared" si="28"/>
        <v>27</v>
      </c>
      <c r="P487" s="13">
        <f t="shared" si="29"/>
        <v>993.6</v>
      </c>
      <c r="Q487" s="13" t="str">
        <f t="shared" si="30"/>
        <v/>
      </c>
      <c r="R487" s="13" t="str">
        <f t="shared" si="31"/>
        <v>Diskon</v>
      </c>
    </row>
    <row r="488" spans="1:18" x14ac:dyDescent="0.25">
      <c r="A488" s="13" t="s">
        <v>500</v>
      </c>
      <c r="B488" s="13" t="s">
        <v>2193</v>
      </c>
      <c r="C488" s="13" t="s">
        <v>2198</v>
      </c>
      <c r="D488" s="13" t="s">
        <v>2207</v>
      </c>
      <c r="E488" s="13" t="s">
        <v>2208</v>
      </c>
      <c r="F488" s="13" t="s">
        <v>2219</v>
      </c>
      <c r="G488" s="13">
        <v>167.86</v>
      </c>
      <c r="H488" s="44">
        <v>0</v>
      </c>
      <c r="I488" s="13">
        <v>167.86</v>
      </c>
      <c r="J488" s="24">
        <v>45875</v>
      </c>
      <c r="K488" s="25">
        <v>17</v>
      </c>
      <c r="L488" s="25">
        <v>3.2</v>
      </c>
      <c r="M488" s="13" t="b">
        <v>0</v>
      </c>
      <c r="O488" s="25">
        <f t="shared" si="28"/>
        <v>27</v>
      </c>
      <c r="P488" s="13">
        <f t="shared" si="29"/>
        <v>0</v>
      </c>
      <c r="Q488" s="13" t="str">
        <f t="shared" si="30"/>
        <v/>
      </c>
      <c r="R488" s="13" t="str">
        <f t="shared" si="31"/>
        <v>Non diskon</v>
      </c>
    </row>
    <row r="489" spans="1:18" x14ac:dyDescent="0.25">
      <c r="A489" s="13" t="s">
        <v>501</v>
      </c>
      <c r="B489" s="13" t="s">
        <v>2192</v>
      </c>
      <c r="C489" s="13" t="s">
        <v>2197</v>
      </c>
      <c r="D489" s="13" t="s">
        <v>2206</v>
      </c>
      <c r="F489" s="13" t="s">
        <v>2218</v>
      </c>
      <c r="G489" s="13">
        <v>62.2</v>
      </c>
      <c r="H489" s="44">
        <v>37.700000000000003</v>
      </c>
      <c r="I489" s="13">
        <v>38.75</v>
      </c>
      <c r="J489" s="24">
        <v>45875</v>
      </c>
      <c r="K489" s="25">
        <v>16</v>
      </c>
      <c r="L489" s="25">
        <v>3.1</v>
      </c>
      <c r="M489" s="13" t="b">
        <v>0</v>
      </c>
      <c r="O489" s="25">
        <f t="shared" si="28"/>
        <v>27</v>
      </c>
      <c r="P489" s="13">
        <f t="shared" si="29"/>
        <v>603.20000000000005</v>
      </c>
      <c r="Q489" s="13" t="str">
        <f t="shared" si="30"/>
        <v/>
      </c>
      <c r="R489" s="13" t="str">
        <f t="shared" si="31"/>
        <v>Diskon</v>
      </c>
    </row>
    <row r="490" spans="1:18" x14ac:dyDescent="0.25">
      <c r="A490" s="13" t="s">
        <v>502</v>
      </c>
      <c r="B490" s="13" t="s">
        <v>2190</v>
      </c>
      <c r="C490" s="13" t="s">
        <v>2198</v>
      </c>
      <c r="D490" s="13" t="s">
        <v>2206</v>
      </c>
      <c r="F490" s="13" t="s">
        <v>2215</v>
      </c>
      <c r="G490" s="13">
        <v>223.69</v>
      </c>
      <c r="H490" s="44">
        <v>6.3</v>
      </c>
      <c r="I490" s="13">
        <v>209.6</v>
      </c>
      <c r="J490" s="24">
        <v>45875</v>
      </c>
      <c r="K490" s="25">
        <v>18</v>
      </c>
      <c r="L490" s="25">
        <v>1.9</v>
      </c>
      <c r="M490" s="13" t="b">
        <v>0</v>
      </c>
      <c r="O490" s="25">
        <f t="shared" si="28"/>
        <v>27</v>
      </c>
      <c r="P490" s="13">
        <f t="shared" si="29"/>
        <v>113.39999999999999</v>
      </c>
      <c r="Q490" s="13" t="str">
        <f t="shared" si="30"/>
        <v/>
      </c>
      <c r="R490" s="13" t="str">
        <f t="shared" si="31"/>
        <v>Diskon</v>
      </c>
    </row>
    <row r="491" spans="1:18" x14ac:dyDescent="0.25">
      <c r="A491" s="13" t="s">
        <v>503</v>
      </c>
      <c r="B491" s="13" t="s">
        <v>2192</v>
      </c>
      <c r="C491" s="13" t="s">
        <v>2199</v>
      </c>
      <c r="D491" s="13" t="s">
        <v>2207</v>
      </c>
      <c r="F491" s="13" t="s">
        <v>2219</v>
      </c>
      <c r="G491" s="13">
        <v>67.13</v>
      </c>
      <c r="H491" s="44">
        <v>0</v>
      </c>
      <c r="I491" s="13">
        <v>67.13</v>
      </c>
      <c r="J491" s="24">
        <v>45875</v>
      </c>
      <c r="K491" s="25">
        <v>3</v>
      </c>
      <c r="L491" s="25">
        <v>1.4</v>
      </c>
      <c r="M491" s="13" t="b">
        <v>0</v>
      </c>
      <c r="O491" s="25">
        <f t="shared" si="28"/>
        <v>27</v>
      </c>
      <c r="P491" s="13">
        <f t="shared" si="29"/>
        <v>0</v>
      </c>
      <c r="Q491" s="13" t="str">
        <f t="shared" si="30"/>
        <v/>
      </c>
      <c r="R491" s="13" t="str">
        <f t="shared" si="31"/>
        <v>Non diskon</v>
      </c>
    </row>
    <row r="492" spans="1:18" x14ac:dyDescent="0.25">
      <c r="A492" s="13" t="s">
        <v>504</v>
      </c>
      <c r="B492" s="13" t="s">
        <v>2195</v>
      </c>
      <c r="C492" s="13" t="s">
        <v>2196</v>
      </c>
      <c r="D492" s="13" t="s">
        <v>2207</v>
      </c>
      <c r="E492" s="13" t="s">
        <v>2213</v>
      </c>
      <c r="F492" s="13" t="s">
        <v>2214</v>
      </c>
      <c r="G492" s="13">
        <v>144.81</v>
      </c>
      <c r="H492" s="44">
        <v>33.299999999999997</v>
      </c>
      <c r="I492" s="13">
        <v>96.59</v>
      </c>
      <c r="J492" s="24">
        <v>45875</v>
      </c>
      <c r="K492" s="25">
        <v>33</v>
      </c>
      <c r="L492" s="25">
        <v>2.8</v>
      </c>
      <c r="M492" s="13" t="b">
        <v>0</v>
      </c>
      <c r="O492" s="25">
        <f t="shared" si="28"/>
        <v>27</v>
      </c>
      <c r="P492" s="13">
        <f t="shared" si="29"/>
        <v>1098.8999999999999</v>
      </c>
      <c r="Q492" s="13" t="str">
        <f t="shared" si="30"/>
        <v/>
      </c>
      <c r="R492" s="13" t="str">
        <f t="shared" si="31"/>
        <v>Diskon</v>
      </c>
    </row>
    <row r="493" spans="1:18" x14ac:dyDescent="0.25">
      <c r="A493" s="13" t="s">
        <v>505</v>
      </c>
      <c r="B493" s="13" t="s">
        <v>2190</v>
      </c>
      <c r="C493" s="13" t="s">
        <v>2202</v>
      </c>
      <c r="D493" s="13" t="s">
        <v>2205</v>
      </c>
      <c r="E493" s="13" t="s">
        <v>2212</v>
      </c>
      <c r="F493" s="13" t="s">
        <v>2223</v>
      </c>
      <c r="G493" s="13">
        <v>152.93</v>
      </c>
      <c r="H493" s="44">
        <v>53</v>
      </c>
      <c r="I493" s="13">
        <v>71.88</v>
      </c>
      <c r="J493" s="24">
        <v>45875</v>
      </c>
      <c r="K493" s="25">
        <v>2</v>
      </c>
      <c r="L493" s="25">
        <v>4.5999999999999996</v>
      </c>
      <c r="M493" s="13" t="b">
        <v>1</v>
      </c>
      <c r="N493" s="13" t="s">
        <v>2229</v>
      </c>
      <c r="O493" s="25">
        <f t="shared" si="28"/>
        <v>27</v>
      </c>
      <c r="P493" s="13">
        <f t="shared" si="29"/>
        <v>106</v>
      </c>
      <c r="Q493" s="13">
        <f t="shared" si="30"/>
        <v>1</v>
      </c>
      <c r="R493" s="13" t="str">
        <f t="shared" si="31"/>
        <v>Diskon</v>
      </c>
    </row>
    <row r="494" spans="1:18" x14ac:dyDescent="0.25">
      <c r="A494" s="13" t="s">
        <v>506</v>
      </c>
      <c r="B494" s="13" t="s">
        <v>2195</v>
      </c>
      <c r="C494" s="13" t="s">
        <v>2203</v>
      </c>
      <c r="D494" s="13" t="s">
        <v>2207</v>
      </c>
      <c r="E494" s="13" t="s">
        <v>2211</v>
      </c>
      <c r="F494" s="13" t="s">
        <v>2217</v>
      </c>
      <c r="G494" s="13">
        <v>111.29</v>
      </c>
      <c r="H494" s="44">
        <v>0</v>
      </c>
      <c r="I494" s="13">
        <v>111.29</v>
      </c>
      <c r="J494" s="24">
        <v>45875</v>
      </c>
      <c r="K494" s="25">
        <v>48</v>
      </c>
      <c r="L494" s="25">
        <v>4.9000000000000004</v>
      </c>
      <c r="M494" s="13" t="b">
        <v>0</v>
      </c>
      <c r="O494" s="25">
        <f t="shared" si="28"/>
        <v>27</v>
      </c>
      <c r="P494" s="13">
        <f t="shared" si="29"/>
        <v>0</v>
      </c>
      <c r="Q494" s="13" t="str">
        <f t="shared" si="30"/>
        <v/>
      </c>
      <c r="R494" s="13" t="str">
        <f t="shared" si="31"/>
        <v>Non diskon</v>
      </c>
    </row>
    <row r="495" spans="1:18" x14ac:dyDescent="0.25">
      <c r="A495" s="13" t="s">
        <v>507</v>
      </c>
      <c r="B495" s="13" t="s">
        <v>2190</v>
      </c>
      <c r="C495" s="13" t="s">
        <v>2198</v>
      </c>
      <c r="D495" s="13" t="s">
        <v>2205</v>
      </c>
      <c r="E495" s="13" t="s">
        <v>2212</v>
      </c>
      <c r="F495" s="13" t="s">
        <v>2215</v>
      </c>
      <c r="G495" s="13">
        <v>159.18</v>
      </c>
      <c r="H495" s="44">
        <v>0</v>
      </c>
      <c r="I495" s="13">
        <v>159.18</v>
      </c>
      <c r="J495" s="24">
        <v>45875</v>
      </c>
      <c r="K495" s="25">
        <v>38</v>
      </c>
      <c r="L495" s="25">
        <v>2.4</v>
      </c>
      <c r="M495" s="13" t="b">
        <v>1</v>
      </c>
      <c r="N495" s="13" t="s">
        <v>2228</v>
      </c>
      <c r="O495" s="25">
        <f t="shared" si="28"/>
        <v>27</v>
      </c>
      <c r="P495" s="13">
        <f t="shared" si="29"/>
        <v>0</v>
      </c>
      <c r="Q495" s="13">
        <f t="shared" si="30"/>
        <v>1</v>
      </c>
      <c r="R495" s="13" t="str">
        <f t="shared" si="31"/>
        <v>Non diskon</v>
      </c>
    </row>
    <row r="496" spans="1:18" x14ac:dyDescent="0.25">
      <c r="A496" s="13" t="s">
        <v>508</v>
      </c>
      <c r="B496" s="13" t="s">
        <v>2190</v>
      </c>
      <c r="C496" s="13" t="s">
        <v>2196</v>
      </c>
      <c r="D496" s="13" t="s">
        <v>2205</v>
      </c>
      <c r="E496" s="13" t="s">
        <v>2211</v>
      </c>
      <c r="F496" s="13" t="s">
        <v>2217</v>
      </c>
      <c r="G496" s="13">
        <v>215.93</v>
      </c>
      <c r="H496" s="44">
        <v>0</v>
      </c>
      <c r="I496" s="13">
        <v>215.93</v>
      </c>
      <c r="J496" s="24">
        <v>45875</v>
      </c>
      <c r="K496" s="25">
        <v>43</v>
      </c>
      <c r="L496" s="25">
        <v>3.5</v>
      </c>
      <c r="M496" s="13" t="b">
        <v>0</v>
      </c>
      <c r="O496" s="25">
        <f t="shared" si="28"/>
        <v>27</v>
      </c>
      <c r="P496" s="13">
        <f t="shared" si="29"/>
        <v>0</v>
      </c>
      <c r="Q496" s="13" t="str">
        <f t="shared" si="30"/>
        <v/>
      </c>
      <c r="R496" s="13" t="str">
        <f t="shared" si="31"/>
        <v>Non diskon</v>
      </c>
    </row>
    <row r="497" spans="1:18" x14ac:dyDescent="0.25">
      <c r="A497" s="13" t="s">
        <v>509</v>
      </c>
      <c r="B497" s="13" t="s">
        <v>2191</v>
      </c>
      <c r="C497" s="13" t="s">
        <v>2201</v>
      </c>
      <c r="D497" s="13" t="s">
        <v>2204</v>
      </c>
      <c r="F497" s="13" t="s">
        <v>2221</v>
      </c>
      <c r="G497" s="13">
        <v>51.69</v>
      </c>
      <c r="H497" s="44">
        <v>33.4</v>
      </c>
      <c r="I497" s="13">
        <v>34.43</v>
      </c>
      <c r="J497" s="24">
        <v>45511</v>
      </c>
      <c r="K497" s="25">
        <v>36</v>
      </c>
      <c r="L497" s="25">
        <v>3.4</v>
      </c>
      <c r="M497" s="13" t="b">
        <v>0</v>
      </c>
      <c r="O497" s="25">
        <f t="shared" si="28"/>
        <v>391</v>
      </c>
      <c r="P497" s="13">
        <f t="shared" si="29"/>
        <v>1202.3999999999999</v>
      </c>
      <c r="Q497" s="13" t="str">
        <f t="shared" si="30"/>
        <v/>
      </c>
      <c r="R497" s="13" t="str">
        <f t="shared" si="31"/>
        <v>Diskon</v>
      </c>
    </row>
    <row r="498" spans="1:18" x14ac:dyDescent="0.25">
      <c r="A498" s="13" t="s">
        <v>510</v>
      </c>
      <c r="B498" s="13" t="s">
        <v>2190</v>
      </c>
      <c r="C498" s="13" t="s">
        <v>2201</v>
      </c>
      <c r="D498" s="13" t="s">
        <v>2207</v>
      </c>
      <c r="E498" s="13" t="s">
        <v>2209</v>
      </c>
      <c r="F498" s="13" t="s">
        <v>2215</v>
      </c>
      <c r="G498" s="13">
        <v>137.38</v>
      </c>
      <c r="H498" s="44">
        <v>0</v>
      </c>
      <c r="I498" s="13">
        <v>137.38</v>
      </c>
      <c r="J498" s="24">
        <v>45875</v>
      </c>
      <c r="K498" s="25">
        <v>43</v>
      </c>
      <c r="L498" s="25">
        <v>3.5</v>
      </c>
      <c r="M498" s="13" t="b">
        <v>0</v>
      </c>
      <c r="O498" s="25">
        <f t="shared" si="28"/>
        <v>27</v>
      </c>
      <c r="P498" s="13">
        <f t="shared" si="29"/>
        <v>0</v>
      </c>
      <c r="Q498" s="13" t="str">
        <f t="shared" si="30"/>
        <v/>
      </c>
      <c r="R498" s="13" t="str">
        <f t="shared" si="31"/>
        <v>Non diskon</v>
      </c>
    </row>
    <row r="499" spans="1:18" x14ac:dyDescent="0.25">
      <c r="A499" s="13" t="s">
        <v>511</v>
      </c>
      <c r="B499" s="13" t="s">
        <v>2194</v>
      </c>
      <c r="C499" s="13" t="s">
        <v>2203</v>
      </c>
      <c r="D499" s="13" t="s">
        <v>2206</v>
      </c>
      <c r="E499" s="13" t="s">
        <v>2211</v>
      </c>
      <c r="F499" s="13" t="s">
        <v>2220</v>
      </c>
      <c r="G499" s="13">
        <v>96.7</v>
      </c>
      <c r="H499" s="44">
        <v>38.799999999999997</v>
      </c>
      <c r="I499" s="13">
        <v>59.18</v>
      </c>
      <c r="J499" s="24">
        <v>45875</v>
      </c>
      <c r="K499" s="25">
        <v>46</v>
      </c>
      <c r="L499" s="25">
        <v>1.7</v>
      </c>
      <c r="M499" s="13" t="b">
        <v>0</v>
      </c>
      <c r="O499" s="25">
        <f t="shared" si="28"/>
        <v>27</v>
      </c>
      <c r="P499" s="13">
        <f t="shared" si="29"/>
        <v>1784.8</v>
      </c>
      <c r="Q499" s="13" t="str">
        <f t="shared" si="30"/>
        <v/>
      </c>
      <c r="R499" s="13" t="str">
        <f t="shared" si="31"/>
        <v>Diskon</v>
      </c>
    </row>
    <row r="500" spans="1:18" x14ac:dyDescent="0.25">
      <c r="A500" s="13" t="s">
        <v>512</v>
      </c>
      <c r="B500" s="13" t="s">
        <v>2194</v>
      </c>
      <c r="C500" s="13" t="s">
        <v>2200</v>
      </c>
      <c r="D500" s="13" t="s">
        <v>2204</v>
      </c>
      <c r="E500" s="13" t="s">
        <v>2213</v>
      </c>
      <c r="F500" s="13" t="s">
        <v>2223</v>
      </c>
      <c r="G500" s="13">
        <v>58.73</v>
      </c>
      <c r="H500" s="44">
        <v>38.1</v>
      </c>
      <c r="I500" s="13">
        <v>36.35</v>
      </c>
      <c r="J500" s="24">
        <v>45653</v>
      </c>
      <c r="K500" s="25">
        <v>50</v>
      </c>
      <c r="L500" s="25">
        <v>1.2</v>
      </c>
      <c r="M500" s="13" t="b">
        <v>0</v>
      </c>
      <c r="O500" s="25">
        <f t="shared" si="28"/>
        <v>249</v>
      </c>
      <c r="P500" s="13">
        <f t="shared" si="29"/>
        <v>1905</v>
      </c>
      <c r="Q500" s="13" t="str">
        <f t="shared" si="30"/>
        <v/>
      </c>
      <c r="R500" s="13" t="str">
        <f t="shared" si="31"/>
        <v>Diskon</v>
      </c>
    </row>
    <row r="501" spans="1:18" x14ac:dyDescent="0.25">
      <c r="A501" s="13" t="s">
        <v>513</v>
      </c>
      <c r="B501" s="13" t="s">
        <v>2190</v>
      </c>
      <c r="C501" s="13" t="s">
        <v>2202</v>
      </c>
      <c r="D501" s="13" t="s">
        <v>2205</v>
      </c>
      <c r="E501" s="13" t="s">
        <v>2210</v>
      </c>
      <c r="F501" s="13" t="s">
        <v>2220</v>
      </c>
      <c r="G501" s="13">
        <v>204.68</v>
      </c>
      <c r="H501" s="44">
        <v>0</v>
      </c>
      <c r="I501" s="13">
        <v>204.68</v>
      </c>
      <c r="J501" s="24">
        <v>45875</v>
      </c>
      <c r="K501" s="25">
        <v>33</v>
      </c>
      <c r="L501" s="25">
        <v>3.1</v>
      </c>
      <c r="M501" s="13" t="b">
        <v>0</v>
      </c>
      <c r="O501" s="25">
        <f t="shared" si="28"/>
        <v>27</v>
      </c>
      <c r="P501" s="13">
        <f t="shared" si="29"/>
        <v>0</v>
      </c>
      <c r="Q501" s="13" t="str">
        <f t="shared" si="30"/>
        <v/>
      </c>
      <c r="R501" s="13" t="str">
        <f t="shared" si="31"/>
        <v>Non diskon</v>
      </c>
    </row>
    <row r="502" spans="1:18" x14ac:dyDescent="0.25">
      <c r="A502" s="13" t="s">
        <v>514</v>
      </c>
      <c r="B502" s="13" t="s">
        <v>2194</v>
      </c>
      <c r="C502" s="13" t="s">
        <v>2203</v>
      </c>
      <c r="D502" s="13" t="s">
        <v>2204</v>
      </c>
      <c r="E502" s="13" t="s">
        <v>2209</v>
      </c>
      <c r="F502" s="13" t="s">
        <v>2217</v>
      </c>
      <c r="G502" s="13">
        <v>117.26</v>
      </c>
      <c r="H502" s="44">
        <v>0</v>
      </c>
      <c r="I502" s="13">
        <v>117.26</v>
      </c>
      <c r="J502" s="24">
        <v>45560</v>
      </c>
      <c r="K502" s="25">
        <v>29</v>
      </c>
      <c r="L502" s="25">
        <v>3.1021739130434773</v>
      </c>
      <c r="M502" s="13" t="b">
        <v>0</v>
      </c>
      <c r="O502" s="25">
        <f t="shared" si="28"/>
        <v>342</v>
      </c>
      <c r="P502" s="13">
        <f t="shared" si="29"/>
        <v>0</v>
      </c>
      <c r="Q502" s="13" t="str">
        <f t="shared" si="30"/>
        <v/>
      </c>
      <c r="R502" s="13" t="str">
        <f t="shared" si="31"/>
        <v>Non diskon</v>
      </c>
    </row>
    <row r="503" spans="1:18" x14ac:dyDescent="0.25">
      <c r="A503" s="13" t="s">
        <v>515</v>
      </c>
      <c r="B503" s="13" t="s">
        <v>2190</v>
      </c>
      <c r="C503" s="13" t="s">
        <v>2202</v>
      </c>
      <c r="D503" s="13" t="s">
        <v>2207</v>
      </c>
      <c r="E503" s="13" t="s">
        <v>2211</v>
      </c>
      <c r="F503" s="13" t="s">
        <v>2217</v>
      </c>
      <c r="G503" s="13">
        <v>91.95</v>
      </c>
      <c r="H503" s="44">
        <v>0</v>
      </c>
      <c r="I503" s="13">
        <v>91.95</v>
      </c>
      <c r="J503" s="24">
        <v>45875</v>
      </c>
      <c r="K503" s="25">
        <v>1</v>
      </c>
      <c r="L503" s="25">
        <v>2.5</v>
      </c>
      <c r="M503" s="13" t="b">
        <v>0</v>
      </c>
      <c r="O503" s="25">
        <f t="shared" si="28"/>
        <v>27</v>
      </c>
      <c r="P503" s="13">
        <f t="shared" si="29"/>
        <v>0</v>
      </c>
      <c r="Q503" s="13" t="str">
        <f t="shared" si="30"/>
        <v/>
      </c>
      <c r="R503" s="13" t="str">
        <f t="shared" si="31"/>
        <v>Non diskon</v>
      </c>
    </row>
    <row r="504" spans="1:18" x14ac:dyDescent="0.25">
      <c r="A504" s="13" t="s">
        <v>516</v>
      </c>
      <c r="B504" s="13" t="s">
        <v>2194</v>
      </c>
      <c r="C504" s="13" t="s">
        <v>2202</v>
      </c>
      <c r="D504" s="13" t="s">
        <v>2206</v>
      </c>
      <c r="E504" s="13" t="s">
        <v>2208</v>
      </c>
      <c r="F504" s="13" t="s">
        <v>2222</v>
      </c>
      <c r="G504" s="13">
        <v>94.53</v>
      </c>
      <c r="H504" s="44">
        <v>0</v>
      </c>
      <c r="I504" s="13">
        <v>94.53</v>
      </c>
      <c r="J504" s="24">
        <v>45875</v>
      </c>
      <c r="K504" s="25">
        <v>13</v>
      </c>
      <c r="L504" s="25">
        <v>2.4</v>
      </c>
      <c r="M504" s="13" t="b">
        <v>0</v>
      </c>
      <c r="O504" s="25">
        <f t="shared" si="28"/>
        <v>27</v>
      </c>
      <c r="P504" s="13">
        <f t="shared" si="29"/>
        <v>0</v>
      </c>
      <c r="Q504" s="13" t="str">
        <f t="shared" si="30"/>
        <v/>
      </c>
      <c r="R504" s="13" t="str">
        <f t="shared" si="31"/>
        <v>Non diskon</v>
      </c>
    </row>
    <row r="505" spans="1:18" x14ac:dyDescent="0.25">
      <c r="A505" s="13" t="s">
        <v>517</v>
      </c>
      <c r="B505" s="13" t="s">
        <v>2195</v>
      </c>
      <c r="C505" s="13" t="s">
        <v>2199</v>
      </c>
      <c r="D505" s="13" t="s">
        <v>2206</v>
      </c>
      <c r="E505" s="13" t="s">
        <v>2211</v>
      </c>
      <c r="F505" s="13" t="s">
        <v>2217</v>
      </c>
      <c r="G505" s="13">
        <v>71.94</v>
      </c>
      <c r="H505" s="44">
        <v>3</v>
      </c>
      <c r="I505" s="13">
        <v>69.78</v>
      </c>
      <c r="J505" s="24">
        <v>45875</v>
      </c>
      <c r="K505" s="25">
        <v>45</v>
      </c>
      <c r="L505" s="25">
        <v>1.4</v>
      </c>
      <c r="M505" s="13" t="b">
        <v>0</v>
      </c>
      <c r="O505" s="25">
        <f t="shared" si="28"/>
        <v>27</v>
      </c>
      <c r="P505" s="13">
        <f t="shared" si="29"/>
        <v>135</v>
      </c>
      <c r="Q505" s="13" t="str">
        <f t="shared" si="30"/>
        <v/>
      </c>
      <c r="R505" s="13" t="str">
        <f t="shared" si="31"/>
        <v>Diskon</v>
      </c>
    </row>
    <row r="506" spans="1:18" x14ac:dyDescent="0.25">
      <c r="A506" s="13" t="s">
        <v>518</v>
      </c>
      <c r="B506" s="13" t="s">
        <v>2195</v>
      </c>
      <c r="C506" s="13" t="s">
        <v>2201</v>
      </c>
      <c r="D506" s="13" t="s">
        <v>2205</v>
      </c>
      <c r="E506" s="13" t="s">
        <v>2208</v>
      </c>
      <c r="F506" s="13" t="s">
        <v>2220</v>
      </c>
      <c r="G506" s="13">
        <v>177.72</v>
      </c>
      <c r="H506" s="44">
        <v>5.9</v>
      </c>
      <c r="I506" s="13">
        <v>167.23</v>
      </c>
      <c r="J506" s="24">
        <v>45875</v>
      </c>
      <c r="K506" s="25">
        <v>47</v>
      </c>
      <c r="L506" s="25">
        <v>3.1874999999999991</v>
      </c>
      <c r="M506" s="13" t="b">
        <v>0</v>
      </c>
      <c r="O506" s="25">
        <f t="shared" si="28"/>
        <v>27</v>
      </c>
      <c r="P506" s="13">
        <f t="shared" si="29"/>
        <v>277.3</v>
      </c>
      <c r="Q506" s="13" t="str">
        <f t="shared" si="30"/>
        <v/>
      </c>
      <c r="R506" s="13" t="str">
        <f t="shared" si="31"/>
        <v>Diskon</v>
      </c>
    </row>
    <row r="507" spans="1:18" x14ac:dyDescent="0.25">
      <c r="A507" s="13" t="s">
        <v>519</v>
      </c>
      <c r="B507" s="13" t="s">
        <v>2192</v>
      </c>
      <c r="C507" s="13" t="s">
        <v>2196</v>
      </c>
      <c r="D507" s="13" t="s">
        <v>2207</v>
      </c>
      <c r="F507" s="13" t="s">
        <v>2217</v>
      </c>
      <c r="G507" s="13">
        <v>34.4</v>
      </c>
      <c r="H507" s="44">
        <v>0</v>
      </c>
      <c r="I507" s="13">
        <v>34.4</v>
      </c>
      <c r="J507" s="24">
        <v>45875</v>
      </c>
      <c r="K507" s="25">
        <v>43</v>
      </c>
      <c r="L507" s="25">
        <v>3</v>
      </c>
      <c r="M507" s="13" t="b">
        <v>1</v>
      </c>
      <c r="N507" s="13" t="s">
        <v>2230</v>
      </c>
      <c r="O507" s="25">
        <f t="shared" si="28"/>
        <v>27</v>
      </c>
      <c r="P507" s="13">
        <f t="shared" si="29"/>
        <v>0</v>
      </c>
      <c r="Q507" s="13">
        <f t="shared" si="30"/>
        <v>1</v>
      </c>
      <c r="R507" s="13" t="str">
        <f t="shared" si="31"/>
        <v>Non diskon</v>
      </c>
    </row>
    <row r="508" spans="1:18" x14ac:dyDescent="0.25">
      <c r="A508" s="13" t="s">
        <v>520</v>
      </c>
      <c r="B508" s="13" t="s">
        <v>2194</v>
      </c>
      <c r="C508" s="13" t="s">
        <v>2198</v>
      </c>
      <c r="D508" s="13" t="s">
        <v>2204</v>
      </c>
      <c r="E508" s="13" t="s">
        <v>2213</v>
      </c>
      <c r="F508" s="13" t="s">
        <v>2218</v>
      </c>
      <c r="G508" s="13">
        <v>119.72</v>
      </c>
      <c r="H508" s="44">
        <v>0</v>
      </c>
      <c r="I508" s="13">
        <v>119.72</v>
      </c>
      <c r="J508" s="24">
        <v>45675</v>
      </c>
      <c r="K508" s="25">
        <v>18</v>
      </c>
      <c r="L508" s="25">
        <v>3.7</v>
      </c>
      <c r="M508" s="13" t="b">
        <v>0</v>
      </c>
      <c r="O508" s="25">
        <f t="shared" si="28"/>
        <v>227</v>
      </c>
      <c r="P508" s="13">
        <f t="shared" si="29"/>
        <v>0</v>
      </c>
      <c r="Q508" s="13" t="str">
        <f t="shared" si="30"/>
        <v/>
      </c>
      <c r="R508" s="13" t="str">
        <f t="shared" si="31"/>
        <v>Non diskon</v>
      </c>
    </row>
    <row r="509" spans="1:18" x14ac:dyDescent="0.25">
      <c r="A509" s="13" t="s">
        <v>521</v>
      </c>
      <c r="B509" s="13" t="s">
        <v>2192</v>
      </c>
      <c r="C509" s="13" t="s">
        <v>2200</v>
      </c>
      <c r="D509" s="13" t="s">
        <v>2207</v>
      </c>
      <c r="F509" s="13" t="s">
        <v>2224</v>
      </c>
      <c r="G509" s="13">
        <v>44.09</v>
      </c>
      <c r="H509" s="44">
        <v>0</v>
      </c>
      <c r="I509" s="13">
        <v>44.09</v>
      </c>
      <c r="J509" s="24">
        <v>45875</v>
      </c>
      <c r="K509" s="25">
        <v>2</v>
      </c>
      <c r="L509" s="25">
        <v>2</v>
      </c>
      <c r="M509" s="13" t="b">
        <v>0</v>
      </c>
      <c r="O509" s="25">
        <f t="shared" si="28"/>
        <v>27</v>
      </c>
      <c r="P509" s="13">
        <f t="shared" si="29"/>
        <v>0</v>
      </c>
      <c r="Q509" s="13" t="str">
        <f t="shared" si="30"/>
        <v/>
      </c>
      <c r="R509" s="13" t="str">
        <f t="shared" si="31"/>
        <v>Non diskon</v>
      </c>
    </row>
    <row r="510" spans="1:18" x14ac:dyDescent="0.25">
      <c r="A510" s="13" t="s">
        <v>522</v>
      </c>
      <c r="B510" s="13" t="s">
        <v>2194</v>
      </c>
      <c r="C510" s="13" t="s">
        <v>2199</v>
      </c>
      <c r="D510" s="13" t="s">
        <v>2204</v>
      </c>
      <c r="E510" s="13" t="s">
        <v>2208</v>
      </c>
      <c r="F510" s="13" t="s">
        <v>2223</v>
      </c>
      <c r="G510" s="13">
        <v>42.47</v>
      </c>
      <c r="H510" s="44">
        <v>0</v>
      </c>
      <c r="I510" s="13">
        <v>42.47</v>
      </c>
      <c r="J510" s="24">
        <v>45610</v>
      </c>
      <c r="K510" s="25">
        <v>33</v>
      </c>
      <c r="L510" s="25">
        <v>4.5</v>
      </c>
      <c r="M510" s="13" t="b">
        <v>1</v>
      </c>
      <c r="N510" s="13" t="s">
        <v>2229</v>
      </c>
      <c r="O510" s="25">
        <f t="shared" si="28"/>
        <v>292</v>
      </c>
      <c r="P510" s="13">
        <f t="shared" si="29"/>
        <v>0</v>
      </c>
      <c r="Q510" s="13">
        <f t="shared" si="30"/>
        <v>1</v>
      </c>
      <c r="R510" s="13" t="str">
        <f t="shared" si="31"/>
        <v>Non diskon</v>
      </c>
    </row>
    <row r="511" spans="1:18" x14ac:dyDescent="0.25">
      <c r="A511" s="13" t="s">
        <v>523</v>
      </c>
      <c r="B511" s="13" t="s">
        <v>2195</v>
      </c>
      <c r="C511" s="13" t="s">
        <v>2198</v>
      </c>
      <c r="D511" s="13" t="s">
        <v>2207</v>
      </c>
      <c r="E511" s="13" t="s">
        <v>2208</v>
      </c>
      <c r="F511" s="13" t="s">
        <v>2223</v>
      </c>
      <c r="G511" s="13">
        <v>68.430000000000007</v>
      </c>
      <c r="H511" s="44">
        <v>0</v>
      </c>
      <c r="I511" s="13">
        <v>68.430000000000007</v>
      </c>
      <c r="J511" s="24">
        <v>45875</v>
      </c>
      <c r="K511" s="25">
        <v>16</v>
      </c>
      <c r="L511" s="25">
        <v>2.9000000000000008</v>
      </c>
      <c r="M511" s="13" t="b">
        <v>0</v>
      </c>
      <c r="O511" s="25">
        <f t="shared" si="28"/>
        <v>27</v>
      </c>
      <c r="P511" s="13">
        <f t="shared" si="29"/>
        <v>0</v>
      </c>
      <c r="Q511" s="13" t="str">
        <f t="shared" si="30"/>
        <v/>
      </c>
      <c r="R511" s="13" t="str">
        <f t="shared" si="31"/>
        <v>Non diskon</v>
      </c>
    </row>
    <row r="512" spans="1:18" x14ac:dyDescent="0.25">
      <c r="A512" s="13" t="s">
        <v>524</v>
      </c>
      <c r="B512" s="13" t="s">
        <v>2193</v>
      </c>
      <c r="C512" s="13" t="s">
        <v>2196</v>
      </c>
      <c r="D512" s="13" t="s">
        <v>2206</v>
      </c>
      <c r="E512" s="13" t="s">
        <v>2212</v>
      </c>
      <c r="F512" s="13" t="s">
        <v>2220</v>
      </c>
      <c r="G512" s="13">
        <v>165.39</v>
      </c>
      <c r="H512" s="44">
        <v>31.8</v>
      </c>
      <c r="I512" s="13">
        <v>112.8</v>
      </c>
      <c r="J512" s="24">
        <v>45875</v>
      </c>
      <c r="K512" s="25">
        <v>9</v>
      </c>
      <c r="L512" s="25">
        <v>4.5999999999999996</v>
      </c>
      <c r="M512" s="13" t="b">
        <v>0</v>
      </c>
      <c r="O512" s="25">
        <f t="shared" si="28"/>
        <v>27</v>
      </c>
      <c r="P512" s="13">
        <f t="shared" si="29"/>
        <v>286.2</v>
      </c>
      <c r="Q512" s="13" t="str">
        <f t="shared" si="30"/>
        <v/>
      </c>
      <c r="R512" s="13" t="str">
        <f t="shared" si="31"/>
        <v>Diskon</v>
      </c>
    </row>
    <row r="513" spans="1:18" x14ac:dyDescent="0.25">
      <c r="A513" s="13" t="s">
        <v>525</v>
      </c>
      <c r="B513" s="13" t="s">
        <v>2192</v>
      </c>
      <c r="C513" s="13" t="s">
        <v>2201</v>
      </c>
      <c r="D513" s="13" t="s">
        <v>2205</v>
      </c>
      <c r="F513" s="13" t="s">
        <v>2220</v>
      </c>
      <c r="G513" s="13">
        <v>35.36</v>
      </c>
      <c r="H513" s="44">
        <v>0</v>
      </c>
      <c r="I513" s="13">
        <v>35.36</v>
      </c>
      <c r="J513" s="24">
        <v>45875</v>
      </c>
      <c r="K513" s="25">
        <v>42</v>
      </c>
      <c r="L513" s="25">
        <v>4.5</v>
      </c>
      <c r="M513" s="13" t="b">
        <v>0</v>
      </c>
      <c r="O513" s="25">
        <f t="shared" si="28"/>
        <v>27</v>
      </c>
      <c r="P513" s="13">
        <f t="shared" si="29"/>
        <v>0</v>
      </c>
      <c r="Q513" s="13" t="str">
        <f t="shared" si="30"/>
        <v/>
      </c>
      <c r="R513" s="13" t="str">
        <f t="shared" si="31"/>
        <v>Non diskon</v>
      </c>
    </row>
    <row r="514" spans="1:18" x14ac:dyDescent="0.25">
      <c r="A514" s="13" t="s">
        <v>526</v>
      </c>
      <c r="B514" s="13" t="s">
        <v>2195</v>
      </c>
      <c r="C514" s="13" t="s">
        <v>2200</v>
      </c>
      <c r="D514" s="13" t="s">
        <v>2207</v>
      </c>
      <c r="E514" s="13" t="s">
        <v>2213</v>
      </c>
      <c r="F514" s="13" t="s">
        <v>2222</v>
      </c>
      <c r="G514" s="13">
        <v>95.73</v>
      </c>
      <c r="H514" s="44">
        <v>0</v>
      </c>
      <c r="I514" s="13">
        <v>95.73</v>
      </c>
      <c r="J514" s="24">
        <v>45875</v>
      </c>
      <c r="K514" s="25">
        <v>6</v>
      </c>
      <c r="L514" s="25">
        <v>4.5999999999999996</v>
      </c>
      <c r="M514" s="13" t="b">
        <v>0</v>
      </c>
      <c r="O514" s="25">
        <f t="shared" si="28"/>
        <v>27</v>
      </c>
      <c r="P514" s="13">
        <f t="shared" si="29"/>
        <v>0</v>
      </c>
      <c r="Q514" s="13" t="str">
        <f t="shared" si="30"/>
        <v/>
      </c>
      <c r="R514" s="13" t="str">
        <f t="shared" si="31"/>
        <v>Non diskon</v>
      </c>
    </row>
    <row r="515" spans="1:18" x14ac:dyDescent="0.25">
      <c r="A515" s="13" t="s">
        <v>527</v>
      </c>
      <c r="B515" s="13" t="s">
        <v>2192</v>
      </c>
      <c r="C515" s="13" t="s">
        <v>2198</v>
      </c>
      <c r="D515" s="13" t="s">
        <v>2204</v>
      </c>
      <c r="F515" s="13" t="s">
        <v>2224</v>
      </c>
      <c r="G515" s="13">
        <v>72.28</v>
      </c>
      <c r="H515" s="44">
        <v>51.3</v>
      </c>
      <c r="I515" s="13">
        <v>35.200000000000003</v>
      </c>
      <c r="J515" s="24">
        <v>45703</v>
      </c>
      <c r="K515" s="25">
        <v>31</v>
      </c>
      <c r="L515" s="25">
        <v>1.9</v>
      </c>
      <c r="M515" s="13" t="b">
        <v>0</v>
      </c>
      <c r="O515" s="25">
        <f t="shared" ref="O515:O578" si="32">DATE(2025,9,2)-J515</f>
        <v>199</v>
      </c>
      <c r="P515" s="13">
        <f t="shared" ref="P515:P578" si="33">H515*K515</f>
        <v>1590.3</v>
      </c>
      <c r="Q515" s="13" t="str">
        <f t="shared" ref="Q515:Q578" si="34">IF(M515=FALSE,"",1)</f>
        <v/>
      </c>
      <c r="R515" s="13" t="str">
        <f t="shared" ref="R515:R578" si="35">IF(H515=0,"Non diskon","Diskon")</f>
        <v>Diskon</v>
      </c>
    </row>
    <row r="516" spans="1:18" x14ac:dyDescent="0.25">
      <c r="A516" s="13" t="s">
        <v>528</v>
      </c>
      <c r="B516" s="13" t="s">
        <v>2190</v>
      </c>
      <c r="C516" s="13" t="s">
        <v>2201</v>
      </c>
      <c r="D516" s="13" t="s">
        <v>2207</v>
      </c>
      <c r="F516" s="13" t="s">
        <v>2217</v>
      </c>
      <c r="G516" s="13">
        <v>80.349999999999994</v>
      </c>
      <c r="H516" s="44">
        <v>0</v>
      </c>
      <c r="I516" s="13">
        <v>80.349999999999994</v>
      </c>
      <c r="J516" s="24">
        <v>45875</v>
      </c>
      <c r="K516" s="25">
        <v>28</v>
      </c>
      <c r="L516" s="25">
        <v>2.9</v>
      </c>
      <c r="M516" s="13" t="b">
        <v>0</v>
      </c>
      <c r="O516" s="25">
        <f t="shared" si="32"/>
        <v>27</v>
      </c>
      <c r="P516" s="13">
        <f t="shared" si="33"/>
        <v>0</v>
      </c>
      <c r="Q516" s="13" t="str">
        <f t="shared" si="34"/>
        <v/>
      </c>
      <c r="R516" s="13" t="str">
        <f t="shared" si="35"/>
        <v>Non diskon</v>
      </c>
    </row>
    <row r="517" spans="1:18" x14ac:dyDescent="0.25">
      <c r="A517" s="13" t="s">
        <v>529</v>
      </c>
      <c r="B517" s="13" t="s">
        <v>2194</v>
      </c>
      <c r="C517" s="13" t="s">
        <v>2198</v>
      </c>
      <c r="D517" s="13" t="s">
        <v>2205</v>
      </c>
      <c r="E517" s="13" t="s">
        <v>2208</v>
      </c>
      <c r="F517" s="13" t="s">
        <v>2218</v>
      </c>
      <c r="G517" s="13">
        <v>119.04</v>
      </c>
      <c r="H517" s="44">
        <v>0</v>
      </c>
      <c r="I517" s="13">
        <v>119.04</v>
      </c>
      <c r="J517" s="24">
        <v>45875</v>
      </c>
      <c r="K517" s="25">
        <v>35</v>
      </c>
      <c r="L517" s="25">
        <v>1.4</v>
      </c>
      <c r="M517" s="13" t="b">
        <v>0</v>
      </c>
      <c r="O517" s="25">
        <f t="shared" si="32"/>
        <v>27</v>
      </c>
      <c r="P517" s="13">
        <f t="shared" si="33"/>
        <v>0</v>
      </c>
      <c r="Q517" s="13" t="str">
        <f t="shared" si="34"/>
        <v/>
      </c>
      <c r="R517" s="13" t="str">
        <f t="shared" si="35"/>
        <v>Non diskon</v>
      </c>
    </row>
    <row r="518" spans="1:18" x14ac:dyDescent="0.25">
      <c r="A518" s="13" t="s">
        <v>530</v>
      </c>
      <c r="B518" s="13" t="s">
        <v>2191</v>
      </c>
      <c r="C518" s="13" t="s">
        <v>2202</v>
      </c>
      <c r="D518" s="13" t="s">
        <v>2205</v>
      </c>
      <c r="E518" s="13" t="s">
        <v>2212</v>
      </c>
      <c r="F518" s="13" t="s">
        <v>2224</v>
      </c>
      <c r="G518" s="13">
        <v>60.53</v>
      </c>
      <c r="H518" s="44">
        <v>42.5</v>
      </c>
      <c r="I518" s="13">
        <v>34.799999999999997</v>
      </c>
      <c r="J518" s="24">
        <v>45875</v>
      </c>
      <c r="K518" s="25">
        <v>8</v>
      </c>
      <c r="L518" s="25">
        <v>2.9074999999999998</v>
      </c>
      <c r="M518" s="13" t="b">
        <v>1</v>
      </c>
      <c r="N518" s="13" t="s">
        <v>2225</v>
      </c>
      <c r="O518" s="25">
        <f t="shared" si="32"/>
        <v>27</v>
      </c>
      <c r="P518" s="13">
        <f t="shared" si="33"/>
        <v>340</v>
      </c>
      <c r="Q518" s="13">
        <f t="shared" si="34"/>
        <v>1</v>
      </c>
      <c r="R518" s="13" t="str">
        <f t="shared" si="35"/>
        <v>Diskon</v>
      </c>
    </row>
    <row r="519" spans="1:18" x14ac:dyDescent="0.25">
      <c r="A519" s="13" t="s">
        <v>531</v>
      </c>
      <c r="B519" s="13" t="s">
        <v>2190</v>
      </c>
      <c r="C519" s="13" t="s">
        <v>2200</v>
      </c>
      <c r="D519" s="13" t="s">
        <v>2206</v>
      </c>
      <c r="E519" s="13" t="s">
        <v>2213</v>
      </c>
      <c r="F519" s="13" t="s">
        <v>2222</v>
      </c>
      <c r="G519" s="13">
        <v>92.54</v>
      </c>
      <c r="H519" s="44">
        <v>43.8</v>
      </c>
      <c r="I519" s="13">
        <v>52.01</v>
      </c>
      <c r="J519" s="24">
        <v>45875</v>
      </c>
      <c r="K519" s="25">
        <v>33</v>
      </c>
      <c r="L519" s="25">
        <v>1.5</v>
      </c>
      <c r="M519" s="13" t="b">
        <v>1</v>
      </c>
      <c r="N519" s="13" t="s">
        <v>2227</v>
      </c>
      <c r="O519" s="25">
        <f t="shared" si="32"/>
        <v>27</v>
      </c>
      <c r="P519" s="13">
        <f t="shared" si="33"/>
        <v>1445.3999999999999</v>
      </c>
      <c r="Q519" s="13">
        <f t="shared" si="34"/>
        <v>1</v>
      </c>
      <c r="R519" s="13" t="str">
        <f t="shared" si="35"/>
        <v>Diskon</v>
      </c>
    </row>
    <row r="520" spans="1:18" x14ac:dyDescent="0.25">
      <c r="A520" s="13" t="s">
        <v>532</v>
      </c>
      <c r="B520" s="13" t="s">
        <v>2192</v>
      </c>
      <c r="C520" s="13" t="s">
        <v>2197</v>
      </c>
      <c r="D520" s="13" t="s">
        <v>2206</v>
      </c>
      <c r="F520" s="13" t="s">
        <v>2215</v>
      </c>
      <c r="G520" s="13">
        <v>28.4</v>
      </c>
      <c r="H520" s="44">
        <v>0</v>
      </c>
      <c r="I520" s="13">
        <v>28.4</v>
      </c>
      <c r="J520" s="24">
        <v>45875</v>
      </c>
      <c r="K520" s="25">
        <v>4</v>
      </c>
      <c r="L520" s="25">
        <v>3.1</v>
      </c>
      <c r="M520" s="13" t="b">
        <v>0</v>
      </c>
      <c r="O520" s="25">
        <f t="shared" si="32"/>
        <v>27</v>
      </c>
      <c r="P520" s="13">
        <f t="shared" si="33"/>
        <v>0</v>
      </c>
      <c r="Q520" s="13" t="str">
        <f t="shared" si="34"/>
        <v/>
      </c>
      <c r="R520" s="13" t="str">
        <f t="shared" si="35"/>
        <v>Non diskon</v>
      </c>
    </row>
    <row r="521" spans="1:18" x14ac:dyDescent="0.25">
      <c r="A521" s="13" t="s">
        <v>533</v>
      </c>
      <c r="B521" s="13" t="s">
        <v>2194</v>
      </c>
      <c r="C521" s="13" t="s">
        <v>2196</v>
      </c>
      <c r="D521" s="13" t="s">
        <v>2207</v>
      </c>
      <c r="E521" s="13" t="s">
        <v>2213</v>
      </c>
      <c r="F521" s="13" t="s">
        <v>2218</v>
      </c>
      <c r="G521" s="13">
        <v>91.65</v>
      </c>
      <c r="H521" s="44">
        <v>0</v>
      </c>
      <c r="I521" s="13">
        <v>91.65</v>
      </c>
      <c r="J521" s="24">
        <v>45875</v>
      </c>
      <c r="K521" s="25">
        <v>40</v>
      </c>
      <c r="L521" s="25">
        <v>3.8</v>
      </c>
      <c r="M521" s="13" t="b">
        <v>0</v>
      </c>
      <c r="O521" s="25">
        <f t="shared" si="32"/>
        <v>27</v>
      </c>
      <c r="P521" s="13">
        <f t="shared" si="33"/>
        <v>0</v>
      </c>
      <c r="Q521" s="13" t="str">
        <f t="shared" si="34"/>
        <v/>
      </c>
      <c r="R521" s="13" t="str">
        <f t="shared" si="35"/>
        <v>Non diskon</v>
      </c>
    </row>
    <row r="522" spans="1:18" x14ac:dyDescent="0.25">
      <c r="A522" s="13" t="s">
        <v>534</v>
      </c>
      <c r="B522" s="13" t="s">
        <v>2192</v>
      </c>
      <c r="C522" s="13" t="s">
        <v>2199</v>
      </c>
      <c r="D522" s="13" t="s">
        <v>2206</v>
      </c>
      <c r="F522" s="13" t="s">
        <v>2222</v>
      </c>
      <c r="G522" s="13">
        <v>72.569999999999993</v>
      </c>
      <c r="H522" s="44">
        <v>0</v>
      </c>
      <c r="I522" s="13">
        <v>72.569999999999993</v>
      </c>
      <c r="J522" s="24">
        <v>45875</v>
      </c>
      <c r="K522" s="25">
        <v>27</v>
      </c>
      <c r="L522" s="25">
        <v>2.5</v>
      </c>
      <c r="M522" s="13" t="b">
        <v>0</v>
      </c>
      <c r="O522" s="25">
        <f t="shared" si="32"/>
        <v>27</v>
      </c>
      <c r="P522" s="13">
        <f t="shared" si="33"/>
        <v>0</v>
      </c>
      <c r="Q522" s="13" t="str">
        <f t="shared" si="34"/>
        <v/>
      </c>
      <c r="R522" s="13" t="str">
        <f t="shared" si="35"/>
        <v>Non diskon</v>
      </c>
    </row>
    <row r="523" spans="1:18" x14ac:dyDescent="0.25">
      <c r="A523" s="13" t="s">
        <v>535</v>
      </c>
      <c r="B523" s="13" t="s">
        <v>2194</v>
      </c>
      <c r="C523" s="13" t="s">
        <v>2200</v>
      </c>
      <c r="D523" s="13" t="s">
        <v>2206</v>
      </c>
      <c r="E523" s="13" t="s">
        <v>2209</v>
      </c>
      <c r="F523" s="13" t="s">
        <v>2219</v>
      </c>
      <c r="G523" s="13">
        <v>39.049999999999997</v>
      </c>
      <c r="H523" s="44">
        <v>0</v>
      </c>
      <c r="I523" s="13">
        <v>39.049999999999997</v>
      </c>
      <c r="J523" s="24">
        <v>45875</v>
      </c>
      <c r="K523" s="25">
        <v>10</v>
      </c>
      <c r="L523" s="25">
        <v>3.5</v>
      </c>
      <c r="M523" s="13" t="b">
        <v>0</v>
      </c>
      <c r="O523" s="25">
        <f t="shared" si="32"/>
        <v>27</v>
      </c>
      <c r="P523" s="13">
        <f t="shared" si="33"/>
        <v>0</v>
      </c>
      <c r="Q523" s="13" t="str">
        <f t="shared" si="34"/>
        <v/>
      </c>
      <c r="R523" s="13" t="str">
        <f t="shared" si="35"/>
        <v>Non diskon</v>
      </c>
    </row>
    <row r="524" spans="1:18" x14ac:dyDescent="0.25">
      <c r="A524" s="13" t="s">
        <v>536</v>
      </c>
      <c r="B524" s="13" t="s">
        <v>2195</v>
      </c>
      <c r="C524" s="13" t="s">
        <v>2196</v>
      </c>
      <c r="D524" s="13" t="s">
        <v>2205</v>
      </c>
      <c r="E524" s="13" t="s">
        <v>2210</v>
      </c>
      <c r="F524" s="13" t="s">
        <v>2218</v>
      </c>
      <c r="G524" s="13">
        <v>113.21</v>
      </c>
      <c r="H524" s="44">
        <v>0</v>
      </c>
      <c r="I524" s="13">
        <v>113.21</v>
      </c>
      <c r="J524" s="24">
        <v>45875</v>
      </c>
      <c r="K524" s="25">
        <v>12</v>
      </c>
      <c r="L524" s="25">
        <v>4.4000000000000004</v>
      </c>
      <c r="M524" s="13" t="b">
        <v>0</v>
      </c>
      <c r="O524" s="25">
        <f t="shared" si="32"/>
        <v>27</v>
      </c>
      <c r="P524" s="13">
        <f t="shared" si="33"/>
        <v>0</v>
      </c>
      <c r="Q524" s="13" t="str">
        <f t="shared" si="34"/>
        <v/>
      </c>
      <c r="R524" s="13" t="str">
        <f t="shared" si="35"/>
        <v>Non diskon</v>
      </c>
    </row>
    <row r="525" spans="1:18" x14ac:dyDescent="0.25">
      <c r="A525" s="13" t="s">
        <v>537</v>
      </c>
      <c r="B525" s="13" t="s">
        <v>2192</v>
      </c>
      <c r="C525" s="13" t="s">
        <v>2203</v>
      </c>
      <c r="D525" s="13" t="s">
        <v>2204</v>
      </c>
      <c r="F525" s="13" t="s">
        <v>2222</v>
      </c>
      <c r="G525" s="13">
        <v>25.34</v>
      </c>
      <c r="H525" s="44">
        <v>0</v>
      </c>
      <c r="I525" s="13">
        <v>25.34</v>
      </c>
      <c r="J525" s="24">
        <v>45869</v>
      </c>
      <c r="K525" s="25">
        <v>17</v>
      </c>
      <c r="L525" s="25">
        <v>3.3</v>
      </c>
      <c r="M525" s="13" t="b">
        <v>0</v>
      </c>
      <c r="O525" s="25">
        <f t="shared" si="32"/>
        <v>33</v>
      </c>
      <c r="P525" s="13">
        <f t="shared" si="33"/>
        <v>0</v>
      </c>
      <c r="Q525" s="13" t="str">
        <f t="shared" si="34"/>
        <v/>
      </c>
      <c r="R525" s="13" t="str">
        <f t="shared" si="35"/>
        <v>Non diskon</v>
      </c>
    </row>
    <row r="526" spans="1:18" x14ac:dyDescent="0.25">
      <c r="A526" s="13" t="s">
        <v>538</v>
      </c>
      <c r="B526" s="13" t="s">
        <v>2191</v>
      </c>
      <c r="C526" s="13" t="s">
        <v>2199</v>
      </c>
      <c r="D526" s="13" t="s">
        <v>2204</v>
      </c>
      <c r="E526" s="13" t="s">
        <v>2209</v>
      </c>
      <c r="F526" s="13" t="s">
        <v>2216</v>
      </c>
      <c r="G526" s="13">
        <v>98.16</v>
      </c>
      <c r="H526" s="44">
        <v>56.7</v>
      </c>
      <c r="I526" s="13">
        <v>42.5</v>
      </c>
      <c r="J526" s="24">
        <v>45693</v>
      </c>
      <c r="K526" s="25">
        <v>44</v>
      </c>
      <c r="L526" s="25">
        <v>2.6</v>
      </c>
      <c r="M526" s="13" t="b">
        <v>0</v>
      </c>
      <c r="O526" s="25">
        <f t="shared" si="32"/>
        <v>209</v>
      </c>
      <c r="P526" s="13">
        <f t="shared" si="33"/>
        <v>2494.8000000000002</v>
      </c>
      <c r="Q526" s="13" t="str">
        <f t="shared" si="34"/>
        <v/>
      </c>
      <c r="R526" s="13" t="str">
        <f t="shared" si="35"/>
        <v>Diskon</v>
      </c>
    </row>
    <row r="527" spans="1:18" x14ac:dyDescent="0.25">
      <c r="A527" s="13" t="s">
        <v>539</v>
      </c>
      <c r="B527" s="13" t="s">
        <v>2191</v>
      </c>
      <c r="C527" s="13" t="s">
        <v>2198</v>
      </c>
      <c r="D527" s="13" t="s">
        <v>2204</v>
      </c>
      <c r="E527" s="13" t="s">
        <v>2212</v>
      </c>
      <c r="F527" s="13" t="s">
        <v>2223</v>
      </c>
      <c r="G527" s="13">
        <v>60.54</v>
      </c>
      <c r="H527" s="44">
        <v>0</v>
      </c>
      <c r="I527" s="13">
        <v>60.54</v>
      </c>
      <c r="J527" s="24">
        <v>45757</v>
      </c>
      <c r="K527" s="25">
        <v>35</v>
      </c>
      <c r="L527" s="25">
        <v>1.7</v>
      </c>
      <c r="M527" s="13" t="b">
        <v>0</v>
      </c>
      <c r="O527" s="25">
        <f t="shared" si="32"/>
        <v>145</v>
      </c>
      <c r="P527" s="13">
        <f t="shared" si="33"/>
        <v>0</v>
      </c>
      <c r="Q527" s="13" t="str">
        <f t="shared" si="34"/>
        <v/>
      </c>
      <c r="R527" s="13" t="str">
        <f t="shared" si="35"/>
        <v>Non diskon</v>
      </c>
    </row>
    <row r="528" spans="1:18" x14ac:dyDescent="0.25">
      <c r="A528" s="13" t="s">
        <v>540</v>
      </c>
      <c r="B528" s="13" t="s">
        <v>2195</v>
      </c>
      <c r="C528" s="13" t="s">
        <v>2196</v>
      </c>
      <c r="D528" s="13" t="s">
        <v>2205</v>
      </c>
      <c r="E528" s="13" t="s">
        <v>2210</v>
      </c>
      <c r="F528" s="13" t="s">
        <v>2215</v>
      </c>
      <c r="G528" s="13">
        <v>132.61000000000001</v>
      </c>
      <c r="H528" s="44">
        <v>7.4</v>
      </c>
      <c r="I528" s="13">
        <v>122.8</v>
      </c>
      <c r="J528" s="24">
        <v>45875</v>
      </c>
      <c r="K528" s="25">
        <v>0</v>
      </c>
      <c r="L528" s="25">
        <v>4.2</v>
      </c>
      <c r="M528" s="13" t="b">
        <v>0</v>
      </c>
      <c r="O528" s="25">
        <f t="shared" si="32"/>
        <v>27</v>
      </c>
      <c r="P528" s="13">
        <f t="shared" si="33"/>
        <v>0</v>
      </c>
      <c r="Q528" s="13" t="str">
        <f t="shared" si="34"/>
        <v/>
      </c>
      <c r="R528" s="13" t="str">
        <f t="shared" si="35"/>
        <v>Diskon</v>
      </c>
    </row>
    <row r="529" spans="1:18" x14ac:dyDescent="0.25">
      <c r="A529" s="13" t="s">
        <v>541</v>
      </c>
      <c r="B529" s="13" t="s">
        <v>2190</v>
      </c>
      <c r="C529" s="13" t="s">
        <v>2201</v>
      </c>
      <c r="D529" s="13" t="s">
        <v>2206</v>
      </c>
      <c r="E529" s="13" t="s">
        <v>2208</v>
      </c>
      <c r="F529" s="13" t="s">
        <v>2215</v>
      </c>
      <c r="G529" s="13">
        <v>234.14</v>
      </c>
      <c r="H529" s="44">
        <v>0</v>
      </c>
      <c r="I529" s="13">
        <v>234.14</v>
      </c>
      <c r="J529" s="24">
        <v>45875</v>
      </c>
      <c r="K529" s="25">
        <v>40</v>
      </c>
      <c r="L529" s="25">
        <v>1.7</v>
      </c>
      <c r="M529" s="13" t="b">
        <v>0</v>
      </c>
      <c r="O529" s="25">
        <f t="shared" si="32"/>
        <v>27</v>
      </c>
      <c r="P529" s="13">
        <f t="shared" si="33"/>
        <v>0</v>
      </c>
      <c r="Q529" s="13" t="str">
        <f t="shared" si="34"/>
        <v/>
      </c>
      <c r="R529" s="13" t="str">
        <f t="shared" si="35"/>
        <v>Non diskon</v>
      </c>
    </row>
    <row r="530" spans="1:18" x14ac:dyDescent="0.25">
      <c r="A530" s="13" t="s">
        <v>542</v>
      </c>
      <c r="B530" s="13" t="s">
        <v>2192</v>
      </c>
      <c r="C530" s="13" t="s">
        <v>2200</v>
      </c>
      <c r="D530" s="13" t="s">
        <v>2206</v>
      </c>
      <c r="F530" s="13" t="s">
        <v>2216</v>
      </c>
      <c r="G530" s="13">
        <v>31.86</v>
      </c>
      <c r="H530" s="44">
        <v>48.2</v>
      </c>
      <c r="I530" s="13">
        <v>16.5</v>
      </c>
      <c r="J530" s="24">
        <v>45875</v>
      </c>
      <c r="K530" s="25">
        <v>32</v>
      </c>
      <c r="L530" s="25">
        <v>4.5</v>
      </c>
      <c r="M530" s="13" t="b">
        <v>0</v>
      </c>
      <c r="O530" s="25">
        <f t="shared" si="32"/>
        <v>27</v>
      </c>
      <c r="P530" s="13">
        <f t="shared" si="33"/>
        <v>1542.4</v>
      </c>
      <c r="Q530" s="13" t="str">
        <f t="shared" si="34"/>
        <v/>
      </c>
      <c r="R530" s="13" t="str">
        <f t="shared" si="35"/>
        <v>Diskon</v>
      </c>
    </row>
    <row r="531" spans="1:18" x14ac:dyDescent="0.25">
      <c r="A531" s="13" t="s">
        <v>543</v>
      </c>
      <c r="B531" s="13" t="s">
        <v>2192</v>
      </c>
      <c r="C531" s="13" t="s">
        <v>2197</v>
      </c>
      <c r="D531" s="13" t="s">
        <v>2204</v>
      </c>
      <c r="F531" s="13" t="s">
        <v>2218</v>
      </c>
      <c r="G531" s="13">
        <v>15.14</v>
      </c>
      <c r="H531" s="44">
        <v>36.700000000000003</v>
      </c>
      <c r="I531" s="13">
        <v>9.58</v>
      </c>
      <c r="J531" s="24">
        <v>45861</v>
      </c>
      <c r="K531" s="25">
        <v>41</v>
      </c>
      <c r="L531" s="25">
        <v>3.8</v>
      </c>
      <c r="M531" s="13" t="b">
        <v>0</v>
      </c>
      <c r="O531" s="25">
        <f t="shared" si="32"/>
        <v>41</v>
      </c>
      <c r="P531" s="13">
        <f t="shared" si="33"/>
        <v>1504.7</v>
      </c>
      <c r="Q531" s="13" t="str">
        <f t="shared" si="34"/>
        <v/>
      </c>
      <c r="R531" s="13" t="str">
        <f t="shared" si="35"/>
        <v>Diskon</v>
      </c>
    </row>
    <row r="532" spans="1:18" x14ac:dyDescent="0.25">
      <c r="A532" s="13" t="s">
        <v>544</v>
      </c>
      <c r="B532" s="13" t="s">
        <v>2193</v>
      </c>
      <c r="C532" s="13" t="s">
        <v>2200</v>
      </c>
      <c r="D532" s="13" t="s">
        <v>2205</v>
      </c>
      <c r="E532" s="13" t="s">
        <v>2212</v>
      </c>
      <c r="F532" s="13" t="s">
        <v>2223</v>
      </c>
      <c r="G532" s="13">
        <v>77.72</v>
      </c>
      <c r="H532" s="44">
        <v>0</v>
      </c>
      <c r="I532" s="13">
        <v>77.72</v>
      </c>
      <c r="J532" s="24">
        <v>45875</v>
      </c>
      <c r="K532" s="25">
        <v>48</v>
      </c>
      <c r="L532" s="25">
        <v>1.1000000000000001</v>
      </c>
      <c r="M532" s="13" t="b">
        <v>0</v>
      </c>
      <c r="O532" s="25">
        <f t="shared" si="32"/>
        <v>27</v>
      </c>
      <c r="P532" s="13">
        <f t="shared" si="33"/>
        <v>0</v>
      </c>
      <c r="Q532" s="13" t="str">
        <f t="shared" si="34"/>
        <v/>
      </c>
      <c r="R532" s="13" t="str">
        <f t="shared" si="35"/>
        <v>Non diskon</v>
      </c>
    </row>
    <row r="533" spans="1:18" x14ac:dyDescent="0.25">
      <c r="A533" s="13" t="s">
        <v>545</v>
      </c>
      <c r="B533" s="13" t="s">
        <v>2192</v>
      </c>
      <c r="C533" s="13" t="s">
        <v>2196</v>
      </c>
      <c r="D533" s="13" t="s">
        <v>2204</v>
      </c>
      <c r="F533" s="13" t="s">
        <v>2218</v>
      </c>
      <c r="G533" s="13">
        <v>78.040000000000006</v>
      </c>
      <c r="H533" s="44">
        <v>0</v>
      </c>
      <c r="I533" s="13">
        <v>78.040000000000006</v>
      </c>
      <c r="J533" s="24">
        <v>45756</v>
      </c>
      <c r="K533" s="25">
        <v>38</v>
      </c>
      <c r="L533" s="25">
        <v>4.9000000000000004</v>
      </c>
      <c r="M533" s="13" t="b">
        <v>0</v>
      </c>
      <c r="O533" s="25">
        <f t="shared" si="32"/>
        <v>146</v>
      </c>
      <c r="P533" s="13">
        <f t="shared" si="33"/>
        <v>0</v>
      </c>
      <c r="Q533" s="13" t="str">
        <f t="shared" si="34"/>
        <v/>
      </c>
      <c r="R533" s="13" t="str">
        <f t="shared" si="35"/>
        <v>Non diskon</v>
      </c>
    </row>
    <row r="534" spans="1:18" x14ac:dyDescent="0.25">
      <c r="A534" s="13" t="s">
        <v>546</v>
      </c>
      <c r="B534" s="13" t="s">
        <v>2190</v>
      </c>
      <c r="C534" s="13" t="s">
        <v>2202</v>
      </c>
      <c r="D534" s="13" t="s">
        <v>2206</v>
      </c>
      <c r="E534" s="13" t="s">
        <v>2213</v>
      </c>
      <c r="F534" s="13" t="s">
        <v>2224</v>
      </c>
      <c r="G534" s="13">
        <v>169.82</v>
      </c>
      <c r="H534" s="44">
        <v>0</v>
      </c>
      <c r="I534" s="13">
        <v>169.82</v>
      </c>
      <c r="J534" s="24">
        <v>45875</v>
      </c>
      <c r="K534" s="25">
        <v>28</v>
      </c>
      <c r="L534" s="25">
        <v>4</v>
      </c>
      <c r="M534" s="13" t="b">
        <v>0</v>
      </c>
      <c r="O534" s="25">
        <f t="shared" si="32"/>
        <v>27</v>
      </c>
      <c r="P534" s="13">
        <f t="shared" si="33"/>
        <v>0</v>
      </c>
      <c r="Q534" s="13" t="str">
        <f t="shared" si="34"/>
        <v/>
      </c>
      <c r="R534" s="13" t="str">
        <f t="shared" si="35"/>
        <v>Non diskon</v>
      </c>
    </row>
    <row r="535" spans="1:18" x14ac:dyDescent="0.25">
      <c r="A535" s="13" t="s">
        <v>547</v>
      </c>
      <c r="B535" s="13" t="s">
        <v>2194</v>
      </c>
      <c r="C535" s="13" t="s">
        <v>2200</v>
      </c>
      <c r="D535" s="13" t="s">
        <v>2204</v>
      </c>
      <c r="E535" s="13" t="s">
        <v>2209</v>
      </c>
      <c r="F535" s="13" t="s">
        <v>2217</v>
      </c>
      <c r="G535" s="13">
        <v>94.71</v>
      </c>
      <c r="H535" s="44">
        <v>38.9</v>
      </c>
      <c r="I535" s="13">
        <v>57.87</v>
      </c>
      <c r="J535" s="24">
        <v>45520</v>
      </c>
      <c r="K535" s="25">
        <v>39</v>
      </c>
      <c r="L535" s="25">
        <v>4.7</v>
      </c>
      <c r="M535" s="13" t="b">
        <v>0</v>
      </c>
      <c r="O535" s="25">
        <f t="shared" si="32"/>
        <v>382</v>
      </c>
      <c r="P535" s="13">
        <f t="shared" si="33"/>
        <v>1517.1</v>
      </c>
      <c r="Q535" s="13" t="str">
        <f t="shared" si="34"/>
        <v/>
      </c>
      <c r="R535" s="13" t="str">
        <f t="shared" si="35"/>
        <v>Diskon</v>
      </c>
    </row>
    <row r="536" spans="1:18" x14ac:dyDescent="0.25">
      <c r="A536" s="13" t="s">
        <v>548</v>
      </c>
      <c r="B536" s="13" t="s">
        <v>2193</v>
      </c>
      <c r="C536" s="13" t="s">
        <v>2201</v>
      </c>
      <c r="D536" s="13" t="s">
        <v>2204</v>
      </c>
      <c r="E536" s="13" t="s">
        <v>2208</v>
      </c>
      <c r="F536" s="13" t="s">
        <v>2214</v>
      </c>
      <c r="G536" s="13">
        <v>112.6</v>
      </c>
      <c r="H536" s="44">
        <v>22</v>
      </c>
      <c r="I536" s="13">
        <v>87.83</v>
      </c>
      <c r="J536" s="24">
        <v>45860</v>
      </c>
      <c r="K536" s="25">
        <v>29</v>
      </c>
      <c r="L536" s="25">
        <v>2.1</v>
      </c>
      <c r="M536" s="13" t="b">
        <v>1</v>
      </c>
      <c r="N536" s="13" t="s">
        <v>2225</v>
      </c>
      <c r="O536" s="25">
        <f t="shared" si="32"/>
        <v>42</v>
      </c>
      <c r="P536" s="13">
        <f t="shared" si="33"/>
        <v>638</v>
      </c>
      <c r="Q536" s="13">
        <f t="shared" si="34"/>
        <v>1</v>
      </c>
      <c r="R536" s="13" t="str">
        <f t="shared" si="35"/>
        <v>Diskon</v>
      </c>
    </row>
    <row r="537" spans="1:18" x14ac:dyDescent="0.25">
      <c r="A537" s="13" t="s">
        <v>549</v>
      </c>
      <c r="B537" s="13" t="s">
        <v>2194</v>
      </c>
      <c r="C537" s="13" t="s">
        <v>2196</v>
      </c>
      <c r="D537" s="13" t="s">
        <v>2207</v>
      </c>
      <c r="E537" s="13" t="s">
        <v>2209</v>
      </c>
      <c r="F537" s="13" t="s">
        <v>2223</v>
      </c>
      <c r="G537" s="13">
        <v>104.16</v>
      </c>
      <c r="H537" s="44">
        <v>0</v>
      </c>
      <c r="I537" s="13">
        <v>104.16</v>
      </c>
      <c r="J537" s="24">
        <v>45875</v>
      </c>
      <c r="K537" s="25">
        <v>21</v>
      </c>
      <c r="L537" s="25">
        <v>1.6</v>
      </c>
      <c r="M537" s="13" t="b">
        <v>0</v>
      </c>
      <c r="O537" s="25">
        <f t="shared" si="32"/>
        <v>27</v>
      </c>
      <c r="P537" s="13">
        <f t="shared" si="33"/>
        <v>0</v>
      </c>
      <c r="Q537" s="13" t="str">
        <f t="shared" si="34"/>
        <v/>
      </c>
      <c r="R537" s="13" t="str">
        <f t="shared" si="35"/>
        <v>Non diskon</v>
      </c>
    </row>
    <row r="538" spans="1:18" x14ac:dyDescent="0.25">
      <c r="A538" s="13" t="s">
        <v>550</v>
      </c>
      <c r="B538" s="13" t="s">
        <v>2190</v>
      </c>
      <c r="C538" s="13" t="s">
        <v>2202</v>
      </c>
      <c r="D538" s="13" t="s">
        <v>2205</v>
      </c>
      <c r="E538" s="13" t="s">
        <v>2211</v>
      </c>
      <c r="F538" s="13" t="s">
        <v>2218</v>
      </c>
      <c r="G538" s="13">
        <v>174.86</v>
      </c>
      <c r="H538" s="44">
        <v>0</v>
      </c>
      <c r="I538" s="13">
        <v>174.86</v>
      </c>
      <c r="J538" s="24">
        <v>45875</v>
      </c>
      <c r="K538" s="25">
        <v>15</v>
      </c>
      <c r="L538" s="25">
        <v>1.7</v>
      </c>
      <c r="M538" s="13" t="b">
        <v>0</v>
      </c>
      <c r="O538" s="25">
        <f t="shared" si="32"/>
        <v>27</v>
      </c>
      <c r="P538" s="13">
        <f t="shared" si="33"/>
        <v>0</v>
      </c>
      <c r="Q538" s="13" t="str">
        <f t="shared" si="34"/>
        <v/>
      </c>
      <c r="R538" s="13" t="str">
        <f t="shared" si="35"/>
        <v>Non diskon</v>
      </c>
    </row>
    <row r="539" spans="1:18" x14ac:dyDescent="0.25">
      <c r="A539" s="13" t="s">
        <v>551</v>
      </c>
      <c r="B539" s="13" t="s">
        <v>2190</v>
      </c>
      <c r="C539" s="13" t="s">
        <v>2197</v>
      </c>
      <c r="D539" s="13" t="s">
        <v>2204</v>
      </c>
      <c r="E539" s="13" t="s">
        <v>2209</v>
      </c>
      <c r="F539" s="13" t="s">
        <v>2223</v>
      </c>
      <c r="G539" s="13">
        <v>217.89</v>
      </c>
      <c r="H539" s="44">
        <v>49.4</v>
      </c>
      <c r="I539" s="13">
        <v>110.25</v>
      </c>
      <c r="J539" s="24">
        <v>45623</v>
      </c>
      <c r="K539" s="25">
        <v>42</v>
      </c>
      <c r="L539" s="25">
        <v>2.9</v>
      </c>
      <c r="M539" s="13" t="b">
        <v>0</v>
      </c>
      <c r="O539" s="25">
        <f t="shared" si="32"/>
        <v>279</v>
      </c>
      <c r="P539" s="13">
        <f t="shared" si="33"/>
        <v>2074.7999999999997</v>
      </c>
      <c r="Q539" s="13" t="str">
        <f t="shared" si="34"/>
        <v/>
      </c>
      <c r="R539" s="13" t="str">
        <f t="shared" si="35"/>
        <v>Diskon</v>
      </c>
    </row>
    <row r="540" spans="1:18" x14ac:dyDescent="0.25">
      <c r="A540" s="13" t="s">
        <v>552</v>
      </c>
      <c r="B540" s="13" t="s">
        <v>2193</v>
      </c>
      <c r="C540" s="13" t="s">
        <v>2199</v>
      </c>
      <c r="D540" s="13" t="s">
        <v>2205</v>
      </c>
      <c r="E540" s="13" t="s">
        <v>2209</v>
      </c>
      <c r="F540" s="13" t="s">
        <v>2216</v>
      </c>
      <c r="G540" s="13">
        <v>123.14</v>
      </c>
      <c r="H540" s="44">
        <v>0</v>
      </c>
      <c r="I540" s="13">
        <v>123.14</v>
      </c>
      <c r="J540" s="24">
        <v>45875</v>
      </c>
      <c r="K540" s="25">
        <v>15</v>
      </c>
      <c r="L540" s="25">
        <v>1.8</v>
      </c>
      <c r="M540" s="13" t="b">
        <v>1</v>
      </c>
      <c r="N540" s="13" t="s">
        <v>2230</v>
      </c>
      <c r="O540" s="25">
        <f t="shared" si="32"/>
        <v>27</v>
      </c>
      <c r="P540" s="13">
        <f t="shared" si="33"/>
        <v>0</v>
      </c>
      <c r="Q540" s="13">
        <f t="shared" si="34"/>
        <v>1</v>
      </c>
      <c r="R540" s="13" t="str">
        <f t="shared" si="35"/>
        <v>Non diskon</v>
      </c>
    </row>
    <row r="541" spans="1:18" x14ac:dyDescent="0.25">
      <c r="A541" s="13" t="s">
        <v>553</v>
      </c>
      <c r="B541" s="13" t="s">
        <v>2191</v>
      </c>
      <c r="C541" s="13" t="s">
        <v>2201</v>
      </c>
      <c r="D541" s="13" t="s">
        <v>2205</v>
      </c>
      <c r="E541" s="13" t="s">
        <v>2208</v>
      </c>
      <c r="F541" s="13" t="s">
        <v>2222</v>
      </c>
      <c r="G541" s="13">
        <v>103.96</v>
      </c>
      <c r="H541" s="44">
        <v>0</v>
      </c>
      <c r="I541" s="13">
        <v>103.96</v>
      </c>
      <c r="J541" s="24">
        <v>45875</v>
      </c>
      <c r="K541" s="25">
        <v>23</v>
      </c>
      <c r="L541" s="25">
        <v>3.3</v>
      </c>
      <c r="M541" s="13" t="b">
        <v>0</v>
      </c>
      <c r="O541" s="25">
        <f t="shared" si="32"/>
        <v>27</v>
      </c>
      <c r="P541" s="13">
        <f t="shared" si="33"/>
        <v>0</v>
      </c>
      <c r="Q541" s="13" t="str">
        <f t="shared" si="34"/>
        <v/>
      </c>
      <c r="R541" s="13" t="str">
        <f t="shared" si="35"/>
        <v>Non diskon</v>
      </c>
    </row>
    <row r="542" spans="1:18" x14ac:dyDescent="0.25">
      <c r="A542" s="13" t="s">
        <v>554</v>
      </c>
      <c r="B542" s="13" t="s">
        <v>2195</v>
      </c>
      <c r="C542" s="13" t="s">
        <v>2200</v>
      </c>
      <c r="D542" s="13" t="s">
        <v>2204</v>
      </c>
      <c r="E542" s="13" t="s">
        <v>2208</v>
      </c>
      <c r="F542" s="13" t="s">
        <v>2219</v>
      </c>
      <c r="G542" s="13">
        <v>138.44999999999999</v>
      </c>
      <c r="H542" s="44">
        <v>0</v>
      </c>
      <c r="I542" s="13">
        <v>138.44999999999999</v>
      </c>
      <c r="J542" s="24">
        <v>45744</v>
      </c>
      <c r="K542" s="25">
        <v>18</v>
      </c>
      <c r="L542" s="25">
        <v>3.3</v>
      </c>
      <c r="M542" s="13" t="b">
        <v>0</v>
      </c>
      <c r="O542" s="25">
        <f t="shared" si="32"/>
        <v>158</v>
      </c>
      <c r="P542" s="13">
        <f t="shared" si="33"/>
        <v>0</v>
      </c>
      <c r="Q542" s="13" t="str">
        <f t="shared" si="34"/>
        <v/>
      </c>
      <c r="R542" s="13" t="str">
        <f t="shared" si="35"/>
        <v>Non diskon</v>
      </c>
    </row>
    <row r="543" spans="1:18" x14ac:dyDescent="0.25">
      <c r="A543" s="13" t="s">
        <v>555</v>
      </c>
      <c r="B543" s="13" t="s">
        <v>2193</v>
      </c>
      <c r="C543" s="13" t="s">
        <v>2202</v>
      </c>
      <c r="D543" s="13" t="s">
        <v>2207</v>
      </c>
      <c r="E543" s="13" t="s">
        <v>2210</v>
      </c>
      <c r="F543" s="13" t="s">
        <v>2216</v>
      </c>
      <c r="G543" s="13">
        <v>165.1</v>
      </c>
      <c r="H543" s="44">
        <v>0</v>
      </c>
      <c r="I543" s="13">
        <v>165.1</v>
      </c>
      <c r="J543" s="24">
        <v>45875</v>
      </c>
      <c r="K543" s="25">
        <v>7</v>
      </c>
      <c r="L543" s="25">
        <v>2.9083333333333328</v>
      </c>
      <c r="M543" s="13" t="b">
        <v>0</v>
      </c>
      <c r="O543" s="25">
        <f t="shared" si="32"/>
        <v>27</v>
      </c>
      <c r="P543" s="13">
        <f t="shared" si="33"/>
        <v>0</v>
      </c>
      <c r="Q543" s="13" t="str">
        <f t="shared" si="34"/>
        <v/>
      </c>
      <c r="R543" s="13" t="str">
        <f t="shared" si="35"/>
        <v>Non diskon</v>
      </c>
    </row>
    <row r="544" spans="1:18" x14ac:dyDescent="0.25">
      <c r="A544" s="13" t="s">
        <v>556</v>
      </c>
      <c r="B544" s="13" t="s">
        <v>2193</v>
      </c>
      <c r="C544" s="13" t="s">
        <v>2202</v>
      </c>
      <c r="D544" s="13" t="s">
        <v>2205</v>
      </c>
      <c r="E544" s="13" t="s">
        <v>2211</v>
      </c>
      <c r="F544" s="13" t="s">
        <v>2218</v>
      </c>
      <c r="G544" s="13">
        <v>147.25</v>
      </c>
      <c r="H544" s="44">
        <v>0</v>
      </c>
      <c r="I544" s="13">
        <v>147.25</v>
      </c>
      <c r="J544" s="24">
        <v>45875</v>
      </c>
      <c r="K544" s="25">
        <v>15</v>
      </c>
      <c r="L544" s="25">
        <v>2.7</v>
      </c>
      <c r="M544" s="13" t="b">
        <v>0</v>
      </c>
      <c r="O544" s="25">
        <f t="shared" si="32"/>
        <v>27</v>
      </c>
      <c r="P544" s="13">
        <f t="shared" si="33"/>
        <v>0</v>
      </c>
      <c r="Q544" s="13" t="str">
        <f t="shared" si="34"/>
        <v/>
      </c>
      <c r="R544" s="13" t="str">
        <f t="shared" si="35"/>
        <v>Non diskon</v>
      </c>
    </row>
    <row r="545" spans="1:18" x14ac:dyDescent="0.25">
      <c r="A545" s="13" t="s">
        <v>557</v>
      </c>
      <c r="B545" s="13" t="s">
        <v>2193</v>
      </c>
      <c r="C545" s="13" t="s">
        <v>2197</v>
      </c>
      <c r="D545" s="13" t="s">
        <v>2206</v>
      </c>
      <c r="E545" s="13" t="s">
        <v>2209</v>
      </c>
      <c r="F545" s="13" t="s">
        <v>2215</v>
      </c>
      <c r="G545" s="13">
        <v>126.23</v>
      </c>
      <c r="H545" s="44">
        <v>0</v>
      </c>
      <c r="I545" s="13">
        <v>126.23</v>
      </c>
      <c r="J545" s="24">
        <v>45875</v>
      </c>
      <c r="K545" s="25">
        <v>48</v>
      </c>
      <c r="L545" s="25">
        <v>2.1</v>
      </c>
      <c r="M545" s="13" t="b">
        <v>0</v>
      </c>
      <c r="O545" s="25">
        <f t="shared" si="32"/>
        <v>27</v>
      </c>
      <c r="P545" s="13">
        <f t="shared" si="33"/>
        <v>0</v>
      </c>
      <c r="Q545" s="13" t="str">
        <f t="shared" si="34"/>
        <v/>
      </c>
      <c r="R545" s="13" t="str">
        <f t="shared" si="35"/>
        <v>Non diskon</v>
      </c>
    </row>
    <row r="546" spans="1:18" x14ac:dyDescent="0.25">
      <c r="A546" s="13" t="s">
        <v>558</v>
      </c>
      <c r="B546" s="13" t="s">
        <v>2190</v>
      </c>
      <c r="C546" s="13" t="s">
        <v>2201</v>
      </c>
      <c r="D546" s="13" t="s">
        <v>2206</v>
      </c>
      <c r="E546" s="13" t="s">
        <v>2213</v>
      </c>
      <c r="F546" s="13" t="s">
        <v>2222</v>
      </c>
      <c r="G546" s="13">
        <v>229.04</v>
      </c>
      <c r="H546" s="44">
        <v>0</v>
      </c>
      <c r="I546" s="13">
        <v>229.04</v>
      </c>
      <c r="J546" s="24">
        <v>45875</v>
      </c>
      <c r="K546" s="25">
        <v>5</v>
      </c>
      <c r="L546" s="25">
        <v>4.5</v>
      </c>
      <c r="M546" s="13" t="b">
        <v>0</v>
      </c>
      <c r="O546" s="25">
        <f t="shared" si="32"/>
        <v>27</v>
      </c>
      <c r="P546" s="13">
        <f t="shared" si="33"/>
        <v>0</v>
      </c>
      <c r="Q546" s="13" t="str">
        <f t="shared" si="34"/>
        <v/>
      </c>
      <c r="R546" s="13" t="str">
        <f t="shared" si="35"/>
        <v>Non diskon</v>
      </c>
    </row>
    <row r="547" spans="1:18" x14ac:dyDescent="0.25">
      <c r="A547" s="13" t="s">
        <v>559</v>
      </c>
      <c r="B547" s="13" t="s">
        <v>2192</v>
      </c>
      <c r="C547" s="13" t="s">
        <v>2201</v>
      </c>
      <c r="D547" s="13" t="s">
        <v>2205</v>
      </c>
      <c r="F547" s="13" t="s">
        <v>2218</v>
      </c>
      <c r="G547" s="13">
        <v>38.65</v>
      </c>
      <c r="H547" s="44">
        <v>32.6</v>
      </c>
      <c r="I547" s="13">
        <v>26.05</v>
      </c>
      <c r="J547" s="24">
        <v>45875</v>
      </c>
      <c r="K547" s="25">
        <v>46</v>
      </c>
      <c r="L547" s="25">
        <v>1.1000000000000001</v>
      </c>
      <c r="M547" s="13" t="b">
        <v>0</v>
      </c>
      <c r="O547" s="25">
        <f t="shared" si="32"/>
        <v>27</v>
      </c>
      <c r="P547" s="13">
        <f t="shared" si="33"/>
        <v>1499.6000000000001</v>
      </c>
      <c r="Q547" s="13" t="str">
        <f t="shared" si="34"/>
        <v/>
      </c>
      <c r="R547" s="13" t="str">
        <f t="shared" si="35"/>
        <v>Diskon</v>
      </c>
    </row>
    <row r="548" spans="1:18" x14ac:dyDescent="0.25">
      <c r="A548" s="13" t="s">
        <v>560</v>
      </c>
      <c r="B548" s="13" t="s">
        <v>2194</v>
      </c>
      <c r="C548" s="13" t="s">
        <v>2198</v>
      </c>
      <c r="D548" s="13" t="s">
        <v>2204</v>
      </c>
      <c r="E548" s="13" t="s">
        <v>2212</v>
      </c>
      <c r="F548" s="13" t="s">
        <v>2215</v>
      </c>
      <c r="G548" s="13">
        <v>80.819999999999993</v>
      </c>
      <c r="H548" s="44">
        <v>0</v>
      </c>
      <c r="I548" s="13">
        <v>80.819999999999993</v>
      </c>
      <c r="J548" s="24">
        <v>45699</v>
      </c>
      <c r="K548" s="25">
        <v>42</v>
      </c>
      <c r="L548" s="25">
        <v>3.0384615384615379</v>
      </c>
      <c r="M548" s="13" t="b">
        <v>0</v>
      </c>
      <c r="O548" s="25">
        <f t="shared" si="32"/>
        <v>203</v>
      </c>
      <c r="P548" s="13">
        <f t="shared" si="33"/>
        <v>0</v>
      </c>
      <c r="Q548" s="13" t="str">
        <f t="shared" si="34"/>
        <v/>
      </c>
      <c r="R548" s="13" t="str">
        <f t="shared" si="35"/>
        <v>Non diskon</v>
      </c>
    </row>
    <row r="549" spans="1:18" x14ac:dyDescent="0.25">
      <c r="A549" s="13" t="s">
        <v>561</v>
      </c>
      <c r="B549" s="13" t="s">
        <v>2192</v>
      </c>
      <c r="C549" s="13" t="s">
        <v>2197</v>
      </c>
      <c r="D549" s="13" t="s">
        <v>2204</v>
      </c>
      <c r="F549" s="13" t="s">
        <v>2221</v>
      </c>
      <c r="G549" s="13">
        <v>56.44</v>
      </c>
      <c r="H549" s="44">
        <v>0</v>
      </c>
      <c r="I549" s="13">
        <v>56.44</v>
      </c>
      <c r="J549" s="24">
        <v>45734</v>
      </c>
      <c r="K549" s="25">
        <v>35</v>
      </c>
      <c r="L549" s="25">
        <v>4</v>
      </c>
      <c r="M549" s="13" t="b">
        <v>0</v>
      </c>
      <c r="O549" s="25">
        <f t="shared" si="32"/>
        <v>168</v>
      </c>
      <c r="P549" s="13">
        <f t="shared" si="33"/>
        <v>0</v>
      </c>
      <c r="Q549" s="13" t="str">
        <f t="shared" si="34"/>
        <v/>
      </c>
      <c r="R549" s="13" t="str">
        <f t="shared" si="35"/>
        <v>Non diskon</v>
      </c>
    </row>
    <row r="550" spans="1:18" x14ac:dyDescent="0.25">
      <c r="A550" s="13" t="s">
        <v>562</v>
      </c>
      <c r="B550" s="13" t="s">
        <v>2195</v>
      </c>
      <c r="C550" s="13" t="s">
        <v>2196</v>
      </c>
      <c r="D550" s="13" t="s">
        <v>2206</v>
      </c>
      <c r="E550" s="13" t="s">
        <v>2213</v>
      </c>
      <c r="F550" s="13" t="s">
        <v>2221</v>
      </c>
      <c r="G550" s="13">
        <v>121.3</v>
      </c>
      <c r="H550" s="44">
        <v>0</v>
      </c>
      <c r="I550" s="13">
        <v>121.3</v>
      </c>
      <c r="J550" s="24">
        <v>45875</v>
      </c>
      <c r="K550" s="25">
        <v>33</v>
      </c>
      <c r="L550" s="25">
        <v>2.2999999999999998</v>
      </c>
      <c r="M550" s="13" t="b">
        <v>0</v>
      </c>
      <c r="O550" s="25">
        <f t="shared" si="32"/>
        <v>27</v>
      </c>
      <c r="P550" s="13">
        <f t="shared" si="33"/>
        <v>0</v>
      </c>
      <c r="Q550" s="13" t="str">
        <f t="shared" si="34"/>
        <v/>
      </c>
      <c r="R550" s="13" t="str">
        <f t="shared" si="35"/>
        <v>Non diskon</v>
      </c>
    </row>
    <row r="551" spans="1:18" x14ac:dyDescent="0.25">
      <c r="A551" s="13" t="s">
        <v>563</v>
      </c>
      <c r="B551" s="13" t="s">
        <v>2194</v>
      </c>
      <c r="C551" s="13" t="s">
        <v>2202</v>
      </c>
      <c r="D551" s="13" t="s">
        <v>2206</v>
      </c>
      <c r="F551" s="13" t="s">
        <v>2216</v>
      </c>
      <c r="G551" s="13">
        <v>101.98</v>
      </c>
      <c r="H551" s="44">
        <v>28.4</v>
      </c>
      <c r="I551" s="13">
        <v>73.02</v>
      </c>
      <c r="J551" s="24">
        <v>45875</v>
      </c>
      <c r="K551" s="25">
        <v>40</v>
      </c>
      <c r="L551" s="25">
        <v>4.5</v>
      </c>
      <c r="M551" s="13" t="b">
        <v>0</v>
      </c>
      <c r="O551" s="25">
        <f t="shared" si="32"/>
        <v>27</v>
      </c>
      <c r="P551" s="13">
        <f t="shared" si="33"/>
        <v>1136</v>
      </c>
      <c r="Q551" s="13" t="str">
        <f t="shared" si="34"/>
        <v/>
      </c>
      <c r="R551" s="13" t="str">
        <f t="shared" si="35"/>
        <v>Diskon</v>
      </c>
    </row>
    <row r="552" spans="1:18" x14ac:dyDescent="0.25">
      <c r="A552" s="13" t="s">
        <v>564</v>
      </c>
      <c r="B552" s="13" t="s">
        <v>2194</v>
      </c>
      <c r="C552" s="13" t="s">
        <v>2198</v>
      </c>
      <c r="D552" s="13" t="s">
        <v>2204</v>
      </c>
      <c r="E552" s="13" t="s">
        <v>2209</v>
      </c>
      <c r="F552" s="13" t="s">
        <v>2214</v>
      </c>
      <c r="G552" s="13">
        <v>89.99</v>
      </c>
      <c r="H552" s="44">
        <v>0</v>
      </c>
      <c r="I552" s="13">
        <v>89.99</v>
      </c>
      <c r="J552" s="24">
        <v>45716</v>
      </c>
      <c r="K552" s="25">
        <v>26</v>
      </c>
      <c r="L552" s="25">
        <v>4.0999999999999996</v>
      </c>
      <c r="M552" s="13" t="b">
        <v>0</v>
      </c>
      <c r="O552" s="25">
        <f t="shared" si="32"/>
        <v>186</v>
      </c>
      <c r="P552" s="13">
        <f t="shared" si="33"/>
        <v>0</v>
      </c>
      <c r="Q552" s="13" t="str">
        <f t="shared" si="34"/>
        <v/>
      </c>
      <c r="R552" s="13" t="str">
        <f t="shared" si="35"/>
        <v>Non diskon</v>
      </c>
    </row>
    <row r="553" spans="1:18" x14ac:dyDescent="0.25">
      <c r="A553" s="13" t="s">
        <v>565</v>
      </c>
      <c r="B553" s="13" t="s">
        <v>2193</v>
      </c>
      <c r="C553" s="13" t="s">
        <v>2203</v>
      </c>
      <c r="D553" s="13" t="s">
        <v>2207</v>
      </c>
      <c r="E553" s="13" t="s">
        <v>2211</v>
      </c>
      <c r="F553" s="13" t="s">
        <v>2220</v>
      </c>
      <c r="G553" s="13">
        <v>64.31</v>
      </c>
      <c r="H553" s="44">
        <v>34.5</v>
      </c>
      <c r="I553" s="13">
        <v>42.12</v>
      </c>
      <c r="J553" s="24">
        <v>45875</v>
      </c>
      <c r="K553" s="25">
        <v>48</v>
      </c>
      <c r="L553" s="25">
        <v>4.5</v>
      </c>
      <c r="M553" s="13" t="b">
        <v>0</v>
      </c>
      <c r="O553" s="25">
        <f t="shared" si="32"/>
        <v>27</v>
      </c>
      <c r="P553" s="13">
        <f t="shared" si="33"/>
        <v>1656</v>
      </c>
      <c r="Q553" s="13" t="str">
        <f t="shared" si="34"/>
        <v/>
      </c>
      <c r="R553" s="13" t="str">
        <f t="shared" si="35"/>
        <v>Diskon</v>
      </c>
    </row>
    <row r="554" spans="1:18" x14ac:dyDescent="0.25">
      <c r="A554" s="13" t="s">
        <v>566</v>
      </c>
      <c r="B554" s="13" t="s">
        <v>2195</v>
      </c>
      <c r="C554" s="13" t="s">
        <v>2196</v>
      </c>
      <c r="D554" s="13" t="s">
        <v>2204</v>
      </c>
      <c r="E554" s="13" t="s">
        <v>2209</v>
      </c>
      <c r="F554" s="13" t="s">
        <v>2221</v>
      </c>
      <c r="G554" s="13">
        <v>168.92</v>
      </c>
      <c r="H554" s="44">
        <v>0</v>
      </c>
      <c r="I554" s="13">
        <v>168.92</v>
      </c>
      <c r="J554" s="24">
        <v>45852</v>
      </c>
      <c r="K554" s="25">
        <v>11</v>
      </c>
      <c r="L554" s="25">
        <v>4.4000000000000004</v>
      </c>
      <c r="M554" s="13" t="b">
        <v>0</v>
      </c>
      <c r="O554" s="25">
        <f t="shared" si="32"/>
        <v>50</v>
      </c>
      <c r="P554" s="13">
        <f t="shared" si="33"/>
        <v>0</v>
      </c>
      <c r="Q554" s="13" t="str">
        <f t="shared" si="34"/>
        <v/>
      </c>
      <c r="R554" s="13" t="str">
        <f t="shared" si="35"/>
        <v>Non diskon</v>
      </c>
    </row>
    <row r="555" spans="1:18" x14ac:dyDescent="0.25">
      <c r="A555" s="13" t="s">
        <v>567</v>
      </c>
      <c r="B555" s="13" t="s">
        <v>2194</v>
      </c>
      <c r="C555" s="13" t="s">
        <v>2202</v>
      </c>
      <c r="D555" s="13" t="s">
        <v>2207</v>
      </c>
      <c r="E555" s="13" t="s">
        <v>2208</v>
      </c>
      <c r="F555" s="13" t="s">
        <v>2222</v>
      </c>
      <c r="G555" s="13">
        <v>86.46</v>
      </c>
      <c r="H555" s="44">
        <v>49.5</v>
      </c>
      <c r="I555" s="13">
        <v>43.66</v>
      </c>
      <c r="J555" s="24">
        <v>45875</v>
      </c>
      <c r="K555" s="25">
        <v>19</v>
      </c>
      <c r="L555" s="25">
        <v>4.3</v>
      </c>
      <c r="M555" s="13" t="b">
        <v>0</v>
      </c>
      <c r="O555" s="25">
        <f t="shared" si="32"/>
        <v>27</v>
      </c>
      <c r="P555" s="13">
        <f t="shared" si="33"/>
        <v>940.5</v>
      </c>
      <c r="Q555" s="13" t="str">
        <f t="shared" si="34"/>
        <v/>
      </c>
      <c r="R555" s="13" t="str">
        <f t="shared" si="35"/>
        <v>Diskon</v>
      </c>
    </row>
    <row r="556" spans="1:18" x14ac:dyDescent="0.25">
      <c r="A556" s="13" t="s">
        <v>568</v>
      </c>
      <c r="B556" s="13" t="s">
        <v>2191</v>
      </c>
      <c r="C556" s="13" t="s">
        <v>2203</v>
      </c>
      <c r="D556" s="13" t="s">
        <v>2205</v>
      </c>
      <c r="E556" s="13" t="s">
        <v>2212</v>
      </c>
      <c r="F556" s="13" t="s">
        <v>2214</v>
      </c>
      <c r="G556" s="13">
        <v>36.840000000000003</v>
      </c>
      <c r="H556" s="44">
        <v>18.899999999999999</v>
      </c>
      <c r="I556" s="13">
        <v>29.88</v>
      </c>
      <c r="J556" s="24">
        <v>45875</v>
      </c>
      <c r="K556" s="25">
        <v>39</v>
      </c>
      <c r="L556" s="25">
        <v>1.2</v>
      </c>
      <c r="M556" s="13" t="b">
        <v>0</v>
      </c>
      <c r="O556" s="25">
        <f t="shared" si="32"/>
        <v>27</v>
      </c>
      <c r="P556" s="13">
        <f t="shared" si="33"/>
        <v>737.09999999999991</v>
      </c>
      <c r="Q556" s="13" t="str">
        <f t="shared" si="34"/>
        <v/>
      </c>
      <c r="R556" s="13" t="str">
        <f t="shared" si="35"/>
        <v>Diskon</v>
      </c>
    </row>
    <row r="557" spans="1:18" x14ac:dyDescent="0.25">
      <c r="A557" s="13" t="s">
        <v>569</v>
      </c>
      <c r="B557" s="13" t="s">
        <v>2191</v>
      </c>
      <c r="C557" s="13" t="s">
        <v>2201</v>
      </c>
      <c r="D557" s="13" t="s">
        <v>2204</v>
      </c>
      <c r="E557" s="13" t="s">
        <v>2212</v>
      </c>
      <c r="F557" s="13" t="s">
        <v>2215</v>
      </c>
      <c r="G557" s="13">
        <v>38.5</v>
      </c>
      <c r="H557" s="44">
        <v>0</v>
      </c>
      <c r="I557" s="13">
        <v>38.5</v>
      </c>
      <c r="J557" s="24">
        <v>45722</v>
      </c>
      <c r="K557" s="25">
        <v>2</v>
      </c>
      <c r="L557" s="25">
        <v>3.2</v>
      </c>
      <c r="M557" s="13" t="b">
        <v>0</v>
      </c>
      <c r="O557" s="25">
        <f t="shared" si="32"/>
        <v>180</v>
      </c>
      <c r="P557" s="13">
        <f t="shared" si="33"/>
        <v>0</v>
      </c>
      <c r="Q557" s="13" t="str">
        <f t="shared" si="34"/>
        <v/>
      </c>
      <c r="R557" s="13" t="str">
        <f t="shared" si="35"/>
        <v>Non diskon</v>
      </c>
    </row>
    <row r="558" spans="1:18" x14ac:dyDescent="0.25">
      <c r="A558" s="13" t="s">
        <v>570</v>
      </c>
      <c r="B558" s="13" t="s">
        <v>2194</v>
      </c>
      <c r="C558" s="13" t="s">
        <v>2199</v>
      </c>
      <c r="D558" s="13" t="s">
        <v>2205</v>
      </c>
      <c r="F558" s="13" t="s">
        <v>2221</v>
      </c>
      <c r="G558" s="13">
        <v>68.02</v>
      </c>
      <c r="H558" s="44">
        <v>37.700000000000003</v>
      </c>
      <c r="I558" s="13">
        <v>42.38</v>
      </c>
      <c r="J558" s="24">
        <v>45875</v>
      </c>
      <c r="K558" s="25">
        <v>40</v>
      </c>
      <c r="L558" s="25">
        <v>2.1</v>
      </c>
      <c r="M558" s="13" t="b">
        <v>0</v>
      </c>
      <c r="O558" s="25">
        <f t="shared" si="32"/>
        <v>27</v>
      </c>
      <c r="P558" s="13">
        <f t="shared" si="33"/>
        <v>1508</v>
      </c>
      <c r="Q558" s="13" t="str">
        <f t="shared" si="34"/>
        <v/>
      </c>
      <c r="R558" s="13" t="str">
        <f t="shared" si="35"/>
        <v>Diskon</v>
      </c>
    </row>
    <row r="559" spans="1:18" x14ac:dyDescent="0.25">
      <c r="A559" s="13" t="s">
        <v>571</v>
      </c>
      <c r="B559" s="13" t="s">
        <v>2195</v>
      </c>
      <c r="C559" s="13" t="s">
        <v>2197</v>
      </c>
      <c r="D559" s="13" t="s">
        <v>2206</v>
      </c>
      <c r="E559" s="13" t="s">
        <v>2213</v>
      </c>
      <c r="F559" s="13" t="s">
        <v>2224</v>
      </c>
      <c r="G559" s="13">
        <v>117.23</v>
      </c>
      <c r="H559" s="44">
        <v>0</v>
      </c>
      <c r="I559" s="13">
        <v>117.23</v>
      </c>
      <c r="J559" s="24">
        <v>45875</v>
      </c>
      <c r="K559" s="25">
        <v>30</v>
      </c>
      <c r="L559" s="25">
        <v>3.1666666666666665</v>
      </c>
      <c r="M559" s="13" t="b">
        <v>1</v>
      </c>
      <c r="N559" s="13" t="s">
        <v>2229</v>
      </c>
      <c r="O559" s="25">
        <f t="shared" si="32"/>
        <v>27</v>
      </c>
      <c r="P559" s="13">
        <f t="shared" si="33"/>
        <v>0</v>
      </c>
      <c r="Q559" s="13">
        <f t="shared" si="34"/>
        <v>1</v>
      </c>
      <c r="R559" s="13" t="str">
        <f t="shared" si="35"/>
        <v>Non diskon</v>
      </c>
    </row>
    <row r="560" spans="1:18" x14ac:dyDescent="0.25">
      <c r="A560" s="13" t="s">
        <v>572</v>
      </c>
      <c r="B560" s="13" t="s">
        <v>2191</v>
      </c>
      <c r="C560" s="13" t="s">
        <v>2201</v>
      </c>
      <c r="D560" s="13" t="s">
        <v>2204</v>
      </c>
      <c r="E560" s="13" t="s">
        <v>2210</v>
      </c>
      <c r="F560" s="13" t="s">
        <v>2222</v>
      </c>
      <c r="G560" s="13">
        <v>79.33</v>
      </c>
      <c r="H560" s="44">
        <v>0</v>
      </c>
      <c r="I560" s="13">
        <v>79.33</v>
      </c>
      <c r="J560" s="24">
        <v>45687</v>
      </c>
      <c r="K560" s="25">
        <v>10</v>
      </c>
      <c r="L560" s="25">
        <v>3.4</v>
      </c>
      <c r="M560" s="13" t="b">
        <v>1</v>
      </c>
      <c r="N560" s="13" t="s">
        <v>2229</v>
      </c>
      <c r="O560" s="25">
        <f t="shared" si="32"/>
        <v>215</v>
      </c>
      <c r="P560" s="13">
        <f t="shared" si="33"/>
        <v>0</v>
      </c>
      <c r="Q560" s="13">
        <f t="shared" si="34"/>
        <v>1</v>
      </c>
      <c r="R560" s="13" t="str">
        <f t="shared" si="35"/>
        <v>Non diskon</v>
      </c>
    </row>
    <row r="561" spans="1:18" x14ac:dyDescent="0.25">
      <c r="A561" s="13" t="s">
        <v>573</v>
      </c>
      <c r="B561" s="13" t="s">
        <v>2194</v>
      </c>
      <c r="C561" s="13" t="s">
        <v>2199</v>
      </c>
      <c r="D561" s="13" t="s">
        <v>2207</v>
      </c>
      <c r="E561" s="13" t="s">
        <v>2209</v>
      </c>
      <c r="F561" s="13" t="s">
        <v>2220</v>
      </c>
      <c r="G561" s="13">
        <v>75.819999999999993</v>
      </c>
      <c r="H561" s="44">
        <v>42.7</v>
      </c>
      <c r="I561" s="13">
        <v>43.44</v>
      </c>
      <c r="J561" s="24">
        <v>45875</v>
      </c>
      <c r="K561" s="25">
        <v>11</v>
      </c>
      <c r="L561" s="25">
        <v>2</v>
      </c>
      <c r="M561" s="13" t="b">
        <v>0</v>
      </c>
      <c r="O561" s="25">
        <f t="shared" si="32"/>
        <v>27</v>
      </c>
      <c r="P561" s="13">
        <f t="shared" si="33"/>
        <v>469.70000000000005</v>
      </c>
      <c r="Q561" s="13" t="str">
        <f t="shared" si="34"/>
        <v/>
      </c>
      <c r="R561" s="13" t="str">
        <f t="shared" si="35"/>
        <v>Diskon</v>
      </c>
    </row>
    <row r="562" spans="1:18" x14ac:dyDescent="0.25">
      <c r="A562" s="13" t="s">
        <v>574</v>
      </c>
      <c r="B562" s="13" t="s">
        <v>2195</v>
      </c>
      <c r="C562" s="13" t="s">
        <v>2201</v>
      </c>
      <c r="D562" s="13" t="s">
        <v>2204</v>
      </c>
      <c r="E562" s="13" t="s">
        <v>2213</v>
      </c>
      <c r="F562" s="13" t="s">
        <v>2217</v>
      </c>
      <c r="G562" s="13">
        <v>141.41999999999999</v>
      </c>
      <c r="H562" s="44">
        <v>0</v>
      </c>
      <c r="I562" s="13">
        <v>141.41999999999999</v>
      </c>
      <c r="J562" s="24">
        <v>45741</v>
      </c>
      <c r="K562" s="25">
        <v>10</v>
      </c>
      <c r="L562" s="25">
        <v>2.5</v>
      </c>
      <c r="M562" s="13" t="b">
        <v>0</v>
      </c>
      <c r="O562" s="25">
        <f t="shared" si="32"/>
        <v>161</v>
      </c>
      <c r="P562" s="13">
        <f t="shared" si="33"/>
        <v>0</v>
      </c>
      <c r="Q562" s="13" t="str">
        <f t="shared" si="34"/>
        <v/>
      </c>
      <c r="R562" s="13" t="str">
        <f t="shared" si="35"/>
        <v>Non diskon</v>
      </c>
    </row>
    <row r="563" spans="1:18" x14ac:dyDescent="0.25">
      <c r="A563" s="13" t="s">
        <v>575</v>
      </c>
      <c r="B563" s="13" t="s">
        <v>2193</v>
      </c>
      <c r="C563" s="13" t="s">
        <v>2197</v>
      </c>
      <c r="D563" s="13" t="s">
        <v>2204</v>
      </c>
      <c r="E563" s="13" t="s">
        <v>2209</v>
      </c>
      <c r="F563" s="13" t="s">
        <v>2216</v>
      </c>
      <c r="G563" s="13">
        <v>124.2</v>
      </c>
      <c r="H563" s="44">
        <v>0</v>
      </c>
      <c r="I563" s="13">
        <v>124.2</v>
      </c>
      <c r="J563" s="24">
        <v>45532</v>
      </c>
      <c r="K563" s="25">
        <v>24</v>
      </c>
      <c r="L563" s="25">
        <v>1</v>
      </c>
      <c r="M563" s="13" t="b">
        <v>0</v>
      </c>
      <c r="O563" s="25">
        <f t="shared" si="32"/>
        <v>370</v>
      </c>
      <c r="P563" s="13">
        <f t="shared" si="33"/>
        <v>0</v>
      </c>
      <c r="Q563" s="13" t="str">
        <f t="shared" si="34"/>
        <v/>
      </c>
      <c r="R563" s="13" t="str">
        <f t="shared" si="35"/>
        <v>Non diskon</v>
      </c>
    </row>
    <row r="564" spans="1:18" x14ac:dyDescent="0.25">
      <c r="A564" s="13" t="s">
        <v>576</v>
      </c>
      <c r="B564" s="13" t="s">
        <v>2194</v>
      </c>
      <c r="C564" s="13" t="s">
        <v>2203</v>
      </c>
      <c r="D564" s="13" t="s">
        <v>2205</v>
      </c>
      <c r="E564" s="13" t="s">
        <v>2209</v>
      </c>
      <c r="F564" s="13" t="s">
        <v>2222</v>
      </c>
      <c r="G564" s="13">
        <v>48.42</v>
      </c>
      <c r="H564" s="44">
        <v>0</v>
      </c>
      <c r="I564" s="13">
        <v>48.42</v>
      </c>
      <c r="J564" s="24">
        <v>45875</v>
      </c>
      <c r="K564" s="25">
        <v>6</v>
      </c>
      <c r="L564" s="25">
        <v>4.3</v>
      </c>
      <c r="M564" s="13" t="b">
        <v>0</v>
      </c>
      <c r="O564" s="25">
        <f t="shared" si="32"/>
        <v>27</v>
      </c>
      <c r="P564" s="13">
        <f t="shared" si="33"/>
        <v>0</v>
      </c>
      <c r="Q564" s="13" t="str">
        <f t="shared" si="34"/>
        <v/>
      </c>
      <c r="R564" s="13" t="str">
        <f t="shared" si="35"/>
        <v>Non diskon</v>
      </c>
    </row>
    <row r="565" spans="1:18" x14ac:dyDescent="0.25">
      <c r="A565" s="13" t="s">
        <v>577</v>
      </c>
      <c r="B565" s="13" t="s">
        <v>2195</v>
      </c>
      <c r="C565" s="13" t="s">
        <v>2200</v>
      </c>
      <c r="D565" s="13" t="s">
        <v>2206</v>
      </c>
      <c r="E565" s="13" t="s">
        <v>2212</v>
      </c>
      <c r="F565" s="13" t="s">
        <v>2218</v>
      </c>
      <c r="G565" s="13">
        <v>119.4</v>
      </c>
      <c r="H565" s="44">
        <v>0</v>
      </c>
      <c r="I565" s="13">
        <v>119.4</v>
      </c>
      <c r="J565" s="24">
        <v>45875</v>
      </c>
      <c r="K565" s="25">
        <v>45</v>
      </c>
      <c r="L565" s="25">
        <v>4.2</v>
      </c>
      <c r="M565" s="13" t="b">
        <v>0</v>
      </c>
      <c r="O565" s="25">
        <f t="shared" si="32"/>
        <v>27</v>
      </c>
      <c r="P565" s="13">
        <f t="shared" si="33"/>
        <v>0</v>
      </c>
      <c r="Q565" s="13" t="str">
        <f t="shared" si="34"/>
        <v/>
      </c>
      <c r="R565" s="13" t="str">
        <f t="shared" si="35"/>
        <v>Non diskon</v>
      </c>
    </row>
    <row r="566" spans="1:18" x14ac:dyDescent="0.25">
      <c r="A566" s="13" t="s">
        <v>578</v>
      </c>
      <c r="B566" s="13" t="s">
        <v>2193</v>
      </c>
      <c r="C566" s="13" t="s">
        <v>2199</v>
      </c>
      <c r="D566" s="13" t="s">
        <v>2207</v>
      </c>
      <c r="E566" s="13" t="s">
        <v>2213</v>
      </c>
      <c r="F566" s="13" t="s">
        <v>2224</v>
      </c>
      <c r="G566" s="13">
        <v>186.07</v>
      </c>
      <c r="H566" s="44">
        <v>0</v>
      </c>
      <c r="I566" s="13">
        <v>186.07</v>
      </c>
      <c r="J566" s="24">
        <v>45875</v>
      </c>
      <c r="K566" s="25">
        <v>41</v>
      </c>
      <c r="L566" s="25">
        <v>2.6</v>
      </c>
      <c r="M566" s="13" t="b">
        <v>0</v>
      </c>
      <c r="O566" s="25">
        <f t="shared" si="32"/>
        <v>27</v>
      </c>
      <c r="P566" s="13">
        <f t="shared" si="33"/>
        <v>0</v>
      </c>
      <c r="Q566" s="13" t="str">
        <f t="shared" si="34"/>
        <v/>
      </c>
      <c r="R566" s="13" t="str">
        <f t="shared" si="35"/>
        <v>Non diskon</v>
      </c>
    </row>
    <row r="567" spans="1:18" x14ac:dyDescent="0.25">
      <c r="A567" s="13" t="s">
        <v>579</v>
      </c>
      <c r="B567" s="13" t="s">
        <v>2193</v>
      </c>
      <c r="C567" s="13" t="s">
        <v>2199</v>
      </c>
      <c r="D567" s="13" t="s">
        <v>2207</v>
      </c>
      <c r="E567" s="13" t="s">
        <v>2208</v>
      </c>
      <c r="F567" s="13" t="s">
        <v>2224</v>
      </c>
      <c r="G567" s="13">
        <v>109.46</v>
      </c>
      <c r="H567" s="44">
        <v>0</v>
      </c>
      <c r="I567" s="13">
        <v>109.46</v>
      </c>
      <c r="J567" s="24">
        <v>45875</v>
      </c>
      <c r="K567" s="25">
        <v>38</v>
      </c>
      <c r="L567" s="25">
        <v>4.0999999999999996</v>
      </c>
      <c r="M567" s="13" t="b">
        <v>0</v>
      </c>
      <c r="O567" s="25">
        <f t="shared" si="32"/>
        <v>27</v>
      </c>
      <c r="P567" s="13">
        <f t="shared" si="33"/>
        <v>0</v>
      </c>
      <c r="Q567" s="13" t="str">
        <f t="shared" si="34"/>
        <v/>
      </c>
      <c r="R567" s="13" t="str">
        <f t="shared" si="35"/>
        <v>Non diskon</v>
      </c>
    </row>
    <row r="568" spans="1:18" x14ac:dyDescent="0.25">
      <c r="A568" s="13" t="s">
        <v>580</v>
      </c>
      <c r="B568" s="13" t="s">
        <v>2195</v>
      </c>
      <c r="C568" s="13" t="s">
        <v>2202</v>
      </c>
      <c r="D568" s="13" t="s">
        <v>2205</v>
      </c>
      <c r="E568" s="13" t="s">
        <v>2210</v>
      </c>
      <c r="F568" s="13" t="s">
        <v>2218</v>
      </c>
      <c r="G568" s="13">
        <v>116.18</v>
      </c>
      <c r="H568" s="44">
        <v>42.7</v>
      </c>
      <c r="I568" s="13">
        <v>66.569999999999993</v>
      </c>
      <c r="J568" s="24">
        <v>45875</v>
      </c>
      <c r="K568" s="25">
        <v>3</v>
      </c>
      <c r="L568" s="25">
        <v>3.5</v>
      </c>
      <c r="M568" s="13" t="b">
        <v>0</v>
      </c>
      <c r="O568" s="25">
        <f t="shared" si="32"/>
        <v>27</v>
      </c>
      <c r="P568" s="13">
        <f t="shared" si="33"/>
        <v>128.10000000000002</v>
      </c>
      <c r="Q568" s="13" t="str">
        <f t="shared" si="34"/>
        <v/>
      </c>
      <c r="R568" s="13" t="str">
        <f t="shared" si="35"/>
        <v>Diskon</v>
      </c>
    </row>
    <row r="569" spans="1:18" x14ac:dyDescent="0.25">
      <c r="A569" s="13" t="s">
        <v>581</v>
      </c>
      <c r="B569" s="13" t="s">
        <v>2192</v>
      </c>
      <c r="C569" s="13" t="s">
        <v>2196</v>
      </c>
      <c r="D569" s="13" t="s">
        <v>2205</v>
      </c>
      <c r="F569" s="13" t="s">
        <v>2220</v>
      </c>
      <c r="G569" s="13">
        <v>41.29</v>
      </c>
      <c r="H569" s="44">
        <v>26.3</v>
      </c>
      <c r="I569" s="13">
        <v>30.43</v>
      </c>
      <c r="J569" s="24">
        <v>45875</v>
      </c>
      <c r="K569" s="25">
        <v>5</v>
      </c>
      <c r="L569" s="25">
        <v>4.7</v>
      </c>
      <c r="M569" s="13" t="b">
        <v>0</v>
      </c>
      <c r="O569" s="25">
        <f t="shared" si="32"/>
        <v>27</v>
      </c>
      <c r="P569" s="13">
        <f t="shared" si="33"/>
        <v>131.5</v>
      </c>
      <c r="Q569" s="13" t="str">
        <f t="shared" si="34"/>
        <v/>
      </c>
      <c r="R569" s="13" t="str">
        <f t="shared" si="35"/>
        <v>Diskon</v>
      </c>
    </row>
    <row r="570" spans="1:18" x14ac:dyDescent="0.25">
      <c r="A570" s="13" t="s">
        <v>582</v>
      </c>
      <c r="B570" s="13" t="s">
        <v>2191</v>
      </c>
      <c r="C570" s="13" t="s">
        <v>2197</v>
      </c>
      <c r="D570" s="13" t="s">
        <v>2205</v>
      </c>
      <c r="E570" s="13" t="s">
        <v>2210</v>
      </c>
      <c r="F570" s="13" t="s">
        <v>2220</v>
      </c>
      <c r="G570" s="13">
        <v>94.68</v>
      </c>
      <c r="H570" s="44">
        <v>45</v>
      </c>
      <c r="I570" s="13">
        <v>52.07</v>
      </c>
      <c r="J570" s="24">
        <v>45875</v>
      </c>
      <c r="K570" s="25">
        <v>47</v>
      </c>
      <c r="L570" s="25">
        <v>2.6</v>
      </c>
      <c r="M570" s="13" t="b">
        <v>0</v>
      </c>
      <c r="O570" s="25">
        <f t="shared" si="32"/>
        <v>27</v>
      </c>
      <c r="P570" s="13">
        <f t="shared" si="33"/>
        <v>2115</v>
      </c>
      <c r="Q570" s="13" t="str">
        <f t="shared" si="34"/>
        <v/>
      </c>
      <c r="R570" s="13" t="str">
        <f t="shared" si="35"/>
        <v>Diskon</v>
      </c>
    </row>
    <row r="571" spans="1:18" x14ac:dyDescent="0.25">
      <c r="A571" s="13" t="s">
        <v>583</v>
      </c>
      <c r="B571" s="13" t="s">
        <v>2192</v>
      </c>
      <c r="C571" s="13" t="s">
        <v>2196</v>
      </c>
      <c r="D571" s="13" t="s">
        <v>2204</v>
      </c>
      <c r="F571" s="13" t="s">
        <v>2217</v>
      </c>
      <c r="G571" s="13">
        <v>48.55</v>
      </c>
      <c r="H571" s="44">
        <v>32.700000000000003</v>
      </c>
      <c r="I571" s="13">
        <v>32.67</v>
      </c>
      <c r="J571" s="24">
        <v>45566</v>
      </c>
      <c r="K571" s="25">
        <v>39</v>
      </c>
      <c r="L571" s="25">
        <v>2.8</v>
      </c>
      <c r="M571" s="13" t="b">
        <v>0</v>
      </c>
      <c r="O571" s="25">
        <f t="shared" si="32"/>
        <v>336</v>
      </c>
      <c r="P571" s="13">
        <f t="shared" si="33"/>
        <v>1275.3000000000002</v>
      </c>
      <c r="Q571" s="13" t="str">
        <f t="shared" si="34"/>
        <v/>
      </c>
      <c r="R571" s="13" t="str">
        <f t="shared" si="35"/>
        <v>Diskon</v>
      </c>
    </row>
    <row r="572" spans="1:18" x14ac:dyDescent="0.25">
      <c r="A572" s="13" t="s">
        <v>584</v>
      </c>
      <c r="B572" s="13" t="s">
        <v>2191</v>
      </c>
      <c r="C572" s="13" t="s">
        <v>2202</v>
      </c>
      <c r="D572" s="13" t="s">
        <v>2207</v>
      </c>
      <c r="E572" s="13" t="s">
        <v>2213</v>
      </c>
      <c r="F572" s="13" t="s">
        <v>2223</v>
      </c>
      <c r="G572" s="13">
        <v>75.22</v>
      </c>
      <c r="H572" s="44">
        <v>0</v>
      </c>
      <c r="I572" s="13">
        <v>75.22</v>
      </c>
      <c r="J572" s="24">
        <v>45875</v>
      </c>
      <c r="K572" s="25">
        <v>22</v>
      </c>
      <c r="L572" s="25">
        <v>2.1</v>
      </c>
      <c r="M572" s="13" t="b">
        <v>1</v>
      </c>
      <c r="N572" s="13" t="s">
        <v>2226</v>
      </c>
      <c r="O572" s="25">
        <f t="shared" si="32"/>
        <v>27</v>
      </c>
      <c r="P572" s="13">
        <f t="shared" si="33"/>
        <v>0</v>
      </c>
      <c r="Q572" s="13">
        <f t="shared" si="34"/>
        <v>1</v>
      </c>
      <c r="R572" s="13" t="str">
        <f t="shared" si="35"/>
        <v>Non diskon</v>
      </c>
    </row>
    <row r="573" spans="1:18" x14ac:dyDescent="0.25">
      <c r="A573" s="13" t="s">
        <v>585</v>
      </c>
      <c r="B573" s="13" t="s">
        <v>2193</v>
      </c>
      <c r="C573" s="13" t="s">
        <v>2200</v>
      </c>
      <c r="D573" s="13" t="s">
        <v>2207</v>
      </c>
      <c r="E573" s="13" t="s">
        <v>2212</v>
      </c>
      <c r="F573" s="13" t="s">
        <v>2217</v>
      </c>
      <c r="G573" s="13">
        <v>98.95</v>
      </c>
      <c r="H573" s="44">
        <v>30.3</v>
      </c>
      <c r="I573" s="13">
        <v>68.97</v>
      </c>
      <c r="J573" s="24">
        <v>45875</v>
      </c>
      <c r="K573" s="25">
        <v>16</v>
      </c>
      <c r="L573" s="25">
        <v>3.3021276595744684</v>
      </c>
      <c r="M573" s="13" t="b">
        <v>0</v>
      </c>
      <c r="O573" s="25">
        <f t="shared" si="32"/>
        <v>27</v>
      </c>
      <c r="P573" s="13">
        <f t="shared" si="33"/>
        <v>484.8</v>
      </c>
      <c r="Q573" s="13" t="str">
        <f t="shared" si="34"/>
        <v/>
      </c>
      <c r="R573" s="13" t="str">
        <f t="shared" si="35"/>
        <v>Diskon</v>
      </c>
    </row>
    <row r="574" spans="1:18" x14ac:dyDescent="0.25">
      <c r="A574" s="13" t="s">
        <v>586</v>
      </c>
      <c r="B574" s="13" t="s">
        <v>2191</v>
      </c>
      <c r="C574" s="13" t="s">
        <v>2200</v>
      </c>
      <c r="D574" s="13" t="s">
        <v>2204</v>
      </c>
      <c r="E574" s="13" t="s">
        <v>2208</v>
      </c>
      <c r="F574" s="13" t="s">
        <v>2224</v>
      </c>
      <c r="G574" s="13">
        <v>39.56</v>
      </c>
      <c r="H574" s="44">
        <v>0</v>
      </c>
      <c r="I574" s="13">
        <v>39.56</v>
      </c>
      <c r="J574" s="24">
        <v>45678</v>
      </c>
      <c r="K574" s="25">
        <v>15</v>
      </c>
      <c r="L574" s="25">
        <v>2.9657142857142857</v>
      </c>
      <c r="M574" s="13" t="b">
        <v>0</v>
      </c>
      <c r="O574" s="25">
        <f t="shared" si="32"/>
        <v>224</v>
      </c>
      <c r="P574" s="13">
        <f t="shared" si="33"/>
        <v>0</v>
      </c>
      <c r="Q574" s="13" t="str">
        <f t="shared" si="34"/>
        <v/>
      </c>
      <c r="R574" s="13" t="str">
        <f t="shared" si="35"/>
        <v>Non diskon</v>
      </c>
    </row>
    <row r="575" spans="1:18" x14ac:dyDescent="0.25">
      <c r="A575" s="13" t="s">
        <v>587</v>
      </c>
      <c r="B575" s="13" t="s">
        <v>2190</v>
      </c>
      <c r="C575" s="13" t="s">
        <v>2197</v>
      </c>
      <c r="D575" s="13" t="s">
        <v>2205</v>
      </c>
      <c r="E575" s="13" t="s">
        <v>2210</v>
      </c>
      <c r="F575" s="13" t="s">
        <v>2217</v>
      </c>
      <c r="G575" s="13">
        <v>153.88</v>
      </c>
      <c r="H575" s="44">
        <v>0</v>
      </c>
      <c r="I575" s="13">
        <v>153.88</v>
      </c>
      <c r="J575" s="24">
        <v>45875</v>
      </c>
      <c r="K575" s="25">
        <v>42</v>
      </c>
      <c r="L575" s="25">
        <v>2.2000000000000002</v>
      </c>
      <c r="M575" s="13" t="b">
        <v>0</v>
      </c>
      <c r="O575" s="25">
        <f t="shared" si="32"/>
        <v>27</v>
      </c>
      <c r="P575" s="13">
        <f t="shared" si="33"/>
        <v>0</v>
      </c>
      <c r="Q575" s="13" t="str">
        <f t="shared" si="34"/>
        <v/>
      </c>
      <c r="R575" s="13" t="str">
        <f t="shared" si="35"/>
        <v>Non diskon</v>
      </c>
    </row>
    <row r="576" spans="1:18" x14ac:dyDescent="0.25">
      <c r="A576" s="13" t="s">
        <v>588</v>
      </c>
      <c r="B576" s="13" t="s">
        <v>2192</v>
      </c>
      <c r="C576" s="13" t="s">
        <v>2201</v>
      </c>
      <c r="D576" s="13" t="s">
        <v>2207</v>
      </c>
      <c r="F576" s="13" t="s">
        <v>2221</v>
      </c>
      <c r="G576" s="13">
        <v>68.87</v>
      </c>
      <c r="H576" s="44">
        <v>0</v>
      </c>
      <c r="I576" s="13">
        <v>68.87</v>
      </c>
      <c r="J576" s="24">
        <v>45875</v>
      </c>
      <c r="K576" s="25">
        <v>9</v>
      </c>
      <c r="L576" s="25">
        <v>1.1000000000000001</v>
      </c>
      <c r="M576" s="13" t="b">
        <v>0</v>
      </c>
      <c r="O576" s="25">
        <f t="shared" si="32"/>
        <v>27</v>
      </c>
      <c r="P576" s="13">
        <f t="shared" si="33"/>
        <v>0</v>
      </c>
      <c r="Q576" s="13" t="str">
        <f t="shared" si="34"/>
        <v/>
      </c>
      <c r="R576" s="13" t="str">
        <f t="shared" si="35"/>
        <v>Non diskon</v>
      </c>
    </row>
    <row r="577" spans="1:18" x14ac:dyDescent="0.25">
      <c r="A577" s="13" t="s">
        <v>589</v>
      </c>
      <c r="B577" s="13" t="s">
        <v>2194</v>
      </c>
      <c r="C577" s="13" t="s">
        <v>2201</v>
      </c>
      <c r="D577" s="13" t="s">
        <v>2206</v>
      </c>
      <c r="E577" s="13" t="s">
        <v>2213</v>
      </c>
      <c r="F577" s="13" t="s">
        <v>2215</v>
      </c>
      <c r="G577" s="13">
        <v>25.56</v>
      </c>
      <c r="H577" s="44">
        <v>38.9</v>
      </c>
      <c r="I577" s="13">
        <v>15.62</v>
      </c>
      <c r="J577" s="24">
        <v>45875</v>
      </c>
      <c r="K577" s="25">
        <v>48</v>
      </c>
      <c r="L577" s="25">
        <v>3.0575757575757576</v>
      </c>
      <c r="M577" s="13" t="b">
        <v>0</v>
      </c>
      <c r="O577" s="25">
        <f t="shared" si="32"/>
        <v>27</v>
      </c>
      <c r="P577" s="13">
        <f t="shared" si="33"/>
        <v>1867.1999999999998</v>
      </c>
      <c r="Q577" s="13" t="str">
        <f t="shared" si="34"/>
        <v/>
      </c>
      <c r="R577" s="13" t="str">
        <f t="shared" si="35"/>
        <v>Diskon</v>
      </c>
    </row>
    <row r="578" spans="1:18" x14ac:dyDescent="0.25">
      <c r="A578" s="13" t="s">
        <v>590</v>
      </c>
      <c r="B578" s="13" t="s">
        <v>2190</v>
      </c>
      <c r="C578" s="13" t="s">
        <v>2200</v>
      </c>
      <c r="D578" s="13" t="s">
        <v>2206</v>
      </c>
      <c r="E578" s="13" t="s">
        <v>2211</v>
      </c>
      <c r="F578" s="13" t="s">
        <v>2217</v>
      </c>
      <c r="G578" s="13">
        <v>246.49</v>
      </c>
      <c r="H578" s="44">
        <v>0</v>
      </c>
      <c r="I578" s="13">
        <v>246.49</v>
      </c>
      <c r="J578" s="24">
        <v>45875</v>
      </c>
      <c r="K578" s="25">
        <v>20</v>
      </c>
      <c r="L578" s="25">
        <v>4.8</v>
      </c>
      <c r="M578" s="13" t="b">
        <v>0</v>
      </c>
      <c r="O578" s="25">
        <f t="shared" si="32"/>
        <v>27</v>
      </c>
      <c r="P578" s="13">
        <f t="shared" si="33"/>
        <v>0</v>
      </c>
      <c r="Q578" s="13" t="str">
        <f t="shared" si="34"/>
        <v/>
      </c>
      <c r="R578" s="13" t="str">
        <f t="shared" si="35"/>
        <v>Non diskon</v>
      </c>
    </row>
    <row r="579" spans="1:18" x14ac:dyDescent="0.25">
      <c r="A579" s="13" t="s">
        <v>591</v>
      </c>
      <c r="B579" s="13" t="s">
        <v>2192</v>
      </c>
      <c r="C579" s="13" t="s">
        <v>2200</v>
      </c>
      <c r="D579" s="13" t="s">
        <v>2206</v>
      </c>
      <c r="F579" s="13" t="s">
        <v>2220</v>
      </c>
      <c r="G579" s="13">
        <v>52.41</v>
      </c>
      <c r="H579" s="44">
        <v>0</v>
      </c>
      <c r="I579" s="13">
        <v>52.41</v>
      </c>
      <c r="J579" s="24">
        <v>45875</v>
      </c>
      <c r="K579" s="25">
        <v>14</v>
      </c>
      <c r="L579" s="25">
        <v>2.7333333333333334</v>
      </c>
      <c r="M579" s="13" t="b">
        <v>0</v>
      </c>
      <c r="O579" s="25">
        <f t="shared" ref="O579:O642" si="36">DATE(2025,9,2)-J579</f>
        <v>27</v>
      </c>
      <c r="P579" s="13">
        <f t="shared" ref="P579:P642" si="37">H579*K579</f>
        <v>0</v>
      </c>
      <c r="Q579" s="13" t="str">
        <f t="shared" ref="Q579:Q642" si="38">IF(M579=FALSE,"",1)</f>
        <v/>
      </c>
      <c r="R579" s="13" t="str">
        <f t="shared" ref="R579:R642" si="39">IF(H579=0,"Non diskon","Diskon")</f>
        <v>Non diskon</v>
      </c>
    </row>
    <row r="580" spans="1:18" x14ac:dyDescent="0.25">
      <c r="A580" s="13" t="s">
        <v>592</v>
      </c>
      <c r="B580" s="13" t="s">
        <v>2191</v>
      </c>
      <c r="C580" s="13" t="s">
        <v>2196</v>
      </c>
      <c r="D580" s="13" t="s">
        <v>2207</v>
      </c>
      <c r="E580" s="13" t="s">
        <v>2213</v>
      </c>
      <c r="F580" s="13" t="s">
        <v>2222</v>
      </c>
      <c r="G580" s="13">
        <v>33.770000000000003</v>
      </c>
      <c r="H580" s="44">
        <v>0</v>
      </c>
      <c r="I580" s="13">
        <v>33.770000000000003</v>
      </c>
      <c r="J580" s="24">
        <v>45875</v>
      </c>
      <c r="K580" s="25">
        <v>12</v>
      </c>
      <c r="L580" s="25">
        <v>3.8</v>
      </c>
      <c r="M580" s="13" t="b">
        <v>0</v>
      </c>
      <c r="O580" s="25">
        <f t="shared" si="36"/>
        <v>27</v>
      </c>
      <c r="P580" s="13">
        <f t="shared" si="37"/>
        <v>0</v>
      </c>
      <c r="Q580" s="13" t="str">
        <f t="shared" si="38"/>
        <v/>
      </c>
      <c r="R580" s="13" t="str">
        <f t="shared" si="39"/>
        <v>Non diskon</v>
      </c>
    </row>
    <row r="581" spans="1:18" x14ac:dyDescent="0.25">
      <c r="A581" s="13" t="s">
        <v>593</v>
      </c>
      <c r="B581" s="13" t="s">
        <v>2193</v>
      </c>
      <c r="C581" s="13" t="s">
        <v>2200</v>
      </c>
      <c r="D581" s="13" t="s">
        <v>2207</v>
      </c>
      <c r="E581" s="13" t="s">
        <v>2213</v>
      </c>
      <c r="F581" s="13" t="s">
        <v>2215</v>
      </c>
      <c r="G581" s="13">
        <v>96.7</v>
      </c>
      <c r="H581" s="44">
        <v>0</v>
      </c>
      <c r="I581" s="13">
        <v>96.7</v>
      </c>
      <c r="J581" s="24">
        <v>45875</v>
      </c>
      <c r="K581" s="25">
        <v>28</v>
      </c>
      <c r="L581" s="25">
        <v>3</v>
      </c>
      <c r="M581" s="13" t="b">
        <v>0</v>
      </c>
      <c r="O581" s="25">
        <f t="shared" si="36"/>
        <v>27</v>
      </c>
      <c r="P581" s="13">
        <f t="shared" si="37"/>
        <v>0</v>
      </c>
      <c r="Q581" s="13" t="str">
        <f t="shared" si="38"/>
        <v/>
      </c>
      <c r="R581" s="13" t="str">
        <f t="shared" si="39"/>
        <v>Non diskon</v>
      </c>
    </row>
    <row r="582" spans="1:18" x14ac:dyDescent="0.25">
      <c r="A582" s="13" t="s">
        <v>594</v>
      </c>
      <c r="B582" s="13" t="s">
        <v>2195</v>
      </c>
      <c r="C582" s="13" t="s">
        <v>2200</v>
      </c>
      <c r="D582" s="13" t="s">
        <v>2204</v>
      </c>
      <c r="E582" s="13" t="s">
        <v>2213</v>
      </c>
      <c r="F582" s="13" t="s">
        <v>2214</v>
      </c>
      <c r="G582" s="13">
        <v>95.81</v>
      </c>
      <c r="H582" s="44">
        <v>0</v>
      </c>
      <c r="I582" s="13">
        <v>95.81</v>
      </c>
      <c r="J582" s="24">
        <v>45786</v>
      </c>
      <c r="K582" s="25">
        <v>47</v>
      </c>
      <c r="L582" s="25">
        <v>4.9000000000000004</v>
      </c>
      <c r="M582" s="13" t="b">
        <v>0</v>
      </c>
      <c r="O582" s="25">
        <f t="shared" si="36"/>
        <v>116</v>
      </c>
      <c r="P582" s="13">
        <f t="shared" si="37"/>
        <v>0</v>
      </c>
      <c r="Q582" s="13" t="str">
        <f t="shared" si="38"/>
        <v/>
      </c>
      <c r="R582" s="13" t="str">
        <f t="shared" si="39"/>
        <v>Non diskon</v>
      </c>
    </row>
    <row r="583" spans="1:18" x14ac:dyDescent="0.25">
      <c r="A583" s="13" t="s">
        <v>595</v>
      </c>
      <c r="B583" s="13" t="s">
        <v>2191</v>
      </c>
      <c r="C583" s="13" t="s">
        <v>2202</v>
      </c>
      <c r="D583" s="13" t="s">
        <v>2206</v>
      </c>
      <c r="E583" s="13" t="s">
        <v>2213</v>
      </c>
      <c r="F583" s="13" t="s">
        <v>2224</v>
      </c>
      <c r="G583" s="13">
        <v>41.58</v>
      </c>
      <c r="H583" s="44">
        <v>0</v>
      </c>
      <c r="I583" s="13">
        <v>41.58</v>
      </c>
      <c r="J583" s="24">
        <v>45875</v>
      </c>
      <c r="K583" s="25">
        <v>3</v>
      </c>
      <c r="L583" s="25">
        <v>1.6</v>
      </c>
      <c r="M583" s="13" t="b">
        <v>0</v>
      </c>
      <c r="O583" s="25">
        <f t="shared" si="36"/>
        <v>27</v>
      </c>
      <c r="P583" s="13">
        <f t="shared" si="37"/>
        <v>0</v>
      </c>
      <c r="Q583" s="13" t="str">
        <f t="shared" si="38"/>
        <v/>
      </c>
      <c r="R583" s="13" t="str">
        <f t="shared" si="39"/>
        <v>Non diskon</v>
      </c>
    </row>
    <row r="584" spans="1:18" x14ac:dyDescent="0.25">
      <c r="A584" s="13" t="s">
        <v>596</v>
      </c>
      <c r="B584" s="13" t="s">
        <v>2191</v>
      </c>
      <c r="C584" s="13" t="s">
        <v>2197</v>
      </c>
      <c r="D584" s="13" t="s">
        <v>2207</v>
      </c>
      <c r="E584" s="13" t="s">
        <v>2208</v>
      </c>
      <c r="F584" s="13" t="s">
        <v>2218</v>
      </c>
      <c r="G584" s="13">
        <v>46.67</v>
      </c>
      <c r="H584" s="44">
        <v>6.6</v>
      </c>
      <c r="I584" s="13">
        <v>43.59</v>
      </c>
      <c r="J584" s="24">
        <v>45875</v>
      </c>
      <c r="K584" s="25">
        <v>35</v>
      </c>
      <c r="L584" s="25">
        <v>1.3</v>
      </c>
      <c r="M584" s="13" t="b">
        <v>1</v>
      </c>
      <c r="N584" s="13" t="s">
        <v>2228</v>
      </c>
      <c r="O584" s="25">
        <f t="shared" si="36"/>
        <v>27</v>
      </c>
      <c r="P584" s="13">
        <f t="shared" si="37"/>
        <v>231</v>
      </c>
      <c r="Q584" s="13">
        <f t="shared" si="38"/>
        <v>1</v>
      </c>
      <c r="R584" s="13" t="str">
        <f t="shared" si="39"/>
        <v>Diskon</v>
      </c>
    </row>
    <row r="585" spans="1:18" x14ac:dyDescent="0.25">
      <c r="A585" s="13" t="s">
        <v>597</v>
      </c>
      <c r="B585" s="13" t="s">
        <v>2194</v>
      </c>
      <c r="C585" s="13" t="s">
        <v>2196</v>
      </c>
      <c r="D585" s="13" t="s">
        <v>2205</v>
      </c>
      <c r="E585" s="13" t="s">
        <v>2209</v>
      </c>
      <c r="F585" s="13" t="s">
        <v>2221</v>
      </c>
      <c r="G585" s="13">
        <v>25.98</v>
      </c>
      <c r="H585" s="44">
        <v>59.4</v>
      </c>
      <c r="I585" s="13">
        <v>10.55</v>
      </c>
      <c r="J585" s="24">
        <v>45875</v>
      </c>
      <c r="K585" s="25">
        <v>40</v>
      </c>
      <c r="L585" s="25">
        <v>2.9210526315789478</v>
      </c>
      <c r="M585" s="13" t="b">
        <v>0</v>
      </c>
      <c r="O585" s="25">
        <f t="shared" si="36"/>
        <v>27</v>
      </c>
      <c r="P585" s="13">
        <f t="shared" si="37"/>
        <v>2376</v>
      </c>
      <c r="Q585" s="13" t="str">
        <f t="shared" si="38"/>
        <v/>
      </c>
      <c r="R585" s="13" t="str">
        <f t="shared" si="39"/>
        <v>Diskon</v>
      </c>
    </row>
    <row r="586" spans="1:18" x14ac:dyDescent="0.25">
      <c r="A586" s="13" t="s">
        <v>598</v>
      </c>
      <c r="B586" s="13" t="s">
        <v>2190</v>
      </c>
      <c r="C586" s="13" t="s">
        <v>2197</v>
      </c>
      <c r="D586" s="13" t="s">
        <v>2207</v>
      </c>
      <c r="E586" s="13" t="s">
        <v>2209</v>
      </c>
      <c r="F586" s="13" t="s">
        <v>2221</v>
      </c>
      <c r="G586" s="13">
        <v>204.82</v>
      </c>
      <c r="H586" s="44">
        <v>14</v>
      </c>
      <c r="I586" s="13">
        <v>176.15</v>
      </c>
      <c r="J586" s="24">
        <v>45875</v>
      </c>
      <c r="K586" s="25">
        <v>27</v>
      </c>
      <c r="L586" s="25">
        <v>3.8</v>
      </c>
      <c r="M586" s="13" t="b">
        <v>0</v>
      </c>
      <c r="O586" s="25">
        <f t="shared" si="36"/>
        <v>27</v>
      </c>
      <c r="P586" s="13">
        <f t="shared" si="37"/>
        <v>378</v>
      </c>
      <c r="Q586" s="13" t="str">
        <f t="shared" si="38"/>
        <v/>
      </c>
      <c r="R586" s="13" t="str">
        <f t="shared" si="39"/>
        <v>Diskon</v>
      </c>
    </row>
    <row r="587" spans="1:18" x14ac:dyDescent="0.25">
      <c r="A587" s="13" t="s">
        <v>599</v>
      </c>
      <c r="B587" s="13" t="s">
        <v>2191</v>
      </c>
      <c r="C587" s="13" t="s">
        <v>2196</v>
      </c>
      <c r="D587" s="13" t="s">
        <v>2205</v>
      </c>
      <c r="E587" s="13" t="s">
        <v>2211</v>
      </c>
      <c r="F587" s="13" t="s">
        <v>2215</v>
      </c>
      <c r="G587" s="13">
        <v>43.43</v>
      </c>
      <c r="H587" s="44">
        <v>47.1</v>
      </c>
      <c r="I587" s="13">
        <v>22.97</v>
      </c>
      <c r="J587" s="24">
        <v>45875</v>
      </c>
      <c r="K587" s="25">
        <v>44</v>
      </c>
      <c r="L587" s="25">
        <v>4.7</v>
      </c>
      <c r="M587" s="13" t="b">
        <v>0</v>
      </c>
      <c r="O587" s="25">
        <f t="shared" si="36"/>
        <v>27</v>
      </c>
      <c r="P587" s="13">
        <f t="shared" si="37"/>
        <v>2072.4</v>
      </c>
      <c r="Q587" s="13" t="str">
        <f t="shared" si="38"/>
        <v/>
      </c>
      <c r="R587" s="13" t="str">
        <f t="shared" si="39"/>
        <v>Diskon</v>
      </c>
    </row>
    <row r="588" spans="1:18" x14ac:dyDescent="0.25">
      <c r="A588" s="13" t="s">
        <v>600</v>
      </c>
      <c r="B588" s="13" t="s">
        <v>2192</v>
      </c>
      <c r="C588" s="13" t="s">
        <v>2200</v>
      </c>
      <c r="D588" s="13" t="s">
        <v>2207</v>
      </c>
      <c r="F588" s="13" t="s">
        <v>2219</v>
      </c>
      <c r="G588" s="13">
        <v>40.5</v>
      </c>
      <c r="H588" s="44">
        <v>40.5</v>
      </c>
      <c r="I588" s="13">
        <v>24.1</v>
      </c>
      <c r="J588" s="24">
        <v>45875</v>
      </c>
      <c r="K588" s="25">
        <v>25</v>
      </c>
      <c r="L588" s="25">
        <v>2.9</v>
      </c>
      <c r="M588" s="13" t="b">
        <v>0</v>
      </c>
      <c r="O588" s="25">
        <f t="shared" si="36"/>
        <v>27</v>
      </c>
      <c r="P588" s="13">
        <f t="shared" si="37"/>
        <v>1012.5</v>
      </c>
      <c r="Q588" s="13" t="str">
        <f t="shared" si="38"/>
        <v/>
      </c>
      <c r="R588" s="13" t="str">
        <f t="shared" si="39"/>
        <v>Diskon</v>
      </c>
    </row>
    <row r="589" spans="1:18" x14ac:dyDescent="0.25">
      <c r="A589" s="13" t="s">
        <v>601</v>
      </c>
      <c r="B589" s="13" t="s">
        <v>2194</v>
      </c>
      <c r="C589" s="13" t="s">
        <v>2203</v>
      </c>
      <c r="D589" s="13" t="s">
        <v>2205</v>
      </c>
      <c r="E589" s="13" t="s">
        <v>2213</v>
      </c>
      <c r="F589" s="13" t="s">
        <v>2214</v>
      </c>
      <c r="G589" s="13">
        <v>73.59</v>
      </c>
      <c r="H589" s="44">
        <v>16.600000000000001</v>
      </c>
      <c r="I589" s="13">
        <v>61.37</v>
      </c>
      <c r="J589" s="24">
        <v>45875</v>
      </c>
      <c r="K589" s="25">
        <v>34</v>
      </c>
      <c r="L589" s="25">
        <v>4</v>
      </c>
      <c r="M589" s="13" t="b">
        <v>0</v>
      </c>
      <c r="O589" s="25">
        <f t="shared" si="36"/>
        <v>27</v>
      </c>
      <c r="P589" s="13">
        <f t="shared" si="37"/>
        <v>564.40000000000009</v>
      </c>
      <c r="Q589" s="13" t="str">
        <f t="shared" si="38"/>
        <v/>
      </c>
      <c r="R589" s="13" t="str">
        <f t="shared" si="39"/>
        <v>Diskon</v>
      </c>
    </row>
    <row r="590" spans="1:18" x14ac:dyDescent="0.25">
      <c r="A590" s="13" t="s">
        <v>602</v>
      </c>
      <c r="B590" s="13" t="s">
        <v>2192</v>
      </c>
      <c r="C590" s="13" t="s">
        <v>2201</v>
      </c>
      <c r="D590" s="13" t="s">
        <v>2207</v>
      </c>
      <c r="F590" s="13" t="s">
        <v>2222</v>
      </c>
      <c r="G590" s="13">
        <v>17.670000000000002</v>
      </c>
      <c r="H590" s="44">
        <v>0</v>
      </c>
      <c r="I590" s="13">
        <v>17.670000000000002</v>
      </c>
      <c r="J590" s="24">
        <v>45875</v>
      </c>
      <c r="K590" s="25">
        <v>29</v>
      </c>
      <c r="L590" s="25">
        <v>4.3</v>
      </c>
      <c r="M590" s="13" t="b">
        <v>0</v>
      </c>
      <c r="O590" s="25">
        <f t="shared" si="36"/>
        <v>27</v>
      </c>
      <c r="P590" s="13">
        <f t="shared" si="37"/>
        <v>0</v>
      </c>
      <c r="Q590" s="13" t="str">
        <f t="shared" si="38"/>
        <v/>
      </c>
      <c r="R590" s="13" t="str">
        <f t="shared" si="39"/>
        <v>Non diskon</v>
      </c>
    </row>
    <row r="591" spans="1:18" x14ac:dyDescent="0.25">
      <c r="A591" s="13" t="s">
        <v>603</v>
      </c>
      <c r="B591" s="13" t="s">
        <v>2195</v>
      </c>
      <c r="C591" s="13" t="s">
        <v>2202</v>
      </c>
      <c r="D591" s="13" t="s">
        <v>2205</v>
      </c>
      <c r="E591" s="13" t="s">
        <v>2210</v>
      </c>
      <c r="F591" s="13" t="s">
        <v>2220</v>
      </c>
      <c r="G591" s="13">
        <v>70.010000000000005</v>
      </c>
      <c r="H591" s="44">
        <v>28</v>
      </c>
      <c r="I591" s="13">
        <v>50.41</v>
      </c>
      <c r="J591" s="24">
        <v>45875</v>
      </c>
      <c r="K591" s="25">
        <v>23</v>
      </c>
      <c r="L591" s="25">
        <v>2.980952380952381</v>
      </c>
      <c r="M591" s="13" t="b">
        <v>0</v>
      </c>
      <c r="O591" s="25">
        <f t="shared" si="36"/>
        <v>27</v>
      </c>
      <c r="P591" s="13">
        <f t="shared" si="37"/>
        <v>644</v>
      </c>
      <c r="Q591" s="13" t="str">
        <f t="shared" si="38"/>
        <v/>
      </c>
      <c r="R591" s="13" t="str">
        <f t="shared" si="39"/>
        <v>Diskon</v>
      </c>
    </row>
    <row r="592" spans="1:18" x14ac:dyDescent="0.25">
      <c r="A592" s="13" t="s">
        <v>604</v>
      </c>
      <c r="B592" s="13" t="s">
        <v>2193</v>
      </c>
      <c r="C592" s="13" t="s">
        <v>2199</v>
      </c>
      <c r="D592" s="13" t="s">
        <v>2206</v>
      </c>
      <c r="E592" s="13" t="s">
        <v>2212</v>
      </c>
      <c r="F592" s="13" t="s">
        <v>2214</v>
      </c>
      <c r="G592" s="13">
        <v>79.319999999999993</v>
      </c>
      <c r="H592" s="44">
        <v>33.700000000000003</v>
      </c>
      <c r="I592" s="13">
        <v>52.59</v>
      </c>
      <c r="J592" s="24">
        <v>45875</v>
      </c>
      <c r="K592" s="25">
        <v>38</v>
      </c>
      <c r="L592" s="25">
        <v>3</v>
      </c>
      <c r="M592" s="13" t="b">
        <v>1</v>
      </c>
      <c r="N592" s="13" t="s">
        <v>2226</v>
      </c>
      <c r="O592" s="25">
        <f t="shared" si="36"/>
        <v>27</v>
      </c>
      <c r="P592" s="13">
        <f t="shared" si="37"/>
        <v>1280.6000000000001</v>
      </c>
      <c r="Q592" s="13">
        <f t="shared" si="38"/>
        <v>1</v>
      </c>
      <c r="R592" s="13" t="str">
        <f t="shared" si="39"/>
        <v>Diskon</v>
      </c>
    </row>
    <row r="593" spans="1:18" x14ac:dyDescent="0.25">
      <c r="A593" s="13" t="s">
        <v>605</v>
      </c>
      <c r="B593" s="13" t="s">
        <v>2192</v>
      </c>
      <c r="C593" s="13" t="s">
        <v>2196</v>
      </c>
      <c r="D593" s="13" t="s">
        <v>2207</v>
      </c>
      <c r="F593" s="13" t="s">
        <v>2221</v>
      </c>
      <c r="G593" s="13">
        <v>45.24</v>
      </c>
      <c r="H593" s="44">
        <v>0</v>
      </c>
      <c r="I593" s="13">
        <v>45.24</v>
      </c>
      <c r="J593" s="24">
        <v>45875</v>
      </c>
      <c r="K593" s="25">
        <v>20</v>
      </c>
      <c r="L593" s="25">
        <v>3</v>
      </c>
      <c r="M593" s="13" t="b">
        <v>1</v>
      </c>
      <c r="N593" s="13" t="s">
        <v>2228</v>
      </c>
      <c r="O593" s="25">
        <f t="shared" si="36"/>
        <v>27</v>
      </c>
      <c r="P593" s="13">
        <f t="shared" si="37"/>
        <v>0</v>
      </c>
      <c r="Q593" s="13">
        <f t="shared" si="38"/>
        <v>1</v>
      </c>
      <c r="R593" s="13" t="str">
        <f t="shared" si="39"/>
        <v>Non diskon</v>
      </c>
    </row>
    <row r="594" spans="1:18" x14ac:dyDescent="0.25">
      <c r="A594" s="13" t="s">
        <v>606</v>
      </c>
      <c r="B594" s="13" t="s">
        <v>2191</v>
      </c>
      <c r="C594" s="13" t="s">
        <v>2200</v>
      </c>
      <c r="D594" s="13" t="s">
        <v>2207</v>
      </c>
      <c r="E594" s="13" t="s">
        <v>2211</v>
      </c>
      <c r="F594" s="13" t="s">
        <v>2214</v>
      </c>
      <c r="G594" s="13">
        <v>63.51</v>
      </c>
      <c r="H594" s="44">
        <v>13.6</v>
      </c>
      <c r="I594" s="13">
        <v>54.87</v>
      </c>
      <c r="J594" s="24">
        <v>45875</v>
      </c>
      <c r="K594" s="25">
        <v>19</v>
      </c>
      <c r="L594" s="25">
        <v>2.9657142857142857</v>
      </c>
      <c r="M594" s="13" t="b">
        <v>0</v>
      </c>
      <c r="O594" s="25">
        <f t="shared" si="36"/>
        <v>27</v>
      </c>
      <c r="P594" s="13">
        <f t="shared" si="37"/>
        <v>258.39999999999998</v>
      </c>
      <c r="Q594" s="13" t="str">
        <f t="shared" si="38"/>
        <v/>
      </c>
      <c r="R594" s="13" t="str">
        <f t="shared" si="39"/>
        <v>Diskon</v>
      </c>
    </row>
    <row r="595" spans="1:18" x14ac:dyDescent="0.25">
      <c r="A595" s="13" t="s">
        <v>607</v>
      </c>
      <c r="B595" s="13" t="s">
        <v>2194</v>
      </c>
      <c r="C595" s="13" t="s">
        <v>2201</v>
      </c>
      <c r="D595" s="13" t="s">
        <v>2205</v>
      </c>
      <c r="E595" s="13" t="s">
        <v>2211</v>
      </c>
      <c r="F595" s="13" t="s">
        <v>2217</v>
      </c>
      <c r="G595" s="13">
        <v>55.23</v>
      </c>
      <c r="H595" s="44">
        <v>33.6</v>
      </c>
      <c r="I595" s="13">
        <v>36.67</v>
      </c>
      <c r="J595" s="24">
        <v>45875</v>
      </c>
      <c r="K595" s="25">
        <v>9</v>
      </c>
      <c r="L595" s="25">
        <v>3.0575757575757576</v>
      </c>
      <c r="M595" s="13" t="b">
        <v>0</v>
      </c>
      <c r="O595" s="25">
        <f t="shared" si="36"/>
        <v>27</v>
      </c>
      <c r="P595" s="13">
        <f t="shared" si="37"/>
        <v>302.40000000000003</v>
      </c>
      <c r="Q595" s="13" t="str">
        <f t="shared" si="38"/>
        <v/>
      </c>
      <c r="R595" s="13" t="str">
        <f t="shared" si="39"/>
        <v>Diskon</v>
      </c>
    </row>
    <row r="596" spans="1:18" x14ac:dyDescent="0.25">
      <c r="A596" s="13" t="s">
        <v>608</v>
      </c>
      <c r="B596" s="13" t="s">
        <v>2195</v>
      </c>
      <c r="C596" s="13" t="s">
        <v>2198</v>
      </c>
      <c r="D596" s="13" t="s">
        <v>2206</v>
      </c>
      <c r="E596" s="13" t="s">
        <v>2213</v>
      </c>
      <c r="F596" s="13" t="s">
        <v>2222</v>
      </c>
      <c r="G596" s="13">
        <v>137.59</v>
      </c>
      <c r="H596" s="44">
        <v>0</v>
      </c>
      <c r="I596" s="13">
        <v>137.59</v>
      </c>
      <c r="J596" s="24">
        <v>45875</v>
      </c>
      <c r="K596" s="25">
        <v>18</v>
      </c>
      <c r="L596" s="25">
        <v>2.9000000000000008</v>
      </c>
      <c r="M596" s="13" t="b">
        <v>0</v>
      </c>
      <c r="O596" s="25">
        <f t="shared" si="36"/>
        <v>27</v>
      </c>
      <c r="P596" s="13">
        <f t="shared" si="37"/>
        <v>0</v>
      </c>
      <c r="Q596" s="13" t="str">
        <f t="shared" si="38"/>
        <v/>
      </c>
      <c r="R596" s="13" t="str">
        <f t="shared" si="39"/>
        <v>Non diskon</v>
      </c>
    </row>
    <row r="597" spans="1:18" x14ac:dyDescent="0.25">
      <c r="A597" s="13" t="s">
        <v>609</v>
      </c>
      <c r="B597" s="13" t="s">
        <v>2193</v>
      </c>
      <c r="C597" s="13" t="s">
        <v>2200</v>
      </c>
      <c r="D597" s="13" t="s">
        <v>2206</v>
      </c>
      <c r="F597" s="13" t="s">
        <v>2217</v>
      </c>
      <c r="G597" s="13">
        <v>65.8</v>
      </c>
      <c r="H597" s="44">
        <v>0</v>
      </c>
      <c r="I597" s="13">
        <v>65.8</v>
      </c>
      <c r="J597" s="24">
        <v>45875</v>
      </c>
      <c r="K597" s="25">
        <v>46</v>
      </c>
      <c r="L597" s="25">
        <v>3.2</v>
      </c>
      <c r="M597" s="13" t="b">
        <v>0</v>
      </c>
      <c r="O597" s="25">
        <f t="shared" si="36"/>
        <v>27</v>
      </c>
      <c r="P597" s="13">
        <f t="shared" si="37"/>
        <v>0</v>
      </c>
      <c r="Q597" s="13" t="str">
        <f t="shared" si="38"/>
        <v/>
      </c>
      <c r="R597" s="13" t="str">
        <f t="shared" si="39"/>
        <v>Non diskon</v>
      </c>
    </row>
    <row r="598" spans="1:18" x14ac:dyDescent="0.25">
      <c r="A598" s="13" t="s">
        <v>610</v>
      </c>
      <c r="B598" s="13" t="s">
        <v>2193</v>
      </c>
      <c r="C598" s="13" t="s">
        <v>2197</v>
      </c>
      <c r="D598" s="13" t="s">
        <v>2205</v>
      </c>
      <c r="E598" s="13" t="s">
        <v>2208</v>
      </c>
      <c r="F598" s="13" t="s">
        <v>2219</v>
      </c>
      <c r="G598" s="13">
        <v>88.42</v>
      </c>
      <c r="H598" s="44">
        <v>0</v>
      </c>
      <c r="I598" s="13">
        <v>88.42</v>
      </c>
      <c r="J598" s="24">
        <v>45875</v>
      </c>
      <c r="K598" s="25">
        <v>44</v>
      </c>
      <c r="L598" s="25">
        <v>3.4</v>
      </c>
      <c r="M598" s="13" t="b">
        <v>1</v>
      </c>
      <c r="N598" s="13" t="s">
        <v>2227</v>
      </c>
      <c r="O598" s="25">
        <f t="shared" si="36"/>
        <v>27</v>
      </c>
      <c r="P598" s="13">
        <f t="shared" si="37"/>
        <v>0</v>
      </c>
      <c r="Q598" s="13">
        <f t="shared" si="38"/>
        <v>1</v>
      </c>
      <c r="R598" s="13" t="str">
        <f t="shared" si="39"/>
        <v>Non diskon</v>
      </c>
    </row>
    <row r="599" spans="1:18" x14ac:dyDescent="0.25">
      <c r="A599" s="13" t="s">
        <v>611</v>
      </c>
      <c r="B599" s="13" t="s">
        <v>2195</v>
      </c>
      <c r="C599" s="13" t="s">
        <v>2199</v>
      </c>
      <c r="D599" s="13" t="s">
        <v>2206</v>
      </c>
      <c r="E599" s="13" t="s">
        <v>2213</v>
      </c>
      <c r="F599" s="13" t="s">
        <v>2214</v>
      </c>
      <c r="G599" s="13">
        <v>75.540000000000006</v>
      </c>
      <c r="H599" s="44">
        <v>0</v>
      </c>
      <c r="I599" s="13">
        <v>75.540000000000006</v>
      </c>
      <c r="J599" s="24">
        <v>45875</v>
      </c>
      <c r="K599" s="25">
        <v>6</v>
      </c>
      <c r="L599" s="25">
        <v>4.5999999999999996</v>
      </c>
      <c r="M599" s="13" t="b">
        <v>0</v>
      </c>
      <c r="O599" s="25">
        <f t="shared" si="36"/>
        <v>27</v>
      </c>
      <c r="P599" s="13">
        <f t="shared" si="37"/>
        <v>0</v>
      </c>
      <c r="Q599" s="13" t="str">
        <f t="shared" si="38"/>
        <v/>
      </c>
      <c r="R599" s="13" t="str">
        <f t="shared" si="39"/>
        <v>Non diskon</v>
      </c>
    </row>
    <row r="600" spans="1:18" x14ac:dyDescent="0.25">
      <c r="A600" s="13" t="s">
        <v>612</v>
      </c>
      <c r="B600" s="13" t="s">
        <v>2193</v>
      </c>
      <c r="C600" s="13" t="s">
        <v>2200</v>
      </c>
      <c r="D600" s="13" t="s">
        <v>2204</v>
      </c>
      <c r="E600" s="13" t="s">
        <v>2209</v>
      </c>
      <c r="F600" s="13" t="s">
        <v>2217</v>
      </c>
      <c r="G600" s="13">
        <v>185.13</v>
      </c>
      <c r="H600" s="44">
        <v>0</v>
      </c>
      <c r="I600" s="13">
        <v>185.13</v>
      </c>
      <c r="J600" s="24">
        <v>45786</v>
      </c>
      <c r="K600" s="25">
        <v>49</v>
      </c>
      <c r="L600" s="25">
        <v>4.9000000000000004</v>
      </c>
      <c r="M600" s="13" t="b">
        <v>0</v>
      </c>
      <c r="O600" s="25">
        <f t="shared" si="36"/>
        <v>116</v>
      </c>
      <c r="P600" s="13">
        <f t="shared" si="37"/>
        <v>0</v>
      </c>
      <c r="Q600" s="13" t="str">
        <f t="shared" si="38"/>
        <v/>
      </c>
      <c r="R600" s="13" t="str">
        <f t="shared" si="39"/>
        <v>Non diskon</v>
      </c>
    </row>
    <row r="601" spans="1:18" x14ac:dyDescent="0.25">
      <c r="A601" s="13" t="s">
        <v>613</v>
      </c>
      <c r="B601" s="13" t="s">
        <v>2190</v>
      </c>
      <c r="C601" s="13" t="s">
        <v>2199</v>
      </c>
      <c r="D601" s="13" t="s">
        <v>2206</v>
      </c>
      <c r="E601" s="13" t="s">
        <v>2209</v>
      </c>
      <c r="F601" s="13" t="s">
        <v>2216</v>
      </c>
      <c r="G601" s="13">
        <v>132.58000000000001</v>
      </c>
      <c r="H601" s="44">
        <v>0</v>
      </c>
      <c r="I601" s="13">
        <v>132.58000000000001</v>
      </c>
      <c r="J601" s="24">
        <v>45875</v>
      </c>
      <c r="K601" s="25">
        <v>45</v>
      </c>
      <c r="L601" s="25">
        <v>1.6</v>
      </c>
      <c r="M601" s="13" t="b">
        <v>0</v>
      </c>
      <c r="O601" s="25">
        <f t="shared" si="36"/>
        <v>27</v>
      </c>
      <c r="P601" s="13">
        <f t="shared" si="37"/>
        <v>0</v>
      </c>
      <c r="Q601" s="13" t="str">
        <f t="shared" si="38"/>
        <v/>
      </c>
      <c r="R601" s="13" t="str">
        <f t="shared" si="39"/>
        <v>Non diskon</v>
      </c>
    </row>
    <row r="602" spans="1:18" x14ac:dyDescent="0.25">
      <c r="A602" s="13" t="s">
        <v>614</v>
      </c>
      <c r="B602" s="13" t="s">
        <v>2194</v>
      </c>
      <c r="C602" s="13" t="s">
        <v>2196</v>
      </c>
      <c r="D602" s="13" t="s">
        <v>2206</v>
      </c>
      <c r="E602" s="13" t="s">
        <v>2213</v>
      </c>
      <c r="F602" s="13" t="s">
        <v>2217</v>
      </c>
      <c r="G602" s="13">
        <v>93.38</v>
      </c>
      <c r="H602" s="44">
        <v>0</v>
      </c>
      <c r="I602" s="13">
        <v>93.38</v>
      </c>
      <c r="J602" s="24">
        <v>45875</v>
      </c>
      <c r="K602" s="25">
        <v>7</v>
      </c>
      <c r="L602" s="25">
        <v>3.5</v>
      </c>
      <c r="M602" s="13" t="b">
        <v>0</v>
      </c>
      <c r="O602" s="25">
        <f t="shared" si="36"/>
        <v>27</v>
      </c>
      <c r="P602" s="13">
        <f t="shared" si="37"/>
        <v>0</v>
      </c>
      <c r="Q602" s="13" t="str">
        <f t="shared" si="38"/>
        <v/>
      </c>
      <c r="R602" s="13" t="str">
        <f t="shared" si="39"/>
        <v>Non diskon</v>
      </c>
    </row>
    <row r="603" spans="1:18" x14ac:dyDescent="0.25">
      <c r="A603" s="13" t="s">
        <v>615</v>
      </c>
      <c r="B603" s="13" t="s">
        <v>2192</v>
      </c>
      <c r="C603" s="13" t="s">
        <v>2201</v>
      </c>
      <c r="D603" s="13" t="s">
        <v>2206</v>
      </c>
      <c r="F603" s="13" t="s">
        <v>2216</v>
      </c>
      <c r="G603" s="13">
        <v>47.28</v>
      </c>
      <c r="H603" s="44">
        <v>0</v>
      </c>
      <c r="I603" s="13">
        <v>47.28</v>
      </c>
      <c r="J603" s="24">
        <v>45875</v>
      </c>
      <c r="K603" s="25">
        <v>38</v>
      </c>
      <c r="L603" s="25">
        <v>4.2</v>
      </c>
      <c r="M603" s="13" t="b">
        <v>0</v>
      </c>
      <c r="O603" s="25">
        <f t="shared" si="36"/>
        <v>27</v>
      </c>
      <c r="P603" s="13">
        <f t="shared" si="37"/>
        <v>0</v>
      </c>
      <c r="Q603" s="13" t="str">
        <f t="shared" si="38"/>
        <v/>
      </c>
      <c r="R603" s="13" t="str">
        <f t="shared" si="39"/>
        <v>Non diskon</v>
      </c>
    </row>
    <row r="604" spans="1:18" x14ac:dyDescent="0.25">
      <c r="A604" s="13" t="s">
        <v>616</v>
      </c>
      <c r="B604" s="13" t="s">
        <v>2194</v>
      </c>
      <c r="C604" s="13" t="s">
        <v>2198</v>
      </c>
      <c r="D604" s="13" t="s">
        <v>2204</v>
      </c>
      <c r="E604" s="13" t="s">
        <v>2209</v>
      </c>
      <c r="F604" s="13" t="s">
        <v>2220</v>
      </c>
      <c r="G604" s="13">
        <v>59.88</v>
      </c>
      <c r="H604" s="44">
        <v>0</v>
      </c>
      <c r="I604" s="13">
        <v>59.88</v>
      </c>
      <c r="J604" s="24">
        <v>45577</v>
      </c>
      <c r="K604" s="25">
        <v>33</v>
      </c>
      <c r="L604" s="25">
        <v>2.9</v>
      </c>
      <c r="M604" s="13" t="b">
        <v>0</v>
      </c>
      <c r="O604" s="25">
        <f t="shared" si="36"/>
        <v>325</v>
      </c>
      <c r="P604" s="13">
        <f t="shared" si="37"/>
        <v>0</v>
      </c>
      <c r="Q604" s="13" t="str">
        <f t="shared" si="38"/>
        <v/>
      </c>
      <c r="R604" s="13" t="str">
        <f t="shared" si="39"/>
        <v>Non diskon</v>
      </c>
    </row>
    <row r="605" spans="1:18" x14ac:dyDescent="0.25">
      <c r="A605" s="13" t="s">
        <v>617</v>
      </c>
      <c r="B605" s="13" t="s">
        <v>2195</v>
      </c>
      <c r="C605" s="13" t="s">
        <v>2200</v>
      </c>
      <c r="D605" s="13" t="s">
        <v>2205</v>
      </c>
      <c r="E605" s="13" t="s">
        <v>2211</v>
      </c>
      <c r="F605" s="13" t="s">
        <v>2216</v>
      </c>
      <c r="G605" s="13">
        <v>140.07</v>
      </c>
      <c r="H605" s="44">
        <v>0</v>
      </c>
      <c r="I605" s="13">
        <v>140.07</v>
      </c>
      <c r="J605" s="24">
        <v>45875</v>
      </c>
      <c r="K605" s="25">
        <v>15</v>
      </c>
      <c r="L605" s="25">
        <v>2.7</v>
      </c>
      <c r="M605" s="13" t="b">
        <v>0</v>
      </c>
      <c r="O605" s="25">
        <f t="shared" si="36"/>
        <v>27</v>
      </c>
      <c r="P605" s="13">
        <f t="shared" si="37"/>
        <v>0</v>
      </c>
      <c r="Q605" s="13" t="str">
        <f t="shared" si="38"/>
        <v/>
      </c>
      <c r="R605" s="13" t="str">
        <f t="shared" si="39"/>
        <v>Non diskon</v>
      </c>
    </row>
    <row r="606" spans="1:18" x14ac:dyDescent="0.25">
      <c r="A606" s="13" t="s">
        <v>618</v>
      </c>
      <c r="B606" s="13" t="s">
        <v>2192</v>
      </c>
      <c r="C606" s="13" t="s">
        <v>2197</v>
      </c>
      <c r="D606" s="13" t="s">
        <v>2205</v>
      </c>
      <c r="F606" s="13" t="s">
        <v>2216</v>
      </c>
      <c r="G606" s="13">
        <v>66.599999999999994</v>
      </c>
      <c r="H606" s="44">
        <v>0</v>
      </c>
      <c r="I606" s="13">
        <v>66.599999999999994</v>
      </c>
      <c r="J606" s="24">
        <v>45875</v>
      </c>
      <c r="K606" s="25">
        <v>47</v>
      </c>
      <c r="L606" s="25">
        <v>4</v>
      </c>
      <c r="M606" s="13" t="b">
        <v>0</v>
      </c>
      <c r="O606" s="25">
        <f t="shared" si="36"/>
        <v>27</v>
      </c>
      <c r="P606" s="13">
        <f t="shared" si="37"/>
        <v>0</v>
      </c>
      <c r="Q606" s="13" t="str">
        <f t="shared" si="38"/>
        <v/>
      </c>
      <c r="R606" s="13" t="str">
        <f t="shared" si="39"/>
        <v>Non diskon</v>
      </c>
    </row>
    <row r="607" spans="1:18" x14ac:dyDescent="0.25">
      <c r="A607" s="13" t="s">
        <v>619</v>
      </c>
      <c r="B607" s="13" t="s">
        <v>2192</v>
      </c>
      <c r="C607" s="13" t="s">
        <v>2202</v>
      </c>
      <c r="D607" s="13" t="s">
        <v>2207</v>
      </c>
      <c r="F607" s="13" t="s">
        <v>2223</v>
      </c>
      <c r="G607" s="13">
        <v>39.82</v>
      </c>
      <c r="H607" s="44">
        <v>35.4</v>
      </c>
      <c r="I607" s="13">
        <v>25.72</v>
      </c>
      <c r="J607" s="24">
        <v>45875</v>
      </c>
      <c r="K607" s="25">
        <v>9</v>
      </c>
      <c r="L607" s="25">
        <v>4.5999999999999996</v>
      </c>
      <c r="M607" s="13" t="b">
        <v>0</v>
      </c>
      <c r="O607" s="25">
        <f t="shared" si="36"/>
        <v>27</v>
      </c>
      <c r="P607" s="13">
        <f t="shared" si="37"/>
        <v>318.59999999999997</v>
      </c>
      <c r="Q607" s="13" t="str">
        <f t="shared" si="38"/>
        <v/>
      </c>
      <c r="R607" s="13" t="str">
        <f t="shared" si="39"/>
        <v>Diskon</v>
      </c>
    </row>
    <row r="608" spans="1:18" x14ac:dyDescent="0.25">
      <c r="A608" s="13" t="s">
        <v>620</v>
      </c>
      <c r="B608" s="13" t="s">
        <v>2192</v>
      </c>
      <c r="C608" s="13" t="s">
        <v>2196</v>
      </c>
      <c r="D608" s="13" t="s">
        <v>2206</v>
      </c>
      <c r="F608" s="13" t="s">
        <v>2214</v>
      </c>
      <c r="G608" s="13">
        <v>70.739999999999995</v>
      </c>
      <c r="H608" s="44">
        <v>0</v>
      </c>
      <c r="I608" s="13">
        <v>70.739999999999995</v>
      </c>
      <c r="J608" s="24">
        <v>45875</v>
      </c>
      <c r="K608" s="25">
        <v>49</v>
      </c>
      <c r="L608" s="25">
        <v>1.8</v>
      </c>
      <c r="M608" s="13" t="b">
        <v>0</v>
      </c>
      <c r="O608" s="25">
        <f t="shared" si="36"/>
        <v>27</v>
      </c>
      <c r="P608" s="13">
        <f t="shared" si="37"/>
        <v>0</v>
      </c>
      <c r="Q608" s="13" t="str">
        <f t="shared" si="38"/>
        <v/>
      </c>
      <c r="R608" s="13" t="str">
        <f t="shared" si="39"/>
        <v>Non diskon</v>
      </c>
    </row>
    <row r="609" spans="1:18" x14ac:dyDescent="0.25">
      <c r="A609" s="13" t="s">
        <v>621</v>
      </c>
      <c r="B609" s="13" t="s">
        <v>2195</v>
      </c>
      <c r="C609" s="13" t="s">
        <v>2196</v>
      </c>
      <c r="D609" s="13" t="s">
        <v>2204</v>
      </c>
      <c r="E609" s="13" t="s">
        <v>2213</v>
      </c>
      <c r="F609" s="13" t="s">
        <v>2214</v>
      </c>
      <c r="G609" s="13">
        <v>95.33</v>
      </c>
      <c r="H609" s="44">
        <v>0</v>
      </c>
      <c r="I609" s="13">
        <v>95.33</v>
      </c>
      <c r="J609" s="24">
        <v>45815</v>
      </c>
      <c r="K609" s="25">
        <v>36</v>
      </c>
      <c r="L609" s="25">
        <v>3.0424242424242425</v>
      </c>
      <c r="M609" s="13" t="b">
        <v>1</v>
      </c>
      <c r="N609" s="13" t="s">
        <v>2228</v>
      </c>
      <c r="O609" s="25">
        <f t="shared" si="36"/>
        <v>87</v>
      </c>
      <c r="P609" s="13">
        <f t="shared" si="37"/>
        <v>0</v>
      </c>
      <c r="Q609" s="13">
        <f t="shared" si="38"/>
        <v>1</v>
      </c>
      <c r="R609" s="13" t="str">
        <f t="shared" si="39"/>
        <v>Non diskon</v>
      </c>
    </row>
    <row r="610" spans="1:18" x14ac:dyDescent="0.25">
      <c r="A610" s="13" t="s">
        <v>622</v>
      </c>
      <c r="B610" s="13" t="s">
        <v>2192</v>
      </c>
      <c r="C610" s="13" t="s">
        <v>2203</v>
      </c>
      <c r="D610" s="13" t="s">
        <v>2204</v>
      </c>
      <c r="F610" s="13" t="s">
        <v>2214</v>
      </c>
      <c r="G610" s="13">
        <v>32.619999999999997</v>
      </c>
      <c r="H610" s="44">
        <v>29.1</v>
      </c>
      <c r="I610" s="13">
        <v>23.13</v>
      </c>
      <c r="J610" s="24">
        <v>45865</v>
      </c>
      <c r="K610" s="25">
        <v>9</v>
      </c>
      <c r="L610" s="25">
        <v>1.4</v>
      </c>
      <c r="M610" s="13" t="b">
        <v>0</v>
      </c>
      <c r="O610" s="25">
        <f t="shared" si="36"/>
        <v>37</v>
      </c>
      <c r="P610" s="13">
        <f t="shared" si="37"/>
        <v>261.90000000000003</v>
      </c>
      <c r="Q610" s="13" t="str">
        <f t="shared" si="38"/>
        <v/>
      </c>
      <c r="R610" s="13" t="str">
        <f t="shared" si="39"/>
        <v>Diskon</v>
      </c>
    </row>
    <row r="611" spans="1:18" x14ac:dyDescent="0.25">
      <c r="A611" s="13" t="s">
        <v>623</v>
      </c>
      <c r="B611" s="13" t="s">
        <v>2194</v>
      </c>
      <c r="C611" s="13" t="s">
        <v>2199</v>
      </c>
      <c r="D611" s="13" t="s">
        <v>2207</v>
      </c>
      <c r="E611" s="13" t="s">
        <v>2208</v>
      </c>
      <c r="F611" s="13" t="s">
        <v>2223</v>
      </c>
      <c r="G611" s="13">
        <v>41.07</v>
      </c>
      <c r="H611" s="44">
        <v>0</v>
      </c>
      <c r="I611" s="13">
        <v>41.07</v>
      </c>
      <c r="J611" s="24">
        <v>45875</v>
      </c>
      <c r="K611" s="25">
        <v>10</v>
      </c>
      <c r="L611" s="25">
        <v>4.8</v>
      </c>
      <c r="M611" s="13" t="b">
        <v>0</v>
      </c>
      <c r="O611" s="25">
        <f t="shared" si="36"/>
        <v>27</v>
      </c>
      <c r="P611" s="13">
        <f t="shared" si="37"/>
        <v>0</v>
      </c>
      <c r="Q611" s="13" t="str">
        <f t="shared" si="38"/>
        <v/>
      </c>
      <c r="R611" s="13" t="str">
        <f t="shared" si="39"/>
        <v>Non diskon</v>
      </c>
    </row>
    <row r="612" spans="1:18" x14ac:dyDescent="0.25">
      <c r="A612" s="13" t="s">
        <v>624</v>
      </c>
      <c r="B612" s="13" t="s">
        <v>2194</v>
      </c>
      <c r="C612" s="13" t="s">
        <v>2196</v>
      </c>
      <c r="D612" s="13" t="s">
        <v>2205</v>
      </c>
      <c r="E612" s="13" t="s">
        <v>2208</v>
      </c>
      <c r="F612" s="13" t="s">
        <v>2218</v>
      </c>
      <c r="G612" s="13">
        <v>43.1</v>
      </c>
      <c r="H612" s="44">
        <v>0</v>
      </c>
      <c r="I612" s="13">
        <v>43.1</v>
      </c>
      <c r="J612" s="24">
        <v>45875</v>
      </c>
      <c r="K612" s="25">
        <v>34</v>
      </c>
      <c r="L612" s="25">
        <v>4.9000000000000004</v>
      </c>
      <c r="M612" s="13" t="b">
        <v>0</v>
      </c>
      <c r="O612" s="25">
        <f t="shared" si="36"/>
        <v>27</v>
      </c>
      <c r="P612" s="13">
        <f t="shared" si="37"/>
        <v>0</v>
      </c>
      <c r="Q612" s="13" t="str">
        <f t="shared" si="38"/>
        <v/>
      </c>
      <c r="R612" s="13" t="str">
        <f t="shared" si="39"/>
        <v>Non diskon</v>
      </c>
    </row>
    <row r="613" spans="1:18" x14ac:dyDescent="0.25">
      <c r="A613" s="13" t="s">
        <v>625</v>
      </c>
      <c r="B613" s="13" t="s">
        <v>2190</v>
      </c>
      <c r="C613" s="13" t="s">
        <v>2201</v>
      </c>
      <c r="D613" s="13" t="s">
        <v>2205</v>
      </c>
      <c r="E613" s="13" t="s">
        <v>2211</v>
      </c>
      <c r="F613" s="13" t="s">
        <v>2222</v>
      </c>
      <c r="G613" s="13">
        <v>102.03</v>
      </c>
      <c r="H613" s="44">
        <v>27.9</v>
      </c>
      <c r="I613" s="13">
        <v>73.56</v>
      </c>
      <c r="J613" s="24">
        <v>45875</v>
      </c>
      <c r="K613" s="25">
        <v>21</v>
      </c>
      <c r="L613" s="25">
        <v>2.2000000000000002</v>
      </c>
      <c r="M613" s="13" t="b">
        <v>1</v>
      </c>
      <c r="N613" s="13" t="s">
        <v>2226</v>
      </c>
      <c r="O613" s="25">
        <f t="shared" si="36"/>
        <v>27</v>
      </c>
      <c r="P613" s="13">
        <f t="shared" si="37"/>
        <v>585.9</v>
      </c>
      <c r="Q613" s="13">
        <f t="shared" si="38"/>
        <v>1</v>
      </c>
      <c r="R613" s="13" t="str">
        <f t="shared" si="39"/>
        <v>Diskon</v>
      </c>
    </row>
    <row r="614" spans="1:18" x14ac:dyDescent="0.25">
      <c r="A614" s="13" t="s">
        <v>626</v>
      </c>
      <c r="B614" s="13" t="s">
        <v>2192</v>
      </c>
      <c r="C614" s="13" t="s">
        <v>2199</v>
      </c>
      <c r="D614" s="13" t="s">
        <v>2205</v>
      </c>
      <c r="F614" s="13" t="s">
        <v>2214</v>
      </c>
      <c r="G614" s="13">
        <v>54.11</v>
      </c>
      <c r="H614" s="44">
        <v>0</v>
      </c>
      <c r="I614" s="13">
        <v>54.11</v>
      </c>
      <c r="J614" s="24">
        <v>45875</v>
      </c>
      <c r="K614" s="25">
        <v>15</v>
      </c>
      <c r="L614" s="25">
        <v>2.6</v>
      </c>
      <c r="M614" s="13" t="b">
        <v>0</v>
      </c>
      <c r="O614" s="25">
        <f t="shared" si="36"/>
        <v>27</v>
      </c>
      <c r="P614" s="13">
        <f t="shared" si="37"/>
        <v>0</v>
      </c>
      <c r="Q614" s="13" t="str">
        <f t="shared" si="38"/>
        <v/>
      </c>
      <c r="R614" s="13" t="str">
        <f t="shared" si="39"/>
        <v>Non diskon</v>
      </c>
    </row>
    <row r="615" spans="1:18" x14ac:dyDescent="0.25">
      <c r="A615" s="13" t="s">
        <v>627</v>
      </c>
      <c r="B615" s="13" t="s">
        <v>2192</v>
      </c>
      <c r="C615" s="13" t="s">
        <v>2199</v>
      </c>
      <c r="D615" s="13" t="s">
        <v>2205</v>
      </c>
      <c r="F615" s="13" t="s">
        <v>2223</v>
      </c>
      <c r="G615" s="13">
        <v>43.5</v>
      </c>
      <c r="H615" s="44">
        <v>0</v>
      </c>
      <c r="I615" s="13">
        <v>43.5</v>
      </c>
      <c r="J615" s="24">
        <v>45875</v>
      </c>
      <c r="K615" s="25">
        <v>35</v>
      </c>
      <c r="L615" s="25">
        <v>2.8</v>
      </c>
      <c r="M615" s="13" t="b">
        <v>0</v>
      </c>
      <c r="O615" s="25">
        <f t="shared" si="36"/>
        <v>27</v>
      </c>
      <c r="P615" s="13">
        <f t="shared" si="37"/>
        <v>0</v>
      </c>
      <c r="Q615" s="13" t="str">
        <f t="shared" si="38"/>
        <v/>
      </c>
      <c r="R615" s="13" t="str">
        <f t="shared" si="39"/>
        <v>Non diskon</v>
      </c>
    </row>
    <row r="616" spans="1:18" x14ac:dyDescent="0.25">
      <c r="A616" s="13" t="s">
        <v>628</v>
      </c>
      <c r="B616" s="13" t="s">
        <v>2192</v>
      </c>
      <c r="C616" s="13" t="s">
        <v>2198</v>
      </c>
      <c r="D616" s="13" t="s">
        <v>2205</v>
      </c>
      <c r="F616" s="13" t="s">
        <v>2215</v>
      </c>
      <c r="G616" s="13">
        <v>66</v>
      </c>
      <c r="H616" s="44">
        <v>0</v>
      </c>
      <c r="I616" s="13">
        <v>66</v>
      </c>
      <c r="J616" s="24">
        <v>45875</v>
      </c>
      <c r="K616" s="25">
        <v>19</v>
      </c>
      <c r="L616" s="25">
        <v>2.6</v>
      </c>
      <c r="M616" s="13" t="b">
        <v>0</v>
      </c>
      <c r="O616" s="25">
        <f t="shared" si="36"/>
        <v>27</v>
      </c>
      <c r="P616" s="13">
        <f t="shared" si="37"/>
        <v>0</v>
      </c>
      <c r="Q616" s="13" t="str">
        <f t="shared" si="38"/>
        <v/>
      </c>
      <c r="R616" s="13" t="str">
        <f t="shared" si="39"/>
        <v>Non diskon</v>
      </c>
    </row>
    <row r="617" spans="1:18" x14ac:dyDescent="0.25">
      <c r="A617" s="13" t="s">
        <v>629</v>
      </c>
      <c r="B617" s="13" t="s">
        <v>2194</v>
      </c>
      <c r="C617" s="13" t="s">
        <v>2198</v>
      </c>
      <c r="D617" s="13" t="s">
        <v>2207</v>
      </c>
      <c r="E617" s="13" t="s">
        <v>2213</v>
      </c>
      <c r="F617" s="13" t="s">
        <v>2217</v>
      </c>
      <c r="G617" s="13">
        <v>38.85</v>
      </c>
      <c r="H617" s="44">
        <v>0</v>
      </c>
      <c r="I617" s="13">
        <v>38.85</v>
      </c>
      <c r="J617" s="24">
        <v>45875</v>
      </c>
      <c r="K617" s="25">
        <v>10</v>
      </c>
      <c r="L617" s="25">
        <v>3.8</v>
      </c>
      <c r="M617" s="13" t="b">
        <v>0</v>
      </c>
      <c r="O617" s="25">
        <f t="shared" si="36"/>
        <v>27</v>
      </c>
      <c r="P617" s="13">
        <f t="shared" si="37"/>
        <v>0</v>
      </c>
      <c r="Q617" s="13" t="str">
        <f t="shared" si="38"/>
        <v/>
      </c>
      <c r="R617" s="13" t="str">
        <f t="shared" si="39"/>
        <v>Non diskon</v>
      </c>
    </row>
    <row r="618" spans="1:18" x14ac:dyDescent="0.25">
      <c r="A618" s="13" t="s">
        <v>630</v>
      </c>
      <c r="B618" s="13" t="s">
        <v>2192</v>
      </c>
      <c r="C618" s="13" t="s">
        <v>2196</v>
      </c>
      <c r="D618" s="13" t="s">
        <v>2207</v>
      </c>
      <c r="F618" s="13" t="s">
        <v>2221</v>
      </c>
      <c r="G618" s="13">
        <v>61.29</v>
      </c>
      <c r="H618" s="44">
        <v>0</v>
      </c>
      <c r="I618" s="13">
        <v>61.29</v>
      </c>
      <c r="J618" s="24">
        <v>45875</v>
      </c>
      <c r="K618" s="25">
        <v>15</v>
      </c>
      <c r="L618" s="25">
        <v>4</v>
      </c>
      <c r="M618" s="13" t="b">
        <v>0</v>
      </c>
      <c r="O618" s="25">
        <f t="shared" si="36"/>
        <v>27</v>
      </c>
      <c r="P618" s="13">
        <f t="shared" si="37"/>
        <v>0</v>
      </c>
      <c r="Q618" s="13" t="str">
        <f t="shared" si="38"/>
        <v/>
      </c>
      <c r="R618" s="13" t="str">
        <f t="shared" si="39"/>
        <v>Non diskon</v>
      </c>
    </row>
    <row r="619" spans="1:18" x14ac:dyDescent="0.25">
      <c r="A619" s="13" t="s">
        <v>631</v>
      </c>
      <c r="B619" s="13" t="s">
        <v>2194</v>
      </c>
      <c r="C619" s="13" t="s">
        <v>2200</v>
      </c>
      <c r="D619" s="13" t="s">
        <v>2204</v>
      </c>
      <c r="E619" s="13" t="s">
        <v>2212</v>
      </c>
      <c r="F619" s="13" t="s">
        <v>2221</v>
      </c>
      <c r="G619" s="13">
        <v>90.66</v>
      </c>
      <c r="H619" s="44">
        <v>0</v>
      </c>
      <c r="I619" s="13">
        <v>90.66</v>
      </c>
      <c r="J619" s="24">
        <v>45736</v>
      </c>
      <c r="K619" s="25">
        <v>49</v>
      </c>
      <c r="L619" s="25">
        <v>2.4</v>
      </c>
      <c r="M619" s="13" t="b">
        <v>1</v>
      </c>
      <c r="N619" s="13" t="s">
        <v>2225</v>
      </c>
      <c r="O619" s="25">
        <f t="shared" si="36"/>
        <v>166</v>
      </c>
      <c r="P619" s="13">
        <f t="shared" si="37"/>
        <v>0</v>
      </c>
      <c r="Q619" s="13">
        <f t="shared" si="38"/>
        <v>1</v>
      </c>
      <c r="R619" s="13" t="str">
        <f t="shared" si="39"/>
        <v>Non diskon</v>
      </c>
    </row>
    <row r="620" spans="1:18" x14ac:dyDescent="0.25">
      <c r="A620" s="13" t="s">
        <v>632</v>
      </c>
      <c r="B620" s="13" t="s">
        <v>2195</v>
      </c>
      <c r="C620" s="13" t="s">
        <v>2199</v>
      </c>
      <c r="D620" s="13" t="s">
        <v>2206</v>
      </c>
      <c r="E620" s="13" t="s">
        <v>2208</v>
      </c>
      <c r="F620" s="13" t="s">
        <v>2220</v>
      </c>
      <c r="G620" s="13">
        <v>119.96</v>
      </c>
      <c r="H620" s="44">
        <v>0</v>
      </c>
      <c r="I620" s="13">
        <v>119.96</v>
      </c>
      <c r="J620" s="24">
        <v>45875</v>
      </c>
      <c r="K620" s="25">
        <v>5</v>
      </c>
      <c r="L620" s="25">
        <v>5</v>
      </c>
      <c r="M620" s="13" t="b">
        <v>0</v>
      </c>
      <c r="O620" s="25">
        <f t="shared" si="36"/>
        <v>27</v>
      </c>
      <c r="P620" s="13">
        <f t="shared" si="37"/>
        <v>0</v>
      </c>
      <c r="Q620" s="13" t="str">
        <f t="shared" si="38"/>
        <v/>
      </c>
      <c r="R620" s="13" t="str">
        <f t="shared" si="39"/>
        <v>Non diskon</v>
      </c>
    </row>
    <row r="621" spans="1:18" x14ac:dyDescent="0.25">
      <c r="A621" s="13" t="s">
        <v>633</v>
      </c>
      <c r="B621" s="13" t="s">
        <v>2193</v>
      </c>
      <c r="C621" s="13" t="s">
        <v>2203</v>
      </c>
      <c r="D621" s="13" t="s">
        <v>2206</v>
      </c>
      <c r="E621" s="13" t="s">
        <v>2211</v>
      </c>
      <c r="F621" s="13" t="s">
        <v>2214</v>
      </c>
      <c r="G621" s="13">
        <v>130.21</v>
      </c>
      <c r="H621" s="44">
        <v>0</v>
      </c>
      <c r="I621" s="13">
        <v>130.21</v>
      </c>
      <c r="J621" s="24">
        <v>45875</v>
      </c>
      <c r="K621" s="25">
        <v>50</v>
      </c>
      <c r="L621" s="25">
        <v>4.7</v>
      </c>
      <c r="M621" s="13" t="b">
        <v>0</v>
      </c>
      <c r="O621" s="25">
        <f t="shared" si="36"/>
        <v>27</v>
      </c>
      <c r="P621" s="13">
        <f t="shared" si="37"/>
        <v>0</v>
      </c>
      <c r="Q621" s="13" t="str">
        <f t="shared" si="38"/>
        <v/>
      </c>
      <c r="R621" s="13" t="str">
        <f t="shared" si="39"/>
        <v>Non diskon</v>
      </c>
    </row>
    <row r="622" spans="1:18" x14ac:dyDescent="0.25">
      <c r="A622" s="13" t="s">
        <v>634</v>
      </c>
      <c r="B622" s="13" t="s">
        <v>2191</v>
      </c>
      <c r="C622" s="13" t="s">
        <v>2198</v>
      </c>
      <c r="D622" s="13" t="s">
        <v>2205</v>
      </c>
      <c r="E622" s="13" t="s">
        <v>2212</v>
      </c>
      <c r="F622" s="13" t="s">
        <v>2214</v>
      </c>
      <c r="G622" s="13">
        <v>49.68</v>
      </c>
      <c r="H622" s="44">
        <v>0</v>
      </c>
      <c r="I622" s="13">
        <v>49.68</v>
      </c>
      <c r="J622" s="24">
        <v>45875</v>
      </c>
      <c r="K622" s="25">
        <v>15</v>
      </c>
      <c r="L622" s="25">
        <v>2.8</v>
      </c>
      <c r="M622" s="13" t="b">
        <v>0</v>
      </c>
      <c r="O622" s="25">
        <f t="shared" si="36"/>
        <v>27</v>
      </c>
      <c r="P622" s="13">
        <f t="shared" si="37"/>
        <v>0</v>
      </c>
      <c r="Q622" s="13" t="str">
        <f t="shared" si="38"/>
        <v/>
      </c>
      <c r="R622" s="13" t="str">
        <f t="shared" si="39"/>
        <v>Non diskon</v>
      </c>
    </row>
    <row r="623" spans="1:18" x14ac:dyDescent="0.25">
      <c r="A623" s="13" t="s">
        <v>635</v>
      </c>
      <c r="B623" s="13" t="s">
        <v>2192</v>
      </c>
      <c r="C623" s="13" t="s">
        <v>2196</v>
      </c>
      <c r="D623" s="13" t="s">
        <v>2204</v>
      </c>
      <c r="F623" s="13" t="s">
        <v>2223</v>
      </c>
      <c r="G623" s="13">
        <v>46.58</v>
      </c>
      <c r="H623" s="44">
        <v>0</v>
      </c>
      <c r="I623" s="13">
        <v>46.58</v>
      </c>
      <c r="J623" s="24">
        <v>45560</v>
      </c>
      <c r="K623" s="25">
        <v>42</v>
      </c>
      <c r="L623" s="25">
        <v>1.7</v>
      </c>
      <c r="M623" s="13" t="b">
        <v>0</v>
      </c>
      <c r="O623" s="25">
        <f t="shared" si="36"/>
        <v>342</v>
      </c>
      <c r="P623" s="13">
        <f t="shared" si="37"/>
        <v>0</v>
      </c>
      <c r="Q623" s="13" t="str">
        <f t="shared" si="38"/>
        <v/>
      </c>
      <c r="R623" s="13" t="str">
        <f t="shared" si="39"/>
        <v>Non diskon</v>
      </c>
    </row>
    <row r="624" spans="1:18" x14ac:dyDescent="0.25">
      <c r="A624" s="13" t="s">
        <v>636</v>
      </c>
      <c r="B624" s="13" t="s">
        <v>2192</v>
      </c>
      <c r="C624" s="13" t="s">
        <v>2199</v>
      </c>
      <c r="D624" s="13" t="s">
        <v>2207</v>
      </c>
      <c r="F624" s="13" t="s">
        <v>2224</v>
      </c>
      <c r="G624" s="13">
        <v>69.88</v>
      </c>
      <c r="H624" s="44">
        <v>0</v>
      </c>
      <c r="I624" s="13">
        <v>69.88</v>
      </c>
      <c r="J624" s="24">
        <v>45875</v>
      </c>
      <c r="K624" s="25">
        <v>8</v>
      </c>
      <c r="L624" s="25">
        <v>2.8</v>
      </c>
      <c r="M624" s="13" t="b">
        <v>0</v>
      </c>
      <c r="O624" s="25">
        <f t="shared" si="36"/>
        <v>27</v>
      </c>
      <c r="P624" s="13">
        <f t="shared" si="37"/>
        <v>0</v>
      </c>
      <c r="Q624" s="13" t="str">
        <f t="shared" si="38"/>
        <v/>
      </c>
      <c r="R624" s="13" t="str">
        <f t="shared" si="39"/>
        <v>Non diskon</v>
      </c>
    </row>
    <row r="625" spans="1:18" x14ac:dyDescent="0.25">
      <c r="A625" s="13" t="s">
        <v>637</v>
      </c>
      <c r="B625" s="13" t="s">
        <v>2192</v>
      </c>
      <c r="C625" s="13" t="s">
        <v>2203</v>
      </c>
      <c r="D625" s="13" t="s">
        <v>2206</v>
      </c>
      <c r="F625" s="13" t="s">
        <v>2220</v>
      </c>
      <c r="G625" s="13">
        <v>32.15</v>
      </c>
      <c r="H625" s="44">
        <v>0</v>
      </c>
      <c r="I625" s="13">
        <v>32.15</v>
      </c>
      <c r="J625" s="24">
        <v>45875</v>
      </c>
      <c r="K625" s="25">
        <v>17</v>
      </c>
      <c r="L625" s="25">
        <v>1.9</v>
      </c>
      <c r="M625" s="13" t="b">
        <v>1</v>
      </c>
      <c r="N625" s="13" t="s">
        <v>2228</v>
      </c>
      <c r="O625" s="25">
        <f t="shared" si="36"/>
        <v>27</v>
      </c>
      <c r="P625" s="13">
        <f t="shared" si="37"/>
        <v>0</v>
      </c>
      <c r="Q625" s="13">
        <f t="shared" si="38"/>
        <v>1</v>
      </c>
      <c r="R625" s="13" t="str">
        <f t="shared" si="39"/>
        <v>Non diskon</v>
      </c>
    </row>
    <row r="626" spans="1:18" x14ac:dyDescent="0.25">
      <c r="A626" s="13" t="s">
        <v>638</v>
      </c>
      <c r="B626" s="13" t="s">
        <v>2194</v>
      </c>
      <c r="C626" s="13" t="s">
        <v>2203</v>
      </c>
      <c r="D626" s="13" t="s">
        <v>2207</v>
      </c>
      <c r="E626" s="13" t="s">
        <v>2210</v>
      </c>
      <c r="F626" s="13" t="s">
        <v>2216</v>
      </c>
      <c r="G626" s="13">
        <v>36.340000000000003</v>
      </c>
      <c r="H626" s="44">
        <v>0</v>
      </c>
      <c r="I626" s="13">
        <v>36.340000000000003</v>
      </c>
      <c r="J626" s="24">
        <v>45875</v>
      </c>
      <c r="K626" s="25">
        <v>6</v>
      </c>
      <c r="L626" s="25">
        <v>4.5</v>
      </c>
      <c r="M626" s="13" t="b">
        <v>1</v>
      </c>
      <c r="N626" s="13" t="s">
        <v>2227</v>
      </c>
      <c r="O626" s="25">
        <f t="shared" si="36"/>
        <v>27</v>
      </c>
      <c r="P626" s="13">
        <f t="shared" si="37"/>
        <v>0</v>
      </c>
      <c r="Q626" s="13">
        <f t="shared" si="38"/>
        <v>1</v>
      </c>
      <c r="R626" s="13" t="str">
        <f t="shared" si="39"/>
        <v>Non diskon</v>
      </c>
    </row>
    <row r="627" spans="1:18" x14ac:dyDescent="0.25">
      <c r="A627" s="13" t="s">
        <v>639</v>
      </c>
      <c r="B627" s="13" t="s">
        <v>2194</v>
      </c>
      <c r="C627" s="13" t="s">
        <v>2199</v>
      </c>
      <c r="D627" s="13" t="s">
        <v>2206</v>
      </c>
      <c r="E627" s="13" t="s">
        <v>2213</v>
      </c>
      <c r="F627" s="13" t="s">
        <v>2221</v>
      </c>
      <c r="G627" s="13">
        <v>93.01</v>
      </c>
      <c r="H627" s="44">
        <v>0</v>
      </c>
      <c r="I627" s="13">
        <v>93.01</v>
      </c>
      <c r="J627" s="24">
        <v>45875</v>
      </c>
      <c r="K627" s="25">
        <v>34</v>
      </c>
      <c r="L627" s="25">
        <v>1.4</v>
      </c>
      <c r="M627" s="13" t="b">
        <v>0</v>
      </c>
      <c r="O627" s="25">
        <f t="shared" si="36"/>
        <v>27</v>
      </c>
      <c r="P627" s="13">
        <f t="shared" si="37"/>
        <v>0</v>
      </c>
      <c r="Q627" s="13" t="str">
        <f t="shared" si="38"/>
        <v/>
      </c>
      <c r="R627" s="13" t="str">
        <f t="shared" si="39"/>
        <v>Non diskon</v>
      </c>
    </row>
    <row r="628" spans="1:18" x14ac:dyDescent="0.25">
      <c r="A628" s="13" t="s">
        <v>640</v>
      </c>
      <c r="B628" s="13" t="s">
        <v>2191</v>
      </c>
      <c r="C628" s="13" t="s">
        <v>2202</v>
      </c>
      <c r="D628" s="13" t="s">
        <v>2205</v>
      </c>
      <c r="E628" s="13" t="s">
        <v>2210</v>
      </c>
      <c r="F628" s="13" t="s">
        <v>2224</v>
      </c>
      <c r="G628" s="13">
        <v>75</v>
      </c>
      <c r="H628" s="44">
        <v>0</v>
      </c>
      <c r="I628" s="13">
        <v>75</v>
      </c>
      <c r="J628" s="24">
        <v>45875</v>
      </c>
      <c r="K628" s="25">
        <v>19</v>
      </c>
      <c r="L628" s="25">
        <v>1.6</v>
      </c>
      <c r="M628" s="13" t="b">
        <v>0</v>
      </c>
      <c r="O628" s="25">
        <f t="shared" si="36"/>
        <v>27</v>
      </c>
      <c r="P628" s="13">
        <f t="shared" si="37"/>
        <v>0</v>
      </c>
      <c r="Q628" s="13" t="str">
        <f t="shared" si="38"/>
        <v/>
      </c>
      <c r="R628" s="13" t="str">
        <f t="shared" si="39"/>
        <v>Non diskon</v>
      </c>
    </row>
    <row r="629" spans="1:18" x14ac:dyDescent="0.25">
      <c r="A629" s="13" t="s">
        <v>641</v>
      </c>
      <c r="B629" s="13" t="s">
        <v>2190</v>
      </c>
      <c r="C629" s="13" t="s">
        <v>2196</v>
      </c>
      <c r="D629" s="13" t="s">
        <v>2206</v>
      </c>
      <c r="E629" s="13" t="s">
        <v>2213</v>
      </c>
      <c r="F629" s="13" t="s">
        <v>2219</v>
      </c>
      <c r="G629" s="13">
        <v>81.63</v>
      </c>
      <c r="H629" s="44">
        <v>12.4</v>
      </c>
      <c r="I629" s="13">
        <v>71.510000000000005</v>
      </c>
      <c r="J629" s="24">
        <v>45875</v>
      </c>
      <c r="K629" s="25">
        <v>3</v>
      </c>
      <c r="L629" s="25">
        <v>2.7030303030303036</v>
      </c>
      <c r="M629" s="13" t="b">
        <v>0</v>
      </c>
      <c r="O629" s="25">
        <f t="shared" si="36"/>
        <v>27</v>
      </c>
      <c r="P629" s="13">
        <f t="shared" si="37"/>
        <v>37.200000000000003</v>
      </c>
      <c r="Q629" s="13" t="str">
        <f t="shared" si="38"/>
        <v/>
      </c>
      <c r="R629" s="13" t="str">
        <f t="shared" si="39"/>
        <v>Diskon</v>
      </c>
    </row>
    <row r="630" spans="1:18" x14ac:dyDescent="0.25">
      <c r="A630" s="13" t="s">
        <v>642</v>
      </c>
      <c r="B630" s="13" t="s">
        <v>2194</v>
      </c>
      <c r="C630" s="13" t="s">
        <v>2197</v>
      </c>
      <c r="D630" s="13" t="s">
        <v>2204</v>
      </c>
      <c r="E630" s="13" t="s">
        <v>2208</v>
      </c>
      <c r="F630" s="13" t="s">
        <v>2218</v>
      </c>
      <c r="G630" s="13">
        <v>109.81</v>
      </c>
      <c r="H630" s="44">
        <v>0</v>
      </c>
      <c r="I630" s="13">
        <v>109.81</v>
      </c>
      <c r="J630" s="24">
        <v>45862</v>
      </c>
      <c r="K630" s="25">
        <v>17</v>
      </c>
      <c r="L630" s="25">
        <v>1.9</v>
      </c>
      <c r="M630" s="13" t="b">
        <v>0</v>
      </c>
      <c r="O630" s="25">
        <f t="shared" si="36"/>
        <v>40</v>
      </c>
      <c r="P630" s="13">
        <f t="shared" si="37"/>
        <v>0</v>
      </c>
      <c r="Q630" s="13" t="str">
        <f t="shared" si="38"/>
        <v/>
      </c>
      <c r="R630" s="13" t="str">
        <f t="shared" si="39"/>
        <v>Non diskon</v>
      </c>
    </row>
    <row r="631" spans="1:18" x14ac:dyDescent="0.25">
      <c r="A631" s="13" t="s">
        <v>643</v>
      </c>
      <c r="B631" s="13" t="s">
        <v>2194</v>
      </c>
      <c r="C631" s="13" t="s">
        <v>2201</v>
      </c>
      <c r="D631" s="13" t="s">
        <v>2206</v>
      </c>
      <c r="F631" s="13" t="s">
        <v>2216</v>
      </c>
      <c r="G631" s="13">
        <v>47.7</v>
      </c>
      <c r="H631" s="44">
        <v>0</v>
      </c>
      <c r="I631" s="13">
        <v>47.7</v>
      </c>
      <c r="J631" s="24">
        <v>45875</v>
      </c>
      <c r="K631" s="25">
        <v>14</v>
      </c>
      <c r="L631" s="25">
        <v>2.2999999999999998</v>
      </c>
      <c r="M631" s="13" t="b">
        <v>0</v>
      </c>
      <c r="O631" s="25">
        <f t="shared" si="36"/>
        <v>27</v>
      </c>
      <c r="P631" s="13">
        <f t="shared" si="37"/>
        <v>0</v>
      </c>
      <c r="Q631" s="13" t="str">
        <f t="shared" si="38"/>
        <v/>
      </c>
      <c r="R631" s="13" t="str">
        <f t="shared" si="39"/>
        <v>Non diskon</v>
      </c>
    </row>
    <row r="632" spans="1:18" x14ac:dyDescent="0.25">
      <c r="A632" s="13" t="s">
        <v>644</v>
      </c>
      <c r="B632" s="13" t="s">
        <v>2191</v>
      </c>
      <c r="C632" s="13" t="s">
        <v>2198</v>
      </c>
      <c r="D632" s="13" t="s">
        <v>2205</v>
      </c>
      <c r="E632" s="13" t="s">
        <v>2210</v>
      </c>
      <c r="F632" s="13" t="s">
        <v>2214</v>
      </c>
      <c r="G632" s="13">
        <v>96.08</v>
      </c>
      <c r="H632" s="44">
        <v>0</v>
      </c>
      <c r="I632" s="13">
        <v>96.08</v>
      </c>
      <c r="J632" s="24">
        <v>45875</v>
      </c>
      <c r="K632" s="25">
        <v>7</v>
      </c>
      <c r="L632" s="25">
        <v>2.5</v>
      </c>
      <c r="M632" s="13" t="b">
        <v>0</v>
      </c>
      <c r="O632" s="25">
        <f t="shared" si="36"/>
        <v>27</v>
      </c>
      <c r="P632" s="13">
        <f t="shared" si="37"/>
        <v>0</v>
      </c>
      <c r="Q632" s="13" t="str">
        <f t="shared" si="38"/>
        <v/>
      </c>
      <c r="R632" s="13" t="str">
        <f t="shared" si="39"/>
        <v>Non diskon</v>
      </c>
    </row>
    <row r="633" spans="1:18" x14ac:dyDescent="0.25">
      <c r="A633" s="13" t="s">
        <v>645</v>
      </c>
      <c r="B633" s="13" t="s">
        <v>2191</v>
      </c>
      <c r="C633" s="13" t="s">
        <v>2200</v>
      </c>
      <c r="D633" s="13" t="s">
        <v>2205</v>
      </c>
      <c r="E633" s="13" t="s">
        <v>2212</v>
      </c>
      <c r="F633" s="13" t="s">
        <v>2224</v>
      </c>
      <c r="G633" s="13">
        <v>28</v>
      </c>
      <c r="H633" s="44">
        <v>2.6</v>
      </c>
      <c r="I633" s="13">
        <v>27.27</v>
      </c>
      <c r="J633" s="24">
        <v>45875</v>
      </c>
      <c r="K633" s="25">
        <v>2</v>
      </c>
      <c r="L633" s="25">
        <v>2.9657142857142857</v>
      </c>
      <c r="M633" s="13" t="b">
        <v>0</v>
      </c>
      <c r="O633" s="25">
        <f t="shared" si="36"/>
        <v>27</v>
      </c>
      <c r="P633" s="13">
        <f t="shared" si="37"/>
        <v>5.2</v>
      </c>
      <c r="Q633" s="13" t="str">
        <f t="shared" si="38"/>
        <v/>
      </c>
      <c r="R633" s="13" t="str">
        <f t="shared" si="39"/>
        <v>Diskon</v>
      </c>
    </row>
    <row r="634" spans="1:18" x14ac:dyDescent="0.25">
      <c r="A634" s="13" t="s">
        <v>646</v>
      </c>
      <c r="B634" s="13" t="s">
        <v>2194</v>
      </c>
      <c r="C634" s="13" t="s">
        <v>2196</v>
      </c>
      <c r="D634" s="13" t="s">
        <v>2205</v>
      </c>
      <c r="E634" s="13" t="s">
        <v>2210</v>
      </c>
      <c r="F634" s="13" t="s">
        <v>2224</v>
      </c>
      <c r="G634" s="13">
        <v>52.43</v>
      </c>
      <c r="H634" s="44">
        <v>6.4</v>
      </c>
      <c r="I634" s="13">
        <v>49.07</v>
      </c>
      <c r="J634" s="24">
        <v>45875</v>
      </c>
      <c r="K634" s="25">
        <v>42</v>
      </c>
      <c r="L634" s="25">
        <v>2.6</v>
      </c>
      <c r="M634" s="13" t="b">
        <v>0</v>
      </c>
      <c r="O634" s="25">
        <f t="shared" si="36"/>
        <v>27</v>
      </c>
      <c r="P634" s="13">
        <f t="shared" si="37"/>
        <v>268.8</v>
      </c>
      <c r="Q634" s="13" t="str">
        <f t="shared" si="38"/>
        <v/>
      </c>
      <c r="R634" s="13" t="str">
        <f t="shared" si="39"/>
        <v>Diskon</v>
      </c>
    </row>
    <row r="635" spans="1:18" x14ac:dyDescent="0.25">
      <c r="A635" s="13" t="s">
        <v>647</v>
      </c>
      <c r="B635" s="13" t="s">
        <v>2192</v>
      </c>
      <c r="C635" s="13" t="s">
        <v>2202</v>
      </c>
      <c r="D635" s="13" t="s">
        <v>2207</v>
      </c>
      <c r="F635" s="13" t="s">
        <v>2215</v>
      </c>
      <c r="G635" s="13">
        <v>67.95</v>
      </c>
      <c r="H635" s="44">
        <v>18.3</v>
      </c>
      <c r="I635" s="13">
        <v>55.52</v>
      </c>
      <c r="J635" s="24">
        <v>45875</v>
      </c>
      <c r="K635" s="25">
        <v>37</v>
      </c>
      <c r="L635" s="25">
        <v>3.2720930232558145</v>
      </c>
      <c r="M635" s="13" t="b">
        <v>0</v>
      </c>
      <c r="O635" s="25">
        <f t="shared" si="36"/>
        <v>27</v>
      </c>
      <c r="P635" s="13">
        <f t="shared" si="37"/>
        <v>677.1</v>
      </c>
      <c r="Q635" s="13" t="str">
        <f t="shared" si="38"/>
        <v/>
      </c>
      <c r="R635" s="13" t="str">
        <f t="shared" si="39"/>
        <v>Diskon</v>
      </c>
    </row>
    <row r="636" spans="1:18" x14ac:dyDescent="0.25">
      <c r="A636" s="13" t="s">
        <v>648</v>
      </c>
      <c r="B636" s="13" t="s">
        <v>2195</v>
      </c>
      <c r="C636" s="13" t="s">
        <v>2201</v>
      </c>
      <c r="D636" s="13" t="s">
        <v>2206</v>
      </c>
      <c r="F636" s="13" t="s">
        <v>2214</v>
      </c>
      <c r="G636" s="13">
        <v>131.91999999999999</v>
      </c>
      <c r="H636" s="44">
        <v>0</v>
      </c>
      <c r="I636" s="13">
        <v>131.91999999999999</v>
      </c>
      <c r="J636" s="24">
        <v>45875</v>
      </c>
      <c r="K636" s="25">
        <v>10</v>
      </c>
      <c r="L636" s="25">
        <v>2.5</v>
      </c>
      <c r="M636" s="13" t="b">
        <v>0</v>
      </c>
      <c r="O636" s="25">
        <f t="shared" si="36"/>
        <v>27</v>
      </c>
      <c r="P636" s="13">
        <f t="shared" si="37"/>
        <v>0</v>
      </c>
      <c r="Q636" s="13" t="str">
        <f t="shared" si="38"/>
        <v/>
      </c>
      <c r="R636" s="13" t="str">
        <f t="shared" si="39"/>
        <v>Non diskon</v>
      </c>
    </row>
    <row r="637" spans="1:18" x14ac:dyDescent="0.25">
      <c r="A637" s="13" t="s">
        <v>649</v>
      </c>
      <c r="B637" s="13" t="s">
        <v>2190</v>
      </c>
      <c r="C637" s="13" t="s">
        <v>2201</v>
      </c>
      <c r="D637" s="13" t="s">
        <v>2204</v>
      </c>
      <c r="E637" s="13" t="s">
        <v>2212</v>
      </c>
      <c r="F637" s="13" t="s">
        <v>2217</v>
      </c>
      <c r="G637" s="13">
        <v>205.77</v>
      </c>
      <c r="H637" s="44">
        <v>0</v>
      </c>
      <c r="I637" s="13">
        <v>205.77</v>
      </c>
      <c r="J637" s="24">
        <v>45688</v>
      </c>
      <c r="K637" s="25">
        <v>38</v>
      </c>
      <c r="L637" s="25">
        <v>1</v>
      </c>
      <c r="M637" s="13" t="b">
        <v>0</v>
      </c>
      <c r="O637" s="25">
        <f t="shared" si="36"/>
        <v>214</v>
      </c>
      <c r="P637" s="13">
        <f t="shared" si="37"/>
        <v>0</v>
      </c>
      <c r="Q637" s="13" t="str">
        <f t="shared" si="38"/>
        <v/>
      </c>
      <c r="R637" s="13" t="str">
        <f t="shared" si="39"/>
        <v>Non diskon</v>
      </c>
    </row>
    <row r="638" spans="1:18" x14ac:dyDescent="0.25">
      <c r="A638" s="13" t="s">
        <v>650</v>
      </c>
      <c r="B638" s="13" t="s">
        <v>2191</v>
      </c>
      <c r="C638" s="13" t="s">
        <v>2197</v>
      </c>
      <c r="D638" s="13" t="s">
        <v>2205</v>
      </c>
      <c r="E638" s="13" t="s">
        <v>2208</v>
      </c>
      <c r="F638" s="13" t="s">
        <v>2217</v>
      </c>
      <c r="G638" s="13">
        <v>97.88</v>
      </c>
      <c r="H638" s="44">
        <v>11.3</v>
      </c>
      <c r="I638" s="13">
        <v>86.82</v>
      </c>
      <c r="J638" s="24">
        <v>45875</v>
      </c>
      <c r="K638" s="25">
        <v>27</v>
      </c>
      <c r="L638" s="25">
        <v>1.3</v>
      </c>
      <c r="M638" s="13" t="b">
        <v>0</v>
      </c>
      <c r="O638" s="25">
        <f t="shared" si="36"/>
        <v>27</v>
      </c>
      <c r="P638" s="13">
        <f t="shared" si="37"/>
        <v>305.10000000000002</v>
      </c>
      <c r="Q638" s="13" t="str">
        <f t="shared" si="38"/>
        <v/>
      </c>
      <c r="R638" s="13" t="str">
        <f t="shared" si="39"/>
        <v>Diskon</v>
      </c>
    </row>
    <row r="639" spans="1:18" x14ac:dyDescent="0.25">
      <c r="A639" s="13" t="s">
        <v>651</v>
      </c>
      <c r="B639" s="13" t="s">
        <v>2193</v>
      </c>
      <c r="C639" s="13" t="s">
        <v>2196</v>
      </c>
      <c r="D639" s="13" t="s">
        <v>2207</v>
      </c>
      <c r="E639" s="13" t="s">
        <v>2209</v>
      </c>
      <c r="F639" s="13" t="s">
        <v>2218</v>
      </c>
      <c r="G639" s="13">
        <v>109.55</v>
      </c>
      <c r="H639" s="44">
        <v>0</v>
      </c>
      <c r="I639" s="13">
        <v>109.55</v>
      </c>
      <c r="J639" s="24">
        <v>45875</v>
      </c>
      <c r="K639" s="25">
        <v>32</v>
      </c>
      <c r="L639" s="25">
        <v>1.4</v>
      </c>
      <c r="M639" s="13" t="b">
        <v>0</v>
      </c>
      <c r="O639" s="25">
        <f t="shared" si="36"/>
        <v>27</v>
      </c>
      <c r="P639" s="13">
        <f t="shared" si="37"/>
        <v>0</v>
      </c>
      <c r="Q639" s="13" t="str">
        <f t="shared" si="38"/>
        <v/>
      </c>
      <c r="R639" s="13" t="str">
        <f t="shared" si="39"/>
        <v>Non diskon</v>
      </c>
    </row>
    <row r="640" spans="1:18" x14ac:dyDescent="0.25">
      <c r="A640" s="13" t="s">
        <v>652</v>
      </c>
      <c r="B640" s="13" t="s">
        <v>2194</v>
      </c>
      <c r="C640" s="13" t="s">
        <v>2196</v>
      </c>
      <c r="D640" s="13" t="s">
        <v>2206</v>
      </c>
      <c r="E640" s="13" t="s">
        <v>2209</v>
      </c>
      <c r="F640" s="13" t="s">
        <v>2218</v>
      </c>
      <c r="G640" s="13">
        <v>52.94</v>
      </c>
      <c r="H640" s="44">
        <v>10.6</v>
      </c>
      <c r="I640" s="13">
        <v>47.33</v>
      </c>
      <c r="J640" s="24">
        <v>45875</v>
      </c>
      <c r="K640" s="25">
        <v>50</v>
      </c>
      <c r="L640" s="25">
        <v>2.7</v>
      </c>
      <c r="M640" s="13" t="b">
        <v>0</v>
      </c>
      <c r="O640" s="25">
        <f t="shared" si="36"/>
        <v>27</v>
      </c>
      <c r="P640" s="13">
        <f t="shared" si="37"/>
        <v>530</v>
      </c>
      <c r="Q640" s="13" t="str">
        <f t="shared" si="38"/>
        <v/>
      </c>
      <c r="R640" s="13" t="str">
        <f t="shared" si="39"/>
        <v>Diskon</v>
      </c>
    </row>
    <row r="641" spans="1:18" x14ac:dyDescent="0.25">
      <c r="A641" s="13" t="s">
        <v>653</v>
      </c>
      <c r="B641" s="13" t="s">
        <v>2194</v>
      </c>
      <c r="C641" s="13" t="s">
        <v>2198</v>
      </c>
      <c r="D641" s="13" t="s">
        <v>2205</v>
      </c>
      <c r="E641" s="13" t="s">
        <v>2212</v>
      </c>
      <c r="F641" s="13" t="s">
        <v>2215</v>
      </c>
      <c r="G641" s="13">
        <v>70.83</v>
      </c>
      <c r="H641" s="44">
        <v>18</v>
      </c>
      <c r="I641" s="13">
        <v>58.08</v>
      </c>
      <c r="J641" s="24">
        <v>45875</v>
      </c>
      <c r="K641" s="25">
        <v>21</v>
      </c>
      <c r="L641" s="25">
        <v>2.9</v>
      </c>
      <c r="M641" s="13" t="b">
        <v>0</v>
      </c>
      <c r="O641" s="25">
        <f t="shared" si="36"/>
        <v>27</v>
      </c>
      <c r="P641" s="13">
        <f t="shared" si="37"/>
        <v>378</v>
      </c>
      <c r="Q641" s="13" t="str">
        <f t="shared" si="38"/>
        <v/>
      </c>
      <c r="R641" s="13" t="str">
        <f t="shared" si="39"/>
        <v>Diskon</v>
      </c>
    </row>
    <row r="642" spans="1:18" x14ac:dyDescent="0.25">
      <c r="A642" s="13" t="s">
        <v>654</v>
      </c>
      <c r="B642" s="13" t="s">
        <v>2195</v>
      </c>
      <c r="C642" s="13" t="s">
        <v>2199</v>
      </c>
      <c r="D642" s="13" t="s">
        <v>2206</v>
      </c>
      <c r="E642" s="13" t="s">
        <v>2209</v>
      </c>
      <c r="F642" s="13" t="s">
        <v>2222</v>
      </c>
      <c r="G642" s="13">
        <v>53.17</v>
      </c>
      <c r="H642" s="44">
        <v>0</v>
      </c>
      <c r="I642" s="13">
        <v>53.17</v>
      </c>
      <c r="J642" s="24">
        <v>45875</v>
      </c>
      <c r="K642" s="25">
        <v>14</v>
      </c>
      <c r="L642" s="25">
        <v>4.5</v>
      </c>
      <c r="M642" s="13" t="b">
        <v>1</v>
      </c>
      <c r="N642" s="13" t="s">
        <v>2229</v>
      </c>
      <c r="O642" s="25">
        <f t="shared" si="36"/>
        <v>27</v>
      </c>
      <c r="P642" s="13">
        <f t="shared" si="37"/>
        <v>0</v>
      </c>
      <c r="Q642" s="13">
        <f t="shared" si="38"/>
        <v>1</v>
      </c>
      <c r="R642" s="13" t="str">
        <f t="shared" si="39"/>
        <v>Non diskon</v>
      </c>
    </row>
    <row r="643" spans="1:18" x14ac:dyDescent="0.25">
      <c r="A643" s="13" t="s">
        <v>655</v>
      </c>
      <c r="B643" s="13" t="s">
        <v>2194</v>
      </c>
      <c r="C643" s="13" t="s">
        <v>2198</v>
      </c>
      <c r="D643" s="13" t="s">
        <v>2207</v>
      </c>
      <c r="E643" s="13" t="s">
        <v>2212</v>
      </c>
      <c r="F643" s="13" t="s">
        <v>2221</v>
      </c>
      <c r="G643" s="13">
        <v>119.56</v>
      </c>
      <c r="H643" s="44">
        <v>46.2</v>
      </c>
      <c r="I643" s="13">
        <v>64.319999999999993</v>
      </c>
      <c r="J643" s="24">
        <v>45875</v>
      </c>
      <c r="K643" s="25">
        <v>14</v>
      </c>
      <c r="L643" s="25">
        <v>3.0384615384615379</v>
      </c>
      <c r="M643" s="13" t="b">
        <v>0</v>
      </c>
      <c r="O643" s="25">
        <f t="shared" ref="O643:O706" si="40">DATE(2025,9,2)-J643</f>
        <v>27</v>
      </c>
      <c r="P643" s="13">
        <f t="shared" ref="P643:P706" si="41">H643*K643</f>
        <v>646.80000000000007</v>
      </c>
      <c r="Q643" s="13" t="str">
        <f t="shared" ref="Q643:Q706" si="42">IF(M643=FALSE,"",1)</f>
        <v/>
      </c>
      <c r="R643" s="13" t="str">
        <f t="shared" ref="R643:R706" si="43">IF(H643=0,"Non diskon","Diskon")</f>
        <v>Diskon</v>
      </c>
    </row>
    <row r="644" spans="1:18" x14ac:dyDescent="0.25">
      <c r="A644" s="13" t="s">
        <v>656</v>
      </c>
      <c r="B644" s="13" t="s">
        <v>2195</v>
      </c>
      <c r="C644" s="13" t="s">
        <v>2199</v>
      </c>
      <c r="D644" s="13" t="s">
        <v>2205</v>
      </c>
      <c r="E644" s="13" t="s">
        <v>2210</v>
      </c>
      <c r="F644" s="13" t="s">
        <v>2219</v>
      </c>
      <c r="G644" s="13">
        <v>144.43</v>
      </c>
      <c r="H644" s="44">
        <v>0</v>
      </c>
      <c r="I644" s="13">
        <v>144.43</v>
      </c>
      <c r="J644" s="24">
        <v>45875</v>
      </c>
      <c r="K644" s="25">
        <v>41</v>
      </c>
      <c r="L644" s="25">
        <v>3.6</v>
      </c>
      <c r="M644" s="13" t="b">
        <v>0</v>
      </c>
      <c r="O644" s="25">
        <f t="shared" si="40"/>
        <v>27</v>
      </c>
      <c r="P644" s="13">
        <f t="shared" si="41"/>
        <v>0</v>
      </c>
      <c r="Q644" s="13" t="str">
        <f t="shared" si="42"/>
        <v/>
      </c>
      <c r="R644" s="13" t="str">
        <f t="shared" si="43"/>
        <v>Non diskon</v>
      </c>
    </row>
    <row r="645" spans="1:18" x14ac:dyDescent="0.25">
      <c r="A645" s="13" t="s">
        <v>657</v>
      </c>
      <c r="B645" s="13" t="s">
        <v>2190</v>
      </c>
      <c r="C645" s="13" t="s">
        <v>2199</v>
      </c>
      <c r="D645" s="13" t="s">
        <v>2204</v>
      </c>
      <c r="E645" s="13" t="s">
        <v>2210</v>
      </c>
      <c r="F645" s="13" t="s">
        <v>2223</v>
      </c>
      <c r="G645" s="13">
        <v>172.93</v>
      </c>
      <c r="H645" s="44">
        <v>0</v>
      </c>
      <c r="I645" s="13">
        <v>172.93</v>
      </c>
      <c r="J645" s="24">
        <v>45759</v>
      </c>
      <c r="K645" s="25">
        <v>43</v>
      </c>
      <c r="L645" s="25">
        <v>4.7</v>
      </c>
      <c r="M645" s="13" t="b">
        <v>1</v>
      </c>
      <c r="N645" s="13" t="s">
        <v>2228</v>
      </c>
      <c r="O645" s="25">
        <f t="shared" si="40"/>
        <v>143</v>
      </c>
      <c r="P645" s="13">
        <f t="shared" si="41"/>
        <v>0</v>
      </c>
      <c r="Q645" s="13">
        <f t="shared" si="42"/>
        <v>1</v>
      </c>
      <c r="R645" s="13" t="str">
        <f t="shared" si="43"/>
        <v>Non diskon</v>
      </c>
    </row>
    <row r="646" spans="1:18" x14ac:dyDescent="0.25">
      <c r="A646" s="13" t="s">
        <v>658</v>
      </c>
      <c r="B646" s="13" t="s">
        <v>2190</v>
      </c>
      <c r="C646" s="13" t="s">
        <v>2202</v>
      </c>
      <c r="D646" s="13" t="s">
        <v>2205</v>
      </c>
      <c r="E646" s="13" t="s">
        <v>2208</v>
      </c>
      <c r="F646" s="13" t="s">
        <v>2221</v>
      </c>
      <c r="G646" s="13">
        <v>191.95</v>
      </c>
      <c r="H646" s="44">
        <v>40.4</v>
      </c>
      <c r="I646" s="13">
        <v>114.4</v>
      </c>
      <c r="J646" s="24">
        <v>45875</v>
      </c>
      <c r="K646" s="25">
        <v>21</v>
      </c>
      <c r="L646" s="25">
        <v>2.9</v>
      </c>
      <c r="M646" s="13" t="b">
        <v>0</v>
      </c>
      <c r="O646" s="25">
        <f t="shared" si="40"/>
        <v>27</v>
      </c>
      <c r="P646" s="13">
        <f t="shared" si="41"/>
        <v>848.4</v>
      </c>
      <c r="Q646" s="13" t="str">
        <f t="shared" si="42"/>
        <v/>
      </c>
      <c r="R646" s="13" t="str">
        <f t="shared" si="43"/>
        <v>Diskon</v>
      </c>
    </row>
    <row r="647" spans="1:18" x14ac:dyDescent="0.25">
      <c r="A647" s="13" t="s">
        <v>659</v>
      </c>
      <c r="B647" s="13" t="s">
        <v>2195</v>
      </c>
      <c r="C647" s="13" t="s">
        <v>2200</v>
      </c>
      <c r="D647" s="13" t="s">
        <v>2205</v>
      </c>
      <c r="E647" s="13" t="s">
        <v>2213</v>
      </c>
      <c r="F647" s="13" t="s">
        <v>2216</v>
      </c>
      <c r="G647" s="13">
        <v>128.56</v>
      </c>
      <c r="H647" s="44">
        <v>0</v>
      </c>
      <c r="I647" s="13">
        <v>128.56</v>
      </c>
      <c r="J647" s="24">
        <v>45875</v>
      </c>
      <c r="K647" s="25">
        <v>45</v>
      </c>
      <c r="L647" s="25">
        <v>2.4</v>
      </c>
      <c r="M647" s="13" t="b">
        <v>0</v>
      </c>
      <c r="O647" s="25">
        <f t="shared" si="40"/>
        <v>27</v>
      </c>
      <c r="P647" s="13">
        <f t="shared" si="41"/>
        <v>0</v>
      </c>
      <c r="Q647" s="13" t="str">
        <f t="shared" si="42"/>
        <v/>
      </c>
      <c r="R647" s="13" t="str">
        <f t="shared" si="43"/>
        <v>Non diskon</v>
      </c>
    </row>
    <row r="648" spans="1:18" x14ac:dyDescent="0.25">
      <c r="A648" s="13" t="s">
        <v>660</v>
      </c>
      <c r="B648" s="13" t="s">
        <v>2195</v>
      </c>
      <c r="C648" s="13" t="s">
        <v>2200</v>
      </c>
      <c r="D648" s="13" t="s">
        <v>2207</v>
      </c>
      <c r="E648" s="13" t="s">
        <v>2209</v>
      </c>
      <c r="F648" s="13" t="s">
        <v>2217</v>
      </c>
      <c r="G648" s="13">
        <v>123.08</v>
      </c>
      <c r="H648" s="44">
        <v>53</v>
      </c>
      <c r="I648" s="13">
        <v>57.85</v>
      </c>
      <c r="J648" s="24">
        <v>45875</v>
      </c>
      <c r="K648" s="25">
        <v>38</v>
      </c>
      <c r="L648" s="25">
        <v>2.5</v>
      </c>
      <c r="M648" s="13" t="b">
        <v>0</v>
      </c>
      <c r="O648" s="25">
        <f t="shared" si="40"/>
        <v>27</v>
      </c>
      <c r="P648" s="13">
        <f t="shared" si="41"/>
        <v>2014</v>
      </c>
      <c r="Q648" s="13" t="str">
        <f t="shared" si="42"/>
        <v/>
      </c>
      <c r="R648" s="13" t="str">
        <f t="shared" si="43"/>
        <v>Diskon</v>
      </c>
    </row>
    <row r="649" spans="1:18" x14ac:dyDescent="0.25">
      <c r="A649" s="13" t="s">
        <v>661</v>
      </c>
      <c r="B649" s="13" t="s">
        <v>2190</v>
      </c>
      <c r="C649" s="13" t="s">
        <v>2201</v>
      </c>
      <c r="D649" s="13" t="s">
        <v>2204</v>
      </c>
      <c r="E649" s="13" t="s">
        <v>2210</v>
      </c>
      <c r="F649" s="13" t="s">
        <v>2223</v>
      </c>
      <c r="G649" s="13">
        <v>119.78</v>
      </c>
      <c r="H649" s="44">
        <v>0</v>
      </c>
      <c r="I649" s="13">
        <v>119.78</v>
      </c>
      <c r="J649" s="24">
        <v>45751</v>
      </c>
      <c r="K649" s="25">
        <v>22</v>
      </c>
      <c r="L649" s="25">
        <v>1.5</v>
      </c>
      <c r="M649" s="13" t="b">
        <v>1</v>
      </c>
      <c r="N649" s="13" t="s">
        <v>2225</v>
      </c>
      <c r="O649" s="25">
        <f t="shared" si="40"/>
        <v>151</v>
      </c>
      <c r="P649" s="13">
        <f t="shared" si="41"/>
        <v>0</v>
      </c>
      <c r="Q649" s="13">
        <f t="shared" si="42"/>
        <v>1</v>
      </c>
      <c r="R649" s="13" t="str">
        <f t="shared" si="43"/>
        <v>Non diskon</v>
      </c>
    </row>
    <row r="650" spans="1:18" x14ac:dyDescent="0.25">
      <c r="A650" s="13" t="s">
        <v>662</v>
      </c>
      <c r="B650" s="13" t="s">
        <v>2194</v>
      </c>
      <c r="C650" s="13" t="s">
        <v>2198</v>
      </c>
      <c r="D650" s="13" t="s">
        <v>2207</v>
      </c>
      <c r="E650" s="13" t="s">
        <v>2212</v>
      </c>
      <c r="F650" s="13" t="s">
        <v>2217</v>
      </c>
      <c r="G650" s="13">
        <v>110.6</v>
      </c>
      <c r="H650" s="44">
        <v>0</v>
      </c>
      <c r="I650" s="13">
        <v>110.6</v>
      </c>
      <c r="J650" s="24">
        <v>45875</v>
      </c>
      <c r="K650" s="25">
        <v>19</v>
      </c>
      <c r="L650" s="25">
        <v>3.0384615384615379</v>
      </c>
      <c r="M650" s="13" t="b">
        <v>1</v>
      </c>
      <c r="N650" s="13" t="s">
        <v>2225</v>
      </c>
      <c r="O650" s="25">
        <f t="shared" si="40"/>
        <v>27</v>
      </c>
      <c r="P650" s="13">
        <f t="shared" si="41"/>
        <v>0</v>
      </c>
      <c r="Q650" s="13">
        <f t="shared" si="42"/>
        <v>1</v>
      </c>
      <c r="R650" s="13" t="str">
        <f t="shared" si="43"/>
        <v>Non diskon</v>
      </c>
    </row>
    <row r="651" spans="1:18" x14ac:dyDescent="0.25">
      <c r="A651" s="13" t="s">
        <v>663</v>
      </c>
      <c r="B651" s="13" t="s">
        <v>2191</v>
      </c>
      <c r="C651" s="13" t="s">
        <v>2196</v>
      </c>
      <c r="D651" s="13" t="s">
        <v>2204</v>
      </c>
      <c r="E651" s="13" t="s">
        <v>2210</v>
      </c>
      <c r="F651" s="13" t="s">
        <v>2223</v>
      </c>
      <c r="G651" s="13">
        <v>58.16</v>
      </c>
      <c r="H651" s="44">
        <v>0</v>
      </c>
      <c r="I651" s="13">
        <v>58.16</v>
      </c>
      <c r="J651" s="24">
        <v>45840</v>
      </c>
      <c r="K651" s="25">
        <v>29</v>
      </c>
      <c r="L651" s="25">
        <v>4.0999999999999996</v>
      </c>
      <c r="M651" s="13" t="b">
        <v>0</v>
      </c>
      <c r="O651" s="25">
        <f t="shared" si="40"/>
        <v>62</v>
      </c>
      <c r="P651" s="13">
        <f t="shared" si="41"/>
        <v>0</v>
      </c>
      <c r="Q651" s="13" t="str">
        <f t="shared" si="42"/>
        <v/>
      </c>
      <c r="R651" s="13" t="str">
        <f t="shared" si="43"/>
        <v>Non diskon</v>
      </c>
    </row>
    <row r="652" spans="1:18" x14ac:dyDescent="0.25">
      <c r="A652" s="13" t="s">
        <v>664</v>
      </c>
      <c r="B652" s="13" t="s">
        <v>2190</v>
      </c>
      <c r="C652" s="13" t="s">
        <v>2199</v>
      </c>
      <c r="D652" s="13" t="s">
        <v>2206</v>
      </c>
      <c r="E652" s="13" t="s">
        <v>2210</v>
      </c>
      <c r="F652" s="13" t="s">
        <v>2220</v>
      </c>
      <c r="G652" s="13">
        <v>208.82</v>
      </c>
      <c r="H652" s="44">
        <v>0</v>
      </c>
      <c r="I652" s="13">
        <v>208.82</v>
      </c>
      <c r="J652" s="24">
        <v>45875</v>
      </c>
      <c r="K652" s="25">
        <v>45</v>
      </c>
      <c r="L652" s="25">
        <v>1.8</v>
      </c>
      <c r="M652" s="13" t="b">
        <v>0</v>
      </c>
      <c r="O652" s="25">
        <f t="shared" si="40"/>
        <v>27</v>
      </c>
      <c r="P652" s="13">
        <f t="shared" si="41"/>
        <v>0</v>
      </c>
      <c r="Q652" s="13" t="str">
        <f t="shared" si="42"/>
        <v/>
      </c>
      <c r="R652" s="13" t="str">
        <f t="shared" si="43"/>
        <v>Non diskon</v>
      </c>
    </row>
    <row r="653" spans="1:18" x14ac:dyDescent="0.25">
      <c r="A653" s="13" t="s">
        <v>665</v>
      </c>
      <c r="B653" s="13" t="s">
        <v>2193</v>
      </c>
      <c r="C653" s="13" t="s">
        <v>2201</v>
      </c>
      <c r="D653" s="13" t="s">
        <v>2205</v>
      </c>
      <c r="E653" s="13" t="s">
        <v>2213</v>
      </c>
      <c r="F653" s="13" t="s">
        <v>2216</v>
      </c>
      <c r="G653" s="13">
        <v>192.74</v>
      </c>
      <c r="H653" s="44">
        <v>0</v>
      </c>
      <c r="I653" s="13">
        <v>192.74</v>
      </c>
      <c r="J653" s="24">
        <v>45875</v>
      </c>
      <c r="K653" s="25">
        <v>43</v>
      </c>
      <c r="L653" s="25">
        <v>4.3</v>
      </c>
      <c r="M653" s="13" t="b">
        <v>0</v>
      </c>
      <c r="O653" s="25">
        <f t="shared" si="40"/>
        <v>27</v>
      </c>
      <c r="P653" s="13">
        <f t="shared" si="41"/>
        <v>0</v>
      </c>
      <c r="Q653" s="13" t="str">
        <f t="shared" si="42"/>
        <v/>
      </c>
      <c r="R653" s="13" t="str">
        <f t="shared" si="43"/>
        <v>Non diskon</v>
      </c>
    </row>
    <row r="654" spans="1:18" x14ac:dyDescent="0.25">
      <c r="A654" s="13" t="s">
        <v>666</v>
      </c>
      <c r="B654" s="13" t="s">
        <v>2192</v>
      </c>
      <c r="C654" s="13" t="s">
        <v>2202</v>
      </c>
      <c r="D654" s="13" t="s">
        <v>2206</v>
      </c>
      <c r="F654" s="13" t="s">
        <v>2214</v>
      </c>
      <c r="G654" s="13">
        <v>71.819999999999993</v>
      </c>
      <c r="H654" s="44">
        <v>18.399999999999999</v>
      </c>
      <c r="I654" s="13">
        <v>58.61</v>
      </c>
      <c r="J654" s="24">
        <v>45875</v>
      </c>
      <c r="K654" s="25">
        <v>50</v>
      </c>
      <c r="L654" s="25">
        <v>1.9</v>
      </c>
      <c r="M654" s="13" t="b">
        <v>0</v>
      </c>
      <c r="O654" s="25">
        <f t="shared" si="40"/>
        <v>27</v>
      </c>
      <c r="P654" s="13">
        <f t="shared" si="41"/>
        <v>919.99999999999989</v>
      </c>
      <c r="Q654" s="13" t="str">
        <f t="shared" si="42"/>
        <v/>
      </c>
      <c r="R654" s="13" t="str">
        <f t="shared" si="43"/>
        <v>Diskon</v>
      </c>
    </row>
    <row r="655" spans="1:18" x14ac:dyDescent="0.25">
      <c r="A655" s="13" t="s">
        <v>667</v>
      </c>
      <c r="B655" s="13" t="s">
        <v>2193</v>
      </c>
      <c r="C655" s="13" t="s">
        <v>2196</v>
      </c>
      <c r="D655" s="13" t="s">
        <v>2207</v>
      </c>
      <c r="E655" s="13" t="s">
        <v>2212</v>
      </c>
      <c r="F655" s="13" t="s">
        <v>2214</v>
      </c>
      <c r="G655" s="13">
        <v>145.4</v>
      </c>
      <c r="H655" s="44">
        <v>0</v>
      </c>
      <c r="I655" s="13">
        <v>145.4</v>
      </c>
      <c r="J655" s="24">
        <v>45875</v>
      </c>
      <c r="K655" s="25">
        <v>14</v>
      </c>
      <c r="L655" s="25">
        <v>2</v>
      </c>
      <c r="M655" s="13" t="b">
        <v>0</v>
      </c>
      <c r="O655" s="25">
        <f t="shared" si="40"/>
        <v>27</v>
      </c>
      <c r="P655" s="13">
        <f t="shared" si="41"/>
        <v>0</v>
      </c>
      <c r="Q655" s="13" t="str">
        <f t="shared" si="42"/>
        <v/>
      </c>
      <c r="R655" s="13" t="str">
        <f t="shared" si="43"/>
        <v>Non diskon</v>
      </c>
    </row>
    <row r="656" spans="1:18" x14ac:dyDescent="0.25">
      <c r="A656" s="13" t="s">
        <v>668</v>
      </c>
      <c r="B656" s="13" t="s">
        <v>2194</v>
      </c>
      <c r="C656" s="13" t="s">
        <v>2199</v>
      </c>
      <c r="D656" s="13" t="s">
        <v>2207</v>
      </c>
      <c r="E656" s="13" t="s">
        <v>2211</v>
      </c>
      <c r="F656" s="13" t="s">
        <v>2224</v>
      </c>
      <c r="G656" s="13">
        <v>51.94</v>
      </c>
      <c r="H656" s="44">
        <v>0</v>
      </c>
      <c r="I656" s="13">
        <v>51.94</v>
      </c>
      <c r="J656" s="24">
        <v>45875</v>
      </c>
      <c r="K656" s="25">
        <v>9</v>
      </c>
      <c r="L656" s="25">
        <v>3.2</v>
      </c>
      <c r="M656" s="13" t="b">
        <v>0</v>
      </c>
      <c r="O656" s="25">
        <f t="shared" si="40"/>
        <v>27</v>
      </c>
      <c r="P656" s="13">
        <f t="shared" si="41"/>
        <v>0</v>
      </c>
      <c r="Q656" s="13" t="str">
        <f t="shared" si="42"/>
        <v/>
      </c>
      <c r="R656" s="13" t="str">
        <f t="shared" si="43"/>
        <v>Non diskon</v>
      </c>
    </row>
    <row r="657" spans="1:18" x14ac:dyDescent="0.25">
      <c r="A657" s="13" t="s">
        <v>669</v>
      </c>
      <c r="B657" s="13" t="s">
        <v>2192</v>
      </c>
      <c r="C657" s="13" t="s">
        <v>2201</v>
      </c>
      <c r="D657" s="13" t="s">
        <v>2204</v>
      </c>
      <c r="F657" s="13" t="s">
        <v>2216</v>
      </c>
      <c r="G657" s="13">
        <v>77.48</v>
      </c>
      <c r="H657" s="44">
        <v>0</v>
      </c>
      <c r="I657" s="13">
        <v>77.48</v>
      </c>
      <c r="J657" s="24">
        <v>45572</v>
      </c>
      <c r="K657" s="25">
        <v>49</v>
      </c>
      <c r="L657" s="25">
        <v>3.3</v>
      </c>
      <c r="M657" s="13" t="b">
        <v>1</v>
      </c>
      <c r="N657" s="13" t="s">
        <v>2228</v>
      </c>
      <c r="O657" s="25">
        <f t="shared" si="40"/>
        <v>330</v>
      </c>
      <c r="P657" s="13">
        <f t="shared" si="41"/>
        <v>0</v>
      </c>
      <c r="Q657" s="13">
        <f t="shared" si="42"/>
        <v>1</v>
      </c>
      <c r="R657" s="13" t="str">
        <f t="shared" si="43"/>
        <v>Non diskon</v>
      </c>
    </row>
    <row r="658" spans="1:18" x14ac:dyDescent="0.25">
      <c r="A658" s="13" t="s">
        <v>670</v>
      </c>
      <c r="B658" s="13" t="s">
        <v>2195</v>
      </c>
      <c r="C658" s="13" t="s">
        <v>2199</v>
      </c>
      <c r="D658" s="13" t="s">
        <v>2207</v>
      </c>
      <c r="E658" s="13" t="s">
        <v>2209</v>
      </c>
      <c r="F658" s="13" t="s">
        <v>2216</v>
      </c>
      <c r="G658" s="13">
        <v>59.66</v>
      </c>
      <c r="H658" s="44">
        <v>45.2</v>
      </c>
      <c r="I658" s="13">
        <v>32.69</v>
      </c>
      <c r="J658" s="24">
        <v>45875</v>
      </c>
      <c r="K658" s="25">
        <v>14</v>
      </c>
      <c r="L658" s="25">
        <v>2.6</v>
      </c>
      <c r="M658" s="13" t="b">
        <v>0</v>
      </c>
      <c r="O658" s="25">
        <f t="shared" si="40"/>
        <v>27</v>
      </c>
      <c r="P658" s="13">
        <f t="shared" si="41"/>
        <v>632.80000000000007</v>
      </c>
      <c r="Q658" s="13" t="str">
        <f t="shared" si="42"/>
        <v/>
      </c>
      <c r="R658" s="13" t="str">
        <f t="shared" si="43"/>
        <v>Diskon</v>
      </c>
    </row>
    <row r="659" spans="1:18" x14ac:dyDescent="0.25">
      <c r="A659" s="13" t="s">
        <v>671</v>
      </c>
      <c r="B659" s="13" t="s">
        <v>2194</v>
      </c>
      <c r="C659" s="13" t="s">
        <v>2197</v>
      </c>
      <c r="D659" s="13" t="s">
        <v>2207</v>
      </c>
      <c r="E659" s="13" t="s">
        <v>2210</v>
      </c>
      <c r="F659" s="13" t="s">
        <v>2214</v>
      </c>
      <c r="G659" s="13">
        <v>102.07</v>
      </c>
      <c r="H659" s="44">
        <v>0</v>
      </c>
      <c r="I659" s="13">
        <v>102.07</v>
      </c>
      <c r="J659" s="24">
        <v>45875</v>
      </c>
      <c r="K659" s="25">
        <v>26</v>
      </c>
      <c r="L659" s="25">
        <v>3.0846153846153843</v>
      </c>
      <c r="M659" s="13" t="b">
        <v>1</v>
      </c>
      <c r="N659" s="13" t="s">
        <v>2225</v>
      </c>
      <c r="O659" s="25">
        <f t="shared" si="40"/>
        <v>27</v>
      </c>
      <c r="P659" s="13">
        <f t="shared" si="41"/>
        <v>0</v>
      </c>
      <c r="Q659" s="13">
        <f t="shared" si="42"/>
        <v>1</v>
      </c>
      <c r="R659" s="13" t="str">
        <f t="shared" si="43"/>
        <v>Non diskon</v>
      </c>
    </row>
    <row r="660" spans="1:18" x14ac:dyDescent="0.25">
      <c r="A660" s="13" t="s">
        <v>672</v>
      </c>
      <c r="B660" s="13" t="s">
        <v>2192</v>
      </c>
      <c r="C660" s="13" t="s">
        <v>2198</v>
      </c>
      <c r="D660" s="13" t="s">
        <v>2204</v>
      </c>
      <c r="F660" s="13" t="s">
        <v>2218</v>
      </c>
      <c r="G660" s="13">
        <v>48.57</v>
      </c>
      <c r="H660" s="44">
        <v>0</v>
      </c>
      <c r="I660" s="13">
        <v>48.57</v>
      </c>
      <c r="J660" s="24">
        <v>45632</v>
      </c>
      <c r="K660" s="25">
        <v>12</v>
      </c>
      <c r="L660" s="25">
        <v>4.7</v>
      </c>
      <c r="M660" s="13" t="b">
        <v>0</v>
      </c>
      <c r="O660" s="25">
        <f t="shared" si="40"/>
        <v>270</v>
      </c>
      <c r="P660" s="13">
        <f t="shared" si="41"/>
        <v>0</v>
      </c>
      <c r="Q660" s="13" t="str">
        <f t="shared" si="42"/>
        <v/>
      </c>
      <c r="R660" s="13" t="str">
        <f t="shared" si="43"/>
        <v>Non diskon</v>
      </c>
    </row>
    <row r="661" spans="1:18" x14ac:dyDescent="0.25">
      <c r="A661" s="13" t="s">
        <v>673</v>
      </c>
      <c r="B661" s="13" t="s">
        <v>2193</v>
      </c>
      <c r="C661" s="13" t="s">
        <v>2202</v>
      </c>
      <c r="D661" s="13" t="s">
        <v>2207</v>
      </c>
      <c r="E661" s="13" t="s">
        <v>2213</v>
      </c>
      <c r="F661" s="13" t="s">
        <v>2222</v>
      </c>
      <c r="G661" s="13">
        <v>121.55</v>
      </c>
      <c r="H661" s="44">
        <v>0</v>
      </c>
      <c r="I661" s="13">
        <v>121.55</v>
      </c>
      <c r="J661" s="24">
        <v>45875</v>
      </c>
      <c r="K661" s="25">
        <v>16</v>
      </c>
      <c r="L661" s="25">
        <v>2.9083333333333328</v>
      </c>
      <c r="M661" s="13" t="b">
        <v>1</v>
      </c>
      <c r="N661" s="13" t="s">
        <v>2227</v>
      </c>
      <c r="O661" s="25">
        <f t="shared" si="40"/>
        <v>27</v>
      </c>
      <c r="P661" s="13">
        <f t="shared" si="41"/>
        <v>0</v>
      </c>
      <c r="Q661" s="13">
        <f t="shared" si="42"/>
        <v>1</v>
      </c>
      <c r="R661" s="13" t="str">
        <f t="shared" si="43"/>
        <v>Non diskon</v>
      </c>
    </row>
    <row r="662" spans="1:18" x14ac:dyDescent="0.25">
      <c r="A662" s="13" t="s">
        <v>674</v>
      </c>
      <c r="B662" s="13" t="s">
        <v>2192</v>
      </c>
      <c r="C662" s="13" t="s">
        <v>2201</v>
      </c>
      <c r="D662" s="13" t="s">
        <v>2205</v>
      </c>
      <c r="F662" s="13" t="s">
        <v>2222</v>
      </c>
      <c r="G662" s="13">
        <v>59.22</v>
      </c>
      <c r="H662" s="44">
        <v>44.8</v>
      </c>
      <c r="I662" s="13">
        <v>32.69</v>
      </c>
      <c r="J662" s="24">
        <v>45875</v>
      </c>
      <c r="K662" s="25">
        <v>21</v>
      </c>
      <c r="L662" s="25">
        <v>2</v>
      </c>
      <c r="M662" s="13" t="b">
        <v>0</v>
      </c>
      <c r="O662" s="25">
        <f t="shared" si="40"/>
        <v>27</v>
      </c>
      <c r="P662" s="13">
        <f t="shared" si="41"/>
        <v>940.8</v>
      </c>
      <c r="Q662" s="13" t="str">
        <f t="shared" si="42"/>
        <v/>
      </c>
      <c r="R662" s="13" t="str">
        <f t="shared" si="43"/>
        <v>Diskon</v>
      </c>
    </row>
    <row r="663" spans="1:18" x14ac:dyDescent="0.25">
      <c r="A663" s="13" t="s">
        <v>675</v>
      </c>
      <c r="B663" s="13" t="s">
        <v>2191</v>
      </c>
      <c r="C663" s="13" t="s">
        <v>2201</v>
      </c>
      <c r="D663" s="13" t="s">
        <v>2204</v>
      </c>
      <c r="E663" s="13" t="s">
        <v>2212</v>
      </c>
      <c r="F663" s="13" t="s">
        <v>2221</v>
      </c>
      <c r="G663" s="13">
        <v>58.5</v>
      </c>
      <c r="H663" s="44">
        <v>2.1</v>
      </c>
      <c r="I663" s="13">
        <v>57.27</v>
      </c>
      <c r="J663" s="24">
        <v>45800</v>
      </c>
      <c r="K663" s="25">
        <v>24</v>
      </c>
      <c r="L663" s="25">
        <v>3.9</v>
      </c>
      <c r="M663" s="13" t="b">
        <v>0</v>
      </c>
      <c r="O663" s="25">
        <f t="shared" si="40"/>
        <v>102</v>
      </c>
      <c r="P663" s="13">
        <f t="shared" si="41"/>
        <v>50.400000000000006</v>
      </c>
      <c r="Q663" s="13" t="str">
        <f t="shared" si="42"/>
        <v/>
      </c>
      <c r="R663" s="13" t="str">
        <f t="shared" si="43"/>
        <v>Diskon</v>
      </c>
    </row>
    <row r="664" spans="1:18" x14ac:dyDescent="0.25">
      <c r="A664" s="13" t="s">
        <v>676</v>
      </c>
      <c r="B664" s="13" t="s">
        <v>2192</v>
      </c>
      <c r="C664" s="13" t="s">
        <v>2203</v>
      </c>
      <c r="D664" s="13" t="s">
        <v>2206</v>
      </c>
      <c r="F664" s="13" t="s">
        <v>2220</v>
      </c>
      <c r="G664" s="13">
        <v>73.849999999999994</v>
      </c>
      <c r="H664" s="44">
        <v>0</v>
      </c>
      <c r="I664" s="13">
        <v>73.849999999999994</v>
      </c>
      <c r="J664" s="24">
        <v>45875</v>
      </c>
      <c r="K664" s="25">
        <v>46</v>
      </c>
      <c r="L664" s="25">
        <v>2</v>
      </c>
      <c r="M664" s="13" t="b">
        <v>0</v>
      </c>
      <c r="O664" s="25">
        <f t="shared" si="40"/>
        <v>27</v>
      </c>
      <c r="P664" s="13">
        <f t="shared" si="41"/>
        <v>0</v>
      </c>
      <c r="Q664" s="13" t="str">
        <f t="shared" si="42"/>
        <v/>
      </c>
      <c r="R664" s="13" t="str">
        <f t="shared" si="43"/>
        <v>Non diskon</v>
      </c>
    </row>
    <row r="665" spans="1:18" x14ac:dyDescent="0.25">
      <c r="A665" s="13" t="s">
        <v>677</v>
      </c>
      <c r="B665" s="13" t="s">
        <v>2194</v>
      </c>
      <c r="C665" s="13" t="s">
        <v>2200</v>
      </c>
      <c r="D665" s="13" t="s">
        <v>2207</v>
      </c>
      <c r="E665" s="13" t="s">
        <v>2211</v>
      </c>
      <c r="F665" s="13" t="s">
        <v>2214</v>
      </c>
      <c r="G665" s="13">
        <v>114.32</v>
      </c>
      <c r="H665" s="44">
        <v>36.5</v>
      </c>
      <c r="I665" s="13">
        <v>72.59</v>
      </c>
      <c r="J665" s="24">
        <v>45875</v>
      </c>
      <c r="K665" s="25">
        <v>41</v>
      </c>
      <c r="L665" s="25">
        <v>4.0999999999999996</v>
      </c>
      <c r="M665" s="13" t="b">
        <v>0</v>
      </c>
      <c r="O665" s="25">
        <f t="shared" si="40"/>
        <v>27</v>
      </c>
      <c r="P665" s="13">
        <f t="shared" si="41"/>
        <v>1496.5</v>
      </c>
      <c r="Q665" s="13" t="str">
        <f t="shared" si="42"/>
        <v/>
      </c>
      <c r="R665" s="13" t="str">
        <f t="shared" si="43"/>
        <v>Diskon</v>
      </c>
    </row>
    <row r="666" spans="1:18" x14ac:dyDescent="0.25">
      <c r="A666" s="13" t="s">
        <v>678</v>
      </c>
      <c r="B666" s="13" t="s">
        <v>2194</v>
      </c>
      <c r="C666" s="13" t="s">
        <v>2203</v>
      </c>
      <c r="D666" s="13" t="s">
        <v>2207</v>
      </c>
      <c r="E666" s="13" t="s">
        <v>2212</v>
      </c>
      <c r="F666" s="13" t="s">
        <v>2218</v>
      </c>
      <c r="G666" s="13">
        <v>91.4</v>
      </c>
      <c r="H666" s="44">
        <v>11</v>
      </c>
      <c r="I666" s="13">
        <v>81.349999999999994</v>
      </c>
      <c r="J666" s="24">
        <v>45875</v>
      </c>
      <c r="K666" s="25">
        <v>18</v>
      </c>
      <c r="L666" s="25">
        <v>1.6</v>
      </c>
      <c r="M666" s="13" t="b">
        <v>0</v>
      </c>
      <c r="O666" s="25">
        <f t="shared" si="40"/>
        <v>27</v>
      </c>
      <c r="P666" s="13">
        <f t="shared" si="41"/>
        <v>198</v>
      </c>
      <c r="Q666" s="13" t="str">
        <f t="shared" si="42"/>
        <v/>
      </c>
      <c r="R666" s="13" t="str">
        <f t="shared" si="43"/>
        <v>Diskon</v>
      </c>
    </row>
    <row r="667" spans="1:18" x14ac:dyDescent="0.25">
      <c r="A667" s="13" t="s">
        <v>679</v>
      </c>
      <c r="B667" s="13" t="s">
        <v>2192</v>
      </c>
      <c r="C667" s="13" t="s">
        <v>2203</v>
      </c>
      <c r="D667" s="13" t="s">
        <v>2205</v>
      </c>
      <c r="F667" s="13" t="s">
        <v>2222</v>
      </c>
      <c r="G667" s="13">
        <v>69.77</v>
      </c>
      <c r="H667" s="44">
        <v>0</v>
      </c>
      <c r="I667" s="13">
        <v>69.77</v>
      </c>
      <c r="J667" s="24">
        <v>45875</v>
      </c>
      <c r="K667" s="25">
        <v>30</v>
      </c>
      <c r="L667" s="25">
        <v>2.8636363636363633</v>
      </c>
      <c r="M667" s="13" t="b">
        <v>1</v>
      </c>
      <c r="N667" s="13" t="s">
        <v>2225</v>
      </c>
      <c r="O667" s="25">
        <f t="shared" si="40"/>
        <v>27</v>
      </c>
      <c r="P667" s="13">
        <f t="shared" si="41"/>
        <v>0</v>
      </c>
      <c r="Q667" s="13">
        <f t="shared" si="42"/>
        <v>1</v>
      </c>
      <c r="R667" s="13" t="str">
        <f t="shared" si="43"/>
        <v>Non diskon</v>
      </c>
    </row>
    <row r="668" spans="1:18" x14ac:dyDescent="0.25">
      <c r="A668" s="13" t="s">
        <v>680</v>
      </c>
      <c r="B668" s="13" t="s">
        <v>2191</v>
      </c>
      <c r="C668" s="13" t="s">
        <v>2200</v>
      </c>
      <c r="D668" s="13" t="s">
        <v>2207</v>
      </c>
      <c r="E668" s="13" t="s">
        <v>2209</v>
      </c>
      <c r="F668" s="13" t="s">
        <v>2216</v>
      </c>
      <c r="G668" s="13">
        <v>72.95</v>
      </c>
      <c r="H668" s="44">
        <v>0</v>
      </c>
      <c r="I668" s="13">
        <v>72.95</v>
      </c>
      <c r="J668" s="24">
        <v>45875</v>
      </c>
      <c r="K668" s="25">
        <v>27</v>
      </c>
      <c r="L668" s="25">
        <v>4.8</v>
      </c>
      <c r="M668" s="13" t="b">
        <v>0</v>
      </c>
      <c r="O668" s="25">
        <f t="shared" si="40"/>
        <v>27</v>
      </c>
      <c r="P668" s="13">
        <f t="shared" si="41"/>
        <v>0</v>
      </c>
      <c r="Q668" s="13" t="str">
        <f t="shared" si="42"/>
        <v/>
      </c>
      <c r="R668" s="13" t="str">
        <f t="shared" si="43"/>
        <v>Non diskon</v>
      </c>
    </row>
    <row r="669" spans="1:18" x14ac:dyDescent="0.25">
      <c r="A669" s="13" t="s">
        <v>681</v>
      </c>
      <c r="B669" s="13" t="s">
        <v>2194</v>
      </c>
      <c r="C669" s="13" t="s">
        <v>2201</v>
      </c>
      <c r="D669" s="13" t="s">
        <v>2207</v>
      </c>
      <c r="E669" s="13" t="s">
        <v>2208</v>
      </c>
      <c r="F669" s="13" t="s">
        <v>2221</v>
      </c>
      <c r="G669" s="13">
        <v>63.99</v>
      </c>
      <c r="H669" s="44">
        <v>42.2</v>
      </c>
      <c r="I669" s="13">
        <v>36.99</v>
      </c>
      <c r="J669" s="24">
        <v>45875</v>
      </c>
      <c r="K669" s="25">
        <v>35</v>
      </c>
      <c r="L669" s="25">
        <v>3.2</v>
      </c>
      <c r="M669" s="13" t="b">
        <v>0</v>
      </c>
      <c r="O669" s="25">
        <f t="shared" si="40"/>
        <v>27</v>
      </c>
      <c r="P669" s="13">
        <f t="shared" si="41"/>
        <v>1477</v>
      </c>
      <c r="Q669" s="13" t="str">
        <f t="shared" si="42"/>
        <v/>
      </c>
      <c r="R669" s="13" t="str">
        <f t="shared" si="43"/>
        <v>Diskon</v>
      </c>
    </row>
    <row r="670" spans="1:18" x14ac:dyDescent="0.25">
      <c r="A670" s="13" t="s">
        <v>682</v>
      </c>
      <c r="B670" s="13" t="s">
        <v>2195</v>
      </c>
      <c r="C670" s="13" t="s">
        <v>2198</v>
      </c>
      <c r="D670" s="13" t="s">
        <v>2207</v>
      </c>
      <c r="E670" s="13" t="s">
        <v>2208</v>
      </c>
      <c r="F670" s="13" t="s">
        <v>2219</v>
      </c>
      <c r="G670" s="13">
        <v>74.84</v>
      </c>
      <c r="H670" s="44">
        <v>51.9</v>
      </c>
      <c r="I670" s="13">
        <v>36</v>
      </c>
      <c r="J670" s="24">
        <v>45875</v>
      </c>
      <c r="K670" s="25">
        <v>35</v>
      </c>
      <c r="L670" s="25">
        <v>2.5</v>
      </c>
      <c r="M670" s="13" t="b">
        <v>0</v>
      </c>
      <c r="O670" s="25">
        <f t="shared" si="40"/>
        <v>27</v>
      </c>
      <c r="P670" s="13">
        <f t="shared" si="41"/>
        <v>1816.5</v>
      </c>
      <c r="Q670" s="13" t="str">
        <f t="shared" si="42"/>
        <v/>
      </c>
      <c r="R670" s="13" t="str">
        <f t="shared" si="43"/>
        <v>Diskon</v>
      </c>
    </row>
    <row r="671" spans="1:18" x14ac:dyDescent="0.25">
      <c r="A671" s="13" t="s">
        <v>683</v>
      </c>
      <c r="B671" s="13" t="s">
        <v>2190</v>
      </c>
      <c r="C671" s="13" t="s">
        <v>2200</v>
      </c>
      <c r="D671" s="13" t="s">
        <v>2204</v>
      </c>
      <c r="E671" s="13" t="s">
        <v>2212</v>
      </c>
      <c r="F671" s="13" t="s">
        <v>2216</v>
      </c>
      <c r="G671" s="13">
        <v>158.84</v>
      </c>
      <c r="H671" s="44">
        <v>0</v>
      </c>
      <c r="I671" s="13">
        <v>158.84</v>
      </c>
      <c r="J671" s="24">
        <v>45763</v>
      </c>
      <c r="K671" s="25">
        <v>30</v>
      </c>
      <c r="L671" s="25">
        <v>4.5999999999999996</v>
      </c>
      <c r="M671" s="13" t="b">
        <v>0</v>
      </c>
      <c r="O671" s="25">
        <f t="shared" si="40"/>
        <v>139</v>
      </c>
      <c r="P671" s="13">
        <f t="shared" si="41"/>
        <v>0</v>
      </c>
      <c r="Q671" s="13" t="str">
        <f t="shared" si="42"/>
        <v/>
      </c>
      <c r="R671" s="13" t="str">
        <f t="shared" si="43"/>
        <v>Non diskon</v>
      </c>
    </row>
    <row r="672" spans="1:18" x14ac:dyDescent="0.25">
      <c r="A672" s="13" t="s">
        <v>684</v>
      </c>
      <c r="B672" s="13" t="s">
        <v>2193</v>
      </c>
      <c r="C672" s="13" t="s">
        <v>2199</v>
      </c>
      <c r="D672" s="13" t="s">
        <v>2204</v>
      </c>
      <c r="E672" s="13" t="s">
        <v>2213</v>
      </c>
      <c r="F672" s="13" t="s">
        <v>2224</v>
      </c>
      <c r="G672" s="13">
        <v>96.36</v>
      </c>
      <c r="H672" s="44">
        <v>58.6</v>
      </c>
      <c r="I672" s="13">
        <v>39.89</v>
      </c>
      <c r="J672" s="24">
        <v>45698</v>
      </c>
      <c r="K672" s="25">
        <v>16</v>
      </c>
      <c r="L672" s="25">
        <v>3.9</v>
      </c>
      <c r="M672" s="13" t="b">
        <v>0</v>
      </c>
      <c r="O672" s="25">
        <f t="shared" si="40"/>
        <v>204</v>
      </c>
      <c r="P672" s="13">
        <f t="shared" si="41"/>
        <v>937.6</v>
      </c>
      <c r="Q672" s="13" t="str">
        <f t="shared" si="42"/>
        <v/>
      </c>
      <c r="R672" s="13" t="str">
        <f t="shared" si="43"/>
        <v>Diskon</v>
      </c>
    </row>
    <row r="673" spans="1:18" x14ac:dyDescent="0.25">
      <c r="A673" s="13" t="s">
        <v>685</v>
      </c>
      <c r="B673" s="13" t="s">
        <v>2194</v>
      </c>
      <c r="C673" s="13" t="s">
        <v>2200</v>
      </c>
      <c r="D673" s="13" t="s">
        <v>2204</v>
      </c>
      <c r="E673" s="13" t="s">
        <v>2212</v>
      </c>
      <c r="F673" s="13" t="s">
        <v>2223</v>
      </c>
      <c r="G673" s="13">
        <v>51.06</v>
      </c>
      <c r="H673" s="44">
        <v>13.9</v>
      </c>
      <c r="I673" s="13">
        <v>43.96</v>
      </c>
      <c r="J673" s="24">
        <v>45520</v>
      </c>
      <c r="K673" s="25">
        <v>16</v>
      </c>
      <c r="L673" s="25">
        <v>1.3</v>
      </c>
      <c r="M673" s="13" t="b">
        <v>0</v>
      </c>
      <c r="O673" s="25">
        <f t="shared" si="40"/>
        <v>382</v>
      </c>
      <c r="P673" s="13">
        <f t="shared" si="41"/>
        <v>222.4</v>
      </c>
      <c r="Q673" s="13" t="str">
        <f t="shared" si="42"/>
        <v/>
      </c>
      <c r="R673" s="13" t="str">
        <f t="shared" si="43"/>
        <v>Diskon</v>
      </c>
    </row>
    <row r="674" spans="1:18" x14ac:dyDescent="0.25">
      <c r="A674" s="13" t="s">
        <v>686</v>
      </c>
      <c r="B674" s="13" t="s">
        <v>2194</v>
      </c>
      <c r="C674" s="13" t="s">
        <v>2198</v>
      </c>
      <c r="D674" s="13" t="s">
        <v>2207</v>
      </c>
      <c r="E674" s="13" t="s">
        <v>2209</v>
      </c>
      <c r="F674" s="13" t="s">
        <v>2222</v>
      </c>
      <c r="G674" s="13">
        <v>49.75</v>
      </c>
      <c r="H674" s="44">
        <v>26.4</v>
      </c>
      <c r="I674" s="13">
        <v>36.619999999999997</v>
      </c>
      <c r="J674" s="24">
        <v>45875</v>
      </c>
      <c r="K674" s="25">
        <v>24</v>
      </c>
      <c r="L674" s="25">
        <v>3.8</v>
      </c>
      <c r="M674" s="13" t="b">
        <v>0</v>
      </c>
      <c r="O674" s="25">
        <f t="shared" si="40"/>
        <v>27</v>
      </c>
      <c r="P674" s="13">
        <f t="shared" si="41"/>
        <v>633.59999999999991</v>
      </c>
      <c r="Q674" s="13" t="str">
        <f t="shared" si="42"/>
        <v/>
      </c>
      <c r="R674" s="13" t="str">
        <f t="shared" si="43"/>
        <v>Diskon</v>
      </c>
    </row>
    <row r="675" spans="1:18" x14ac:dyDescent="0.25">
      <c r="A675" s="13" t="s">
        <v>687</v>
      </c>
      <c r="B675" s="13" t="s">
        <v>2195</v>
      </c>
      <c r="C675" s="13" t="s">
        <v>2199</v>
      </c>
      <c r="D675" s="13" t="s">
        <v>2204</v>
      </c>
      <c r="E675" s="13" t="s">
        <v>2212</v>
      </c>
      <c r="F675" s="13" t="s">
        <v>2215</v>
      </c>
      <c r="G675" s="13">
        <v>148.97999999999999</v>
      </c>
      <c r="H675" s="44">
        <v>0</v>
      </c>
      <c r="I675" s="13">
        <v>148.97999999999999</v>
      </c>
      <c r="J675" s="24">
        <v>45591</v>
      </c>
      <c r="K675" s="25">
        <v>11</v>
      </c>
      <c r="L675" s="25">
        <v>2.2000000000000002</v>
      </c>
      <c r="M675" s="13" t="b">
        <v>1</v>
      </c>
      <c r="N675" s="13" t="s">
        <v>2230</v>
      </c>
      <c r="O675" s="25">
        <f t="shared" si="40"/>
        <v>311</v>
      </c>
      <c r="P675" s="13">
        <f t="shared" si="41"/>
        <v>0</v>
      </c>
      <c r="Q675" s="13">
        <f t="shared" si="42"/>
        <v>1</v>
      </c>
      <c r="R675" s="13" t="str">
        <f t="shared" si="43"/>
        <v>Non diskon</v>
      </c>
    </row>
    <row r="676" spans="1:18" x14ac:dyDescent="0.25">
      <c r="A676" s="13" t="s">
        <v>688</v>
      </c>
      <c r="B676" s="13" t="s">
        <v>2192</v>
      </c>
      <c r="C676" s="13" t="s">
        <v>2202</v>
      </c>
      <c r="D676" s="13" t="s">
        <v>2205</v>
      </c>
      <c r="F676" s="13" t="s">
        <v>2218</v>
      </c>
      <c r="G676" s="13">
        <v>72.239999999999995</v>
      </c>
      <c r="H676" s="44">
        <v>0</v>
      </c>
      <c r="I676" s="13">
        <v>72.239999999999995</v>
      </c>
      <c r="J676" s="24">
        <v>45875</v>
      </c>
      <c r="K676" s="25">
        <v>35</v>
      </c>
      <c r="L676" s="25">
        <v>4.0999999999999996</v>
      </c>
      <c r="M676" s="13" t="b">
        <v>0</v>
      </c>
      <c r="O676" s="25">
        <f t="shared" si="40"/>
        <v>27</v>
      </c>
      <c r="P676" s="13">
        <f t="shared" si="41"/>
        <v>0</v>
      </c>
      <c r="Q676" s="13" t="str">
        <f t="shared" si="42"/>
        <v/>
      </c>
      <c r="R676" s="13" t="str">
        <f t="shared" si="43"/>
        <v>Non diskon</v>
      </c>
    </row>
    <row r="677" spans="1:18" x14ac:dyDescent="0.25">
      <c r="A677" s="13" t="s">
        <v>689</v>
      </c>
      <c r="B677" s="13" t="s">
        <v>2191</v>
      </c>
      <c r="C677" s="13" t="s">
        <v>2199</v>
      </c>
      <c r="D677" s="13" t="s">
        <v>2205</v>
      </c>
      <c r="E677" s="13" t="s">
        <v>2212</v>
      </c>
      <c r="F677" s="13" t="s">
        <v>2219</v>
      </c>
      <c r="G677" s="13">
        <v>94.92</v>
      </c>
      <c r="H677" s="44">
        <v>0</v>
      </c>
      <c r="I677" s="13">
        <v>94.92</v>
      </c>
      <c r="J677" s="24">
        <v>45875</v>
      </c>
      <c r="K677" s="25">
        <v>5</v>
      </c>
      <c r="L677" s="25">
        <v>3.3</v>
      </c>
      <c r="M677" s="13" t="b">
        <v>0</v>
      </c>
      <c r="O677" s="25">
        <f t="shared" si="40"/>
        <v>27</v>
      </c>
      <c r="P677" s="13">
        <f t="shared" si="41"/>
        <v>0</v>
      </c>
      <c r="Q677" s="13" t="str">
        <f t="shared" si="42"/>
        <v/>
      </c>
      <c r="R677" s="13" t="str">
        <f t="shared" si="43"/>
        <v>Non diskon</v>
      </c>
    </row>
    <row r="678" spans="1:18" x14ac:dyDescent="0.25">
      <c r="A678" s="13" t="s">
        <v>690</v>
      </c>
      <c r="B678" s="13" t="s">
        <v>2190</v>
      </c>
      <c r="C678" s="13" t="s">
        <v>2198</v>
      </c>
      <c r="D678" s="13" t="s">
        <v>2206</v>
      </c>
      <c r="E678" s="13" t="s">
        <v>2211</v>
      </c>
      <c r="F678" s="13" t="s">
        <v>2224</v>
      </c>
      <c r="G678" s="13">
        <v>91.08</v>
      </c>
      <c r="H678" s="44">
        <v>0</v>
      </c>
      <c r="I678" s="13">
        <v>91.08</v>
      </c>
      <c r="J678" s="24">
        <v>45875</v>
      </c>
      <c r="K678" s="25">
        <v>47</v>
      </c>
      <c r="L678" s="25">
        <v>4.9000000000000004</v>
      </c>
      <c r="M678" s="13" t="b">
        <v>0</v>
      </c>
      <c r="O678" s="25">
        <f t="shared" si="40"/>
        <v>27</v>
      </c>
      <c r="P678" s="13">
        <f t="shared" si="41"/>
        <v>0</v>
      </c>
      <c r="Q678" s="13" t="str">
        <f t="shared" si="42"/>
        <v/>
      </c>
      <c r="R678" s="13" t="str">
        <f t="shared" si="43"/>
        <v>Non diskon</v>
      </c>
    </row>
    <row r="679" spans="1:18" x14ac:dyDescent="0.25">
      <c r="A679" s="13" t="s">
        <v>691</v>
      </c>
      <c r="B679" s="13" t="s">
        <v>2192</v>
      </c>
      <c r="C679" s="13" t="s">
        <v>2198</v>
      </c>
      <c r="D679" s="13" t="s">
        <v>2206</v>
      </c>
      <c r="F679" s="13" t="s">
        <v>2224</v>
      </c>
      <c r="G679" s="13">
        <v>49.72</v>
      </c>
      <c r="H679" s="44">
        <v>58.3</v>
      </c>
      <c r="I679" s="13">
        <v>20.73</v>
      </c>
      <c r="J679" s="24">
        <v>45875</v>
      </c>
      <c r="K679" s="25">
        <v>4</v>
      </c>
      <c r="L679" s="25">
        <v>1.6</v>
      </c>
      <c r="M679" s="13" t="b">
        <v>0</v>
      </c>
      <c r="O679" s="25">
        <f t="shared" si="40"/>
        <v>27</v>
      </c>
      <c r="P679" s="13">
        <f t="shared" si="41"/>
        <v>233.2</v>
      </c>
      <c r="Q679" s="13" t="str">
        <f t="shared" si="42"/>
        <v/>
      </c>
      <c r="R679" s="13" t="str">
        <f t="shared" si="43"/>
        <v>Diskon</v>
      </c>
    </row>
    <row r="680" spans="1:18" x14ac:dyDescent="0.25">
      <c r="A680" s="13" t="s">
        <v>692</v>
      </c>
      <c r="B680" s="13" t="s">
        <v>2192</v>
      </c>
      <c r="C680" s="13" t="s">
        <v>2202</v>
      </c>
      <c r="D680" s="13" t="s">
        <v>2205</v>
      </c>
      <c r="F680" s="13" t="s">
        <v>2223</v>
      </c>
      <c r="G680" s="13">
        <v>23.09</v>
      </c>
      <c r="H680" s="44">
        <v>7.1</v>
      </c>
      <c r="I680" s="13">
        <v>21.45</v>
      </c>
      <c r="J680" s="24">
        <v>45875</v>
      </c>
      <c r="K680" s="25">
        <v>11</v>
      </c>
      <c r="L680" s="25">
        <v>1.2</v>
      </c>
      <c r="M680" s="13" t="b">
        <v>0</v>
      </c>
      <c r="O680" s="25">
        <f t="shared" si="40"/>
        <v>27</v>
      </c>
      <c r="P680" s="13">
        <f t="shared" si="41"/>
        <v>78.099999999999994</v>
      </c>
      <c r="Q680" s="13" t="str">
        <f t="shared" si="42"/>
        <v/>
      </c>
      <c r="R680" s="13" t="str">
        <f t="shared" si="43"/>
        <v>Diskon</v>
      </c>
    </row>
    <row r="681" spans="1:18" x14ac:dyDescent="0.25">
      <c r="A681" s="13" t="s">
        <v>693</v>
      </c>
      <c r="B681" s="13" t="s">
        <v>2192</v>
      </c>
      <c r="C681" s="13" t="s">
        <v>2196</v>
      </c>
      <c r="D681" s="13" t="s">
        <v>2204</v>
      </c>
      <c r="F681" s="13" t="s">
        <v>2214</v>
      </c>
      <c r="G681" s="13">
        <v>49.95</v>
      </c>
      <c r="H681" s="44">
        <v>0</v>
      </c>
      <c r="I681" s="13">
        <v>49.95</v>
      </c>
      <c r="J681" s="24">
        <v>45552</v>
      </c>
      <c r="K681" s="25">
        <v>29</v>
      </c>
      <c r="L681" s="25">
        <v>4.3</v>
      </c>
      <c r="M681" s="13" t="b">
        <v>0</v>
      </c>
      <c r="O681" s="25">
        <f t="shared" si="40"/>
        <v>350</v>
      </c>
      <c r="P681" s="13">
        <f t="shared" si="41"/>
        <v>0</v>
      </c>
      <c r="Q681" s="13" t="str">
        <f t="shared" si="42"/>
        <v/>
      </c>
      <c r="R681" s="13" t="str">
        <f t="shared" si="43"/>
        <v>Non diskon</v>
      </c>
    </row>
    <row r="682" spans="1:18" x14ac:dyDescent="0.25">
      <c r="A682" s="13" t="s">
        <v>694</v>
      </c>
      <c r="B682" s="13" t="s">
        <v>2192</v>
      </c>
      <c r="C682" s="13" t="s">
        <v>2203</v>
      </c>
      <c r="D682" s="13" t="s">
        <v>2205</v>
      </c>
      <c r="F682" s="13" t="s">
        <v>2220</v>
      </c>
      <c r="G682" s="13">
        <v>25.7</v>
      </c>
      <c r="H682" s="44">
        <v>0</v>
      </c>
      <c r="I682" s="13">
        <v>25.7</v>
      </c>
      <c r="J682" s="24">
        <v>45875</v>
      </c>
      <c r="K682" s="25">
        <v>38</v>
      </c>
      <c r="L682" s="25">
        <v>3.2</v>
      </c>
      <c r="M682" s="13" t="b">
        <v>1</v>
      </c>
      <c r="N682" s="13" t="s">
        <v>2228</v>
      </c>
      <c r="O682" s="25">
        <f t="shared" si="40"/>
        <v>27</v>
      </c>
      <c r="P682" s="13">
        <f t="shared" si="41"/>
        <v>0</v>
      </c>
      <c r="Q682" s="13">
        <f t="shared" si="42"/>
        <v>1</v>
      </c>
      <c r="R682" s="13" t="str">
        <f t="shared" si="43"/>
        <v>Non diskon</v>
      </c>
    </row>
    <row r="683" spans="1:18" x14ac:dyDescent="0.25">
      <c r="A683" s="13" t="s">
        <v>695</v>
      </c>
      <c r="B683" s="13" t="s">
        <v>2193</v>
      </c>
      <c r="C683" s="13" t="s">
        <v>2199</v>
      </c>
      <c r="D683" s="13" t="s">
        <v>2207</v>
      </c>
      <c r="E683" s="13" t="s">
        <v>2212</v>
      </c>
      <c r="F683" s="13" t="s">
        <v>2220</v>
      </c>
      <c r="G683" s="13">
        <v>175.22</v>
      </c>
      <c r="H683" s="44">
        <v>0</v>
      </c>
      <c r="I683" s="13">
        <v>175.22</v>
      </c>
      <c r="J683" s="24">
        <v>45875</v>
      </c>
      <c r="K683" s="25">
        <v>8</v>
      </c>
      <c r="L683" s="25">
        <v>4.9000000000000004</v>
      </c>
      <c r="M683" s="13" t="b">
        <v>0</v>
      </c>
      <c r="O683" s="25">
        <f t="shared" si="40"/>
        <v>27</v>
      </c>
      <c r="P683" s="13">
        <f t="shared" si="41"/>
        <v>0</v>
      </c>
      <c r="Q683" s="13" t="str">
        <f t="shared" si="42"/>
        <v/>
      </c>
      <c r="R683" s="13" t="str">
        <f t="shared" si="43"/>
        <v>Non diskon</v>
      </c>
    </row>
    <row r="684" spans="1:18" x14ac:dyDescent="0.25">
      <c r="A684" s="13" t="s">
        <v>696</v>
      </c>
      <c r="B684" s="13" t="s">
        <v>2194</v>
      </c>
      <c r="C684" s="13" t="s">
        <v>2201</v>
      </c>
      <c r="D684" s="13" t="s">
        <v>2207</v>
      </c>
      <c r="E684" s="13" t="s">
        <v>2212</v>
      </c>
      <c r="F684" s="13" t="s">
        <v>2218</v>
      </c>
      <c r="G684" s="13">
        <v>37.57</v>
      </c>
      <c r="H684" s="44">
        <v>0</v>
      </c>
      <c r="I684" s="13">
        <v>37.57</v>
      </c>
      <c r="J684" s="24">
        <v>45875</v>
      </c>
      <c r="K684" s="25">
        <v>18</v>
      </c>
      <c r="L684" s="25">
        <v>1.9</v>
      </c>
      <c r="M684" s="13" t="b">
        <v>0</v>
      </c>
      <c r="O684" s="25">
        <f t="shared" si="40"/>
        <v>27</v>
      </c>
      <c r="P684" s="13">
        <f t="shared" si="41"/>
        <v>0</v>
      </c>
      <c r="Q684" s="13" t="str">
        <f t="shared" si="42"/>
        <v/>
      </c>
      <c r="R684" s="13" t="str">
        <f t="shared" si="43"/>
        <v>Non diskon</v>
      </c>
    </row>
    <row r="685" spans="1:18" x14ac:dyDescent="0.25">
      <c r="A685" s="13" t="s">
        <v>697</v>
      </c>
      <c r="B685" s="13" t="s">
        <v>2190</v>
      </c>
      <c r="C685" s="13" t="s">
        <v>2196</v>
      </c>
      <c r="D685" s="13" t="s">
        <v>2204</v>
      </c>
      <c r="E685" s="13" t="s">
        <v>2213</v>
      </c>
      <c r="F685" s="13" t="s">
        <v>2220</v>
      </c>
      <c r="G685" s="13">
        <v>245.87</v>
      </c>
      <c r="H685" s="44">
        <v>0</v>
      </c>
      <c r="I685" s="13">
        <v>245.87</v>
      </c>
      <c r="J685" s="24">
        <v>45832</v>
      </c>
      <c r="K685" s="25">
        <v>27</v>
      </c>
      <c r="L685" s="25">
        <v>2.6</v>
      </c>
      <c r="M685" s="13" t="b">
        <v>0</v>
      </c>
      <c r="O685" s="25">
        <f t="shared" si="40"/>
        <v>70</v>
      </c>
      <c r="P685" s="13">
        <f t="shared" si="41"/>
        <v>0</v>
      </c>
      <c r="Q685" s="13" t="str">
        <f t="shared" si="42"/>
        <v/>
      </c>
      <c r="R685" s="13" t="str">
        <f t="shared" si="43"/>
        <v>Non diskon</v>
      </c>
    </row>
    <row r="686" spans="1:18" x14ac:dyDescent="0.25">
      <c r="A686" s="13" t="s">
        <v>698</v>
      </c>
      <c r="B686" s="13" t="s">
        <v>2194</v>
      </c>
      <c r="C686" s="13" t="s">
        <v>2198</v>
      </c>
      <c r="D686" s="13" t="s">
        <v>2205</v>
      </c>
      <c r="E686" s="13" t="s">
        <v>2212</v>
      </c>
      <c r="F686" s="13" t="s">
        <v>2214</v>
      </c>
      <c r="G686" s="13">
        <v>116.92</v>
      </c>
      <c r="H686" s="44">
        <v>0</v>
      </c>
      <c r="I686" s="13">
        <v>116.92</v>
      </c>
      <c r="J686" s="24">
        <v>45875</v>
      </c>
      <c r="K686" s="25">
        <v>13</v>
      </c>
      <c r="L686" s="25">
        <v>3.2</v>
      </c>
      <c r="M686" s="13" t="b">
        <v>0</v>
      </c>
      <c r="O686" s="25">
        <f t="shared" si="40"/>
        <v>27</v>
      </c>
      <c r="P686" s="13">
        <f t="shared" si="41"/>
        <v>0</v>
      </c>
      <c r="Q686" s="13" t="str">
        <f t="shared" si="42"/>
        <v/>
      </c>
      <c r="R686" s="13" t="str">
        <f t="shared" si="43"/>
        <v>Non diskon</v>
      </c>
    </row>
    <row r="687" spans="1:18" x14ac:dyDescent="0.25">
      <c r="A687" s="13" t="s">
        <v>699</v>
      </c>
      <c r="B687" s="13" t="s">
        <v>2195</v>
      </c>
      <c r="C687" s="13" t="s">
        <v>2201</v>
      </c>
      <c r="D687" s="13" t="s">
        <v>2205</v>
      </c>
      <c r="E687" s="13" t="s">
        <v>2209</v>
      </c>
      <c r="F687" s="13" t="s">
        <v>2215</v>
      </c>
      <c r="G687" s="13">
        <v>103.11</v>
      </c>
      <c r="H687" s="44">
        <v>0</v>
      </c>
      <c r="I687" s="13">
        <v>103.11</v>
      </c>
      <c r="J687" s="24">
        <v>45875</v>
      </c>
      <c r="K687" s="25">
        <v>17</v>
      </c>
      <c r="L687" s="25">
        <v>3.1874999999999991</v>
      </c>
      <c r="M687" s="13" t="b">
        <v>0</v>
      </c>
      <c r="O687" s="25">
        <f t="shared" si="40"/>
        <v>27</v>
      </c>
      <c r="P687" s="13">
        <f t="shared" si="41"/>
        <v>0</v>
      </c>
      <c r="Q687" s="13" t="str">
        <f t="shared" si="42"/>
        <v/>
      </c>
      <c r="R687" s="13" t="str">
        <f t="shared" si="43"/>
        <v>Non diskon</v>
      </c>
    </row>
    <row r="688" spans="1:18" x14ac:dyDescent="0.25">
      <c r="A688" s="13" t="s">
        <v>700</v>
      </c>
      <c r="B688" s="13" t="s">
        <v>2190</v>
      </c>
      <c r="C688" s="13" t="s">
        <v>2197</v>
      </c>
      <c r="D688" s="13" t="s">
        <v>2206</v>
      </c>
      <c r="E688" s="13" t="s">
        <v>2213</v>
      </c>
      <c r="F688" s="13" t="s">
        <v>2223</v>
      </c>
      <c r="G688" s="13">
        <v>238.89</v>
      </c>
      <c r="H688" s="44">
        <v>0.5</v>
      </c>
      <c r="I688" s="13">
        <v>237.7</v>
      </c>
      <c r="J688" s="24">
        <v>45875</v>
      </c>
      <c r="K688" s="25">
        <v>28</v>
      </c>
      <c r="L688" s="25">
        <v>2.7</v>
      </c>
      <c r="M688" s="13" t="b">
        <v>0</v>
      </c>
      <c r="O688" s="25">
        <f t="shared" si="40"/>
        <v>27</v>
      </c>
      <c r="P688" s="13">
        <f t="shared" si="41"/>
        <v>14</v>
      </c>
      <c r="Q688" s="13" t="str">
        <f t="shared" si="42"/>
        <v/>
      </c>
      <c r="R688" s="13" t="str">
        <f t="shared" si="43"/>
        <v>Diskon</v>
      </c>
    </row>
    <row r="689" spans="1:18" x14ac:dyDescent="0.25">
      <c r="A689" s="13" t="s">
        <v>701</v>
      </c>
      <c r="B689" s="13" t="s">
        <v>2193</v>
      </c>
      <c r="C689" s="13" t="s">
        <v>2197</v>
      </c>
      <c r="D689" s="13" t="s">
        <v>2207</v>
      </c>
      <c r="E689" s="13" t="s">
        <v>2212</v>
      </c>
      <c r="F689" s="13" t="s">
        <v>2215</v>
      </c>
      <c r="G689" s="13">
        <v>86.81</v>
      </c>
      <c r="H689" s="44">
        <v>12.6</v>
      </c>
      <c r="I689" s="13">
        <v>75.87</v>
      </c>
      <c r="J689" s="24">
        <v>45875</v>
      </c>
      <c r="K689" s="25">
        <v>6</v>
      </c>
      <c r="L689" s="25">
        <v>1.7</v>
      </c>
      <c r="M689" s="13" t="b">
        <v>0</v>
      </c>
      <c r="O689" s="25">
        <f t="shared" si="40"/>
        <v>27</v>
      </c>
      <c r="P689" s="13">
        <f t="shared" si="41"/>
        <v>75.599999999999994</v>
      </c>
      <c r="Q689" s="13" t="str">
        <f t="shared" si="42"/>
        <v/>
      </c>
      <c r="R689" s="13" t="str">
        <f t="shared" si="43"/>
        <v>Diskon</v>
      </c>
    </row>
    <row r="690" spans="1:18" x14ac:dyDescent="0.25">
      <c r="A690" s="13" t="s">
        <v>702</v>
      </c>
      <c r="B690" s="13" t="s">
        <v>2194</v>
      </c>
      <c r="C690" s="13" t="s">
        <v>2199</v>
      </c>
      <c r="D690" s="13" t="s">
        <v>2207</v>
      </c>
      <c r="E690" s="13" t="s">
        <v>2212</v>
      </c>
      <c r="F690" s="13" t="s">
        <v>2219</v>
      </c>
      <c r="G690" s="13">
        <v>58.8</v>
      </c>
      <c r="H690" s="44">
        <v>11.8</v>
      </c>
      <c r="I690" s="13">
        <v>51.86</v>
      </c>
      <c r="J690" s="24">
        <v>45875</v>
      </c>
      <c r="K690" s="25">
        <v>8</v>
      </c>
      <c r="L690" s="25">
        <v>2.8142857142857149</v>
      </c>
      <c r="M690" s="13" t="b">
        <v>0</v>
      </c>
      <c r="O690" s="25">
        <f t="shared" si="40"/>
        <v>27</v>
      </c>
      <c r="P690" s="13">
        <f t="shared" si="41"/>
        <v>94.4</v>
      </c>
      <c r="Q690" s="13" t="str">
        <f t="shared" si="42"/>
        <v/>
      </c>
      <c r="R690" s="13" t="str">
        <f t="shared" si="43"/>
        <v>Diskon</v>
      </c>
    </row>
    <row r="691" spans="1:18" x14ac:dyDescent="0.25">
      <c r="A691" s="13" t="s">
        <v>703</v>
      </c>
      <c r="B691" s="13" t="s">
        <v>2194</v>
      </c>
      <c r="C691" s="13" t="s">
        <v>2201</v>
      </c>
      <c r="D691" s="13" t="s">
        <v>2204</v>
      </c>
      <c r="E691" s="13" t="s">
        <v>2208</v>
      </c>
      <c r="F691" s="13" t="s">
        <v>2221</v>
      </c>
      <c r="G691" s="13">
        <v>41.65</v>
      </c>
      <c r="H691" s="44">
        <v>52</v>
      </c>
      <c r="I691" s="13">
        <v>19.989999999999998</v>
      </c>
      <c r="J691" s="24">
        <v>45793</v>
      </c>
      <c r="K691" s="25">
        <v>20</v>
      </c>
      <c r="L691" s="25">
        <v>1.2</v>
      </c>
      <c r="M691" s="13" t="b">
        <v>0</v>
      </c>
      <c r="O691" s="25">
        <f t="shared" si="40"/>
        <v>109</v>
      </c>
      <c r="P691" s="13">
        <f t="shared" si="41"/>
        <v>1040</v>
      </c>
      <c r="Q691" s="13" t="str">
        <f t="shared" si="42"/>
        <v/>
      </c>
      <c r="R691" s="13" t="str">
        <f t="shared" si="43"/>
        <v>Diskon</v>
      </c>
    </row>
    <row r="692" spans="1:18" x14ac:dyDescent="0.25">
      <c r="A692" s="13" t="s">
        <v>704</v>
      </c>
      <c r="B692" s="13" t="s">
        <v>2191</v>
      </c>
      <c r="C692" s="13" t="s">
        <v>2200</v>
      </c>
      <c r="D692" s="13" t="s">
        <v>2204</v>
      </c>
      <c r="E692" s="13" t="s">
        <v>2208</v>
      </c>
      <c r="F692" s="13" t="s">
        <v>2216</v>
      </c>
      <c r="G692" s="13">
        <v>61.67</v>
      </c>
      <c r="H692" s="44">
        <v>46.4</v>
      </c>
      <c r="I692" s="13">
        <v>33.06</v>
      </c>
      <c r="J692" s="24">
        <v>45853</v>
      </c>
      <c r="K692" s="25">
        <v>50</v>
      </c>
      <c r="L692" s="25">
        <v>2.7</v>
      </c>
      <c r="M692" s="13" t="b">
        <v>0</v>
      </c>
      <c r="O692" s="25">
        <f t="shared" si="40"/>
        <v>49</v>
      </c>
      <c r="P692" s="13">
        <f t="shared" si="41"/>
        <v>2320</v>
      </c>
      <c r="Q692" s="13" t="str">
        <f t="shared" si="42"/>
        <v/>
      </c>
      <c r="R692" s="13" t="str">
        <f t="shared" si="43"/>
        <v>Diskon</v>
      </c>
    </row>
    <row r="693" spans="1:18" x14ac:dyDescent="0.25">
      <c r="A693" s="13" t="s">
        <v>705</v>
      </c>
      <c r="B693" s="13" t="s">
        <v>2194</v>
      </c>
      <c r="C693" s="13" t="s">
        <v>2200</v>
      </c>
      <c r="D693" s="13" t="s">
        <v>2206</v>
      </c>
      <c r="E693" s="13" t="s">
        <v>2212</v>
      </c>
      <c r="F693" s="13" t="s">
        <v>2216</v>
      </c>
      <c r="G693" s="13">
        <v>40.39</v>
      </c>
      <c r="H693" s="44">
        <v>0</v>
      </c>
      <c r="I693" s="13">
        <v>40.39</v>
      </c>
      <c r="J693" s="24">
        <v>45875</v>
      </c>
      <c r="K693" s="25">
        <v>16</v>
      </c>
      <c r="L693" s="25">
        <v>3.0659090909090896</v>
      </c>
      <c r="M693" s="13" t="b">
        <v>0</v>
      </c>
      <c r="O693" s="25">
        <f t="shared" si="40"/>
        <v>27</v>
      </c>
      <c r="P693" s="13">
        <f t="shared" si="41"/>
        <v>0</v>
      </c>
      <c r="Q693" s="13" t="str">
        <f t="shared" si="42"/>
        <v/>
      </c>
      <c r="R693" s="13" t="str">
        <f t="shared" si="43"/>
        <v>Non diskon</v>
      </c>
    </row>
    <row r="694" spans="1:18" x14ac:dyDescent="0.25">
      <c r="A694" s="13" t="s">
        <v>706</v>
      </c>
      <c r="B694" s="13" t="s">
        <v>2191</v>
      </c>
      <c r="C694" s="13" t="s">
        <v>2201</v>
      </c>
      <c r="D694" s="13" t="s">
        <v>2206</v>
      </c>
      <c r="E694" s="13" t="s">
        <v>2211</v>
      </c>
      <c r="F694" s="13" t="s">
        <v>2223</v>
      </c>
      <c r="G694" s="13">
        <v>95.13</v>
      </c>
      <c r="H694" s="44">
        <v>45.4</v>
      </c>
      <c r="I694" s="13">
        <v>51.94</v>
      </c>
      <c r="J694" s="24">
        <v>45875</v>
      </c>
      <c r="K694" s="25">
        <v>46</v>
      </c>
      <c r="L694" s="25">
        <v>2.5</v>
      </c>
      <c r="M694" s="13" t="b">
        <v>0</v>
      </c>
      <c r="O694" s="25">
        <f t="shared" si="40"/>
        <v>27</v>
      </c>
      <c r="P694" s="13">
        <f t="shared" si="41"/>
        <v>2088.4</v>
      </c>
      <c r="Q694" s="13" t="str">
        <f t="shared" si="42"/>
        <v/>
      </c>
      <c r="R694" s="13" t="str">
        <f t="shared" si="43"/>
        <v>Diskon</v>
      </c>
    </row>
    <row r="695" spans="1:18" x14ac:dyDescent="0.25">
      <c r="A695" s="13" t="s">
        <v>707</v>
      </c>
      <c r="B695" s="13" t="s">
        <v>2194</v>
      </c>
      <c r="C695" s="13" t="s">
        <v>2196</v>
      </c>
      <c r="D695" s="13" t="s">
        <v>2206</v>
      </c>
      <c r="E695" s="13" t="s">
        <v>2210</v>
      </c>
      <c r="F695" s="13" t="s">
        <v>2220</v>
      </c>
      <c r="G695" s="13">
        <v>115.14</v>
      </c>
      <c r="H695" s="44">
        <v>0</v>
      </c>
      <c r="I695" s="13">
        <v>115.14</v>
      </c>
      <c r="J695" s="24">
        <v>45875</v>
      </c>
      <c r="K695" s="25">
        <v>43</v>
      </c>
      <c r="L695" s="25">
        <v>2.5</v>
      </c>
      <c r="M695" s="13" t="b">
        <v>0</v>
      </c>
      <c r="O695" s="25">
        <f t="shared" si="40"/>
        <v>27</v>
      </c>
      <c r="P695" s="13">
        <f t="shared" si="41"/>
        <v>0</v>
      </c>
      <c r="Q695" s="13" t="str">
        <f t="shared" si="42"/>
        <v/>
      </c>
      <c r="R695" s="13" t="str">
        <f t="shared" si="43"/>
        <v>Non diskon</v>
      </c>
    </row>
    <row r="696" spans="1:18" x14ac:dyDescent="0.25">
      <c r="A696" s="13" t="s">
        <v>708</v>
      </c>
      <c r="B696" s="13" t="s">
        <v>2191</v>
      </c>
      <c r="C696" s="13" t="s">
        <v>2200</v>
      </c>
      <c r="D696" s="13" t="s">
        <v>2207</v>
      </c>
      <c r="F696" s="13" t="s">
        <v>2221</v>
      </c>
      <c r="G696" s="13">
        <v>59.58</v>
      </c>
      <c r="H696" s="44">
        <v>0</v>
      </c>
      <c r="I696" s="13">
        <v>59.58</v>
      </c>
      <c r="J696" s="24">
        <v>45875</v>
      </c>
      <c r="K696" s="25">
        <v>27</v>
      </c>
      <c r="L696" s="25">
        <v>3.3</v>
      </c>
      <c r="M696" s="13" t="b">
        <v>0</v>
      </c>
      <c r="O696" s="25">
        <f t="shared" si="40"/>
        <v>27</v>
      </c>
      <c r="P696" s="13">
        <f t="shared" si="41"/>
        <v>0</v>
      </c>
      <c r="Q696" s="13" t="str">
        <f t="shared" si="42"/>
        <v/>
      </c>
      <c r="R696" s="13" t="str">
        <f t="shared" si="43"/>
        <v>Non diskon</v>
      </c>
    </row>
    <row r="697" spans="1:18" x14ac:dyDescent="0.25">
      <c r="A697" s="13" t="s">
        <v>709</v>
      </c>
      <c r="B697" s="13" t="s">
        <v>2193</v>
      </c>
      <c r="C697" s="13" t="s">
        <v>2197</v>
      </c>
      <c r="D697" s="13" t="s">
        <v>2204</v>
      </c>
      <c r="E697" s="13" t="s">
        <v>2213</v>
      </c>
      <c r="F697" s="13" t="s">
        <v>2223</v>
      </c>
      <c r="G697" s="13">
        <v>169.89</v>
      </c>
      <c r="H697" s="44">
        <v>0</v>
      </c>
      <c r="I697" s="13">
        <v>169.89</v>
      </c>
      <c r="J697" s="24">
        <v>45852</v>
      </c>
      <c r="K697" s="25">
        <v>12</v>
      </c>
      <c r="L697" s="25">
        <v>1.2</v>
      </c>
      <c r="M697" s="13" t="b">
        <v>0</v>
      </c>
      <c r="O697" s="25">
        <f t="shared" si="40"/>
        <v>50</v>
      </c>
      <c r="P697" s="13">
        <f t="shared" si="41"/>
        <v>0</v>
      </c>
      <c r="Q697" s="13" t="str">
        <f t="shared" si="42"/>
        <v/>
      </c>
      <c r="R697" s="13" t="str">
        <f t="shared" si="43"/>
        <v>Non diskon</v>
      </c>
    </row>
    <row r="698" spans="1:18" x14ac:dyDescent="0.25">
      <c r="A698" s="13" t="s">
        <v>710</v>
      </c>
      <c r="B698" s="13" t="s">
        <v>2193</v>
      </c>
      <c r="C698" s="13" t="s">
        <v>2199</v>
      </c>
      <c r="D698" s="13" t="s">
        <v>2205</v>
      </c>
      <c r="E698" s="13" t="s">
        <v>2210</v>
      </c>
      <c r="F698" s="13" t="s">
        <v>2216</v>
      </c>
      <c r="G698" s="13">
        <v>117.38</v>
      </c>
      <c r="H698" s="44">
        <v>22.5</v>
      </c>
      <c r="I698" s="13">
        <v>90.97</v>
      </c>
      <c r="J698" s="24">
        <v>45875</v>
      </c>
      <c r="K698" s="25">
        <v>42</v>
      </c>
      <c r="L698" s="25">
        <v>2.8</v>
      </c>
      <c r="M698" s="13" t="b">
        <v>1</v>
      </c>
      <c r="N698" s="13" t="s">
        <v>2225</v>
      </c>
      <c r="O698" s="25">
        <f t="shared" si="40"/>
        <v>27</v>
      </c>
      <c r="P698" s="13">
        <f t="shared" si="41"/>
        <v>945</v>
      </c>
      <c r="Q698" s="13">
        <f t="shared" si="42"/>
        <v>1</v>
      </c>
      <c r="R698" s="13" t="str">
        <f t="shared" si="43"/>
        <v>Diskon</v>
      </c>
    </row>
    <row r="699" spans="1:18" x14ac:dyDescent="0.25">
      <c r="A699" s="13" t="s">
        <v>711</v>
      </c>
      <c r="B699" s="13" t="s">
        <v>2191</v>
      </c>
      <c r="C699" s="13" t="s">
        <v>2199</v>
      </c>
      <c r="D699" s="13" t="s">
        <v>2205</v>
      </c>
      <c r="E699" s="13" t="s">
        <v>2210</v>
      </c>
      <c r="F699" s="13" t="s">
        <v>2215</v>
      </c>
      <c r="G699" s="13">
        <v>118.95</v>
      </c>
      <c r="H699" s="44">
        <v>0</v>
      </c>
      <c r="I699" s="13">
        <v>118.95</v>
      </c>
      <c r="J699" s="24">
        <v>45875</v>
      </c>
      <c r="K699" s="25">
        <v>18</v>
      </c>
      <c r="L699" s="25">
        <v>1.9</v>
      </c>
      <c r="M699" s="13" t="b">
        <v>1</v>
      </c>
      <c r="N699" s="13" t="s">
        <v>2228</v>
      </c>
      <c r="O699" s="25">
        <f t="shared" si="40"/>
        <v>27</v>
      </c>
      <c r="P699" s="13">
        <f t="shared" si="41"/>
        <v>0</v>
      </c>
      <c r="Q699" s="13">
        <f t="shared" si="42"/>
        <v>1</v>
      </c>
      <c r="R699" s="13" t="str">
        <f t="shared" si="43"/>
        <v>Non diskon</v>
      </c>
    </row>
    <row r="700" spans="1:18" x14ac:dyDescent="0.25">
      <c r="A700" s="13" t="s">
        <v>712</v>
      </c>
      <c r="B700" s="13" t="s">
        <v>2192</v>
      </c>
      <c r="C700" s="13" t="s">
        <v>2197</v>
      </c>
      <c r="D700" s="13" t="s">
        <v>2206</v>
      </c>
      <c r="F700" s="13" t="s">
        <v>2214</v>
      </c>
      <c r="G700" s="13">
        <v>39.299999999999997</v>
      </c>
      <c r="H700" s="44">
        <v>0</v>
      </c>
      <c r="I700" s="13">
        <v>39.299999999999997</v>
      </c>
      <c r="J700" s="24">
        <v>45875</v>
      </c>
      <c r="K700" s="25">
        <v>39</v>
      </c>
      <c r="L700" s="25">
        <v>3.1288461538461547</v>
      </c>
      <c r="M700" s="13" t="b">
        <v>0</v>
      </c>
      <c r="O700" s="25">
        <f t="shared" si="40"/>
        <v>27</v>
      </c>
      <c r="P700" s="13">
        <f t="shared" si="41"/>
        <v>0</v>
      </c>
      <c r="Q700" s="13" t="str">
        <f t="shared" si="42"/>
        <v/>
      </c>
      <c r="R700" s="13" t="str">
        <f t="shared" si="43"/>
        <v>Non diskon</v>
      </c>
    </row>
    <row r="701" spans="1:18" x14ac:dyDescent="0.25">
      <c r="A701" s="13" t="s">
        <v>713</v>
      </c>
      <c r="B701" s="13" t="s">
        <v>2191</v>
      </c>
      <c r="C701" s="13" t="s">
        <v>2200</v>
      </c>
      <c r="D701" s="13" t="s">
        <v>2205</v>
      </c>
      <c r="E701" s="13" t="s">
        <v>2209</v>
      </c>
      <c r="F701" s="13" t="s">
        <v>2221</v>
      </c>
      <c r="G701" s="13">
        <v>74.3</v>
      </c>
      <c r="H701" s="44">
        <v>0</v>
      </c>
      <c r="I701" s="13">
        <v>74.3</v>
      </c>
      <c r="J701" s="24">
        <v>45875</v>
      </c>
      <c r="K701" s="25">
        <v>31</v>
      </c>
      <c r="L701" s="25">
        <v>3.8</v>
      </c>
      <c r="M701" s="13" t="b">
        <v>1</v>
      </c>
      <c r="N701" s="13" t="s">
        <v>2230</v>
      </c>
      <c r="O701" s="25">
        <f t="shared" si="40"/>
        <v>27</v>
      </c>
      <c r="P701" s="13">
        <f t="shared" si="41"/>
        <v>0</v>
      </c>
      <c r="Q701" s="13">
        <f t="shared" si="42"/>
        <v>1</v>
      </c>
      <c r="R701" s="13" t="str">
        <f t="shared" si="43"/>
        <v>Non diskon</v>
      </c>
    </row>
    <row r="702" spans="1:18" x14ac:dyDescent="0.25">
      <c r="A702" s="13" t="s">
        <v>714</v>
      </c>
      <c r="B702" s="13" t="s">
        <v>2194</v>
      </c>
      <c r="C702" s="13" t="s">
        <v>2200</v>
      </c>
      <c r="D702" s="13" t="s">
        <v>2204</v>
      </c>
      <c r="E702" s="13" t="s">
        <v>2212</v>
      </c>
      <c r="F702" s="13" t="s">
        <v>2224</v>
      </c>
      <c r="G702" s="13">
        <v>62.97</v>
      </c>
      <c r="H702" s="44">
        <v>0</v>
      </c>
      <c r="I702" s="13">
        <v>62.97</v>
      </c>
      <c r="J702" s="24">
        <v>45803</v>
      </c>
      <c r="K702" s="25">
        <v>5</v>
      </c>
      <c r="L702" s="25">
        <v>3.5</v>
      </c>
      <c r="M702" s="13" t="b">
        <v>0</v>
      </c>
      <c r="O702" s="25">
        <f t="shared" si="40"/>
        <v>99</v>
      </c>
      <c r="P702" s="13">
        <f t="shared" si="41"/>
        <v>0</v>
      </c>
      <c r="Q702" s="13" t="str">
        <f t="shared" si="42"/>
        <v/>
      </c>
      <c r="R702" s="13" t="str">
        <f t="shared" si="43"/>
        <v>Non diskon</v>
      </c>
    </row>
    <row r="703" spans="1:18" x14ac:dyDescent="0.25">
      <c r="A703" s="13" t="s">
        <v>715</v>
      </c>
      <c r="B703" s="13" t="s">
        <v>2192</v>
      </c>
      <c r="C703" s="13" t="s">
        <v>2200</v>
      </c>
      <c r="D703" s="13" t="s">
        <v>2207</v>
      </c>
      <c r="F703" s="13" t="s">
        <v>2218</v>
      </c>
      <c r="G703" s="13">
        <v>73.599999999999994</v>
      </c>
      <c r="H703" s="44">
        <v>0</v>
      </c>
      <c r="I703" s="13">
        <v>73.599999999999994</v>
      </c>
      <c r="J703" s="24">
        <v>45875</v>
      </c>
      <c r="K703" s="25">
        <v>1</v>
      </c>
      <c r="L703" s="25">
        <v>1.8</v>
      </c>
      <c r="M703" s="13" t="b">
        <v>0</v>
      </c>
      <c r="O703" s="25">
        <f t="shared" si="40"/>
        <v>27</v>
      </c>
      <c r="P703" s="13">
        <f t="shared" si="41"/>
        <v>0</v>
      </c>
      <c r="Q703" s="13" t="str">
        <f t="shared" si="42"/>
        <v/>
      </c>
      <c r="R703" s="13" t="str">
        <f t="shared" si="43"/>
        <v>Non diskon</v>
      </c>
    </row>
    <row r="704" spans="1:18" x14ac:dyDescent="0.25">
      <c r="A704" s="13" t="s">
        <v>716</v>
      </c>
      <c r="B704" s="13" t="s">
        <v>2192</v>
      </c>
      <c r="C704" s="13" t="s">
        <v>2199</v>
      </c>
      <c r="D704" s="13" t="s">
        <v>2204</v>
      </c>
      <c r="F704" s="13" t="s">
        <v>2216</v>
      </c>
      <c r="G704" s="13">
        <v>77.849999999999994</v>
      </c>
      <c r="H704" s="44">
        <v>34.9</v>
      </c>
      <c r="I704" s="13">
        <v>50.68</v>
      </c>
      <c r="J704" s="24">
        <v>45874</v>
      </c>
      <c r="K704" s="25">
        <v>11</v>
      </c>
      <c r="L704" s="25">
        <v>2.5131578947368416</v>
      </c>
      <c r="M704" s="13" t="b">
        <v>0</v>
      </c>
      <c r="O704" s="25">
        <f t="shared" si="40"/>
        <v>28</v>
      </c>
      <c r="P704" s="13">
        <f t="shared" si="41"/>
        <v>383.9</v>
      </c>
      <c r="Q704" s="13" t="str">
        <f t="shared" si="42"/>
        <v/>
      </c>
      <c r="R704" s="13" t="str">
        <f t="shared" si="43"/>
        <v>Diskon</v>
      </c>
    </row>
    <row r="705" spans="1:18" x14ac:dyDescent="0.25">
      <c r="A705" s="13" t="s">
        <v>717</v>
      </c>
      <c r="B705" s="13" t="s">
        <v>2191</v>
      </c>
      <c r="C705" s="13" t="s">
        <v>2203</v>
      </c>
      <c r="D705" s="13" t="s">
        <v>2207</v>
      </c>
      <c r="F705" s="13" t="s">
        <v>2214</v>
      </c>
      <c r="G705" s="13">
        <v>94.31</v>
      </c>
      <c r="H705" s="44">
        <v>0</v>
      </c>
      <c r="I705" s="13">
        <v>94.31</v>
      </c>
      <c r="J705" s="24">
        <v>45875</v>
      </c>
      <c r="K705" s="25">
        <v>20</v>
      </c>
      <c r="L705" s="25">
        <v>3</v>
      </c>
      <c r="M705" s="13" t="b">
        <v>0</v>
      </c>
      <c r="O705" s="25">
        <f t="shared" si="40"/>
        <v>27</v>
      </c>
      <c r="P705" s="13">
        <f t="shared" si="41"/>
        <v>0</v>
      </c>
      <c r="Q705" s="13" t="str">
        <f t="shared" si="42"/>
        <v/>
      </c>
      <c r="R705" s="13" t="str">
        <f t="shared" si="43"/>
        <v>Non diskon</v>
      </c>
    </row>
    <row r="706" spans="1:18" x14ac:dyDescent="0.25">
      <c r="A706" s="13" t="s">
        <v>718</v>
      </c>
      <c r="B706" s="13" t="s">
        <v>2194</v>
      </c>
      <c r="C706" s="13" t="s">
        <v>2201</v>
      </c>
      <c r="D706" s="13" t="s">
        <v>2204</v>
      </c>
      <c r="F706" s="13" t="s">
        <v>2222</v>
      </c>
      <c r="G706" s="13">
        <v>60.36</v>
      </c>
      <c r="H706" s="44">
        <v>0</v>
      </c>
      <c r="I706" s="13">
        <v>60.36</v>
      </c>
      <c r="J706" s="24">
        <v>45536</v>
      </c>
      <c r="K706" s="25">
        <v>35</v>
      </c>
      <c r="L706" s="25">
        <v>3.3</v>
      </c>
      <c r="M706" s="13" t="b">
        <v>0</v>
      </c>
      <c r="O706" s="25">
        <f t="shared" si="40"/>
        <v>366</v>
      </c>
      <c r="P706" s="13">
        <f t="shared" si="41"/>
        <v>0</v>
      </c>
      <c r="Q706" s="13" t="str">
        <f t="shared" si="42"/>
        <v/>
      </c>
      <c r="R706" s="13" t="str">
        <f t="shared" si="43"/>
        <v>Non diskon</v>
      </c>
    </row>
    <row r="707" spans="1:18" x14ac:dyDescent="0.25">
      <c r="A707" s="13" t="s">
        <v>719</v>
      </c>
      <c r="B707" s="13" t="s">
        <v>2194</v>
      </c>
      <c r="C707" s="13" t="s">
        <v>2199</v>
      </c>
      <c r="D707" s="13" t="s">
        <v>2207</v>
      </c>
      <c r="E707" s="13" t="s">
        <v>2211</v>
      </c>
      <c r="F707" s="13" t="s">
        <v>2224</v>
      </c>
      <c r="G707" s="13">
        <v>94.85</v>
      </c>
      <c r="H707" s="44">
        <v>0</v>
      </c>
      <c r="I707" s="13">
        <v>94.85</v>
      </c>
      <c r="J707" s="24">
        <v>45875</v>
      </c>
      <c r="K707" s="25">
        <v>28</v>
      </c>
      <c r="L707" s="25">
        <v>1.5</v>
      </c>
      <c r="M707" s="13" t="b">
        <v>0</v>
      </c>
      <c r="O707" s="25">
        <f t="shared" ref="O707:O770" si="44">DATE(2025,9,2)-J707</f>
        <v>27</v>
      </c>
      <c r="P707" s="13">
        <f t="shared" ref="P707:P770" si="45">H707*K707</f>
        <v>0</v>
      </c>
      <c r="Q707" s="13" t="str">
        <f t="shared" ref="Q707:Q770" si="46">IF(M707=FALSE,"",1)</f>
        <v/>
      </c>
      <c r="R707" s="13" t="str">
        <f t="shared" ref="R707:R770" si="47">IF(H707=0,"Non diskon","Diskon")</f>
        <v>Non diskon</v>
      </c>
    </row>
    <row r="708" spans="1:18" x14ac:dyDescent="0.25">
      <c r="A708" s="13" t="s">
        <v>720</v>
      </c>
      <c r="B708" s="13" t="s">
        <v>2192</v>
      </c>
      <c r="C708" s="13" t="s">
        <v>2197</v>
      </c>
      <c r="D708" s="13" t="s">
        <v>2205</v>
      </c>
      <c r="F708" s="13" t="s">
        <v>2219</v>
      </c>
      <c r="G708" s="13">
        <v>30.52</v>
      </c>
      <c r="H708" s="44">
        <v>7.9</v>
      </c>
      <c r="I708" s="13">
        <v>28.11</v>
      </c>
      <c r="J708" s="24">
        <v>45875</v>
      </c>
      <c r="K708" s="25">
        <v>43</v>
      </c>
      <c r="L708" s="25">
        <v>4.7</v>
      </c>
      <c r="M708" s="13" t="b">
        <v>0</v>
      </c>
      <c r="O708" s="25">
        <f t="shared" si="44"/>
        <v>27</v>
      </c>
      <c r="P708" s="13">
        <f t="shared" si="45"/>
        <v>339.7</v>
      </c>
      <c r="Q708" s="13" t="str">
        <f t="shared" si="46"/>
        <v/>
      </c>
      <c r="R708" s="13" t="str">
        <f t="shared" si="47"/>
        <v>Diskon</v>
      </c>
    </row>
    <row r="709" spans="1:18" x14ac:dyDescent="0.25">
      <c r="A709" s="13" t="s">
        <v>721</v>
      </c>
      <c r="B709" s="13" t="s">
        <v>2195</v>
      </c>
      <c r="C709" s="13" t="s">
        <v>2199</v>
      </c>
      <c r="D709" s="13" t="s">
        <v>2207</v>
      </c>
      <c r="E709" s="13" t="s">
        <v>2212</v>
      </c>
      <c r="F709" s="13" t="s">
        <v>2222</v>
      </c>
      <c r="G709" s="13">
        <v>97.06</v>
      </c>
      <c r="H709" s="44">
        <v>0</v>
      </c>
      <c r="I709" s="13">
        <v>97.06</v>
      </c>
      <c r="J709" s="24">
        <v>45875</v>
      </c>
      <c r="K709" s="25">
        <v>24</v>
      </c>
      <c r="L709" s="25">
        <v>3.9</v>
      </c>
      <c r="M709" s="13" t="b">
        <v>0</v>
      </c>
      <c r="O709" s="25">
        <f t="shared" si="44"/>
        <v>27</v>
      </c>
      <c r="P709" s="13">
        <f t="shared" si="45"/>
        <v>0</v>
      </c>
      <c r="Q709" s="13" t="str">
        <f t="shared" si="46"/>
        <v/>
      </c>
      <c r="R709" s="13" t="str">
        <f t="shared" si="47"/>
        <v>Non diskon</v>
      </c>
    </row>
    <row r="710" spans="1:18" x14ac:dyDescent="0.25">
      <c r="A710" s="13" t="s">
        <v>722</v>
      </c>
      <c r="B710" s="13" t="s">
        <v>2194</v>
      </c>
      <c r="C710" s="13" t="s">
        <v>2203</v>
      </c>
      <c r="D710" s="13" t="s">
        <v>2207</v>
      </c>
      <c r="E710" s="13" t="s">
        <v>2213</v>
      </c>
      <c r="F710" s="13" t="s">
        <v>2223</v>
      </c>
      <c r="G710" s="13">
        <v>57.85</v>
      </c>
      <c r="H710" s="44">
        <v>35.4</v>
      </c>
      <c r="I710" s="13">
        <v>37.369999999999997</v>
      </c>
      <c r="J710" s="24">
        <v>45875</v>
      </c>
      <c r="K710" s="25">
        <v>17</v>
      </c>
      <c r="L710" s="25">
        <v>3.1021739130434773</v>
      </c>
      <c r="M710" s="13" t="b">
        <v>0</v>
      </c>
      <c r="O710" s="25">
        <f t="shared" si="44"/>
        <v>27</v>
      </c>
      <c r="P710" s="13">
        <f t="shared" si="45"/>
        <v>601.79999999999995</v>
      </c>
      <c r="Q710" s="13" t="str">
        <f t="shared" si="46"/>
        <v/>
      </c>
      <c r="R710" s="13" t="str">
        <f t="shared" si="47"/>
        <v>Diskon</v>
      </c>
    </row>
    <row r="711" spans="1:18" x14ac:dyDescent="0.25">
      <c r="A711" s="13" t="s">
        <v>723</v>
      </c>
      <c r="B711" s="13" t="s">
        <v>2191</v>
      </c>
      <c r="C711" s="13" t="s">
        <v>2196</v>
      </c>
      <c r="D711" s="13" t="s">
        <v>2206</v>
      </c>
      <c r="E711" s="13" t="s">
        <v>2213</v>
      </c>
      <c r="F711" s="13" t="s">
        <v>2217</v>
      </c>
      <c r="G711" s="13">
        <v>51.35</v>
      </c>
      <c r="H711" s="44">
        <v>19.7</v>
      </c>
      <c r="I711" s="13">
        <v>41.23</v>
      </c>
      <c r="J711" s="24">
        <v>45875</v>
      </c>
      <c r="K711" s="25">
        <v>39</v>
      </c>
      <c r="L711" s="25">
        <v>1.3</v>
      </c>
      <c r="M711" s="13" t="b">
        <v>0</v>
      </c>
      <c r="O711" s="25">
        <f t="shared" si="44"/>
        <v>27</v>
      </c>
      <c r="P711" s="13">
        <f t="shared" si="45"/>
        <v>768.3</v>
      </c>
      <c r="Q711" s="13" t="str">
        <f t="shared" si="46"/>
        <v/>
      </c>
      <c r="R711" s="13" t="str">
        <f t="shared" si="47"/>
        <v>Diskon</v>
      </c>
    </row>
    <row r="712" spans="1:18" x14ac:dyDescent="0.25">
      <c r="A712" s="13" t="s">
        <v>724</v>
      </c>
      <c r="B712" s="13" t="s">
        <v>2192</v>
      </c>
      <c r="C712" s="13" t="s">
        <v>2201</v>
      </c>
      <c r="D712" s="13" t="s">
        <v>2204</v>
      </c>
      <c r="F712" s="13" t="s">
        <v>2216</v>
      </c>
      <c r="G712" s="13">
        <v>61.34</v>
      </c>
      <c r="H712" s="44">
        <v>45.4</v>
      </c>
      <c r="I712" s="13">
        <v>33.49</v>
      </c>
      <c r="J712" s="24">
        <v>45691</v>
      </c>
      <c r="K712" s="25">
        <v>46</v>
      </c>
      <c r="L712" s="25">
        <v>3.2731707317073173</v>
      </c>
      <c r="M712" s="13" t="b">
        <v>0</v>
      </c>
      <c r="O712" s="25">
        <f t="shared" si="44"/>
        <v>211</v>
      </c>
      <c r="P712" s="13">
        <f t="shared" si="45"/>
        <v>2088.4</v>
      </c>
      <c r="Q712" s="13" t="str">
        <f t="shared" si="46"/>
        <v/>
      </c>
      <c r="R712" s="13" t="str">
        <f t="shared" si="47"/>
        <v>Diskon</v>
      </c>
    </row>
    <row r="713" spans="1:18" x14ac:dyDescent="0.25">
      <c r="A713" s="13" t="s">
        <v>725</v>
      </c>
      <c r="B713" s="13" t="s">
        <v>2190</v>
      </c>
      <c r="C713" s="13" t="s">
        <v>2198</v>
      </c>
      <c r="D713" s="13" t="s">
        <v>2207</v>
      </c>
      <c r="E713" s="13" t="s">
        <v>2209</v>
      </c>
      <c r="F713" s="13" t="s">
        <v>2223</v>
      </c>
      <c r="G713" s="13">
        <v>189.28</v>
      </c>
      <c r="H713" s="44">
        <v>0</v>
      </c>
      <c r="I713" s="13">
        <v>189.28</v>
      </c>
      <c r="J713" s="24">
        <v>45875</v>
      </c>
      <c r="K713" s="25">
        <v>41</v>
      </c>
      <c r="L713" s="25">
        <v>2.7</v>
      </c>
      <c r="M713" s="13" t="b">
        <v>1</v>
      </c>
      <c r="N713" s="13" t="s">
        <v>2230</v>
      </c>
      <c r="O713" s="25">
        <f t="shared" si="44"/>
        <v>27</v>
      </c>
      <c r="P713" s="13">
        <f t="shared" si="45"/>
        <v>0</v>
      </c>
      <c r="Q713" s="13">
        <f t="shared" si="46"/>
        <v>1</v>
      </c>
      <c r="R713" s="13" t="str">
        <f t="shared" si="47"/>
        <v>Non diskon</v>
      </c>
    </row>
    <row r="714" spans="1:18" x14ac:dyDescent="0.25">
      <c r="A714" s="13" t="s">
        <v>726</v>
      </c>
      <c r="B714" s="13" t="s">
        <v>2191</v>
      </c>
      <c r="C714" s="13" t="s">
        <v>2198</v>
      </c>
      <c r="D714" s="13" t="s">
        <v>2207</v>
      </c>
      <c r="E714" s="13" t="s">
        <v>2211</v>
      </c>
      <c r="F714" s="13" t="s">
        <v>2223</v>
      </c>
      <c r="G714" s="13">
        <v>86.67</v>
      </c>
      <c r="H714" s="44">
        <v>35.799999999999997</v>
      </c>
      <c r="I714" s="13">
        <v>55.64</v>
      </c>
      <c r="J714" s="24">
        <v>45875</v>
      </c>
      <c r="K714" s="25">
        <v>2</v>
      </c>
      <c r="L714" s="25">
        <v>4.9000000000000004</v>
      </c>
      <c r="M714" s="13" t="b">
        <v>0</v>
      </c>
      <c r="O714" s="25">
        <f t="shared" si="44"/>
        <v>27</v>
      </c>
      <c r="P714" s="13">
        <f t="shared" si="45"/>
        <v>71.599999999999994</v>
      </c>
      <c r="Q714" s="13" t="str">
        <f t="shared" si="46"/>
        <v/>
      </c>
      <c r="R714" s="13" t="str">
        <f t="shared" si="47"/>
        <v>Diskon</v>
      </c>
    </row>
    <row r="715" spans="1:18" x14ac:dyDescent="0.25">
      <c r="A715" s="13" t="s">
        <v>727</v>
      </c>
      <c r="B715" s="13" t="s">
        <v>2194</v>
      </c>
      <c r="C715" s="13" t="s">
        <v>2201</v>
      </c>
      <c r="D715" s="13" t="s">
        <v>2204</v>
      </c>
      <c r="E715" s="13" t="s">
        <v>2210</v>
      </c>
      <c r="F715" s="13" t="s">
        <v>2222</v>
      </c>
      <c r="G715" s="13">
        <v>102.84</v>
      </c>
      <c r="H715" s="44">
        <v>0</v>
      </c>
      <c r="I715" s="13">
        <v>102.84</v>
      </c>
      <c r="J715" s="24">
        <v>45545</v>
      </c>
      <c r="K715" s="25">
        <v>27</v>
      </c>
      <c r="L715" s="25">
        <v>1.8</v>
      </c>
      <c r="M715" s="13" t="b">
        <v>0</v>
      </c>
      <c r="O715" s="25">
        <f t="shared" si="44"/>
        <v>357</v>
      </c>
      <c r="P715" s="13">
        <f t="shared" si="45"/>
        <v>0</v>
      </c>
      <c r="Q715" s="13" t="str">
        <f t="shared" si="46"/>
        <v/>
      </c>
      <c r="R715" s="13" t="str">
        <f t="shared" si="47"/>
        <v>Non diskon</v>
      </c>
    </row>
    <row r="716" spans="1:18" x14ac:dyDescent="0.25">
      <c r="A716" s="13" t="s">
        <v>728</v>
      </c>
      <c r="B716" s="13" t="s">
        <v>2190</v>
      </c>
      <c r="C716" s="13" t="s">
        <v>2196</v>
      </c>
      <c r="D716" s="13" t="s">
        <v>2206</v>
      </c>
      <c r="E716" s="13" t="s">
        <v>2211</v>
      </c>
      <c r="F716" s="13" t="s">
        <v>2220</v>
      </c>
      <c r="G716" s="13">
        <v>225.21</v>
      </c>
      <c r="H716" s="44">
        <v>0</v>
      </c>
      <c r="I716" s="13">
        <v>225.21</v>
      </c>
      <c r="J716" s="24">
        <v>45875</v>
      </c>
      <c r="K716" s="25">
        <v>27</v>
      </c>
      <c r="L716" s="25">
        <v>3.1</v>
      </c>
      <c r="M716" s="13" t="b">
        <v>1</v>
      </c>
      <c r="N716" s="13" t="s">
        <v>2229</v>
      </c>
      <c r="O716" s="25">
        <f t="shared" si="44"/>
        <v>27</v>
      </c>
      <c r="P716" s="13">
        <f t="shared" si="45"/>
        <v>0</v>
      </c>
      <c r="Q716" s="13">
        <f t="shared" si="46"/>
        <v>1</v>
      </c>
      <c r="R716" s="13" t="str">
        <f t="shared" si="47"/>
        <v>Non diskon</v>
      </c>
    </row>
    <row r="717" spans="1:18" x14ac:dyDescent="0.25">
      <c r="A717" s="13" t="s">
        <v>729</v>
      </c>
      <c r="B717" s="13" t="s">
        <v>2195</v>
      </c>
      <c r="C717" s="13" t="s">
        <v>2197</v>
      </c>
      <c r="D717" s="13" t="s">
        <v>2205</v>
      </c>
      <c r="E717" s="13" t="s">
        <v>2208</v>
      </c>
      <c r="F717" s="13" t="s">
        <v>2218</v>
      </c>
      <c r="G717" s="13">
        <v>48.91</v>
      </c>
      <c r="H717" s="44">
        <v>27.8</v>
      </c>
      <c r="I717" s="13">
        <v>35.31</v>
      </c>
      <c r="J717" s="24">
        <v>45875</v>
      </c>
      <c r="K717" s="25">
        <v>0</v>
      </c>
      <c r="L717" s="25">
        <v>4.0999999999999996</v>
      </c>
      <c r="M717" s="13" t="b">
        <v>0</v>
      </c>
      <c r="O717" s="25">
        <f t="shared" si="44"/>
        <v>27</v>
      </c>
      <c r="P717" s="13">
        <f t="shared" si="45"/>
        <v>0</v>
      </c>
      <c r="Q717" s="13" t="str">
        <f t="shared" si="46"/>
        <v/>
      </c>
      <c r="R717" s="13" t="str">
        <f t="shared" si="47"/>
        <v>Diskon</v>
      </c>
    </row>
    <row r="718" spans="1:18" x14ac:dyDescent="0.25">
      <c r="A718" s="13" t="s">
        <v>730</v>
      </c>
      <c r="B718" s="13" t="s">
        <v>2190</v>
      </c>
      <c r="C718" s="13" t="s">
        <v>2203</v>
      </c>
      <c r="D718" s="13" t="s">
        <v>2206</v>
      </c>
      <c r="E718" s="13" t="s">
        <v>2209</v>
      </c>
      <c r="F718" s="13" t="s">
        <v>2215</v>
      </c>
      <c r="G718" s="13">
        <v>145.93</v>
      </c>
      <c r="H718" s="44">
        <v>0</v>
      </c>
      <c r="I718" s="13">
        <v>145.93</v>
      </c>
      <c r="J718" s="24">
        <v>45875</v>
      </c>
      <c r="K718" s="25">
        <v>19</v>
      </c>
      <c r="L718" s="25">
        <v>1.5</v>
      </c>
      <c r="M718" s="13" t="b">
        <v>0</v>
      </c>
      <c r="O718" s="25">
        <f t="shared" si="44"/>
        <v>27</v>
      </c>
      <c r="P718" s="13">
        <f t="shared" si="45"/>
        <v>0</v>
      </c>
      <c r="Q718" s="13" t="str">
        <f t="shared" si="46"/>
        <v/>
      </c>
      <c r="R718" s="13" t="str">
        <f t="shared" si="47"/>
        <v>Non diskon</v>
      </c>
    </row>
    <row r="719" spans="1:18" x14ac:dyDescent="0.25">
      <c r="A719" s="13" t="s">
        <v>731</v>
      </c>
      <c r="B719" s="13" t="s">
        <v>2190</v>
      </c>
      <c r="C719" s="13" t="s">
        <v>2198</v>
      </c>
      <c r="D719" s="13" t="s">
        <v>2205</v>
      </c>
      <c r="F719" s="13" t="s">
        <v>2220</v>
      </c>
      <c r="G719" s="13">
        <v>225.92</v>
      </c>
      <c r="H719" s="44">
        <v>43.7</v>
      </c>
      <c r="I719" s="13">
        <v>127.19</v>
      </c>
      <c r="J719" s="24">
        <v>45875</v>
      </c>
      <c r="K719" s="25">
        <v>30</v>
      </c>
      <c r="L719" s="25">
        <v>3.2</v>
      </c>
      <c r="M719" s="13" t="b">
        <v>0</v>
      </c>
      <c r="O719" s="25">
        <f t="shared" si="44"/>
        <v>27</v>
      </c>
      <c r="P719" s="13">
        <f t="shared" si="45"/>
        <v>1311</v>
      </c>
      <c r="Q719" s="13" t="str">
        <f t="shared" si="46"/>
        <v/>
      </c>
      <c r="R719" s="13" t="str">
        <f t="shared" si="47"/>
        <v>Diskon</v>
      </c>
    </row>
    <row r="720" spans="1:18" x14ac:dyDescent="0.25">
      <c r="A720" s="13" t="s">
        <v>732</v>
      </c>
      <c r="B720" s="13" t="s">
        <v>2190</v>
      </c>
      <c r="C720" s="13" t="s">
        <v>2197</v>
      </c>
      <c r="D720" s="13" t="s">
        <v>2207</v>
      </c>
      <c r="E720" s="13" t="s">
        <v>2208</v>
      </c>
      <c r="F720" s="13" t="s">
        <v>2220</v>
      </c>
      <c r="G720" s="13">
        <v>202.18</v>
      </c>
      <c r="H720" s="44">
        <v>39.700000000000003</v>
      </c>
      <c r="I720" s="13">
        <v>121.91</v>
      </c>
      <c r="J720" s="24">
        <v>45875</v>
      </c>
      <c r="K720" s="25">
        <v>20</v>
      </c>
      <c r="L720" s="25">
        <v>4.0999999999999996</v>
      </c>
      <c r="M720" s="13" t="b">
        <v>0</v>
      </c>
      <c r="O720" s="25">
        <f t="shared" si="44"/>
        <v>27</v>
      </c>
      <c r="P720" s="13">
        <f t="shared" si="45"/>
        <v>794</v>
      </c>
      <c r="Q720" s="13" t="str">
        <f t="shared" si="46"/>
        <v/>
      </c>
      <c r="R720" s="13" t="str">
        <f t="shared" si="47"/>
        <v>Diskon</v>
      </c>
    </row>
    <row r="721" spans="1:18" x14ac:dyDescent="0.25">
      <c r="A721" s="13" t="s">
        <v>733</v>
      </c>
      <c r="B721" s="13" t="s">
        <v>2191</v>
      </c>
      <c r="C721" s="13" t="s">
        <v>2197</v>
      </c>
      <c r="D721" s="13" t="s">
        <v>2206</v>
      </c>
      <c r="E721" s="13" t="s">
        <v>2208</v>
      </c>
      <c r="F721" s="13" t="s">
        <v>2219</v>
      </c>
      <c r="G721" s="13">
        <v>51.85</v>
      </c>
      <c r="H721" s="44">
        <v>0</v>
      </c>
      <c r="I721" s="13">
        <v>51.85</v>
      </c>
      <c r="J721" s="24">
        <v>45875</v>
      </c>
      <c r="K721" s="25">
        <v>28</v>
      </c>
      <c r="L721" s="25">
        <v>3.34</v>
      </c>
      <c r="M721" s="13" t="b">
        <v>0</v>
      </c>
      <c r="O721" s="25">
        <f t="shared" si="44"/>
        <v>27</v>
      </c>
      <c r="P721" s="13">
        <f t="shared" si="45"/>
        <v>0</v>
      </c>
      <c r="Q721" s="13" t="str">
        <f t="shared" si="46"/>
        <v/>
      </c>
      <c r="R721" s="13" t="str">
        <f t="shared" si="47"/>
        <v>Non diskon</v>
      </c>
    </row>
    <row r="722" spans="1:18" x14ac:dyDescent="0.25">
      <c r="A722" s="13" t="s">
        <v>734</v>
      </c>
      <c r="B722" s="13" t="s">
        <v>2191</v>
      </c>
      <c r="C722" s="13" t="s">
        <v>2197</v>
      </c>
      <c r="D722" s="13" t="s">
        <v>2207</v>
      </c>
      <c r="E722" s="13" t="s">
        <v>2209</v>
      </c>
      <c r="F722" s="13" t="s">
        <v>2218</v>
      </c>
      <c r="G722" s="13">
        <v>75.34</v>
      </c>
      <c r="H722" s="44">
        <v>0</v>
      </c>
      <c r="I722" s="13">
        <v>75.34</v>
      </c>
      <c r="J722" s="24">
        <v>45875</v>
      </c>
      <c r="K722" s="25">
        <v>21</v>
      </c>
      <c r="L722" s="25">
        <v>3.34</v>
      </c>
      <c r="M722" s="13" t="b">
        <v>0</v>
      </c>
      <c r="O722" s="25">
        <f t="shared" si="44"/>
        <v>27</v>
      </c>
      <c r="P722" s="13">
        <f t="shared" si="45"/>
        <v>0</v>
      </c>
      <c r="Q722" s="13" t="str">
        <f t="shared" si="46"/>
        <v/>
      </c>
      <c r="R722" s="13" t="str">
        <f t="shared" si="47"/>
        <v>Non diskon</v>
      </c>
    </row>
    <row r="723" spans="1:18" x14ac:dyDescent="0.25">
      <c r="A723" s="13" t="s">
        <v>735</v>
      </c>
      <c r="B723" s="13" t="s">
        <v>2193</v>
      </c>
      <c r="C723" s="13" t="s">
        <v>2202</v>
      </c>
      <c r="D723" s="13" t="s">
        <v>2204</v>
      </c>
      <c r="E723" s="13" t="s">
        <v>2210</v>
      </c>
      <c r="F723" s="13" t="s">
        <v>2215</v>
      </c>
      <c r="G723" s="13">
        <v>92.09</v>
      </c>
      <c r="H723" s="44">
        <v>54.9</v>
      </c>
      <c r="I723" s="13">
        <v>41.53</v>
      </c>
      <c r="J723" s="24">
        <v>45676</v>
      </c>
      <c r="K723" s="25">
        <v>44</v>
      </c>
      <c r="L723" s="25">
        <v>2.2000000000000002</v>
      </c>
      <c r="M723" s="13" t="b">
        <v>0</v>
      </c>
      <c r="O723" s="25">
        <f t="shared" si="44"/>
        <v>226</v>
      </c>
      <c r="P723" s="13">
        <f t="shared" si="45"/>
        <v>2415.6</v>
      </c>
      <c r="Q723" s="13" t="str">
        <f t="shared" si="46"/>
        <v/>
      </c>
      <c r="R723" s="13" t="str">
        <f t="shared" si="47"/>
        <v>Diskon</v>
      </c>
    </row>
    <row r="724" spans="1:18" x14ac:dyDescent="0.25">
      <c r="A724" s="13" t="s">
        <v>736</v>
      </c>
      <c r="B724" s="13" t="s">
        <v>2192</v>
      </c>
      <c r="C724" s="13" t="s">
        <v>2196</v>
      </c>
      <c r="D724" s="13" t="s">
        <v>2206</v>
      </c>
      <c r="F724" s="13" t="s">
        <v>2219</v>
      </c>
      <c r="G724" s="13">
        <v>56.39</v>
      </c>
      <c r="H724" s="44">
        <v>0</v>
      </c>
      <c r="I724" s="13">
        <v>56.39</v>
      </c>
      <c r="J724" s="24">
        <v>45875</v>
      </c>
      <c r="K724" s="25">
        <v>49</v>
      </c>
      <c r="L724" s="25">
        <v>4.2</v>
      </c>
      <c r="M724" s="13" t="b">
        <v>0</v>
      </c>
      <c r="O724" s="25">
        <f t="shared" si="44"/>
        <v>27</v>
      </c>
      <c r="P724" s="13">
        <f t="shared" si="45"/>
        <v>0</v>
      </c>
      <c r="Q724" s="13" t="str">
        <f t="shared" si="46"/>
        <v/>
      </c>
      <c r="R724" s="13" t="str">
        <f t="shared" si="47"/>
        <v>Non diskon</v>
      </c>
    </row>
    <row r="725" spans="1:18" x14ac:dyDescent="0.25">
      <c r="A725" s="13" t="s">
        <v>737</v>
      </c>
      <c r="B725" s="13" t="s">
        <v>2191</v>
      </c>
      <c r="C725" s="13" t="s">
        <v>2199</v>
      </c>
      <c r="D725" s="13" t="s">
        <v>2206</v>
      </c>
      <c r="E725" s="13" t="s">
        <v>2209</v>
      </c>
      <c r="F725" s="13" t="s">
        <v>2215</v>
      </c>
      <c r="G725" s="13">
        <v>108.75</v>
      </c>
      <c r="H725" s="44">
        <v>0</v>
      </c>
      <c r="I725" s="13">
        <v>108.75</v>
      </c>
      <c r="J725" s="24">
        <v>45875</v>
      </c>
      <c r="K725" s="25">
        <v>38</v>
      </c>
      <c r="L725" s="25">
        <v>3.8</v>
      </c>
      <c r="M725" s="13" t="b">
        <v>0</v>
      </c>
      <c r="O725" s="25">
        <f t="shared" si="44"/>
        <v>27</v>
      </c>
      <c r="P725" s="13">
        <f t="shared" si="45"/>
        <v>0</v>
      </c>
      <c r="Q725" s="13" t="str">
        <f t="shared" si="46"/>
        <v/>
      </c>
      <c r="R725" s="13" t="str">
        <f t="shared" si="47"/>
        <v>Non diskon</v>
      </c>
    </row>
    <row r="726" spans="1:18" x14ac:dyDescent="0.25">
      <c r="A726" s="13" t="s">
        <v>738</v>
      </c>
      <c r="B726" s="13" t="s">
        <v>2195</v>
      </c>
      <c r="C726" s="13" t="s">
        <v>2197</v>
      </c>
      <c r="D726" s="13" t="s">
        <v>2204</v>
      </c>
      <c r="E726" s="13" t="s">
        <v>2210</v>
      </c>
      <c r="F726" s="13" t="s">
        <v>2214</v>
      </c>
      <c r="G726" s="13">
        <v>156.85</v>
      </c>
      <c r="H726" s="44">
        <v>0</v>
      </c>
      <c r="I726" s="13">
        <v>156.85</v>
      </c>
      <c r="J726" s="24">
        <v>45748</v>
      </c>
      <c r="K726" s="25">
        <v>48</v>
      </c>
      <c r="L726" s="25">
        <v>3.4</v>
      </c>
      <c r="M726" s="13" t="b">
        <v>0</v>
      </c>
      <c r="O726" s="25">
        <f t="shared" si="44"/>
        <v>154</v>
      </c>
      <c r="P726" s="13">
        <f t="shared" si="45"/>
        <v>0</v>
      </c>
      <c r="Q726" s="13" t="str">
        <f t="shared" si="46"/>
        <v/>
      </c>
      <c r="R726" s="13" t="str">
        <f t="shared" si="47"/>
        <v>Non diskon</v>
      </c>
    </row>
    <row r="727" spans="1:18" x14ac:dyDescent="0.25">
      <c r="A727" s="13" t="s">
        <v>739</v>
      </c>
      <c r="B727" s="13" t="s">
        <v>2190</v>
      </c>
      <c r="C727" s="13" t="s">
        <v>2197</v>
      </c>
      <c r="D727" s="13" t="s">
        <v>2204</v>
      </c>
      <c r="E727" s="13" t="s">
        <v>2212</v>
      </c>
      <c r="F727" s="13" t="s">
        <v>2224</v>
      </c>
      <c r="G727" s="13">
        <v>168.13</v>
      </c>
      <c r="H727" s="44">
        <v>0</v>
      </c>
      <c r="I727" s="13">
        <v>168.13</v>
      </c>
      <c r="J727" s="24">
        <v>45765</v>
      </c>
      <c r="K727" s="25">
        <v>42</v>
      </c>
      <c r="L727" s="25">
        <v>2.5</v>
      </c>
      <c r="M727" s="13" t="b">
        <v>0</v>
      </c>
      <c r="O727" s="25">
        <f t="shared" si="44"/>
        <v>137</v>
      </c>
      <c r="P727" s="13">
        <f t="shared" si="45"/>
        <v>0</v>
      </c>
      <c r="Q727" s="13" t="str">
        <f t="shared" si="46"/>
        <v/>
      </c>
      <c r="R727" s="13" t="str">
        <f t="shared" si="47"/>
        <v>Non diskon</v>
      </c>
    </row>
    <row r="728" spans="1:18" x14ac:dyDescent="0.25">
      <c r="A728" s="13" t="s">
        <v>740</v>
      </c>
      <c r="B728" s="13" t="s">
        <v>2193</v>
      </c>
      <c r="C728" s="13" t="s">
        <v>2203</v>
      </c>
      <c r="D728" s="13" t="s">
        <v>2207</v>
      </c>
      <c r="E728" s="13" t="s">
        <v>2210</v>
      </c>
      <c r="F728" s="13" t="s">
        <v>2220</v>
      </c>
      <c r="G728" s="13">
        <v>145.79</v>
      </c>
      <c r="H728" s="44">
        <v>57</v>
      </c>
      <c r="I728" s="13">
        <v>62.69</v>
      </c>
      <c r="J728" s="24">
        <v>45875</v>
      </c>
      <c r="K728" s="25">
        <v>46</v>
      </c>
      <c r="L728" s="25">
        <v>3.2576923076923077</v>
      </c>
      <c r="M728" s="13" t="b">
        <v>0</v>
      </c>
      <c r="O728" s="25">
        <f t="shared" si="44"/>
        <v>27</v>
      </c>
      <c r="P728" s="13">
        <f t="shared" si="45"/>
        <v>2622</v>
      </c>
      <c r="Q728" s="13" t="str">
        <f t="shared" si="46"/>
        <v/>
      </c>
      <c r="R728" s="13" t="str">
        <f t="shared" si="47"/>
        <v>Diskon</v>
      </c>
    </row>
    <row r="729" spans="1:18" x14ac:dyDescent="0.25">
      <c r="A729" s="13" t="s">
        <v>741</v>
      </c>
      <c r="B729" s="13" t="s">
        <v>2194</v>
      </c>
      <c r="C729" s="13" t="s">
        <v>2202</v>
      </c>
      <c r="D729" s="13" t="s">
        <v>2205</v>
      </c>
      <c r="E729" s="13" t="s">
        <v>2210</v>
      </c>
      <c r="F729" s="13" t="s">
        <v>2217</v>
      </c>
      <c r="G729" s="13">
        <v>54.14</v>
      </c>
      <c r="H729" s="44">
        <v>0</v>
      </c>
      <c r="I729" s="13">
        <v>54.14</v>
      </c>
      <c r="J729" s="24">
        <v>45875</v>
      </c>
      <c r="K729" s="25">
        <v>32</v>
      </c>
      <c r="L729" s="25">
        <v>3.1799999999999997</v>
      </c>
      <c r="M729" s="13" t="b">
        <v>0</v>
      </c>
      <c r="O729" s="25">
        <f t="shared" si="44"/>
        <v>27</v>
      </c>
      <c r="P729" s="13">
        <f t="shared" si="45"/>
        <v>0</v>
      </c>
      <c r="Q729" s="13" t="str">
        <f t="shared" si="46"/>
        <v/>
      </c>
      <c r="R729" s="13" t="str">
        <f t="shared" si="47"/>
        <v>Non diskon</v>
      </c>
    </row>
    <row r="730" spans="1:18" x14ac:dyDescent="0.25">
      <c r="A730" s="13" t="s">
        <v>742</v>
      </c>
      <c r="B730" s="13" t="s">
        <v>2192</v>
      </c>
      <c r="C730" s="13" t="s">
        <v>2196</v>
      </c>
      <c r="D730" s="13" t="s">
        <v>2206</v>
      </c>
      <c r="F730" s="13" t="s">
        <v>2222</v>
      </c>
      <c r="G730" s="13">
        <v>45.64</v>
      </c>
      <c r="H730" s="44">
        <v>0</v>
      </c>
      <c r="I730" s="13">
        <v>45.64</v>
      </c>
      <c r="J730" s="24">
        <v>45875</v>
      </c>
      <c r="K730" s="25">
        <v>36</v>
      </c>
      <c r="L730" s="25">
        <v>3.6</v>
      </c>
      <c r="M730" s="13" t="b">
        <v>1</v>
      </c>
      <c r="N730" s="13" t="s">
        <v>2226</v>
      </c>
      <c r="O730" s="25">
        <f t="shared" si="44"/>
        <v>27</v>
      </c>
      <c r="P730" s="13">
        <f t="shared" si="45"/>
        <v>0</v>
      </c>
      <c r="Q730" s="13">
        <f t="shared" si="46"/>
        <v>1</v>
      </c>
      <c r="R730" s="13" t="str">
        <f t="shared" si="47"/>
        <v>Non diskon</v>
      </c>
    </row>
    <row r="731" spans="1:18" x14ac:dyDescent="0.25">
      <c r="A731" s="13" t="s">
        <v>743</v>
      </c>
      <c r="B731" s="13" t="s">
        <v>2194</v>
      </c>
      <c r="C731" s="13" t="s">
        <v>2199</v>
      </c>
      <c r="D731" s="13" t="s">
        <v>2206</v>
      </c>
      <c r="E731" s="13" t="s">
        <v>2210</v>
      </c>
      <c r="F731" s="13" t="s">
        <v>2214</v>
      </c>
      <c r="G731" s="13">
        <v>46.76</v>
      </c>
      <c r="H731" s="44">
        <v>0</v>
      </c>
      <c r="I731" s="13">
        <v>46.76</v>
      </c>
      <c r="J731" s="24">
        <v>45875</v>
      </c>
      <c r="K731" s="25">
        <v>38</v>
      </c>
      <c r="L731" s="25">
        <v>2.7</v>
      </c>
      <c r="M731" s="13" t="b">
        <v>0</v>
      </c>
      <c r="O731" s="25">
        <f t="shared" si="44"/>
        <v>27</v>
      </c>
      <c r="P731" s="13">
        <f t="shared" si="45"/>
        <v>0</v>
      </c>
      <c r="Q731" s="13" t="str">
        <f t="shared" si="46"/>
        <v/>
      </c>
      <c r="R731" s="13" t="str">
        <f t="shared" si="47"/>
        <v>Non diskon</v>
      </c>
    </row>
    <row r="732" spans="1:18" x14ac:dyDescent="0.25">
      <c r="A732" s="13" t="s">
        <v>744</v>
      </c>
      <c r="B732" s="13" t="s">
        <v>2195</v>
      </c>
      <c r="C732" s="13" t="s">
        <v>2198</v>
      </c>
      <c r="D732" s="13" t="s">
        <v>2205</v>
      </c>
      <c r="F732" s="13" t="s">
        <v>2218</v>
      </c>
      <c r="G732" s="13">
        <v>75.23</v>
      </c>
      <c r="H732" s="44">
        <v>0</v>
      </c>
      <c r="I732" s="13">
        <v>75.23</v>
      </c>
      <c r="J732" s="24">
        <v>45875</v>
      </c>
      <c r="K732" s="25">
        <v>42</v>
      </c>
      <c r="L732" s="25">
        <v>1.7</v>
      </c>
      <c r="M732" s="13" t="b">
        <v>1</v>
      </c>
      <c r="N732" s="13" t="s">
        <v>2228</v>
      </c>
      <c r="O732" s="25">
        <f t="shared" si="44"/>
        <v>27</v>
      </c>
      <c r="P732" s="13">
        <f t="shared" si="45"/>
        <v>0</v>
      </c>
      <c r="Q732" s="13">
        <f t="shared" si="46"/>
        <v>1</v>
      </c>
      <c r="R732" s="13" t="str">
        <f t="shared" si="47"/>
        <v>Non diskon</v>
      </c>
    </row>
    <row r="733" spans="1:18" x14ac:dyDescent="0.25">
      <c r="A733" s="13" t="s">
        <v>745</v>
      </c>
      <c r="B733" s="13" t="s">
        <v>2195</v>
      </c>
      <c r="C733" s="13" t="s">
        <v>2199</v>
      </c>
      <c r="D733" s="13" t="s">
        <v>2207</v>
      </c>
      <c r="E733" s="13" t="s">
        <v>2208</v>
      </c>
      <c r="F733" s="13" t="s">
        <v>2217</v>
      </c>
      <c r="G733" s="13">
        <v>70.38</v>
      </c>
      <c r="H733" s="44">
        <v>0</v>
      </c>
      <c r="I733" s="13">
        <v>70.38</v>
      </c>
      <c r="J733" s="24">
        <v>45875</v>
      </c>
      <c r="K733" s="25">
        <v>37</v>
      </c>
      <c r="L733" s="25">
        <v>2</v>
      </c>
      <c r="M733" s="13" t="b">
        <v>0</v>
      </c>
      <c r="O733" s="25">
        <f t="shared" si="44"/>
        <v>27</v>
      </c>
      <c r="P733" s="13">
        <f t="shared" si="45"/>
        <v>0</v>
      </c>
      <c r="Q733" s="13" t="str">
        <f t="shared" si="46"/>
        <v/>
      </c>
      <c r="R733" s="13" t="str">
        <f t="shared" si="47"/>
        <v>Non diskon</v>
      </c>
    </row>
    <row r="734" spans="1:18" x14ac:dyDescent="0.25">
      <c r="A734" s="13" t="s">
        <v>746</v>
      </c>
      <c r="B734" s="13" t="s">
        <v>2194</v>
      </c>
      <c r="C734" s="13" t="s">
        <v>2200</v>
      </c>
      <c r="D734" s="13" t="s">
        <v>2207</v>
      </c>
      <c r="E734" s="13" t="s">
        <v>2213</v>
      </c>
      <c r="F734" s="13" t="s">
        <v>2215</v>
      </c>
      <c r="G734" s="13">
        <v>76.040000000000006</v>
      </c>
      <c r="H734" s="44">
        <v>0</v>
      </c>
      <c r="I734" s="13">
        <v>76.040000000000006</v>
      </c>
      <c r="J734" s="24">
        <v>45875</v>
      </c>
      <c r="K734" s="25">
        <v>13</v>
      </c>
      <c r="L734" s="25">
        <v>4.4000000000000004</v>
      </c>
      <c r="M734" s="13" t="b">
        <v>0</v>
      </c>
      <c r="O734" s="25">
        <f t="shared" si="44"/>
        <v>27</v>
      </c>
      <c r="P734" s="13">
        <f t="shared" si="45"/>
        <v>0</v>
      </c>
      <c r="Q734" s="13" t="str">
        <f t="shared" si="46"/>
        <v/>
      </c>
      <c r="R734" s="13" t="str">
        <f t="shared" si="47"/>
        <v>Non diskon</v>
      </c>
    </row>
    <row r="735" spans="1:18" x14ac:dyDescent="0.25">
      <c r="A735" s="13" t="s">
        <v>747</v>
      </c>
      <c r="B735" s="13" t="s">
        <v>2193</v>
      </c>
      <c r="C735" s="13" t="s">
        <v>2197</v>
      </c>
      <c r="D735" s="13" t="s">
        <v>2207</v>
      </c>
      <c r="E735" s="13" t="s">
        <v>2212</v>
      </c>
      <c r="F735" s="13" t="s">
        <v>2216</v>
      </c>
      <c r="G735" s="13">
        <v>110.82</v>
      </c>
      <c r="H735" s="44">
        <v>15.7</v>
      </c>
      <c r="I735" s="13">
        <v>93.42</v>
      </c>
      <c r="J735" s="24">
        <v>45875</v>
      </c>
      <c r="K735" s="25">
        <v>43</v>
      </c>
      <c r="L735" s="25">
        <v>2.8205128205128198</v>
      </c>
      <c r="M735" s="13" t="b">
        <v>1</v>
      </c>
      <c r="N735" s="13" t="s">
        <v>2226</v>
      </c>
      <c r="O735" s="25">
        <f t="shared" si="44"/>
        <v>27</v>
      </c>
      <c r="P735" s="13">
        <f t="shared" si="45"/>
        <v>675.1</v>
      </c>
      <c r="Q735" s="13">
        <f t="shared" si="46"/>
        <v>1</v>
      </c>
      <c r="R735" s="13" t="str">
        <f t="shared" si="47"/>
        <v>Diskon</v>
      </c>
    </row>
    <row r="736" spans="1:18" x14ac:dyDescent="0.25">
      <c r="A736" s="13" t="s">
        <v>748</v>
      </c>
      <c r="B736" s="13" t="s">
        <v>2192</v>
      </c>
      <c r="C736" s="13" t="s">
        <v>2203</v>
      </c>
      <c r="D736" s="13" t="s">
        <v>2206</v>
      </c>
      <c r="F736" s="13" t="s">
        <v>2222</v>
      </c>
      <c r="G736" s="13">
        <v>47.47</v>
      </c>
      <c r="H736" s="44">
        <v>0</v>
      </c>
      <c r="I736" s="13">
        <v>47.47</v>
      </c>
      <c r="J736" s="24">
        <v>45875</v>
      </c>
      <c r="K736" s="25">
        <v>42</v>
      </c>
      <c r="L736" s="25">
        <v>4.7</v>
      </c>
      <c r="M736" s="13" t="b">
        <v>0</v>
      </c>
      <c r="O736" s="25">
        <f t="shared" si="44"/>
        <v>27</v>
      </c>
      <c r="P736" s="13">
        <f t="shared" si="45"/>
        <v>0</v>
      </c>
      <c r="Q736" s="13" t="str">
        <f t="shared" si="46"/>
        <v/>
      </c>
      <c r="R736" s="13" t="str">
        <f t="shared" si="47"/>
        <v>Non diskon</v>
      </c>
    </row>
    <row r="737" spans="1:18" x14ac:dyDescent="0.25">
      <c r="A737" s="13" t="s">
        <v>749</v>
      </c>
      <c r="B737" s="13" t="s">
        <v>2192</v>
      </c>
      <c r="C737" s="13" t="s">
        <v>2202</v>
      </c>
      <c r="D737" s="13" t="s">
        <v>2204</v>
      </c>
      <c r="F737" s="13" t="s">
        <v>2214</v>
      </c>
      <c r="G737" s="13">
        <v>79.94</v>
      </c>
      <c r="H737" s="44">
        <v>0</v>
      </c>
      <c r="I737" s="13">
        <v>79.94</v>
      </c>
      <c r="J737" s="24">
        <v>45869</v>
      </c>
      <c r="K737" s="25">
        <v>26</v>
      </c>
      <c r="L737" s="25">
        <v>3.8</v>
      </c>
      <c r="M737" s="13" t="b">
        <v>0</v>
      </c>
      <c r="O737" s="25">
        <f t="shared" si="44"/>
        <v>33</v>
      </c>
      <c r="P737" s="13">
        <f t="shared" si="45"/>
        <v>0</v>
      </c>
      <c r="Q737" s="13" t="str">
        <f t="shared" si="46"/>
        <v/>
      </c>
      <c r="R737" s="13" t="str">
        <f t="shared" si="47"/>
        <v>Non diskon</v>
      </c>
    </row>
    <row r="738" spans="1:18" x14ac:dyDescent="0.25">
      <c r="A738" s="13" t="s">
        <v>750</v>
      </c>
      <c r="B738" s="13" t="s">
        <v>2194</v>
      </c>
      <c r="C738" s="13" t="s">
        <v>2198</v>
      </c>
      <c r="D738" s="13" t="s">
        <v>2206</v>
      </c>
      <c r="E738" s="13" t="s">
        <v>2211</v>
      </c>
      <c r="F738" s="13" t="s">
        <v>2222</v>
      </c>
      <c r="G738" s="13">
        <v>74.67</v>
      </c>
      <c r="H738" s="44">
        <v>0</v>
      </c>
      <c r="I738" s="13">
        <v>74.67</v>
      </c>
      <c r="J738" s="24">
        <v>45875</v>
      </c>
      <c r="K738" s="25">
        <v>15</v>
      </c>
      <c r="L738" s="25">
        <v>4.5999999999999996</v>
      </c>
      <c r="M738" s="13" t="b">
        <v>0</v>
      </c>
      <c r="O738" s="25">
        <f t="shared" si="44"/>
        <v>27</v>
      </c>
      <c r="P738" s="13">
        <f t="shared" si="45"/>
        <v>0</v>
      </c>
      <c r="Q738" s="13" t="str">
        <f t="shared" si="46"/>
        <v/>
      </c>
      <c r="R738" s="13" t="str">
        <f t="shared" si="47"/>
        <v>Non diskon</v>
      </c>
    </row>
    <row r="739" spans="1:18" x14ac:dyDescent="0.25">
      <c r="A739" s="13" t="s">
        <v>751</v>
      </c>
      <c r="B739" s="13" t="s">
        <v>2195</v>
      </c>
      <c r="C739" s="13" t="s">
        <v>2203</v>
      </c>
      <c r="D739" s="13" t="s">
        <v>2206</v>
      </c>
      <c r="E739" s="13" t="s">
        <v>2211</v>
      </c>
      <c r="F739" s="13" t="s">
        <v>2224</v>
      </c>
      <c r="G739" s="13">
        <v>63.79</v>
      </c>
      <c r="H739" s="44">
        <v>35.5</v>
      </c>
      <c r="I739" s="13">
        <v>41.14</v>
      </c>
      <c r="J739" s="24">
        <v>45875</v>
      </c>
      <c r="K739" s="25">
        <v>15</v>
      </c>
      <c r="L739" s="25">
        <v>3.1</v>
      </c>
      <c r="M739" s="13" t="b">
        <v>1</v>
      </c>
      <c r="N739" s="13" t="s">
        <v>2228</v>
      </c>
      <c r="O739" s="25">
        <f t="shared" si="44"/>
        <v>27</v>
      </c>
      <c r="P739" s="13">
        <f t="shared" si="45"/>
        <v>532.5</v>
      </c>
      <c r="Q739" s="13">
        <f t="shared" si="46"/>
        <v>1</v>
      </c>
      <c r="R739" s="13" t="str">
        <f t="shared" si="47"/>
        <v>Diskon</v>
      </c>
    </row>
    <row r="740" spans="1:18" x14ac:dyDescent="0.25">
      <c r="A740" s="13" t="s">
        <v>752</v>
      </c>
      <c r="B740" s="13" t="s">
        <v>2194</v>
      </c>
      <c r="C740" s="13" t="s">
        <v>2201</v>
      </c>
      <c r="D740" s="13" t="s">
        <v>2206</v>
      </c>
      <c r="E740" s="13" t="s">
        <v>2211</v>
      </c>
      <c r="F740" s="13" t="s">
        <v>2224</v>
      </c>
      <c r="G740" s="13">
        <v>49.6</v>
      </c>
      <c r="H740" s="44">
        <v>0</v>
      </c>
      <c r="I740" s="13">
        <v>49.6</v>
      </c>
      <c r="J740" s="24">
        <v>45875</v>
      </c>
      <c r="K740" s="25">
        <v>32</v>
      </c>
      <c r="L740" s="25">
        <v>4.7</v>
      </c>
      <c r="M740" s="13" t="b">
        <v>0</v>
      </c>
      <c r="O740" s="25">
        <f t="shared" si="44"/>
        <v>27</v>
      </c>
      <c r="P740" s="13">
        <f t="shared" si="45"/>
        <v>0</v>
      </c>
      <c r="Q740" s="13" t="str">
        <f t="shared" si="46"/>
        <v/>
      </c>
      <c r="R740" s="13" t="str">
        <f t="shared" si="47"/>
        <v>Non diskon</v>
      </c>
    </row>
    <row r="741" spans="1:18" x14ac:dyDescent="0.25">
      <c r="A741" s="13" t="s">
        <v>753</v>
      </c>
      <c r="B741" s="13" t="s">
        <v>2191</v>
      </c>
      <c r="C741" s="13" t="s">
        <v>2196</v>
      </c>
      <c r="D741" s="13" t="s">
        <v>2204</v>
      </c>
      <c r="E741" s="13" t="s">
        <v>2208</v>
      </c>
      <c r="F741" s="13" t="s">
        <v>2214</v>
      </c>
      <c r="G741" s="13">
        <v>57.91</v>
      </c>
      <c r="H741" s="44">
        <v>0</v>
      </c>
      <c r="I741" s="13">
        <v>57.91</v>
      </c>
      <c r="J741" s="24">
        <v>45729</v>
      </c>
      <c r="K741" s="25">
        <v>33</v>
      </c>
      <c r="L741" s="25">
        <v>3.9</v>
      </c>
      <c r="M741" s="13" t="b">
        <v>0</v>
      </c>
      <c r="O741" s="25">
        <f t="shared" si="44"/>
        <v>173</v>
      </c>
      <c r="P741" s="13">
        <f t="shared" si="45"/>
        <v>0</v>
      </c>
      <c r="Q741" s="13" t="str">
        <f t="shared" si="46"/>
        <v/>
      </c>
      <c r="R741" s="13" t="str">
        <f t="shared" si="47"/>
        <v>Non diskon</v>
      </c>
    </row>
    <row r="742" spans="1:18" x14ac:dyDescent="0.25">
      <c r="A742" s="13" t="s">
        <v>754</v>
      </c>
      <c r="B742" s="13" t="s">
        <v>2195</v>
      </c>
      <c r="C742" s="13" t="s">
        <v>2197</v>
      </c>
      <c r="D742" s="13" t="s">
        <v>2207</v>
      </c>
      <c r="E742" s="13" t="s">
        <v>2208</v>
      </c>
      <c r="F742" s="13" t="s">
        <v>2215</v>
      </c>
      <c r="G742" s="13">
        <v>135.99</v>
      </c>
      <c r="H742" s="44">
        <v>0</v>
      </c>
      <c r="I742" s="13">
        <v>135.99</v>
      </c>
      <c r="J742" s="24">
        <v>45875</v>
      </c>
      <c r="K742" s="25">
        <v>34</v>
      </c>
      <c r="L742" s="25">
        <v>3</v>
      </c>
      <c r="M742" s="13" t="b">
        <v>0</v>
      </c>
      <c r="O742" s="25">
        <f t="shared" si="44"/>
        <v>27</v>
      </c>
      <c r="P742" s="13">
        <f t="shared" si="45"/>
        <v>0</v>
      </c>
      <c r="Q742" s="13" t="str">
        <f t="shared" si="46"/>
        <v/>
      </c>
      <c r="R742" s="13" t="str">
        <f t="shared" si="47"/>
        <v>Non diskon</v>
      </c>
    </row>
    <row r="743" spans="1:18" x14ac:dyDescent="0.25">
      <c r="A743" s="13" t="s">
        <v>755</v>
      </c>
      <c r="B743" s="13" t="s">
        <v>2195</v>
      </c>
      <c r="C743" s="13" t="s">
        <v>2199</v>
      </c>
      <c r="D743" s="13" t="s">
        <v>2205</v>
      </c>
      <c r="E743" s="13" t="s">
        <v>2210</v>
      </c>
      <c r="F743" s="13" t="s">
        <v>2223</v>
      </c>
      <c r="G743" s="13">
        <v>53.49</v>
      </c>
      <c r="H743" s="44">
        <v>21.8</v>
      </c>
      <c r="I743" s="13">
        <v>41.83</v>
      </c>
      <c r="J743" s="24">
        <v>45875</v>
      </c>
      <c r="K743" s="25">
        <v>41</v>
      </c>
      <c r="L743" s="25">
        <v>2.1</v>
      </c>
      <c r="M743" s="13" t="b">
        <v>0</v>
      </c>
      <c r="O743" s="25">
        <f t="shared" si="44"/>
        <v>27</v>
      </c>
      <c r="P743" s="13">
        <f t="shared" si="45"/>
        <v>893.80000000000007</v>
      </c>
      <c r="Q743" s="13" t="str">
        <f t="shared" si="46"/>
        <v/>
      </c>
      <c r="R743" s="13" t="str">
        <f t="shared" si="47"/>
        <v>Diskon</v>
      </c>
    </row>
    <row r="744" spans="1:18" x14ac:dyDescent="0.25">
      <c r="A744" s="13" t="s">
        <v>756</v>
      </c>
      <c r="B744" s="13" t="s">
        <v>2191</v>
      </c>
      <c r="C744" s="13" t="s">
        <v>2203</v>
      </c>
      <c r="D744" s="13" t="s">
        <v>2207</v>
      </c>
      <c r="E744" s="13" t="s">
        <v>2210</v>
      </c>
      <c r="F744" s="13" t="s">
        <v>2215</v>
      </c>
      <c r="G744" s="13">
        <v>113.29</v>
      </c>
      <c r="H744" s="44">
        <v>34</v>
      </c>
      <c r="I744" s="13">
        <v>74.77</v>
      </c>
      <c r="J744" s="24">
        <v>45875</v>
      </c>
      <c r="K744" s="25">
        <v>10</v>
      </c>
      <c r="L744" s="25">
        <v>2.6870967741935483</v>
      </c>
      <c r="M744" s="13" t="b">
        <v>0</v>
      </c>
      <c r="O744" s="25">
        <f t="shared" si="44"/>
        <v>27</v>
      </c>
      <c r="P744" s="13">
        <f t="shared" si="45"/>
        <v>340</v>
      </c>
      <c r="Q744" s="13" t="str">
        <f t="shared" si="46"/>
        <v/>
      </c>
      <c r="R744" s="13" t="str">
        <f t="shared" si="47"/>
        <v>Diskon</v>
      </c>
    </row>
    <row r="745" spans="1:18" x14ac:dyDescent="0.25">
      <c r="A745" s="13" t="s">
        <v>757</v>
      </c>
      <c r="B745" s="13" t="s">
        <v>2191</v>
      </c>
      <c r="C745" s="13" t="s">
        <v>2200</v>
      </c>
      <c r="D745" s="13" t="s">
        <v>2205</v>
      </c>
      <c r="E745" s="13" t="s">
        <v>2209</v>
      </c>
      <c r="F745" s="13" t="s">
        <v>2217</v>
      </c>
      <c r="G745" s="13">
        <v>110.87</v>
      </c>
      <c r="H745" s="44">
        <v>6</v>
      </c>
      <c r="I745" s="13">
        <v>104.22</v>
      </c>
      <c r="J745" s="24">
        <v>45875</v>
      </c>
      <c r="K745" s="25">
        <v>15</v>
      </c>
      <c r="L745" s="25">
        <v>2.9657142857142857</v>
      </c>
      <c r="M745" s="13" t="b">
        <v>0</v>
      </c>
      <c r="O745" s="25">
        <f t="shared" si="44"/>
        <v>27</v>
      </c>
      <c r="P745" s="13">
        <f t="shared" si="45"/>
        <v>90</v>
      </c>
      <c r="Q745" s="13" t="str">
        <f t="shared" si="46"/>
        <v/>
      </c>
      <c r="R745" s="13" t="str">
        <f t="shared" si="47"/>
        <v>Diskon</v>
      </c>
    </row>
    <row r="746" spans="1:18" x14ac:dyDescent="0.25">
      <c r="A746" s="13" t="s">
        <v>758</v>
      </c>
      <c r="B746" s="13" t="s">
        <v>2191</v>
      </c>
      <c r="C746" s="13" t="s">
        <v>2201</v>
      </c>
      <c r="D746" s="13" t="s">
        <v>2206</v>
      </c>
      <c r="F746" s="13" t="s">
        <v>2222</v>
      </c>
      <c r="G746" s="13">
        <v>94.3</v>
      </c>
      <c r="H746" s="44">
        <v>0</v>
      </c>
      <c r="I746" s="13">
        <v>94.3</v>
      </c>
      <c r="J746" s="24">
        <v>45875</v>
      </c>
      <c r="K746" s="25">
        <v>16</v>
      </c>
      <c r="L746" s="25">
        <v>2.9846153846153847</v>
      </c>
      <c r="M746" s="13" t="b">
        <v>0</v>
      </c>
      <c r="O746" s="25">
        <f t="shared" si="44"/>
        <v>27</v>
      </c>
      <c r="P746" s="13">
        <f t="shared" si="45"/>
        <v>0</v>
      </c>
      <c r="Q746" s="13" t="str">
        <f t="shared" si="46"/>
        <v/>
      </c>
      <c r="R746" s="13" t="str">
        <f t="shared" si="47"/>
        <v>Non diskon</v>
      </c>
    </row>
    <row r="747" spans="1:18" x14ac:dyDescent="0.25">
      <c r="A747" s="13" t="s">
        <v>759</v>
      </c>
      <c r="B747" s="13" t="s">
        <v>2192</v>
      </c>
      <c r="C747" s="13" t="s">
        <v>2203</v>
      </c>
      <c r="D747" s="13" t="s">
        <v>2204</v>
      </c>
      <c r="F747" s="13" t="s">
        <v>2214</v>
      </c>
      <c r="G747" s="13">
        <v>37.94</v>
      </c>
      <c r="H747" s="44">
        <v>0</v>
      </c>
      <c r="I747" s="13">
        <v>37.94</v>
      </c>
      <c r="J747" s="24">
        <v>45573</v>
      </c>
      <c r="K747" s="25">
        <v>9</v>
      </c>
      <c r="L747" s="25">
        <v>4.5999999999999996</v>
      </c>
      <c r="M747" s="13" t="b">
        <v>0</v>
      </c>
      <c r="O747" s="25">
        <f t="shared" si="44"/>
        <v>329</v>
      </c>
      <c r="P747" s="13">
        <f t="shared" si="45"/>
        <v>0</v>
      </c>
      <c r="Q747" s="13" t="str">
        <f t="shared" si="46"/>
        <v/>
      </c>
      <c r="R747" s="13" t="str">
        <f t="shared" si="47"/>
        <v>Non diskon</v>
      </c>
    </row>
    <row r="748" spans="1:18" x14ac:dyDescent="0.25">
      <c r="A748" s="13" t="s">
        <v>760</v>
      </c>
      <c r="B748" s="13" t="s">
        <v>2190</v>
      </c>
      <c r="C748" s="13" t="s">
        <v>2201</v>
      </c>
      <c r="D748" s="13" t="s">
        <v>2205</v>
      </c>
      <c r="E748" s="13" t="s">
        <v>2211</v>
      </c>
      <c r="F748" s="13" t="s">
        <v>2218</v>
      </c>
      <c r="G748" s="13">
        <v>200.24</v>
      </c>
      <c r="H748" s="44">
        <v>23</v>
      </c>
      <c r="I748" s="13">
        <v>154.18</v>
      </c>
      <c r="J748" s="24">
        <v>45875</v>
      </c>
      <c r="K748" s="25">
        <v>38</v>
      </c>
      <c r="L748" s="25">
        <v>3.0305555555555546</v>
      </c>
      <c r="M748" s="13" t="b">
        <v>0</v>
      </c>
      <c r="O748" s="25">
        <f t="shared" si="44"/>
        <v>27</v>
      </c>
      <c r="P748" s="13">
        <f t="shared" si="45"/>
        <v>874</v>
      </c>
      <c r="Q748" s="13" t="str">
        <f t="shared" si="46"/>
        <v/>
      </c>
      <c r="R748" s="13" t="str">
        <f t="shared" si="47"/>
        <v>Diskon</v>
      </c>
    </row>
    <row r="749" spans="1:18" x14ac:dyDescent="0.25">
      <c r="A749" s="13" t="s">
        <v>761</v>
      </c>
      <c r="B749" s="13" t="s">
        <v>2192</v>
      </c>
      <c r="C749" s="13" t="s">
        <v>2203</v>
      </c>
      <c r="D749" s="13" t="s">
        <v>2205</v>
      </c>
      <c r="F749" s="13" t="s">
        <v>2223</v>
      </c>
      <c r="G749" s="13">
        <v>43.45</v>
      </c>
      <c r="H749" s="44">
        <v>0</v>
      </c>
      <c r="I749" s="13">
        <v>43.45</v>
      </c>
      <c r="J749" s="24">
        <v>45875</v>
      </c>
      <c r="K749" s="25">
        <v>50</v>
      </c>
      <c r="L749" s="25">
        <v>4</v>
      </c>
      <c r="M749" s="13" t="b">
        <v>0</v>
      </c>
      <c r="O749" s="25">
        <f t="shared" si="44"/>
        <v>27</v>
      </c>
      <c r="P749" s="13">
        <f t="shared" si="45"/>
        <v>0</v>
      </c>
      <c r="Q749" s="13" t="str">
        <f t="shared" si="46"/>
        <v/>
      </c>
      <c r="R749" s="13" t="str">
        <f t="shared" si="47"/>
        <v>Non diskon</v>
      </c>
    </row>
    <row r="750" spans="1:18" x14ac:dyDescent="0.25">
      <c r="A750" s="13" t="s">
        <v>762</v>
      </c>
      <c r="B750" s="13" t="s">
        <v>2194</v>
      </c>
      <c r="C750" s="13" t="s">
        <v>2203</v>
      </c>
      <c r="D750" s="13" t="s">
        <v>2207</v>
      </c>
      <c r="E750" s="13" t="s">
        <v>2209</v>
      </c>
      <c r="F750" s="13" t="s">
        <v>2214</v>
      </c>
      <c r="G750" s="13">
        <v>76.92</v>
      </c>
      <c r="H750" s="44">
        <v>9.6</v>
      </c>
      <c r="I750" s="13">
        <v>69.540000000000006</v>
      </c>
      <c r="J750" s="24">
        <v>45875</v>
      </c>
      <c r="K750" s="25">
        <v>20</v>
      </c>
      <c r="L750" s="25">
        <v>2</v>
      </c>
      <c r="M750" s="13" t="b">
        <v>0</v>
      </c>
      <c r="O750" s="25">
        <f t="shared" si="44"/>
        <v>27</v>
      </c>
      <c r="P750" s="13">
        <f t="shared" si="45"/>
        <v>192</v>
      </c>
      <c r="Q750" s="13" t="str">
        <f t="shared" si="46"/>
        <v/>
      </c>
      <c r="R750" s="13" t="str">
        <f t="shared" si="47"/>
        <v>Diskon</v>
      </c>
    </row>
    <row r="751" spans="1:18" x14ac:dyDescent="0.25">
      <c r="A751" s="13" t="s">
        <v>763</v>
      </c>
      <c r="B751" s="13" t="s">
        <v>2192</v>
      </c>
      <c r="C751" s="13" t="s">
        <v>2203</v>
      </c>
      <c r="D751" s="13" t="s">
        <v>2206</v>
      </c>
      <c r="F751" s="13" t="s">
        <v>2217</v>
      </c>
      <c r="G751" s="13">
        <v>21.09</v>
      </c>
      <c r="H751" s="44">
        <v>0</v>
      </c>
      <c r="I751" s="13">
        <v>21.09</v>
      </c>
      <c r="J751" s="24">
        <v>45875</v>
      </c>
      <c r="K751" s="25">
        <v>33</v>
      </c>
      <c r="L751" s="25">
        <v>4.0999999999999996</v>
      </c>
      <c r="M751" s="13" t="b">
        <v>1</v>
      </c>
      <c r="N751" s="13" t="s">
        <v>2226</v>
      </c>
      <c r="O751" s="25">
        <f t="shared" si="44"/>
        <v>27</v>
      </c>
      <c r="P751" s="13">
        <f t="shared" si="45"/>
        <v>0</v>
      </c>
      <c r="Q751" s="13">
        <f t="shared" si="46"/>
        <v>1</v>
      </c>
      <c r="R751" s="13" t="str">
        <f t="shared" si="47"/>
        <v>Non diskon</v>
      </c>
    </row>
    <row r="752" spans="1:18" x14ac:dyDescent="0.25">
      <c r="A752" s="13" t="s">
        <v>764</v>
      </c>
      <c r="B752" s="13" t="s">
        <v>2195</v>
      </c>
      <c r="C752" s="13" t="s">
        <v>2198</v>
      </c>
      <c r="D752" s="13" t="s">
        <v>2205</v>
      </c>
      <c r="E752" s="13" t="s">
        <v>2208</v>
      </c>
      <c r="F752" s="13" t="s">
        <v>2220</v>
      </c>
      <c r="G752" s="13">
        <v>55.47</v>
      </c>
      <c r="H752" s="44">
        <v>0</v>
      </c>
      <c r="I752" s="13">
        <v>55.47</v>
      </c>
      <c r="J752" s="24">
        <v>45875</v>
      </c>
      <c r="K752" s="25">
        <v>18</v>
      </c>
      <c r="L752" s="25">
        <v>2.9000000000000008</v>
      </c>
      <c r="M752" s="13" t="b">
        <v>0</v>
      </c>
      <c r="O752" s="25">
        <f t="shared" si="44"/>
        <v>27</v>
      </c>
      <c r="P752" s="13">
        <f t="shared" si="45"/>
        <v>0</v>
      </c>
      <c r="Q752" s="13" t="str">
        <f t="shared" si="46"/>
        <v/>
      </c>
      <c r="R752" s="13" t="str">
        <f t="shared" si="47"/>
        <v>Non diskon</v>
      </c>
    </row>
    <row r="753" spans="1:18" x14ac:dyDescent="0.25">
      <c r="A753" s="13" t="s">
        <v>765</v>
      </c>
      <c r="B753" s="13" t="s">
        <v>2190</v>
      </c>
      <c r="C753" s="13" t="s">
        <v>2200</v>
      </c>
      <c r="D753" s="13" t="s">
        <v>2204</v>
      </c>
      <c r="E753" s="13" t="s">
        <v>2211</v>
      </c>
      <c r="F753" s="13" t="s">
        <v>2217</v>
      </c>
      <c r="G753" s="13">
        <v>122.53</v>
      </c>
      <c r="H753" s="44">
        <v>0</v>
      </c>
      <c r="I753" s="13">
        <v>122.53</v>
      </c>
      <c r="J753" s="24">
        <v>45556</v>
      </c>
      <c r="K753" s="25">
        <v>25</v>
      </c>
      <c r="L753" s="25">
        <v>2.9228571428571426</v>
      </c>
      <c r="M753" s="13" t="b">
        <v>0</v>
      </c>
      <c r="O753" s="25">
        <f t="shared" si="44"/>
        <v>346</v>
      </c>
      <c r="P753" s="13">
        <f t="shared" si="45"/>
        <v>0</v>
      </c>
      <c r="Q753" s="13" t="str">
        <f t="shared" si="46"/>
        <v/>
      </c>
      <c r="R753" s="13" t="str">
        <f t="shared" si="47"/>
        <v>Non diskon</v>
      </c>
    </row>
    <row r="754" spans="1:18" x14ac:dyDescent="0.25">
      <c r="A754" s="13" t="s">
        <v>766</v>
      </c>
      <c r="B754" s="13" t="s">
        <v>2192</v>
      </c>
      <c r="C754" s="13" t="s">
        <v>2197</v>
      </c>
      <c r="D754" s="13" t="s">
        <v>2207</v>
      </c>
      <c r="F754" s="13" t="s">
        <v>2221</v>
      </c>
      <c r="G754" s="13">
        <v>61.13</v>
      </c>
      <c r="H754" s="44">
        <v>0</v>
      </c>
      <c r="I754" s="13">
        <v>61.13</v>
      </c>
      <c r="J754" s="24">
        <v>45875</v>
      </c>
      <c r="K754" s="25">
        <v>34</v>
      </c>
      <c r="L754" s="25">
        <v>2.6</v>
      </c>
      <c r="M754" s="13" t="b">
        <v>0</v>
      </c>
      <c r="O754" s="25">
        <f t="shared" si="44"/>
        <v>27</v>
      </c>
      <c r="P754" s="13">
        <f t="shared" si="45"/>
        <v>0</v>
      </c>
      <c r="Q754" s="13" t="str">
        <f t="shared" si="46"/>
        <v/>
      </c>
      <c r="R754" s="13" t="str">
        <f t="shared" si="47"/>
        <v>Non diskon</v>
      </c>
    </row>
    <row r="755" spans="1:18" x14ac:dyDescent="0.25">
      <c r="A755" s="13" t="s">
        <v>767</v>
      </c>
      <c r="B755" s="13" t="s">
        <v>2190</v>
      </c>
      <c r="C755" s="13" t="s">
        <v>2197</v>
      </c>
      <c r="D755" s="13" t="s">
        <v>2204</v>
      </c>
      <c r="E755" s="13" t="s">
        <v>2212</v>
      </c>
      <c r="F755" s="13" t="s">
        <v>2224</v>
      </c>
      <c r="G755" s="13">
        <v>127.59</v>
      </c>
      <c r="H755" s="44">
        <v>0</v>
      </c>
      <c r="I755" s="13">
        <v>127.59</v>
      </c>
      <c r="J755" s="24">
        <v>45785</v>
      </c>
      <c r="K755" s="25">
        <v>1</v>
      </c>
      <c r="L755" s="25">
        <v>4.9000000000000004</v>
      </c>
      <c r="M755" s="13" t="b">
        <v>0</v>
      </c>
      <c r="O755" s="25">
        <f t="shared" si="44"/>
        <v>117</v>
      </c>
      <c r="P755" s="13">
        <f t="shared" si="45"/>
        <v>0</v>
      </c>
      <c r="Q755" s="13" t="str">
        <f t="shared" si="46"/>
        <v/>
      </c>
      <c r="R755" s="13" t="str">
        <f t="shared" si="47"/>
        <v>Non diskon</v>
      </c>
    </row>
    <row r="756" spans="1:18" x14ac:dyDescent="0.25">
      <c r="A756" s="13" t="s">
        <v>768</v>
      </c>
      <c r="B756" s="13" t="s">
        <v>2192</v>
      </c>
      <c r="C756" s="13" t="s">
        <v>2201</v>
      </c>
      <c r="D756" s="13" t="s">
        <v>2207</v>
      </c>
      <c r="F756" s="13" t="s">
        <v>2222</v>
      </c>
      <c r="G756" s="13">
        <v>73.040000000000006</v>
      </c>
      <c r="H756" s="44">
        <v>0</v>
      </c>
      <c r="I756" s="13">
        <v>73.040000000000006</v>
      </c>
      <c r="J756" s="24">
        <v>45875</v>
      </c>
      <c r="K756" s="25">
        <v>44</v>
      </c>
      <c r="L756" s="25">
        <v>4.2</v>
      </c>
      <c r="M756" s="13" t="b">
        <v>0</v>
      </c>
      <c r="O756" s="25">
        <f t="shared" si="44"/>
        <v>27</v>
      </c>
      <c r="P756" s="13">
        <f t="shared" si="45"/>
        <v>0</v>
      </c>
      <c r="Q756" s="13" t="str">
        <f t="shared" si="46"/>
        <v/>
      </c>
      <c r="R756" s="13" t="str">
        <f t="shared" si="47"/>
        <v>Non diskon</v>
      </c>
    </row>
    <row r="757" spans="1:18" x14ac:dyDescent="0.25">
      <c r="A757" s="13" t="s">
        <v>769</v>
      </c>
      <c r="B757" s="13" t="s">
        <v>2190</v>
      </c>
      <c r="C757" s="13" t="s">
        <v>2197</v>
      </c>
      <c r="D757" s="13" t="s">
        <v>2205</v>
      </c>
      <c r="E757" s="13" t="s">
        <v>2208</v>
      </c>
      <c r="F757" s="13" t="s">
        <v>2221</v>
      </c>
      <c r="G757" s="13">
        <v>129.46</v>
      </c>
      <c r="H757" s="44">
        <v>0</v>
      </c>
      <c r="I757" s="13">
        <v>129.46</v>
      </c>
      <c r="J757" s="24">
        <v>45875</v>
      </c>
      <c r="K757" s="25">
        <v>32</v>
      </c>
      <c r="L757" s="25">
        <v>4</v>
      </c>
      <c r="M757" s="13" t="b">
        <v>0</v>
      </c>
      <c r="O757" s="25">
        <f t="shared" si="44"/>
        <v>27</v>
      </c>
      <c r="P757" s="13">
        <f t="shared" si="45"/>
        <v>0</v>
      </c>
      <c r="Q757" s="13" t="str">
        <f t="shared" si="46"/>
        <v/>
      </c>
      <c r="R757" s="13" t="str">
        <f t="shared" si="47"/>
        <v>Non diskon</v>
      </c>
    </row>
    <row r="758" spans="1:18" x14ac:dyDescent="0.25">
      <c r="A758" s="13" t="s">
        <v>770</v>
      </c>
      <c r="B758" s="13" t="s">
        <v>2192</v>
      </c>
      <c r="C758" s="13" t="s">
        <v>2198</v>
      </c>
      <c r="D758" s="13" t="s">
        <v>2205</v>
      </c>
      <c r="F758" s="13" t="s">
        <v>2217</v>
      </c>
      <c r="G758" s="13">
        <v>51.3</v>
      </c>
      <c r="H758" s="44">
        <v>0</v>
      </c>
      <c r="I758" s="13">
        <v>51.3</v>
      </c>
      <c r="J758" s="24">
        <v>45875</v>
      </c>
      <c r="K758" s="25">
        <v>33</v>
      </c>
      <c r="L758" s="25">
        <v>2.8694444444444449</v>
      </c>
      <c r="M758" s="13" t="b">
        <v>0</v>
      </c>
      <c r="O758" s="25">
        <f t="shared" si="44"/>
        <v>27</v>
      </c>
      <c r="P758" s="13">
        <f t="shared" si="45"/>
        <v>0</v>
      </c>
      <c r="Q758" s="13" t="str">
        <f t="shared" si="46"/>
        <v/>
      </c>
      <c r="R758" s="13" t="str">
        <f t="shared" si="47"/>
        <v>Non diskon</v>
      </c>
    </row>
    <row r="759" spans="1:18" x14ac:dyDescent="0.25">
      <c r="A759" s="13" t="s">
        <v>771</v>
      </c>
      <c r="B759" s="13" t="s">
        <v>2195</v>
      </c>
      <c r="C759" s="13" t="s">
        <v>2200</v>
      </c>
      <c r="D759" s="13" t="s">
        <v>2204</v>
      </c>
      <c r="E759" s="13" t="s">
        <v>2209</v>
      </c>
      <c r="F759" s="13" t="s">
        <v>2218</v>
      </c>
      <c r="G759" s="13">
        <v>173</v>
      </c>
      <c r="H759" s="44">
        <v>0</v>
      </c>
      <c r="I759" s="13">
        <v>173</v>
      </c>
      <c r="J759" s="24">
        <v>45759</v>
      </c>
      <c r="K759" s="25">
        <v>13</v>
      </c>
      <c r="L759" s="25">
        <v>3.9</v>
      </c>
      <c r="M759" s="13" t="b">
        <v>0</v>
      </c>
      <c r="O759" s="25">
        <f t="shared" si="44"/>
        <v>143</v>
      </c>
      <c r="P759" s="13">
        <f t="shared" si="45"/>
        <v>0</v>
      </c>
      <c r="Q759" s="13" t="str">
        <f t="shared" si="46"/>
        <v/>
      </c>
      <c r="R759" s="13" t="str">
        <f t="shared" si="47"/>
        <v>Non diskon</v>
      </c>
    </row>
    <row r="760" spans="1:18" x14ac:dyDescent="0.25">
      <c r="A760" s="13" t="s">
        <v>772</v>
      </c>
      <c r="B760" s="13" t="s">
        <v>2192</v>
      </c>
      <c r="C760" s="13" t="s">
        <v>2197</v>
      </c>
      <c r="D760" s="13" t="s">
        <v>2207</v>
      </c>
      <c r="F760" s="13" t="s">
        <v>2220</v>
      </c>
      <c r="G760" s="13">
        <v>70.72</v>
      </c>
      <c r="H760" s="44">
        <v>0</v>
      </c>
      <c r="I760" s="13">
        <v>70.72</v>
      </c>
      <c r="J760" s="24">
        <v>45875</v>
      </c>
      <c r="K760" s="25">
        <v>18</v>
      </c>
      <c r="L760" s="25">
        <v>2.8</v>
      </c>
      <c r="M760" s="13" t="b">
        <v>0</v>
      </c>
      <c r="O760" s="25">
        <f t="shared" si="44"/>
        <v>27</v>
      </c>
      <c r="P760" s="13">
        <f t="shared" si="45"/>
        <v>0</v>
      </c>
      <c r="Q760" s="13" t="str">
        <f t="shared" si="46"/>
        <v/>
      </c>
      <c r="R760" s="13" t="str">
        <f t="shared" si="47"/>
        <v>Non diskon</v>
      </c>
    </row>
    <row r="761" spans="1:18" x14ac:dyDescent="0.25">
      <c r="A761" s="13" t="s">
        <v>773</v>
      </c>
      <c r="B761" s="13" t="s">
        <v>2195</v>
      </c>
      <c r="C761" s="13" t="s">
        <v>2203</v>
      </c>
      <c r="D761" s="13" t="s">
        <v>2207</v>
      </c>
      <c r="E761" s="13" t="s">
        <v>2210</v>
      </c>
      <c r="F761" s="13" t="s">
        <v>2216</v>
      </c>
      <c r="G761" s="13">
        <v>126.37</v>
      </c>
      <c r="H761" s="44">
        <v>0</v>
      </c>
      <c r="I761" s="13">
        <v>126.37</v>
      </c>
      <c r="J761" s="24">
        <v>45875</v>
      </c>
      <c r="K761" s="25">
        <v>42</v>
      </c>
      <c r="L761" s="25">
        <v>2</v>
      </c>
      <c r="M761" s="13" t="b">
        <v>0</v>
      </c>
      <c r="O761" s="25">
        <f t="shared" si="44"/>
        <v>27</v>
      </c>
      <c r="P761" s="13">
        <f t="shared" si="45"/>
        <v>0</v>
      </c>
      <c r="Q761" s="13" t="str">
        <f t="shared" si="46"/>
        <v/>
      </c>
      <c r="R761" s="13" t="str">
        <f t="shared" si="47"/>
        <v>Non diskon</v>
      </c>
    </row>
    <row r="762" spans="1:18" x14ac:dyDescent="0.25">
      <c r="A762" s="13" t="s">
        <v>774</v>
      </c>
      <c r="B762" s="13" t="s">
        <v>2194</v>
      </c>
      <c r="C762" s="13" t="s">
        <v>2196</v>
      </c>
      <c r="D762" s="13" t="s">
        <v>2205</v>
      </c>
      <c r="E762" s="13" t="s">
        <v>2211</v>
      </c>
      <c r="F762" s="13" t="s">
        <v>2219</v>
      </c>
      <c r="G762" s="13">
        <v>84.19</v>
      </c>
      <c r="H762" s="44">
        <v>9.6</v>
      </c>
      <c r="I762" s="13">
        <v>76.11</v>
      </c>
      <c r="J762" s="24">
        <v>45875</v>
      </c>
      <c r="K762" s="25">
        <v>45</v>
      </c>
      <c r="L762" s="25">
        <v>2.1</v>
      </c>
      <c r="M762" s="13" t="b">
        <v>0</v>
      </c>
      <c r="O762" s="25">
        <f t="shared" si="44"/>
        <v>27</v>
      </c>
      <c r="P762" s="13">
        <f t="shared" si="45"/>
        <v>432</v>
      </c>
      <c r="Q762" s="13" t="str">
        <f t="shared" si="46"/>
        <v/>
      </c>
      <c r="R762" s="13" t="str">
        <f t="shared" si="47"/>
        <v>Diskon</v>
      </c>
    </row>
    <row r="763" spans="1:18" x14ac:dyDescent="0.25">
      <c r="A763" s="13" t="s">
        <v>775</v>
      </c>
      <c r="B763" s="13" t="s">
        <v>2192</v>
      </c>
      <c r="C763" s="13" t="s">
        <v>2203</v>
      </c>
      <c r="D763" s="13" t="s">
        <v>2207</v>
      </c>
      <c r="F763" s="13" t="s">
        <v>2215</v>
      </c>
      <c r="G763" s="13">
        <v>59.39</v>
      </c>
      <c r="H763" s="44">
        <v>44.6</v>
      </c>
      <c r="I763" s="13">
        <v>32.9</v>
      </c>
      <c r="J763" s="24">
        <v>45875</v>
      </c>
      <c r="K763" s="25">
        <v>41</v>
      </c>
      <c r="L763" s="25">
        <v>2.2999999999999998</v>
      </c>
      <c r="M763" s="13" t="b">
        <v>1</v>
      </c>
      <c r="N763" s="13" t="s">
        <v>2225</v>
      </c>
      <c r="O763" s="25">
        <f t="shared" si="44"/>
        <v>27</v>
      </c>
      <c r="P763" s="13">
        <f t="shared" si="45"/>
        <v>1828.6000000000001</v>
      </c>
      <c r="Q763" s="13">
        <f t="shared" si="46"/>
        <v>1</v>
      </c>
      <c r="R763" s="13" t="str">
        <f t="shared" si="47"/>
        <v>Diskon</v>
      </c>
    </row>
    <row r="764" spans="1:18" x14ac:dyDescent="0.25">
      <c r="A764" s="13" t="s">
        <v>776</v>
      </c>
      <c r="B764" s="13" t="s">
        <v>2190</v>
      </c>
      <c r="C764" s="13" t="s">
        <v>2199</v>
      </c>
      <c r="D764" s="13" t="s">
        <v>2206</v>
      </c>
      <c r="E764" s="13" t="s">
        <v>2213</v>
      </c>
      <c r="F764" s="13" t="s">
        <v>2220</v>
      </c>
      <c r="G764" s="13">
        <v>195.38</v>
      </c>
      <c r="H764" s="44">
        <v>0.3</v>
      </c>
      <c r="I764" s="13">
        <v>194.79</v>
      </c>
      <c r="J764" s="24">
        <v>45875</v>
      </c>
      <c r="K764" s="25">
        <v>30</v>
      </c>
      <c r="L764" s="25">
        <v>2.9</v>
      </c>
      <c r="M764" s="13" t="b">
        <v>0</v>
      </c>
      <c r="O764" s="25">
        <f t="shared" si="44"/>
        <v>27</v>
      </c>
      <c r="P764" s="13">
        <f t="shared" si="45"/>
        <v>9</v>
      </c>
      <c r="Q764" s="13" t="str">
        <f t="shared" si="46"/>
        <v/>
      </c>
      <c r="R764" s="13" t="str">
        <f t="shared" si="47"/>
        <v>Diskon</v>
      </c>
    </row>
    <row r="765" spans="1:18" x14ac:dyDescent="0.25">
      <c r="A765" s="13" t="s">
        <v>777</v>
      </c>
      <c r="B765" s="13" t="s">
        <v>2195</v>
      </c>
      <c r="C765" s="13" t="s">
        <v>2202</v>
      </c>
      <c r="D765" s="13" t="s">
        <v>2204</v>
      </c>
      <c r="E765" s="13" t="s">
        <v>2210</v>
      </c>
      <c r="F765" s="13" t="s">
        <v>2217</v>
      </c>
      <c r="G765" s="13">
        <v>107.64</v>
      </c>
      <c r="H765" s="44">
        <v>7.5</v>
      </c>
      <c r="I765" s="13">
        <v>99.57</v>
      </c>
      <c r="J765" s="24">
        <v>45545</v>
      </c>
      <c r="K765" s="25">
        <v>21</v>
      </c>
      <c r="L765" s="25">
        <v>4.5999999999999996</v>
      </c>
      <c r="M765" s="13" t="b">
        <v>0</v>
      </c>
      <c r="O765" s="25">
        <f t="shared" si="44"/>
        <v>357</v>
      </c>
      <c r="P765" s="13">
        <f t="shared" si="45"/>
        <v>157.5</v>
      </c>
      <c r="Q765" s="13" t="str">
        <f t="shared" si="46"/>
        <v/>
      </c>
      <c r="R765" s="13" t="str">
        <f t="shared" si="47"/>
        <v>Diskon</v>
      </c>
    </row>
    <row r="766" spans="1:18" x14ac:dyDescent="0.25">
      <c r="A766" s="13" t="s">
        <v>778</v>
      </c>
      <c r="B766" s="13" t="s">
        <v>2193</v>
      </c>
      <c r="C766" s="13" t="s">
        <v>2200</v>
      </c>
      <c r="D766" s="13" t="s">
        <v>2204</v>
      </c>
      <c r="E766" s="13" t="s">
        <v>2209</v>
      </c>
      <c r="F766" s="13" t="s">
        <v>2219</v>
      </c>
      <c r="G766" s="13">
        <v>63.12</v>
      </c>
      <c r="H766" s="44">
        <v>0</v>
      </c>
      <c r="I766" s="13">
        <v>63.12</v>
      </c>
      <c r="J766" s="24">
        <v>45604</v>
      </c>
      <c r="K766" s="25">
        <v>35</v>
      </c>
      <c r="L766" s="25">
        <v>2.9</v>
      </c>
      <c r="M766" s="13" t="b">
        <v>0</v>
      </c>
      <c r="O766" s="25">
        <f t="shared" si="44"/>
        <v>298</v>
      </c>
      <c r="P766" s="13">
        <f t="shared" si="45"/>
        <v>0</v>
      </c>
      <c r="Q766" s="13" t="str">
        <f t="shared" si="46"/>
        <v/>
      </c>
      <c r="R766" s="13" t="str">
        <f t="shared" si="47"/>
        <v>Non diskon</v>
      </c>
    </row>
    <row r="767" spans="1:18" x14ac:dyDescent="0.25">
      <c r="A767" s="13" t="s">
        <v>779</v>
      </c>
      <c r="B767" s="13" t="s">
        <v>2194</v>
      </c>
      <c r="C767" s="13" t="s">
        <v>2202</v>
      </c>
      <c r="D767" s="13" t="s">
        <v>2206</v>
      </c>
      <c r="E767" s="13" t="s">
        <v>2209</v>
      </c>
      <c r="F767" s="13" t="s">
        <v>2219</v>
      </c>
      <c r="G767" s="13">
        <v>58.91</v>
      </c>
      <c r="H767" s="44">
        <v>0</v>
      </c>
      <c r="I767" s="13">
        <v>58.91</v>
      </c>
      <c r="J767" s="24">
        <v>45875</v>
      </c>
      <c r="K767" s="25">
        <v>17</v>
      </c>
      <c r="L767" s="25">
        <v>2</v>
      </c>
      <c r="M767" s="13" t="b">
        <v>0</v>
      </c>
      <c r="O767" s="25">
        <f t="shared" si="44"/>
        <v>27</v>
      </c>
      <c r="P767" s="13">
        <f t="shared" si="45"/>
        <v>0</v>
      </c>
      <c r="Q767" s="13" t="str">
        <f t="shared" si="46"/>
        <v/>
      </c>
      <c r="R767" s="13" t="str">
        <f t="shared" si="47"/>
        <v>Non diskon</v>
      </c>
    </row>
    <row r="768" spans="1:18" x14ac:dyDescent="0.25">
      <c r="A768" s="13" t="s">
        <v>780</v>
      </c>
      <c r="B768" s="13" t="s">
        <v>2194</v>
      </c>
      <c r="C768" s="13" t="s">
        <v>2200</v>
      </c>
      <c r="D768" s="13" t="s">
        <v>2207</v>
      </c>
      <c r="E768" s="13" t="s">
        <v>2209</v>
      </c>
      <c r="F768" s="13" t="s">
        <v>2220</v>
      </c>
      <c r="G768" s="13">
        <v>93.27</v>
      </c>
      <c r="H768" s="44">
        <v>0</v>
      </c>
      <c r="I768" s="13">
        <v>93.27</v>
      </c>
      <c r="J768" s="24">
        <v>45875</v>
      </c>
      <c r="K768" s="25">
        <v>18</v>
      </c>
      <c r="L768" s="25">
        <v>3.7</v>
      </c>
      <c r="M768" s="13" t="b">
        <v>0</v>
      </c>
      <c r="O768" s="25">
        <f t="shared" si="44"/>
        <v>27</v>
      </c>
      <c r="P768" s="13">
        <f t="shared" si="45"/>
        <v>0</v>
      </c>
      <c r="Q768" s="13" t="str">
        <f t="shared" si="46"/>
        <v/>
      </c>
      <c r="R768" s="13" t="str">
        <f t="shared" si="47"/>
        <v>Non diskon</v>
      </c>
    </row>
    <row r="769" spans="1:18" x14ac:dyDescent="0.25">
      <c r="A769" s="13" t="s">
        <v>781</v>
      </c>
      <c r="B769" s="13" t="s">
        <v>2195</v>
      </c>
      <c r="C769" s="13" t="s">
        <v>2203</v>
      </c>
      <c r="D769" s="13" t="s">
        <v>2204</v>
      </c>
      <c r="E769" s="13" t="s">
        <v>2208</v>
      </c>
      <c r="F769" s="13" t="s">
        <v>2220</v>
      </c>
      <c r="G769" s="13">
        <v>147.88</v>
      </c>
      <c r="H769" s="44">
        <v>36.799999999999997</v>
      </c>
      <c r="I769" s="13">
        <v>93.46</v>
      </c>
      <c r="J769" s="24">
        <v>45543</v>
      </c>
      <c r="K769" s="25">
        <v>37</v>
      </c>
      <c r="L769" s="25">
        <v>3.3</v>
      </c>
      <c r="M769" s="13" t="b">
        <v>0</v>
      </c>
      <c r="O769" s="25">
        <f t="shared" si="44"/>
        <v>359</v>
      </c>
      <c r="P769" s="13">
        <f t="shared" si="45"/>
        <v>1361.6</v>
      </c>
      <c r="Q769" s="13" t="str">
        <f t="shared" si="46"/>
        <v/>
      </c>
      <c r="R769" s="13" t="str">
        <f t="shared" si="47"/>
        <v>Diskon</v>
      </c>
    </row>
    <row r="770" spans="1:18" x14ac:dyDescent="0.25">
      <c r="A770" s="13" t="s">
        <v>782</v>
      </c>
      <c r="B770" s="13" t="s">
        <v>2191</v>
      </c>
      <c r="C770" s="13" t="s">
        <v>2197</v>
      </c>
      <c r="D770" s="13" t="s">
        <v>2206</v>
      </c>
      <c r="E770" s="13" t="s">
        <v>2209</v>
      </c>
      <c r="F770" s="13" t="s">
        <v>2218</v>
      </c>
      <c r="G770" s="13">
        <v>30.53</v>
      </c>
      <c r="H770" s="44">
        <v>0</v>
      </c>
      <c r="I770" s="13">
        <v>30.53</v>
      </c>
      <c r="J770" s="24">
        <v>45875</v>
      </c>
      <c r="K770" s="25">
        <v>25</v>
      </c>
      <c r="L770" s="25">
        <v>2.5</v>
      </c>
      <c r="M770" s="13" t="b">
        <v>0</v>
      </c>
      <c r="O770" s="25">
        <f t="shared" si="44"/>
        <v>27</v>
      </c>
      <c r="P770" s="13">
        <f t="shared" si="45"/>
        <v>0</v>
      </c>
      <c r="Q770" s="13" t="str">
        <f t="shared" si="46"/>
        <v/>
      </c>
      <c r="R770" s="13" t="str">
        <f t="shared" si="47"/>
        <v>Non diskon</v>
      </c>
    </row>
    <row r="771" spans="1:18" x14ac:dyDescent="0.25">
      <c r="A771" s="13" t="s">
        <v>783</v>
      </c>
      <c r="B771" s="13" t="s">
        <v>2191</v>
      </c>
      <c r="C771" s="13" t="s">
        <v>2196</v>
      </c>
      <c r="D771" s="13" t="s">
        <v>2206</v>
      </c>
      <c r="E771" s="13" t="s">
        <v>2210</v>
      </c>
      <c r="F771" s="13" t="s">
        <v>2217</v>
      </c>
      <c r="G771" s="13">
        <v>104.96</v>
      </c>
      <c r="H771" s="44">
        <v>1.6</v>
      </c>
      <c r="I771" s="13">
        <v>103.28</v>
      </c>
      <c r="J771" s="24">
        <v>45875</v>
      </c>
      <c r="K771" s="25">
        <v>33</v>
      </c>
      <c r="L771" s="25">
        <v>2</v>
      </c>
      <c r="M771" s="13" t="b">
        <v>0</v>
      </c>
      <c r="O771" s="25">
        <f t="shared" ref="O771:O834" si="48">DATE(2025,9,2)-J771</f>
        <v>27</v>
      </c>
      <c r="P771" s="13">
        <f t="shared" ref="P771:P834" si="49">H771*K771</f>
        <v>52.800000000000004</v>
      </c>
      <c r="Q771" s="13" t="str">
        <f t="shared" ref="Q771:Q834" si="50">IF(M771=FALSE,"",1)</f>
        <v/>
      </c>
      <c r="R771" s="13" t="str">
        <f t="shared" ref="R771:R834" si="51">IF(H771=0,"Non diskon","Diskon")</f>
        <v>Diskon</v>
      </c>
    </row>
    <row r="772" spans="1:18" x14ac:dyDescent="0.25">
      <c r="A772" s="13" t="s">
        <v>784</v>
      </c>
      <c r="B772" s="13" t="s">
        <v>2195</v>
      </c>
      <c r="C772" s="13" t="s">
        <v>2200</v>
      </c>
      <c r="D772" s="13" t="s">
        <v>2205</v>
      </c>
      <c r="E772" s="13" t="s">
        <v>2212</v>
      </c>
      <c r="F772" s="13" t="s">
        <v>2219</v>
      </c>
      <c r="G772" s="13">
        <v>75.52</v>
      </c>
      <c r="H772" s="44">
        <v>0</v>
      </c>
      <c r="I772" s="13">
        <v>75.52</v>
      </c>
      <c r="J772" s="24">
        <v>45875</v>
      </c>
      <c r="K772" s="25">
        <v>2</v>
      </c>
      <c r="L772" s="25">
        <v>2.8</v>
      </c>
      <c r="M772" s="13" t="b">
        <v>0</v>
      </c>
      <c r="O772" s="25">
        <f t="shared" si="48"/>
        <v>27</v>
      </c>
      <c r="P772" s="13">
        <f t="shared" si="49"/>
        <v>0</v>
      </c>
      <c r="Q772" s="13" t="str">
        <f t="shared" si="50"/>
        <v/>
      </c>
      <c r="R772" s="13" t="str">
        <f t="shared" si="51"/>
        <v>Non diskon</v>
      </c>
    </row>
    <row r="773" spans="1:18" x14ac:dyDescent="0.25">
      <c r="A773" s="13" t="s">
        <v>785</v>
      </c>
      <c r="B773" s="13" t="s">
        <v>2194</v>
      </c>
      <c r="C773" s="13" t="s">
        <v>2202</v>
      </c>
      <c r="D773" s="13" t="s">
        <v>2205</v>
      </c>
      <c r="E773" s="13" t="s">
        <v>2213</v>
      </c>
      <c r="F773" s="13" t="s">
        <v>2214</v>
      </c>
      <c r="G773" s="13">
        <v>54.7</v>
      </c>
      <c r="H773" s="44">
        <v>0</v>
      </c>
      <c r="I773" s="13">
        <v>54.7</v>
      </c>
      <c r="J773" s="24">
        <v>45875</v>
      </c>
      <c r="K773" s="25">
        <v>18</v>
      </c>
      <c r="L773" s="25">
        <v>4.2</v>
      </c>
      <c r="M773" s="13" t="b">
        <v>0</v>
      </c>
      <c r="O773" s="25">
        <f t="shared" si="48"/>
        <v>27</v>
      </c>
      <c r="P773" s="13">
        <f t="shared" si="49"/>
        <v>0</v>
      </c>
      <c r="Q773" s="13" t="str">
        <f t="shared" si="50"/>
        <v/>
      </c>
      <c r="R773" s="13" t="str">
        <f t="shared" si="51"/>
        <v>Non diskon</v>
      </c>
    </row>
    <row r="774" spans="1:18" x14ac:dyDescent="0.25">
      <c r="A774" s="13" t="s">
        <v>786</v>
      </c>
      <c r="B774" s="13" t="s">
        <v>2193</v>
      </c>
      <c r="C774" s="13" t="s">
        <v>2201</v>
      </c>
      <c r="D774" s="13" t="s">
        <v>2207</v>
      </c>
      <c r="E774" s="13" t="s">
        <v>2212</v>
      </c>
      <c r="F774" s="13" t="s">
        <v>2216</v>
      </c>
      <c r="G774" s="13">
        <v>126.25</v>
      </c>
      <c r="H774" s="44">
        <v>25.9</v>
      </c>
      <c r="I774" s="13">
        <v>93.55</v>
      </c>
      <c r="J774" s="24">
        <v>45875</v>
      </c>
      <c r="K774" s="25">
        <v>40</v>
      </c>
      <c r="L774" s="25">
        <v>1.5</v>
      </c>
      <c r="M774" s="13" t="b">
        <v>1</v>
      </c>
      <c r="N774" s="13" t="s">
        <v>2226</v>
      </c>
      <c r="O774" s="25">
        <f t="shared" si="48"/>
        <v>27</v>
      </c>
      <c r="P774" s="13">
        <f t="shared" si="49"/>
        <v>1036</v>
      </c>
      <c r="Q774" s="13">
        <f t="shared" si="50"/>
        <v>1</v>
      </c>
      <c r="R774" s="13" t="str">
        <f t="shared" si="51"/>
        <v>Diskon</v>
      </c>
    </row>
    <row r="775" spans="1:18" x14ac:dyDescent="0.25">
      <c r="A775" s="13" t="s">
        <v>787</v>
      </c>
      <c r="B775" s="13" t="s">
        <v>2193</v>
      </c>
      <c r="C775" s="13" t="s">
        <v>2198</v>
      </c>
      <c r="D775" s="13" t="s">
        <v>2207</v>
      </c>
      <c r="E775" s="13" t="s">
        <v>2212</v>
      </c>
      <c r="F775" s="13" t="s">
        <v>2219</v>
      </c>
      <c r="G775" s="13">
        <v>63.86</v>
      </c>
      <c r="H775" s="44">
        <v>52.8</v>
      </c>
      <c r="I775" s="13">
        <v>30.14</v>
      </c>
      <c r="J775" s="24">
        <v>45875</v>
      </c>
      <c r="K775" s="25">
        <v>23</v>
      </c>
      <c r="L775" s="25">
        <v>3.1936170212765949</v>
      </c>
      <c r="M775" s="13" t="b">
        <v>0</v>
      </c>
      <c r="O775" s="25">
        <f t="shared" si="48"/>
        <v>27</v>
      </c>
      <c r="P775" s="13">
        <f t="shared" si="49"/>
        <v>1214.3999999999999</v>
      </c>
      <c r="Q775" s="13" t="str">
        <f t="shared" si="50"/>
        <v/>
      </c>
      <c r="R775" s="13" t="str">
        <f t="shared" si="51"/>
        <v>Diskon</v>
      </c>
    </row>
    <row r="776" spans="1:18" x14ac:dyDescent="0.25">
      <c r="A776" s="13" t="s">
        <v>788</v>
      </c>
      <c r="B776" s="13" t="s">
        <v>2192</v>
      </c>
      <c r="C776" s="13" t="s">
        <v>2197</v>
      </c>
      <c r="D776" s="13" t="s">
        <v>2205</v>
      </c>
      <c r="F776" s="13" t="s">
        <v>2214</v>
      </c>
      <c r="G776" s="13">
        <v>75.930000000000007</v>
      </c>
      <c r="H776" s="44">
        <v>0</v>
      </c>
      <c r="I776" s="13">
        <v>75.930000000000007</v>
      </c>
      <c r="J776" s="24">
        <v>45875</v>
      </c>
      <c r="K776" s="25">
        <v>32</v>
      </c>
      <c r="L776" s="25">
        <v>3.1</v>
      </c>
      <c r="M776" s="13" t="b">
        <v>0</v>
      </c>
      <c r="O776" s="25">
        <f t="shared" si="48"/>
        <v>27</v>
      </c>
      <c r="P776" s="13">
        <f t="shared" si="49"/>
        <v>0</v>
      </c>
      <c r="Q776" s="13" t="str">
        <f t="shared" si="50"/>
        <v/>
      </c>
      <c r="R776" s="13" t="str">
        <f t="shared" si="51"/>
        <v>Non diskon</v>
      </c>
    </row>
    <row r="777" spans="1:18" x14ac:dyDescent="0.25">
      <c r="A777" s="13" t="s">
        <v>789</v>
      </c>
      <c r="B777" s="13" t="s">
        <v>2191</v>
      </c>
      <c r="C777" s="13" t="s">
        <v>2196</v>
      </c>
      <c r="D777" s="13" t="s">
        <v>2206</v>
      </c>
      <c r="E777" s="13" t="s">
        <v>2213</v>
      </c>
      <c r="F777" s="13" t="s">
        <v>2224</v>
      </c>
      <c r="G777" s="13">
        <v>82.51</v>
      </c>
      <c r="H777" s="44">
        <v>27.3</v>
      </c>
      <c r="I777" s="13">
        <v>59.98</v>
      </c>
      <c r="J777" s="24">
        <v>45875</v>
      </c>
      <c r="K777" s="25">
        <v>9</v>
      </c>
      <c r="L777" s="25">
        <v>3.8</v>
      </c>
      <c r="M777" s="13" t="b">
        <v>0</v>
      </c>
      <c r="O777" s="25">
        <f t="shared" si="48"/>
        <v>27</v>
      </c>
      <c r="P777" s="13">
        <f t="shared" si="49"/>
        <v>245.70000000000002</v>
      </c>
      <c r="Q777" s="13" t="str">
        <f t="shared" si="50"/>
        <v/>
      </c>
      <c r="R777" s="13" t="str">
        <f t="shared" si="51"/>
        <v>Diskon</v>
      </c>
    </row>
    <row r="778" spans="1:18" x14ac:dyDescent="0.25">
      <c r="A778" s="13" t="s">
        <v>790</v>
      </c>
      <c r="B778" s="13" t="s">
        <v>2194</v>
      </c>
      <c r="C778" s="13" t="s">
        <v>2198</v>
      </c>
      <c r="D778" s="13" t="s">
        <v>2206</v>
      </c>
      <c r="E778" s="13" t="s">
        <v>2211</v>
      </c>
      <c r="F778" s="13" t="s">
        <v>2220</v>
      </c>
      <c r="G778" s="13">
        <v>46.02</v>
      </c>
      <c r="H778" s="44">
        <v>0</v>
      </c>
      <c r="I778" s="13">
        <v>46.02</v>
      </c>
      <c r="J778" s="24">
        <v>45875</v>
      </c>
      <c r="K778" s="25">
        <v>21</v>
      </c>
      <c r="L778" s="25">
        <v>1.1000000000000001</v>
      </c>
      <c r="M778" s="13" t="b">
        <v>0</v>
      </c>
      <c r="O778" s="25">
        <f t="shared" si="48"/>
        <v>27</v>
      </c>
      <c r="P778" s="13">
        <f t="shared" si="49"/>
        <v>0</v>
      </c>
      <c r="Q778" s="13" t="str">
        <f t="shared" si="50"/>
        <v/>
      </c>
      <c r="R778" s="13" t="str">
        <f t="shared" si="51"/>
        <v>Non diskon</v>
      </c>
    </row>
    <row r="779" spans="1:18" x14ac:dyDescent="0.25">
      <c r="A779" s="13" t="s">
        <v>791</v>
      </c>
      <c r="B779" s="13" t="s">
        <v>2195</v>
      </c>
      <c r="C779" s="13" t="s">
        <v>2199</v>
      </c>
      <c r="D779" s="13" t="s">
        <v>2205</v>
      </c>
      <c r="E779" s="13" t="s">
        <v>2211</v>
      </c>
      <c r="F779" s="13" t="s">
        <v>2224</v>
      </c>
      <c r="G779" s="13">
        <v>125.67</v>
      </c>
      <c r="H779" s="44">
        <v>45.5</v>
      </c>
      <c r="I779" s="13">
        <v>68.489999999999995</v>
      </c>
      <c r="J779" s="24">
        <v>45875</v>
      </c>
      <c r="K779" s="25">
        <v>27</v>
      </c>
      <c r="L779" s="25">
        <v>1.6</v>
      </c>
      <c r="M779" s="13" t="b">
        <v>0</v>
      </c>
      <c r="O779" s="25">
        <f t="shared" si="48"/>
        <v>27</v>
      </c>
      <c r="P779" s="13">
        <f t="shared" si="49"/>
        <v>1228.5</v>
      </c>
      <c r="Q779" s="13" t="str">
        <f t="shared" si="50"/>
        <v/>
      </c>
      <c r="R779" s="13" t="str">
        <f t="shared" si="51"/>
        <v>Diskon</v>
      </c>
    </row>
    <row r="780" spans="1:18" x14ac:dyDescent="0.25">
      <c r="A780" s="13" t="s">
        <v>792</v>
      </c>
      <c r="B780" s="13" t="s">
        <v>2193</v>
      </c>
      <c r="C780" s="13" t="s">
        <v>2199</v>
      </c>
      <c r="D780" s="13" t="s">
        <v>2205</v>
      </c>
      <c r="E780" s="13" t="s">
        <v>2210</v>
      </c>
      <c r="F780" s="13" t="s">
        <v>2214</v>
      </c>
      <c r="G780" s="13">
        <v>65.61</v>
      </c>
      <c r="H780" s="44">
        <v>50.7</v>
      </c>
      <c r="I780" s="13">
        <v>32.35</v>
      </c>
      <c r="J780" s="24">
        <v>45875</v>
      </c>
      <c r="K780" s="25">
        <v>23</v>
      </c>
      <c r="L780" s="25">
        <v>1.1000000000000001</v>
      </c>
      <c r="M780" s="13" t="b">
        <v>0</v>
      </c>
      <c r="O780" s="25">
        <f t="shared" si="48"/>
        <v>27</v>
      </c>
      <c r="P780" s="13">
        <f t="shared" si="49"/>
        <v>1166.1000000000001</v>
      </c>
      <c r="Q780" s="13" t="str">
        <f t="shared" si="50"/>
        <v/>
      </c>
      <c r="R780" s="13" t="str">
        <f t="shared" si="51"/>
        <v>Diskon</v>
      </c>
    </row>
    <row r="781" spans="1:18" x14ac:dyDescent="0.25">
      <c r="A781" s="13" t="s">
        <v>793</v>
      </c>
      <c r="B781" s="13" t="s">
        <v>2195</v>
      </c>
      <c r="C781" s="13" t="s">
        <v>2198</v>
      </c>
      <c r="D781" s="13" t="s">
        <v>2207</v>
      </c>
      <c r="E781" s="13" t="s">
        <v>2212</v>
      </c>
      <c r="F781" s="13" t="s">
        <v>2221</v>
      </c>
      <c r="G781" s="13">
        <v>91.61</v>
      </c>
      <c r="H781" s="44">
        <v>0</v>
      </c>
      <c r="I781" s="13">
        <v>91.61</v>
      </c>
      <c r="J781" s="24">
        <v>45875</v>
      </c>
      <c r="K781" s="25">
        <v>31</v>
      </c>
      <c r="L781" s="25">
        <v>1.4</v>
      </c>
      <c r="M781" s="13" t="b">
        <v>0</v>
      </c>
      <c r="O781" s="25">
        <f t="shared" si="48"/>
        <v>27</v>
      </c>
      <c r="P781" s="13">
        <f t="shared" si="49"/>
        <v>0</v>
      </c>
      <c r="Q781" s="13" t="str">
        <f t="shared" si="50"/>
        <v/>
      </c>
      <c r="R781" s="13" t="str">
        <f t="shared" si="51"/>
        <v>Non diskon</v>
      </c>
    </row>
    <row r="782" spans="1:18" x14ac:dyDescent="0.25">
      <c r="A782" s="13" t="s">
        <v>794</v>
      </c>
      <c r="B782" s="13" t="s">
        <v>2190</v>
      </c>
      <c r="C782" s="13" t="s">
        <v>2200</v>
      </c>
      <c r="D782" s="13" t="s">
        <v>2207</v>
      </c>
      <c r="E782" s="13" t="s">
        <v>2212</v>
      </c>
      <c r="F782" s="13" t="s">
        <v>2215</v>
      </c>
      <c r="G782" s="13">
        <v>162.78</v>
      </c>
      <c r="H782" s="44">
        <v>0</v>
      </c>
      <c r="I782" s="13">
        <v>162.78</v>
      </c>
      <c r="J782" s="24">
        <v>45875</v>
      </c>
      <c r="K782" s="25">
        <v>0</v>
      </c>
      <c r="L782" s="25">
        <v>2.9228571428571426</v>
      </c>
      <c r="M782" s="13" t="b">
        <v>0</v>
      </c>
      <c r="O782" s="25">
        <f t="shared" si="48"/>
        <v>27</v>
      </c>
      <c r="P782" s="13">
        <f t="shared" si="49"/>
        <v>0</v>
      </c>
      <c r="Q782" s="13" t="str">
        <f t="shared" si="50"/>
        <v/>
      </c>
      <c r="R782" s="13" t="str">
        <f t="shared" si="51"/>
        <v>Non diskon</v>
      </c>
    </row>
    <row r="783" spans="1:18" x14ac:dyDescent="0.25">
      <c r="A783" s="13" t="s">
        <v>795</v>
      </c>
      <c r="B783" s="13" t="s">
        <v>2190</v>
      </c>
      <c r="C783" s="13" t="s">
        <v>2199</v>
      </c>
      <c r="D783" s="13" t="s">
        <v>2205</v>
      </c>
      <c r="E783" s="13" t="s">
        <v>2213</v>
      </c>
      <c r="F783" s="13" t="s">
        <v>2218</v>
      </c>
      <c r="G783" s="13">
        <v>134.35</v>
      </c>
      <c r="H783" s="44">
        <v>35.299999999999997</v>
      </c>
      <c r="I783" s="13">
        <v>86.92</v>
      </c>
      <c r="J783" s="24">
        <v>45875</v>
      </c>
      <c r="K783" s="25">
        <v>36</v>
      </c>
      <c r="L783" s="25">
        <v>2.4137931034482762</v>
      </c>
      <c r="M783" s="13" t="b">
        <v>0</v>
      </c>
      <c r="O783" s="25">
        <f t="shared" si="48"/>
        <v>27</v>
      </c>
      <c r="P783" s="13">
        <f t="shared" si="49"/>
        <v>1270.8</v>
      </c>
      <c r="Q783" s="13" t="str">
        <f t="shared" si="50"/>
        <v/>
      </c>
      <c r="R783" s="13" t="str">
        <f t="shared" si="51"/>
        <v>Diskon</v>
      </c>
    </row>
    <row r="784" spans="1:18" x14ac:dyDescent="0.25">
      <c r="A784" s="13" t="s">
        <v>796</v>
      </c>
      <c r="B784" s="13" t="s">
        <v>2194</v>
      </c>
      <c r="C784" s="13" t="s">
        <v>2199</v>
      </c>
      <c r="D784" s="13" t="s">
        <v>2204</v>
      </c>
      <c r="F784" s="13" t="s">
        <v>2218</v>
      </c>
      <c r="G784" s="13">
        <v>77.739999999999995</v>
      </c>
      <c r="H784" s="44">
        <v>38.799999999999997</v>
      </c>
      <c r="I784" s="13">
        <v>47.58</v>
      </c>
      <c r="J784" s="24">
        <v>45849</v>
      </c>
      <c r="K784" s="25">
        <v>23</v>
      </c>
      <c r="L784" s="25">
        <v>4.3</v>
      </c>
      <c r="M784" s="13" t="b">
        <v>0</v>
      </c>
      <c r="O784" s="25">
        <f t="shared" si="48"/>
        <v>53</v>
      </c>
      <c r="P784" s="13">
        <f t="shared" si="49"/>
        <v>892.4</v>
      </c>
      <c r="Q784" s="13" t="str">
        <f t="shared" si="50"/>
        <v/>
      </c>
      <c r="R784" s="13" t="str">
        <f t="shared" si="51"/>
        <v>Diskon</v>
      </c>
    </row>
    <row r="785" spans="1:18" x14ac:dyDescent="0.25">
      <c r="A785" s="13" t="s">
        <v>797</v>
      </c>
      <c r="B785" s="13" t="s">
        <v>2192</v>
      </c>
      <c r="C785" s="13" t="s">
        <v>2202</v>
      </c>
      <c r="D785" s="13" t="s">
        <v>2207</v>
      </c>
      <c r="F785" s="13" t="s">
        <v>2224</v>
      </c>
      <c r="G785" s="13">
        <v>49.33</v>
      </c>
      <c r="H785" s="44">
        <v>59.9</v>
      </c>
      <c r="I785" s="13">
        <v>19.78</v>
      </c>
      <c r="J785" s="24">
        <v>45875</v>
      </c>
      <c r="K785" s="25">
        <v>47</v>
      </c>
      <c r="L785" s="25">
        <v>3.2720930232558145</v>
      </c>
      <c r="M785" s="13" t="b">
        <v>0</v>
      </c>
      <c r="O785" s="25">
        <f t="shared" si="48"/>
        <v>27</v>
      </c>
      <c r="P785" s="13">
        <f t="shared" si="49"/>
        <v>2815.2999999999997</v>
      </c>
      <c r="Q785" s="13" t="str">
        <f t="shared" si="50"/>
        <v/>
      </c>
      <c r="R785" s="13" t="str">
        <f t="shared" si="51"/>
        <v>Diskon</v>
      </c>
    </row>
    <row r="786" spans="1:18" x14ac:dyDescent="0.25">
      <c r="A786" s="13" t="s">
        <v>798</v>
      </c>
      <c r="B786" s="13" t="s">
        <v>2190</v>
      </c>
      <c r="C786" s="13" t="s">
        <v>2203</v>
      </c>
      <c r="D786" s="13" t="s">
        <v>2207</v>
      </c>
      <c r="E786" s="13" t="s">
        <v>2210</v>
      </c>
      <c r="F786" s="13" t="s">
        <v>2218</v>
      </c>
      <c r="G786" s="13">
        <v>231.52</v>
      </c>
      <c r="H786" s="44">
        <v>17.3</v>
      </c>
      <c r="I786" s="13">
        <v>191.47</v>
      </c>
      <c r="J786" s="24">
        <v>45875</v>
      </c>
      <c r="K786" s="25">
        <v>49</v>
      </c>
      <c r="L786" s="25">
        <v>2.1</v>
      </c>
      <c r="M786" s="13" t="b">
        <v>0</v>
      </c>
      <c r="O786" s="25">
        <f t="shared" si="48"/>
        <v>27</v>
      </c>
      <c r="P786" s="13">
        <f t="shared" si="49"/>
        <v>847.7</v>
      </c>
      <c r="Q786" s="13" t="str">
        <f t="shared" si="50"/>
        <v/>
      </c>
      <c r="R786" s="13" t="str">
        <f t="shared" si="51"/>
        <v>Diskon</v>
      </c>
    </row>
    <row r="787" spans="1:18" x14ac:dyDescent="0.25">
      <c r="A787" s="13" t="s">
        <v>799</v>
      </c>
      <c r="B787" s="13" t="s">
        <v>2190</v>
      </c>
      <c r="C787" s="13" t="s">
        <v>2202</v>
      </c>
      <c r="D787" s="13" t="s">
        <v>2205</v>
      </c>
      <c r="E787" s="13" t="s">
        <v>2208</v>
      </c>
      <c r="F787" s="13" t="s">
        <v>2217</v>
      </c>
      <c r="G787" s="13">
        <v>140.1</v>
      </c>
      <c r="H787" s="44">
        <v>0</v>
      </c>
      <c r="I787" s="13">
        <v>140.1</v>
      </c>
      <c r="J787" s="24">
        <v>45875</v>
      </c>
      <c r="K787" s="25">
        <v>14</v>
      </c>
      <c r="L787" s="25">
        <v>3.9</v>
      </c>
      <c r="M787" s="13" t="b">
        <v>0</v>
      </c>
      <c r="O787" s="25">
        <f t="shared" si="48"/>
        <v>27</v>
      </c>
      <c r="P787" s="13">
        <f t="shared" si="49"/>
        <v>0</v>
      </c>
      <c r="Q787" s="13" t="str">
        <f t="shared" si="50"/>
        <v/>
      </c>
      <c r="R787" s="13" t="str">
        <f t="shared" si="51"/>
        <v>Non diskon</v>
      </c>
    </row>
    <row r="788" spans="1:18" x14ac:dyDescent="0.25">
      <c r="A788" s="13" t="s">
        <v>800</v>
      </c>
      <c r="B788" s="13" t="s">
        <v>2195</v>
      </c>
      <c r="C788" s="13" t="s">
        <v>2201</v>
      </c>
      <c r="D788" s="13" t="s">
        <v>2207</v>
      </c>
      <c r="E788" s="13" t="s">
        <v>2210</v>
      </c>
      <c r="F788" s="13" t="s">
        <v>2215</v>
      </c>
      <c r="G788" s="13">
        <v>117.38</v>
      </c>
      <c r="H788" s="44">
        <v>27.8</v>
      </c>
      <c r="I788" s="13">
        <v>84.75</v>
      </c>
      <c r="J788" s="24">
        <v>45875</v>
      </c>
      <c r="K788" s="25">
        <v>34</v>
      </c>
      <c r="L788" s="25">
        <v>2.8</v>
      </c>
      <c r="M788" s="13" t="b">
        <v>1</v>
      </c>
      <c r="N788" s="13" t="s">
        <v>2228</v>
      </c>
      <c r="O788" s="25">
        <f t="shared" si="48"/>
        <v>27</v>
      </c>
      <c r="P788" s="13">
        <f t="shared" si="49"/>
        <v>945.2</v>
      </c>
      <c r="Q788" s="13">
        <f t="shared" si="50"/>
        <v>1</v>
      </c>
      <c r="R788" s="13" t="str">
        <f t="shared" si="51"/>
        <v>Diskon</v>
      </c>
    </row>
    <row r="789" spans="1:18" x14ac:dyDescent="0.25">
      <c r="A789" s="13" t="s">
        <v>801</v>
      </c>
      <c r="B789" s="13" t="s">
        <v>2191</v>
      </c>
      <c r="C789" s="13" t="s">
        <v>2201</v>
      </c>
      <c r="D789" s="13" t="s">
        <v>2204</v>
      </c>
      <c r="E789" s="13" t="s">
        <v>2210</v>
      </c>
      <c r="F789" s="13" t="s">
        <v>2223</v>
      </c>
      <c r="G789" s="13">
        <v>83.98</v>
      </c>
      <c r="H789" s="44">
        <v>0</v>
      </c>
      <c r="I789" s="13">
        <v>83.98</v>
      </c>
      <c r="J789" s="24">
        <v>45533</v>
      </c>
      <c r="K789" s="25">
        <v>23</v>
      </c>
      <c r="L789" s="25">
        <v>1.9</v>
      </c>
      <c r="M789" s="13" t="b">
        <v>0</v>
      </c>
      <c r="O789" s="25">
        <f t="shared" si="48"/>
        <v>369</v>
      </c>
      <c r="P789" s="13">
        <f t="shared" si="49"/>
        <v>0</v>
      </c>
      <c r="Q789" s="13" t="str">
        <f t="shared" si="50"/>
        <v/>
      </c>
      <c r="R789" s="13" t="str">
        <f t="shared" si="51"/>
        <v>Non diskon</v>
      </c>
    </row>
    <row r="790" spans="1:18" x14ac:dyDescent="0.25">
      <c r="A790" s="13" t="s">
        <v>802</v>
      </c>
      <c r="B790" s="13" t="s">
        <v>2195</v>
      </c>
      <c r="C790" s="13" t="s">
        <v>2200</v>
      </c>
      <c r="D790" s="13" t="s">
        <v>2204</v>
      </c>
      <c r="E790" s="13" t="s">
        <v>2208</v>
      </c>
      <c r="F790" s="13" t="s">
        <v>2222</v>
      </c>
      <c r="G790" s="13">
        <v>111.67</v>
      </c>
      <c r="H790" s="44">
        <v>53.5</v>
      </c>
      <c r="I790" s="13">
        <v>51.93</v>
      </c>
      <c r="J790" s="24">
        <v>45693</v>
      </c>
      <c r="K790" s="25">
        <v>19</v>
      </c>
      <c r="L790" s="25">
        <v>3.1051282051282048</v>
      </c>
      <c r="M790" s="13" t="b">
        <v>0</v>
      </c>
      <c r="O790" s="25">
        <f t="shared" si="48"/>
        <v>209</v>
      </c>
      <c r="P790" s="13">
        <f t="shared" si="49"/>
        <v>1016.5</v>
      </c>
      <c r="Q790" s="13" t="str">
        <f t="shared" si="50"/>
        <v/>
      </c>
      <c r="R790" s="13" t="str">
        <f t="shared" si="51"/>
        <v>Diskon</v>
      </c>
    </row>
    <row r="791" spans="1:18" x14ac:dyDescent="0.25">
      <c r="A791" s="13" t="s">
        <v>803</v>
      </c>
      <c r="B791" s="13" t="s">
        <v>2194</v>
      </c>
      <c r="C791" s="13" t="s">
        <v>2200</v>
      </c>
      <c r="D791" s="13" t="s">
        <v>2207</v>
      </c>
      <c r="E791" s="13" t="s">
        <v>2210</v>
      </c>
      <c r="F791" s="13" t="s">
        <v>2217</v>
      </c>
      <c r="G791" s="13">
        <v>25.16</v>
      </c>
      <c r="H791" s="44">
        <v>0</v>
      </c>
      <c r="I791" s="13">
        <v>25.16</v>
      </c>
      <c r="J791" s="24">
        <v>45875</v>
      </c>
      <c r="K791" s="25">
        <v>37</v>
      </c>
      <c r="L791" s="25">
        <v>2.8</v>
      </c>
      <c r="M791" s="13" t="b">
        <v>0</v>
      </c>
      <c r="O791" s="25">
        <f t="shared" si="48"/>
        <v>27</v>
      </c>
      <c r="P791" s="13">
        <f t="shared" si="49"/>
        <v>0</v>
      </c>
      <c r="Q791" s="13" t="str">
        <f t="shared" si="50"/>
        <v/>
      </c>
      <c r="R791" s="13" t="str">
        <f t="shared" si="51"/>
        <v>Non diskon</v>
      </c>
    </row>
    <row r="792" spans="1:18" x14ac:dyDescent="0.25">
      <c r="A792" s="13" t="s">
        <v>804</v>
      </c>
      <c r="B792" s="13" t="s">
        <v>2190</v>
      </c>
      <c r="C792" s="13" t="s">
        <v>2198</v>
      </c>
      <c r="D792" s="13" t="s">
        <v>2206</v>
      </c>
      <c r="E792" s="13" t="s">
        <v>2208</v>
      </c>
      <c r="F792" s="13" t="s">
        <v>2219</v>
      </c>
      <c r="G792" s="13">
        <v>175.82</v>
      </c>
      <c r="H792" s="44">
        <v>23</v>
      </c>
      <c r="I792" s="13">
        <v>135.38</v>
      </c>
      <c r="J792" s="24">
        <v>45875</v>
      </c>
      <c r="K792" s="25">
        <v>1</v>
      </c>
      <c r="L792" s="25">
        <v>3.7</v>
      </c>
      <c r="M792" s="13" t="b">
        <v>0</v>
      </c>
      <c r="O792" s="25">
        <f t="shared" si="48"/>
        <v>27</v>
      </c>
      <c r="P792" s="13">
        <f t="shared" si="49"/>
        <v>23</v>
      </c>
      <c r="Q792" s="13" t="str">
        <f t="shared" si="50"/>
        <v/>
      </c>
      <c r="R792" s="13" t="str">
        <f t="shared" si="51"/>
        <v>Diskon</v>
      </c>
    </row>
    <row r="793" spans="1:18" x14ac:dyDescent="0.25">
      <c r="A793" s="13" t="s">
        <v>805</v>
      </c>
      <c r="B793" s="13" t="s">
        <v>2191</v>
      </c>
      <c r="C793" s="13" t="s">
        <v>2199</v>
      </c>
      <c r="D793" s="13" t="s">
        <v>2207</v>
      </c>
      <c r="E793" s="13" t="s">
        <v>2212</v>
      </c>
      <c r="F793" s="13" t="s">
        <v>2220</v>
      </c>
      <c r="G793" s="13">
        <v>53.25</v>
      </c>
      <c r="H793" s="44">
        <v>37.5</v>
      </c>
      <c r="I793" s="13">
        <v>33.28</v>
      </c>
      <c r="J793" s="24">
        <v>45875</v>
      </c>
      <c r="K793" s="25">
        <v>33</v>
      </c>
      <c r="L793" s="25">
        <v>4.3</v>
      </c>
      <c r="M793" s="13" t="b">
        <v>0</v>
      </c>
      <c r="O793" s="25">
        <f t="shared" si="48"/>
        <v>27</v>
      </c>
      <c r="P793" s="13">
        <f t="shared" si="49"/>
        <v>1237.5</v>
      </c>
      <c r="Q793" s="13" t="str">
        <f t="shared" si="50"/>
        <v/>
      </c>
      <c r="R793" s="13" t="str">
        <f t="shared" si="51"/>
        <v>Diskon</v>
      </c>
    </row>
    <row r="794" spans="1:18" x14ac:dyDescent="0.25">
      <c r="A794" s="13" t="s">
        <v>806</v>
      </c>
      <c r="B794" s="13" t="s">
        <v>2190</v>
      </c>
      <c r="C794" s="13" t="s">
        <v>2198</v>
      </c>
      <c r="D794" s="13" t="s">
        <v>2206</v>
      </c>
      <c r="E794" s="13" t="s">
        <v>2213</v>
      </c>
      <c r="F794" s="13" t="s">
        <v>2223</v>
      </c>
      <c r="G794" s="13">
        <v>215.19</v>
      </c>
      <c r="H794" s="44">
        <v>43</v>
      </c>
      <c r="I794" s="13">
        <v>122.66</v>
      </c>
      <c r="J794" s="24">
        <v>45875</v>
      </c>
      <c r="K794" s="25">
        <v>48</v>
      </c>
      <c r="L794" s="25">
        <v>2.5</v>
      </c>
      <c r="M794" s="13" t="b">
        <v>0</v>
      </c>
      <c r="O794" s="25">
        <f t="shared" si="48"/>
        <v>27</v>
      </c>
      <c r="P794" s="13">
        <f t="shared" si="49"/>
        <v>2064</v>
      </c>
      <c r="Q794" s="13" t="str">
        <f t="shared" si="50"/>
        <v/>
      </c>
      <c r="R794" s="13" t="str">
        <f t="shared" si="51"/>
        <v>Diskon</v>
      </c>
    </row>
    <row r="795" spans="1:18" x14ac:dyDescent="0.25">
      <c r="A795" s="13" t="s">
        <v>807</v>
      </c>
      <c r="B795" s="13" t="s">
        <v>2194</v>
      </c>
      <c r="C795" s="13" t="s">
        <v>2196</v>
      </c>
      <c r="D795" s="13" t="s">
        <v>2207</v>
      </c>
      <c r="E795" s="13" t="s">
        <v>2210</v>
      </c>
      <c r="F795" s="13" t="s">
        <v>2215</v>
      </c>
      <c r="G795" s="13">
        <v>78.41</v>
      </c>
      <c r="H795" s="44">
        <v>20.7</v>
      </c>
      <c r="I795" s="13">
        <v>62.18</v>
      </c>
      <c r="J795" s="24">
        <v>45875</v>
      </c>
      <c r="K795" s="25">
        <v>9</v>
      </c>
      <c r="L795" s="25">
        <v>4.4000000000000004</v>
      </c>
      <c r="M795" s="13" t="b">
        <v>0</v>
      </c>
      <c r="O795" s="25">
        <f t="shared" si="48"/>
        <v>27</v>
      </c>
      <c r="P795" s="13">
        <f t="shared" si="49"/>
        <v>186.29999999999998</v>
      </c>
      <c r="Q795" s="13" t="str">
        <f t="shared" si="50"/>
        <v/>
      </c>
      <c r="R795" s="13" t="str">
        <f t="shared" si="51"/>
        <v>Diskon</v>
      </c>
    </row>
    <row r="796" spans="1:18" x14ac:dyDescent="0.25">
      <c r="A796" s="13" t="s">
        <v>808</v>
      </c>
      <c r="B796" s="13" t="s">
        <v>2193</v>
      </c>
      <c r="C796" s="13" t="s">
        <v>2196</v>
      </c>
      <c r="D796" s="13" t="s">
        <v>2207</v>
      </c>
      <c r="E796" s="13" t="s">
        <v>2211</v>
      </c>
      <c r="F796" s="13" t="s">
        <v>2215</v>
      </c>
      <c r="G796" s="13">
        <v>173.15</v>
      </c>
      <c r="H796" s="44">
        <v>0</v>
      </c>
      <c r="I796" s="13">
        <v>173.15</v>
      </c>
      <c r="J796" s="24">
        <v>45875</v>
      </c>
      <c r="K796" s="25">
        <v>45</v>
      </c>
      <c r="L796" s="25">
        <v>2.2000000000000002</v>
      </c>
      <c r="M796" s="13" t="b">
        <v>0</v>
      </c>
      <c r="O796" s="25">
        <f t="shared" si="48"/>
        <v>27</v>
      </c>
      <c r="P796" s="13">
        <f t="shared" si="49"/>
        <v>0</v>
      </c>
      <c r="Q796" s="13" t="str">
        <f t="shared" si="50"/>
        <v/>
      </c>
      <c r="R796" s="13" t="str">
        <f t="shared" si="51"/>
        <v>Non diskon</v>
      </c>
    </row>
    <row r="797" spans="1:18" x14ac:dyDescent="0.25">
      <c r="A797" s="13" t="s">
        <v>809</v>
      </c>
      <c r="B797" s="13" t="s">
        <v>2192</v>
      </c>
      <c r="C797" s="13" t="s">
        <v>2196</v>
      </c>
      <c r="D797" s="13" t="s">
        <v>2206</v>
      </c>
      <c r="F797" s="13" t="s">
        <v>2219</v>
      </c>
      <c r="G797" s="13">
        <v>16.84</v>
      </c>
      <c r="H797" s="44">
        <v>36.6</v>
      </c>
      <c r="I797" s="13">
        <v>10.68</v>
      </c>
      <c r="J797" s="24">
        <v>45875</v>
      </c>
      <c r="K797" s="25">
        <v>34</v>
      </c>
      <c r="L797" s="25">
        <v>1.7</v>
      </c>
      <c r="M797" s="13" t="b">
        <v>0</v>
      </c>
      <c r="O797" s="25">
        <f t="shared" si="48"/>
        <v>27</v>
      </c>
      <c r="P797" s="13">
        <f t="shared" si="49"/>
        <v>1244.4000000000001</v>
      </c>
      <c r="Q797" s="13" t="str">
        <f t="shared" si="50"/>
        <v/>
      </c>
      <c r="R797" s="13" t="str">
        <f t="shared" si="51"/>
        <v>Diskon</v>
      </c>
    </row>
    <row r="798" spans="1:18" x14ac:dyDescent="0.25">
      <c r="A798" s="13" t="s">
        <v>810</v>
      </c>
      <c r="B798" s="13" t="s">
        <v>2190</v>
      </c>
      <c r="C798" s="13" t="s">
        <v>2203</v>
      </c>
      <c r="D798" s="13" t="s">
        <v>2207</v>
      </c>
      <c r="E798" s="13" t="s">
        <v>2210</v>
      </c>
      <c r="F798" s="13" t="s">
        <v>2223</v>
      </c>
      <c r="G798" s="13">
        <v>128.6</v>
      </c>
      <c r="H798" s="44">
        <v>0</v>
      </c>
      <c r="I798" s="13">
        <v>128.6</v>
      </c>
      <c r="J798" s="24">
        <v>45875</v>
      </c>
      <c r="K798" s="25">
        <v>11</v>
      </c>
      <c r="L798" s="25">
        <v>2.2999999999999998</v>
      </c>
      <c r="M798" s="13" t="b">
        <v>0</v>
      </c>
      <c r="O798" s="25">
        <f t="shared" si="48"/>
        <v>27</v>
      </c>
      <c r="P798" s="13">
        <f t="shared" si="49"/>
        <v>0</v>
      </c>
      <c r="Q798" s="13" t="str">
        <f t="shared" si="50"/>
        <v/>
      </c>
      <c r="R798" s="13" t="str">
        <f t="shared" si="51"/>
        <v>Non diskon</v>
      </c>
    </row>
    <row r="799" spans="1:18" x14ac:dyDescent="0.25">
      <c r="A799" s="13" t="s">
        <v>811</v>
      </c>
      <c r="B799" s="13" t="s">
        <v>2190</v>
      </c>
      <c r="C799" s="13" t="s">
        <v>2201</v>
      </c>
      <c r="D799" s="13" t="s">
        <v>2204</v>
      </c>
      <c r="E799" s="13" t="s">
        <v>2211</v>
      </c>
      <c r="F799" s="13" t="s">
        <v>2220</v>
      </c>
      <c r="G799" s="13">
        <v>131.74</v>
      </c>
      <c r="H799" s="44">
        <v>0</v>
      </c>
      <c r="I799" s="13">
        <v>131.74</v>
      </c>
      <c r="J799" s="24">
        <v>45548</v>
      </c>
      <c r="K799" s="25">
        <v>46</v>
      </c>
      <c r="L799" s="25">
        <v>4.5999999999999996</v>
      </c>
      <c r="M799" s="13" t="b">
        <v>0</v>
      </c>
      <c r="O799" s="25">
        <f t="shared" si="48"/>
        <v>354</v>
      </c>
      <c r="P799" s="13">
        <f t="shared" si="49"/>
        <v>0</v>
      </c>
      <c r="Q799" s="13" t="str">
        <f t="shared" si="50"/>
        <v/>
      </c>
      <c r="R799" s="13" t="str">
        <f t="shared" si="51"/>
        <v>Non diskon</v>
      </c>
    </row>
    <row r="800" spans="1:18" x14ac:dyDescent="0.25">
      <c r="A800" s="13" t="s">
        <v>812</v>
      </c>
      <c r="B800" s="13" t="s">
        <v>2194</v>
      </c>
      <c r="C800" s="13" t="s">
        <v>2203</v>
      </c>
      <c r="D800" s="13" t="s">
        <v>2207</v>
      </c>
      <c r="E800" s="13" t="s">
        <v>2211</v>
      </c>
      <c r="F800" s="13" t="s">
        <v>2217</v>
      </c>
      <c r="G800" s="13">
        <v>28.15</v>
      </c>
      <c r="H800" s="44">
        <v>12.7</v>
      </c>
      <c r="I800" s="13">
        <v>24.57</v>
      </c>
      <c r="J800" s="24">
        <v>45875</v>
      </c>
      <c r="K800" s="25">
        <v>13</v>
      </c>
      <c r="L800" s="25">
        <v>3.9</v>
      </c>
      <c r="M800" s="13" t="b">
        <v>0</v>
      </c>
      <c r="O800" s="25">
        <f t="shared" si="48"/>
        <v>27</v>
      </c>
      <c r="P800" s="13">
        <f t="shared" si="49"/>
        <v>165.1</v>
      </c>
      <c r="Q800" s="13" t="str">
        <f t="shared" si="50"/>
        <v/>
      </c>
      <c r="R800" s="13" t="str">
        <f t="shared" si="51"/>
        <v>Diskon</v>
      </c>
    </row>
    <row r="801" spans="1:18" x14ac:dyDescent="0.25">
      <c r="A801" s="13" t="s">
        <v>813</v>
      </c>
      <c r="B801" s="13" t="s">
        <v>2190</v>
      </c>
      <c r="C801" s="13" t="s">
        <v>2203</v>
      </c>
      <c r="D801" s="13" t="s">
        <v>2205</v>
      </c>
      <c r="E801" s="13" t="s">
        <v>2208</v>
      </c>
      <c r="F801" s="13" t="s">
        <v>2214</v>
      </c>
      <c r="G801" s="13">
        <v>165.1</v>
      </c>
      <c r="H801" s="44">
        <v>58.4</v>
      </c>
      <c r="I801" s="13">
        <v>68.680000000000007</v>
      </c>
      <c r="J801" s="24">
        <v>45875</v>
      </c>
      <c r="K801" s="25">
        <v>29</v>
      </c>
      <c r="L801" s="25">
        <v>1.2</v>
      </c>
      <c r="M801" s="13" t="b">
        <v>0</v>
      </c>
      <c r="O801" s="25">
        <f t="shared" si="48"/>
        <v>27</v>
      </c>
      <c r="P801" s="13">
        <f t="shared" si="49"/>
        <v>1693.6</v>
      </c>
      <c r="Q801" s="13" t="str">
        <f t="shared" si="50"/>
        <v/>
      </c>
      <c r="R801" s="13" t="str">
        <f t="shared" si="51"/>
        <v>Diskon</v>
      </c>
    </row>
    <row r="802" spans="1:18" x14ac:dyDescent="0.25">
      <c r="A802" s="13" t="s">
        <v>814</v>
      </c>
      <c r="B802" s="13" t="s">
        <v>2191</v>
      </c>
      <c r="C802" s="13" t="s">
        <v>2199</v>
      </c>
      <c r="D802" s="13" t="s">
        <v>2204</v>
      </c>
      <c r="E802" s="13" t="s">
        <v>2208</v>
      </c>
      <c r="F802" s="13" t="s">
        <v>2218</v>
      </c>
      <c r="G802" s="13">
        <v>49.62</v>
      </c>
      <c r="H802" s="44">
        <v>0.8</v>
      </c>
      <c r="I802" s="13">
        <v>49.22</v>
      </c>
      <c r="J802" s="24">
        <v>45613</v>
      </c>
      <c r="K802" s="25">
        <v>22</v>
      </c>
      <c r="L802" s="25">
        <v>2.2999999999999998</v>
      </c>
      <c r="M802" s="13" t="b">
        <v>0</v>
      </c>
      <c r="O802" s="25">
        <f t="shared" si="48"/>
        <v>289</v>
      </c>
      <c r="P802" s="13">
        <f t="shared" si="49"/>
        <v>17.600000000000001</v>
      </c>
      <c r="Q802" s="13" t="str">
        <f t="shared" si="50"/>
        <v/>
      </c>
      <c r="R802" s="13" t="str">
        <f t="shared" si="51"/>
        <v>Diskon</v>
      </c>
    </row>
    <row r="803" spans="1:18" x14ac:dyDescent="0.25">
      <c r="A803" s="13" t="s">
        <v>815</v>
      </c>
      <c r="B803" s="13" t="s">
        <v>2191</v>
      </c>
      <c r="C803" s="13" t="s">
        <v>2198</v>
      </c>
      <c r="D803" s="13" t="s">
        <v>2206</v>
      </c>
      <c r="E803" s="13" t="s">
        <v>2208</v>
      </c>
      <c r="F803" s="13" t="s">
        <v>2216</v>
      </c>
      <c r="G803" s="13">
        <v>98.52</v>
      </c>
      <c r="H803" s="44">
        <v>18.899999999999999</v>
      </c>
      <c r="I803" s="13">
        <v>79.900000000000006</v>
      </c>
      <c r="J803" s="24">
        <v>45875</v>
      </c>
      <c r="K803" s="25">
        <v>37</v>
      </c>
      <c r="L803" s="25">
        <v>4.0999999999999996</v>
      </c>
      <c r="M803" s="13" t="b">
        <v>1</v>
      </c>
      <c r="N803" s="13" t="s">
        <v>2230</v>
      </c>
      <c r="O803" s="25">
        <f t="shared" si="48"/>
        <v>27</v>
      </c>
      <c r="P803" s="13">
        <f t="shared" si="49"/>
        <v>699.3</v>
      </c>
      <c r="Q803" s="13">
        <f t="shared" si="50"/>
        <v>1</v>
      </c>
      <c r="R803" s="13" t="str">
        <f t="shared" si="51"/>
        <v>Diskon</v>
      </c>
    </row>
    <row r="804" spans="1:18" x14ac:dyDescent="0.25">
      <c r="A804" s="13" t="s">
        <v>816</v>
      </c>
      <c r="B804" s="13" t="s">
        <v>2193</v>
      </c>
      <c r="C804" s="13" t="s">
        <v>2199</v>
      </c>
      <c r="D804" s="13" t="s">
        <v>2206</v>
      </c>
      <c r="E804" s="13" t="s">
        <v>2210</v>
      </c>
      <c r="F804" s="13" t="s">
        <v>2220</v>
      </c>
      <c r="G804" s="13">
        <v>94.19</v>
      </c>
      <c r="H804" s="44">
        <v>30.8</v>
      </c>
      <c r="I804" s="13">
        <v>65.180000000000007</v>
      </c>
      <c r="J804" s="24">
        <v>45875</v>
      </c>
      <c r="K804" s="25">
        <v>31</v>
      </c>
      <c r="L804" s="25">
        <v>1.4</v>
      </c>
      <c r="M804" s="13" t="b">
        <v>0</v>
      </c>
      <c r="O804" s="25">
        <f t="shared" si="48"/>
        <v>27</v>
      </c>
      <c r="P804" s="13">
        <f t="shared" si="49"/>
        <v>954.80000000000007</v>
      </c>
      <c r="Q804" s="13" t="str">
        <f t="shared" si="50"/>
        <v/>
      </c>
      <c r="R804" s="13" t="str">
        <f t="shared" si="51"/>
        <v>Diskon</v>
      </c>
    </row>
    <row r="805" spans="1:18" x14ac:dyDescent="0.25">
      <c r="A805" s="13" t="s">
        <v>817</v>
      </c>
      <c r="B805" s="13" t="s">
        <v>2192</v>
      </c>
      <c r="C805" s="13" t="s">
        <v>2203</v>
      </c>
      <c r="D805" s="13" t="s">
        <v>2205</v>
      </c>
      <c r="F805" s="13" t="s">
        <v>2218</v>
      </c>
      <c r="G805" s="13">
        <v>23.5</v>
      </c>
      <c r="H805" s="44">
        <v>0</v>
      </c>
      <c r="I805" s="13">
        <v>23.5</v>
      </c>
      <c r="J805" s="24">
        <v>45875</v>
      </c>
      <c r="K805" s="25">
        <v>14</v>
      </c>
      <c r="L805" s="25">
        <v>3.9</v>
      </c>
      <c r="M805" s="13" t="b">
        <v>1</v>
      </c>
      <c r="N805" s="13" t="s">
        <v>2228</v>
      </c>
      <c r="O805" s="25">
        <f t="shared" si="48"/>
        <v>27</v>
      </c>
      <c r="P805" s="13">
        <f t="shared" si="49"/>
        <v>0</v>
      </c>
      <c r="Q805" s="13">
        <f t="shared" si="50"/>
        <v>1</v>
      </c>
      <c r="R805" s="13" t="str">
        <f t="shared" si="51"/>
        <v>Non diskon</v>
      </c>
    </row>
    <row r="806" spans="1:18" x14ac:dyDescent="0.25">
      <c r="A806" s="13" t="s">
        <v>818</v>
      </c>
      <c r="B806" s="13" t="s">
        <v>2194</v>
      </c>
      <c r="C806" s="13" t="s">
        <v>2196</v>
      </c>
      <c r="D806" s="13" t="s">
        <v>2206</v>
      </c>
      <c r="E806" s="13" t="s">
        <v>2210</v>
      </c>
      <c r="F806" s="13" t="s">
        <v>2221</v>
      </c>
      <c r="G806" s="13">
        <v>109.36</v>
      </c>
      <c r="H806" s="44">
        <v>0</v>
      </c>
      <c r="I806" s="13">
        <v>109.36</v>
      </c>
      <c r="J806" s="24">
        <v>45875</v>
      </c>
      <c r="K806" s="25">
        <v>0</v>
      </c>
      <c r="L806" s="25">
        <v>1.1000000000000001</v>
      </c>
      <c r="M806" s="13" t="b">
        <v>0</v>
      </c>
      <c r="O806" s="25">
        <f t="shared" si="48"/>
        <v>27</v>
      </c>
      <c r="P806" s="13">
        <f t="shared" si="49"/>
        <v>0</v>
      </c>
      <c r="Q806" s="13" t="str">
        <f t="shared" si="50"/>
        <v/>
      </c>
      <c r="R806" s="13" t="str">
        <f t="shared" si="51"/>
        <v>Non diskon</v>
      </c>
    </row>
    <row r="807" spans="1:18" x14ac:dyDescent="0.25">
      <c r="A807" s="13" t="s">
        <v>819</v>
      </c>
      <c r="B807" s="13" t="s">
        <v>2192</v>
      </c>
      <c r="C807" s="13" t="s">
        <v>2200</v>
      </c>
      <c r="D807" s="13" t="s">
        <v>2206</v>
      </c>
      <c r="F807" s="13" t="s">
        <v>2219</v>
      </c>
      <c r="G807" s="13">
        <v>69.73</v>
      </c>
      <c r="H807" s="44">
        <v>0</v>
      </c>
      <c r="I807" s="13">
        <v>69.73</v>
      </c>
      <c r="J807" s="24">
        <v>45875</v>
      </c>
      <c r="K807" s="25">
        <v>7</v>
      </c>
      <c r="L807" s="25">
        <v>1.1000000000000001</v>
      </c>
      <c r="M807" s="13" t="b">
        <v>1</v>
      </c>
      <c r="N807" s="13" t="s">
        <v>2225</v>
      </c>
      <c r="O807" s="25">
        <f t="shared" si="48"/>
        <v>27</v>
      </c>
      <c r="P807" s="13">
        <f t="shared" si="49"/>
        <v>0</v>
      </c>
      <c r="Q807" s="13">
        <f t="shared" si="50"/>
        <v>1</v>
      </c>
      <c r="R807" s="13" t="str">
        <f t="shared" si="51"/>
        <v>Non diskon</v>
      </c>
    </row>
    <row r="808" spans="1:18" x14ac:dyDescent="0.25">
      <c r="A808" s="13" t="s">
        <v>820</v>
      </c>
      <c r="B808" s="13" t="s">
        <v>2193</v>
      </c>
      <c r="C808" s="13" t="s">
        <v>2200</v>
      </c>
      <c r="D808" s="13" t="s">
        <v>2207</v>
      </c>
      <c r="E808" s="13" t="s">
        <v>2212</v>
      </c>
      <c r="F808" s="13" t="s">
        <v>2220</v>
      </c>
      <c r="G808" s="13">
        <v>199.03</v>
      </c>
      <c r="H808" s="44">
        <v>57.3</v>
      </c>
      <c r="I808" s="13">
        <v>84.99</v>
      </c>
      <c r="J808" s="24">
        <v>45875</v>
      </c>
      <c r="K808" s="25">
        <v>37</v>
      </c>
      <c r="L808" s="25">
        <v>3.4</v>
      </c>
      <c r="M808" s="13" t="b">
        <v>0</v>
      </c>
      <c r="O808" s="25">
        <f t="shared" si="48"/>
        <v>27</v>
      </c>
      <c r="P808" s="13">
        <f t="shared" si="49"/>
        <v>2120.1</v>
      </c>
      <c r="Q808" s="13" t="str">
        <f t="shared" si="50"/>
        <v/>
      </c>
      <c r="R808" s="13" t="str">
        <f t="shared" si="51"/>
        <v>Diskon</v>
      </c>
    </row>
    <row r="809" spans="1:18" x14ac:dyDescent="0.25">
      <c r="A809" s="13" t="s">
        <v>821</v>
      </c>
      <c r="B809" s="13" t="s">
        <v>2194</v>
      </c>
      <c r="C809" s="13" t="s">
        <v>2202</v>
      </c>
      <c r="D809" s="13" t="s">
        <v>2204</v>
      </c>
      <c r="E809" s="13" t="s">
        <v>2213</v>
      </c>
      <c r="F809" s="13" t="s">
        <v>2217</v>
      </c>
      <c r="G809" s="13">
        <v>82.32</v>
      </c>
      <c r="H809" s="44">
        <v>56.7</v>
      </c>
      <c r="I809" s="13">
        <v>35.64</v>
      </c>
      <c r="J809" s="24">
        <v>45649</v>
      </c>
      <c r="K809" s="25">
        <v>41</v>
      </c>
      <c r="L809" s="25">
        <v>3.1799999999999997</v>
      </c>
      <c r="M809" s="13" t="b">
        <v>0</v>
      </c>
      <c r="O809" s="25">
        <f t="shared" si="48"/>
        <v>253</v>
      </c>
      <c r="P809" s="13">
        <f t="shared" si="49"/>
        <v>2324.7000000000003</v>
      </c>
      <c r="Q809" s="13" t="str">
        <f t="shared" si="50"/>
        <v/>
      </c>
      <c r="R809" s="13" t="str">
        <f t="shared" si="51"/>
        <v>Diskon</v>
      </c>
    </row>
    <row r="810" spans="1:18" x14ac:dyDescent="0.25">
      <c r="A810" s="13" t="s">
        <v>822</v>
      </c>
      <c r="B810" s="13" t="s">
        <v>2194</v>
      </c>
      <c r="C810" s="13" t="s">
        <v>2197</v>
      </c>
      <c r="D810" s="13" t="s">
        <v>2204</v>
      </c>
      <c r="E810" s="13" t="s">
        <v>2213</v>
      </c>
      <c r="F810" s="13" t="s">
        <v>2222</v>
      </c>
      <c r="G810" s="13">
        <v>52.42</v>
      </c>
      <c r="H810" s="44">
        <v>9.9</v>
      </c>
      <c r="I810" s="13">
        <v>47.23</v>
      </c>
      <c r="J810" s="24">
        <v>45581</v>
      </c>
      <c r="K810" s="25">
        <v>42</v>
      </c>
      <c r="L810" s="25">
        <v>3.5</v>
      </c>
      <c r="M810" s="13" t="b">
        <v>0</v>
      </c>
      <c r="O810" s="25">
        <f t="shared" si="48"/>
        <v>321</v>
      </c>
      <c r="P810" s="13">
        <f t="shared" si="49"/>
        <v>415.8</v>
      </c>
      <c r="Q810" s="13" t="str">
        <f t="shared" si="50"/>
        <v/>
      </c>
      <c r="R810" s="13" t="str">
        <f t="shared" si="51"/>
        <v>Diskon</v>
      </c>
    </row>
    <row r="811" spans="1:18" x14ac:dyDescent="0.25">
      <c r="A811" s="13" t="s">
        <v>823</v>
      </c>
      <c r="B811" s="13" t="s">
        <v>2190</v>
      </c>
      <c r="C811" s="13" t="s">
        <v>2201</v>
      </c>
      <c r="D811" s="13" t="s">
        <v>2206</v>
      </c>
      <c r="E811" s="13" t="s">
        <v>2210</v>
      </c>
      <c r="F811" s="13" t="s">
        <v>2217</v>
      </c>
      <c r="G811" s="13">
        <v>180.49</v>
      </c>
      <c r="H811" s="44">
        <v>0</v>
      </c>
      <c r="I811" s="13">
        <v>180.49</v>
      </c>
      <c r="J811" s="24">
        <v>45875</v>
      </c>
      <c r="K811" s="25">
        <v>18</v>
      </c>
      <c r="L811" s="25">
        <v>2.5</v>
      </c>
      <c r="M811" s="13" t="b">
        <v>1</v>
      </c>
      <c r="N811" s="13" t="s">
        <v>2230</v>
      </c>
      <c r="O811" s="25">
        <f t="shared" si="48"/>
        <v>27</v>
      </c>
      <c r="P811" s="13">
        <f t="shared" si="49"/>
        <v>0</v>
      </c>
      <c r="Q811" s="13">
        <f t="shared" si="50"/>
        <v>1</v>
      </c>
      <c r="R811" s="13" t="str">
        <f t="shared" si="51"/>
        <v>Non diskon</v>
      </c>
    </row>
    <row r="812" spans="1:18" x14ac:dyDescent="0.25">
      <c r="A812" s="13" t="s">
        <v>824</v>
      </c>
      <c r="B812" s="13" t="s">
        <v>2195</v>
      </c>
      <c r="C812" s="13" t="s">
        <v>2201</v>
      </c>
      <c r="D812" s="13" t="s">
        <v>2206</v>
      </c>
      <c r="E812" s="13" t="s">
        <v>2208</v>
      </c>
      <c r="F812" s="13" t="s">
        <v>2217</v>
      </c>
      <c r="G812" s="13">
        <v>63.02</v>
      </c>
      <c r="H812" s="44">
        <v>0</v>
      </c>
      <c r="I812" s="13">
        <v>63.02</v>
      </c>
      <c r="J812" s="24">
        <v>45875</v>
      </c>
      <c r="K812" s="25">
        <v>37</v>
      </c>
      <c r="L812" s="25">
        <v>2.5</v>
      </c>
      <c r="M812" s="13" t="b">
        <v>0</v>
      </c>
      <c r="O812" s="25">
        <f t="shared" si="48"/>
        <v>27</v>
      </c>
      <c r="P812" s="13">
        <f t="shared" si="49"/>
        <v>0</v>
      </c>
      <c r="Q812" s="13" t="str">
        <f t="shared" si="50"/>
        <v/>
      </c>
      <c r="R812" s="13" t="str">
        <f t="shared" si="51"/>
        <v>Non diskon</v>
      </c>
    </row>
    <row r="813" spans="1:18" x14ac:dyDescent="0.25">
      <c r="A813" s="13" t="s">
        <v>825</v>
      </c>
      <c r="B813" s="13" t="s">
        <v>2191</v>
      </c>
      <c r="C813" s="13" t="s">
        <v>2199</v>
      </c>
      <c r="D813" s="13" t="s">
        <v>2204</v>
      </c>
      <c r="E813" s="13" t="s">
        <v>2208</v>
      </c>
      <c r="F813" s="13" t="s">
        <v>2214</v>
      </c>
      <c r="G813" s="13">
        <v>97.05</v>
      </c>
      <c r="H813" s="44">
        <v>0</v>
      </c>
      <c r="I813" s="13">
        <v>97.05</v>
      </c>
      <c r="J813" s="24">
        <v>45651</v>
      </c>
      <c r="K813" s="25">
        <v>9</v>
      </c>
      <c r="L813" s="25">
        <v>2.9742857142857138</v>
      </c>
      <c r="M813" s="13" t="b">
        <v>0</v>
      </c>
      <c r="O813" s="25">
        <f t="shared" si="48"/>
        <v>251</v>
      </c>
      <c r="P813" s="13">
        <f t="shared" si="49"/>
        <v>0</v>
      </c>
      <c r="Q813" s="13" t="str">
        <f t="shared" si="50"/>
        <v/>
      </c>
      <c r="R813" s="13" t="str">
        <f t="shared" si="51"/>
        <v>Non diskon</v>
      </c>
    </row>
    <row r="814" spans="1:18" x14ac:dyDescent="0.25">
      <c r="A814" s="13" t="s">
        <v>826</v>
      </c>
      <c r="B814" s="13" t="s">
        <v>2194</v>
      </c>
      <c r="C814" s="13" t="s">
        <v>2196</v>
      </c>
      <c r="D814" s="13" t="s">
        <v>2205</v>
      </c>
      <c r="E814" s="13" t="s">
        <v>2211</v>
      </c>
      <c r="F814" s="13" t="s">
        <v>2215</v>
      </c>
      <c r="G814" s="13">
        <v>79.62</v>
      </c>
      <c r="H814" s="44">
        <v>0</v>
      </c>
      <c r="I814" s="13">
        <v>79.62</v>
      </c>
      <c r="J814" s="24">
        <v>45875</v>
      </c>
      <c r="K814" s="25">
        <v>37</v>
      </c>
      <c r="L814" s="25">
        <v>4.0999999999999996</v>
      </c>
      <c r="M814" s="13" t="b">
        <v>0</v>
      </c>
      <c r="O814" s="25">
        <f t="shared" si="48"/>
        <v>27</v>
      </c>
      <c r="P814" s="13">
        <f t="shared" si="49"/>
        <v>0</v>
      </c>
      <c r="Q814" s="13" t="str">
        <f t="shared" si="50"/>
        <v/>
      </c>
      <c r="R814" s="13" t="str">
        <f t="shared" si="51"/>
        <v>Non diskon</v>
      </c>
    </row>
    <row r="815" spans="1:18" x14ac:dyDescent="0.25">
      <c r="A815" s="13" t="s">
        <v>827</v>
      </c>
      <c r="B815" s="13" t="s">
        <v>2195</v>
      </c>
      <c r="C815" s="13" t="s">
        <v>2196</v>
      </c>
      <c r="D815" s="13" t="s">
        <v>2205</v>
      </c>
      <c r="E815" s="13" t="s">
        <v>2213</v>
      </c>
      <c r="F815" s="13" t="s">
        <v>2214</v>
      </c>
      <c r="G815" s="13">
        <v>82.5</v>
      </c>
      <c r="H815" s="44">
        <v>0</v>
      </c>
      <c r="I815" s="13">
        <v>82.5</v>
      </c>
      <c r="J815" s="24">
        <v>45875</v>
      </c>
      <c r="K815" s="25">
        <v>0</v>
      </c>
      <c r="L815" s="25">
        <v>3.0424242424242425</v>
      </c>
      <c r="M815" s="13" t="b">
        <v>0</v>
      </c>
      <c r="O815" s="25">
        <f t="shared" si="48"/>
        <v>27</v>
      </c>
      <c r="P815" s="13">
        <f t="shared" si="49"/>
        <v>0</v>
      </c>
      <c r="Q815" s="13" t="str">
        <f t="shared" si="50"/>
        <v/>
      </c>
      <c r="R815" s="13" t="str">
        <f t="shared" si="51"/>
        <v>Non diskon</v>
      </c>
    </row>
    <row r="816" spans="1:18" x14ac:dyDescent="0.25">
      <c r="A816" s="13" t="s">
        <v>828</v>
      </c>
      <c r="B816" s="13" t="s">
        <v>2194</v>
      </c>
      <c r="C816" s="13" t="s">
        <v>2201</v>
      </c>
      <c r="D816" s="13" t="s">
        <v>2204</v>
      </c>
      <c r="E816" s="13" t="s">
        <v>2209</v>
      </c>
      <c r="F816" s="13" t="s">
        <v>2223</v>
      </c>
      <c r="G816" s="13">
        <v>117.18</v>
      </c>
      <c r="H816" s="44">
        <v>13.7</v>
      </c>
      <c r="I816" s="13">
        <v>101.13</v>
      </c>
      <c r="J816" s="24">
        <v>45871</v>
      </c>
      <c r="K816" s="25">
        <v>5</v>
      </c>
      <c r="L816" s="25">
        <v>4.8</v>
      </c>
      <c r="M816" s="13" t="b">
        <v>0</v>
      </c>
      <c r="O816" s="25">
        <f t="shared" si="48"/>
        <v>31</v>
      </c>
      <c r="P816" s="13">
        <f t="shared" si="49"/>
        <v>68.5</v>
      </c>
      <c r="Q816" s="13" t="str">
        <f t="shared" si="50"/>
        <v/>
      </c>
      <c r="R816" s="13" t="str">
        <f t="shared" si="51"/>
        <v>Diskon</v>
      </c>
    </row>
    <row r="817" spans="1:18" x14ac:dyDescent="0.25">
      <c r="A817" s="13" t="s">
        <v>829</v>
      </c>
      <c r="B817" s="13" t="s">
        <v>2190</v>
      </c>
      <c r="C817" s="13" t="s">
        <v>2201</v>
      </c>
      <c r="D817" s="13" t="s">
        <v>2204</v>
      </c>
      <c r="E817" s="13" t="s">
        <v>2212</v>
      </c>
      <c r="F817" s="13" t="s">
        <v>2224</v>
      </c>
      <c r="G817" s="13">
        <v>174.05</v>
      </c>
      <c r="H817" s="44">
        <v>0</v>
      </c>
      <c r="I817" s="13">
        <v>174.05</v>
      </c>
      <c r="J817" s="24">
        <v>45760</v>
      </c>
      <c r="K817" s="25">
        <v>9</v>
      </c>
      <c r="L817" s="25">
        <v>3.0305555555555546</v>
      </c>
      <c r="M817" s="13" t="b">
        <v>0</v>
      </c>
      <c r="O817" s="25">
        <f t="shared" si="48"/>
        <v>142</v>
      </c>
      <c r="P817" s="13">
        <f t="shared" si="49"/>
        <v>0</v>
      </c>
      <c r="Q817" s="13" t="str">
        <f t="shared" si="50"/>
        <v/>
      </c>
      <c r="R817" s="13" t="str">
        <f t="shared" si="51"/>
        <v>Non diskon</v>
      </c>
    </row>
    <row r="818" spans="1:18" x14ac:dyDescent="0.25">
      <c r="A818" s="13" t="s">
        <v>830</v>
      </c>
      <c r="B818" s="13" t="s">
        <v>2194</v>
      </c>
      <c r="C818" s="13" t="s">
        <v>2203</v>
      </c>
      <c r="D818" s="13" t="s">
        <v>2204</v>
      </c>
      <c r="E818" s="13" t="s">
        <v>2212</v>
      </c>
      <c r="F818" s="13" t="s">
        <v>2224</v>
      </c>
      <c r="G818" s="13">
        <v>58.29</v>
      </c>
      <c r="H818" s="44">
        <v>0</v>
      </c>
      <c r="I818" s="13">
        <v>58.29</v>
      </c>
      <c r="J818" s="24">
        <v>45664</v>
      </c>
      <c r="K818" s="25">
        <v>22</v>
      </c>
      <c r="L818" s="25">
        <v>2.2999999999999998</v>
      </c>
      <c r="M818" s="13" t="b">
        <v>0</v>
      </c>
      <c r="O818" s="25">
        <f t="shared" si="48"/>
        <v>238</v>
      </c>
      <c r="P818" s="13">
        <f t="shared" si="49"/>
        <v>0</v>
      </c>
      <c r="Q818" s="13" t="str">
        <f t="shared" si="50"/>
        <v/>
      </c>
      <c r="R818" s="13" t="str">
        <f t="shared" si="51"/>
        <v>Non diskon</v>
      </c>
    </row>
    <row r="819" spans="1:18" x14ac:dyDescent="0.25">
      <c r="A819" s="13" t="s">
        <v>831</v>
      </c>
      <c r="B819" s="13" t="s">
        <v>2194</v>
      </c>
      <c r="C819" s="13" t="s">
        <v>2200</v>
      </c>
      <c r="D819" s="13" t="s">
        <v>2207</v>
      </c>
      <c r="E819" s="13" t="s">
        <v>2213</v>
      </c>
      <c r="F819" s="13" t="s">
        <v>2217</v>
      </c>
      <c r="G819" s="13">
        <v>61.42</v>
      </c>
      <c r="H819" s="44">
        <v>57.5</v>
      </c>
      <c r="I819" s="13">
        <v>26.1</v>
      </c>
      <c r="J819" s="24">
        <v>45875</v>
      </c>
      <c r="K819" s="25">
        <v>3</v>
      </c>
      <c r="L819" s="25">
        <v>4.8</v>
      </c>
      <c r="M819" s="13" t="b">
        <v>0</v>
      </c>
      <c r="O819" s="25">
        <f t="shared" si="48"/>
        <v>27</v>
      </c>
      <c r="P819" s="13">
        <f t="shared" si="49"/>
        <v>172.5</v>
      </c>
      <c r="Q819" s="13" t="str">
        <f t="shared" si="50"/>
        <v/>
      </c>
      <c r="R819" s="13" t="str">
        <f t="shared" si="51"/>
        <v>Diskon</v>
      </c>
    </row>
    <row r="820" spans="1:18" x14ac:dyDescent="0.25">
      <c r="A820" s="13" t="s">
        <v>832</v>
      </c>
      <c r="B820" s="13" t="s">
        <v>2192</v>
      </c>
      <c r="C820" s="13" t="s">
        <v>2196</v>
      </c>
      <c r="D820" s="13" t="s">
        <v>2205</v>
      </c>
      <c r="F820" s="13" t="s">
        <v>2215</v>
      </c>
      <c r="G820" s="13">
        <v>20.239999999999998</v>
      </c>
      <c r="H820" s="44">
        <v>0</v>
      </c>
      <c r="I820" s="13">
        <v>20.239999999999998</v>
      </c>
      <c r="J820" s="24">
        <v>45875</v>
      </c>
      <c r="K820" s="25">
        <v>20</v>
      </c>
      <c r="L820" s="25">
        <v>4.0999999999999996</v>
      </c>
      <c r="M820" s="13" t="b">
        <v>0</v>
      </c>
      <c r="O820" s="25">
        <f t="shared" si="48"/>
        <v>27</v>
      </c>
      <c r="P820" s="13">
        <f t="shared" si="49"/>
        <v>0</v>
      </c>
      <c r="Q820" s="13" t="str">
        <f t="shared" si="50"/>
        <v/>
      </c>
      <c r="R820" s="13" t="str">
        <f t="shared" si="51"/>
        <v>Non diskon</v>
      </c>
    </row>
    <row r="821" spans="1:18" x14ac:dyDescent="0.25">
      <c r="A821" s="13" t="s">
        <v>833</v>
      </c>
      <c r="B821" s="13" t="s">
        <v>2194</v>
      </c>
      <c r="C821" s="13" t="s">
        <v>2196</v>
      </c>
      <c r="D821" s="13" t="s">
        <v>2206</v>
      </c>
      <c r="E821" s="13" t="s">
        <v>2209</v>
      </c>
      <c r="F821" s="13" t="s">
        <v>2214</v>
      </c>
      <c r="G821" s="13">
        <v>88.58</v>
      </c>
      <c r="H821" s="44">
        <v>0</v>
      </c>
      <c r="I821" s="13">
        <v>88.58</v>
      </c>
      <c r="J821" s="24">
        <v>45875</v>
      </c>
      <c r="K821" s="25">
        <v>50</v>
      </c>
      <c r="L821" s="25">
        <v>2.9210526315789478</v>
      </c>
      <c r="M821" s="13" t="b">
        <v>0</v>
      </c>
      <c r="O821" s="25">
        <f t="shared" si="48"/>
        <v>27</v>
      </c>
      <c r="P821" s="13">
        <f t="shared" si="49"/>
        <v>0</v>
      </c>
      <c r="Q821" s="13" t="str">
        <f t="shared" si="50"/>
        <v/>
      </c>
      <c r="R821" s="13" t="str">
        <f t="shared" si="51"/>
        <v>Non diskon</v>
      </c>
    </row>
    <row r="822" spans="1:18" x14ac:dyDescent="0.25">
      <c r="A822" s="13" t="s">
        <v>834</v>
      </c>
      <c r="B822" s="13" t="s">
        <v>2194</v>
      </c>
      <c r="C822" s="13" t="s">
        <v>2201</v>
      </c>
      <c r="D822" s="13" t="s">
        <v>2205</v>
      </c>
      <c r="E822" s="13" t="s">
        <v>2211</v>
      </c>
      <c r="F822" s="13" t="s">
        <v>2223</v>
      </c>
      <c r="G822" s="13">
        <v>67.92</v>
      </c>
      <c r="H822" s="44">
        <v>0</v>
      </c>
      <c r="I822" s="13">
        <v>67.92</v>
      </c>
      <c r="J822" s="24">
        <v>45875</v>
      </c>
      <c r="K822" s="25">
        <v>23</v>
      </c>
      <c r="L822" s="25">
        <v>1.8</v>
      </c>
      <c r="M822" s="13" t="b">
        <v>1</v>
      </c>
      <c r="N822" s="13" t="s">
        <v>2226</v>
      </c>
      <c r="O822" s="25">
        <f t="shared" si="48"/>
        <v>27</v>
      </c>
      <c r="P822" s="13">
        <f t="shared" si="49"/>
        <v>0</v>
      </c>
      <c r="Q822" s="13">
        <f t="shared" si="50"/>
        <v>1</v>
      </c>
      <c r="R822" s="13" t="str">
        <f t="shared" si="51"/>
        <v>Non diskon</v>
      </c>
    </row>
    <row r="823" spans="1:18" x14ac:dyDescent="0.25">
      <c r="A823" s="13" t="s">
        <v>835</v>
      </c>
      <c r="B823" s="13" t="s">
        <v>2192</v>
      </c>
      <c r="C823" s="13" t="s">
        <v>2201</v>
      </c>
      <c r="D823" s="13" t="s">
        <v>2206</v>
      </c>
      <c r="F823" s="13" t="s">
        <v>2217</v>
      </c>
      <c r="G823" s="13">
        <v>25.39</v>
      </c>
      <c r="H823" s="44">
        <v>0</v>
      </c>
      <c r="I823" s="13">
        <v>25.39</v>
      </c>
      <c r="J823" s="24">
        <v>45875</v>
      </c>
      <c r="K823" s="25">
        <v>42</v>
      </c>
      <c r="L823" s="25">
        <v>1.8</v>
      </c>
      <c r="M823" s="13" t="b">
        <v>0</v>
      </c>
      <c r="O823" s="25">
        <f t="shared" si="48"/>
        <v>27</v>
      </c>
      <c r="P823" s="13">
        <f t="shared" si="49"/>
        <v>0</v>
      </c>
      <c r="Q823" s="13" t="str">
        <f t="shared" si="50"/>
        <v/>
      </c>
      <c r="R823" s="13" t="str">
        <f t="shared" si="51"/>
        <v>Non diskon</v>
      </c>
    </row>
    <row r="824" spans="1:18" x14ac:dyDescent="0.25">
      <c r="A824" s="13" t="s">
        <v>836</v>
      </c>
      <c r="B824" s="13" t="s">
        <v>2195</v>
      </c>
      <c r="C824" s="13" t="s">
        <v>2203</v>
      </c>
      <c r="D824" s="13" t="s">
        <v>2205</v>
      </c>
      <c r="E824" s="13" t="s">
        <v>2210</v>
      </c>
      <c r="F824" s="13" t="s">
        <v>2216</v>
      </c>
      <c r="G824" s="13">
        <v>115.89</v>
      </c>
      <c r="H824" s="44">
        <v>39.4</v>
      </c>
      <c r="I824" s="13">
        <v>70.23</v>
      </c>
      <c r="J824" s="24">
        <v>45875</v>
      </c>
      <c r="K824" s="25">
        <v>14</v>
      </c>
      <c r="L824" s="25">
        <v>3.8</v>
      </c>
      <c r="M824" s="13" t="b">
        <v>1</v>
      </c>
      <c r="N824" s="13" t="s">
        <v>2227</v>
      </c>
      <c r="O824" s="25">
        <f t="shared" si="48"/>
        <v>27</v>
      </c>
      <c r="P824" s="13">
        <f t="shared" si="49"/>
        <v>551.6</v>
      </c>
      <c r="Q824" s="13">
        <f t="shared" si="50"/>
        <v>1</v>
      </c>
      <c r="R824" s="13" t="str">
        <f t="shared" si="51"/>
        <v>Diskon</v>
      </c>
    </row>
    <row r="825" spans="1:18" x14ac:dyDescent="0.25">
      <c r="A825" s="13" t="s">
        <v>837</v>
      </c>
      <c r="B825" s="13" t="s">
        <v>2194</v>
      </c>
      <c r="C825" s="13" t="s">
        <v>2203</v>
      </c>
      <c r="D825" s="13" t="s">
        <v>2207</v>
      </c>
      <c r="E825" s="13" t="s">
        <v>2208</v>
      </c>
      <c r="F825" s="13" t="s">
        <v>2219</v>
      </c>
      <c r="G825" s="13">
        <v>103.94</v>
      </c>
      <c r="H825" s="44">
        <v>16.100000000000001</v>
      </c>
      <c r="I825" s="13">
        <v>87.21</v>
      </c>
      <c r="J825" s="24">
        <v>45875</v>
      </c>
      <c r="K825" s="25">
        <v>6</v>
      </c>
      <c r="L825" s="25">
        <v>4.9000000000000004</v>
      </c>
      <c r="M825" s="13" t="b">
        <v>1</v>
      </c>
      <c r="N825" s="13" t="s">
        <v>2229</v>
      </c>
      <c r="O825" s="25">
        <f t="shared" si="48"/>
        <v>27</v>
      </c>
      <c r="P825" s="13">
        <f t="shared" si="49"/>
        <v>96.600000000000009</v>
      </c>
      <c r="Q825" s="13">
        <f t="shared" si="50"/>
        <v>1</v>
      </c>
      <c r="R825" s="13" t="str">
        <f t="shared" si="51"/>
        <v>Diskon</v>
      </c>
    </row>
    <row r="826" spans="1:18" x14ac:dyDescent="0.25">
      <c r="A826" s="13" t="s">
        <v>838</v>
      </c>
      <c r="B826" s="13" t="s">
        <v>2193</v>
      </c>
      <c r="C826" s="13" t="s">
        <v>2202</v>
      </c>
      <c r="D826" s="13" t="s">
        <v>2205</v>
      </c>
      <c r="E826" s="13" t="s">
        <v>2209</v>
      </c>
      <c r="F826" s="13" t="s">
        <v>2214</v>
      </c>
      <c r="G826" s="13">
        <v>94.72</v>
      </c>
      <c r="H826" s="44">
        <v>20.5</v>
      </c>
      <c r="I826" s="13">
        <v>75.3</v>
      </c>
      <c r="J826" s="24">
        <v>45875</v>
      </c>
      <c r="K826" s="25">
        <v>24</v>
      </c>
      <c r="L826" s="25">
        <v>3.6</v>
      </c>
      <c r="M826" s="13" t="b">
        <v>0</v>
      </c>
      <c r="O826" s="25">
        <f t="shared" si="48"/>
        <v>27</v>
      </c>
      <c r="P826" s="13">
        <f t="shared" si="49"/>
        <v>492</v>
      </c>
      <c r="Q826" s="13" t="str">
        <f t="shared" si="50"/>
        <v/>
      </c>
      <c r="R826" s="13" t="str">
        <f t="shared" si="51"/>
        <v>Diskon</v>
      </c>
    </row>
    <row r="827" spans="1:18" x14ac:dyDescent="0.25">
      <c r="A827" s="13" t="s">
        <v>839</v>
      </c>
      <c r="B827" s="13" t="s">
        <v>2192</v>
      </c>
      <c r="C827" s="13" t="s">
        <v>2201</v>
      </c>
      <c r="D827" s="13" t="s">
        <v>2206</v>
      </c>
      <c r="F827" s="13" t="s">
        <v>2215</v>
      </c>
      <c r="G827" s="13">
        <v>23.28</v>
      </c>
      <c r="H827" s="44">
        <v>0</v>
      </c>
      <c r="I827" s="13">
        <v>23.28</v>
      </c>
      <c r="J827" s="24">
        <v>45875</v>
      </c>
      <c r="K827" s="25">
        <v>44</v>
      </c>
      <c r="L827" s="25">
        <v>3.1</v>
      </c>
      <c r="M827" s="13" t="b">
        <v>1</v>
      </c>
      <c r="N827" s="13" t="s">
        <v>2228</v>
      </c>
      <c r="O827" s="25">
        <f t="shared" si="48"/>
        <v>27</v>
      </c>
      <c r="P827" s="13">
        <f t="shared" si="49"/>
        <v>0</v>
      </c>
      <c r="Q827" s="13">
        <f t="shared" si="50"/>
        <v>1</v>
      </c>
      <c r="R827" s="13" t="str">
        <f t="shared" si="51"/>
        <v>Non diskon</v>
      </c>
    </row>
    <row r="828" spans="1:18" x14ac:dyDescent="0.25">
      <c r="A828" s="13" t="s">
        <v>840</v>
      </c>
      <c r="B828" s="13" t="s">
        <v>2191</v>
      </c>
      <c r="C828" s="13" t="s">
        <v>2202</v>
      </c>
      <c r="D828" s="13" t="s">
        <v>2207</v>
      </c>
      <c r="E828" s="13" t="s">
        <v>2210</v>
      </c>
      <c r="F828" s="13" t="s">
        <v>2215</v>
      </c>
      <c r="G828" s="13">
        <v>90.73</v>
      </c>
      <c r="H828" s="44">
        <v>0</v>
      </c>
      <c r="I828" s="13">
        <v>90.73</v>
      </c>
      <c r="J828" s="24">
        <v>45875</v>
      </c>
      <c r="K828" s="25">
        <v>14</v>
      </c>
      <c r="L828" s="25">
        <v>1.1000000000000001</v>
      </c>
      <c r="M828" s="13" t="b">
        <v>0</v>
      </c>
      <c r="O828" s="25">
        <f t="shared" si="48"/>
        <v>27</v>
      </c>
      <c r="P828" s="13">
        <f t="shared" si="49"/>
        <v>0</v>
      </c>
      <c r="Q828" s="13" t="str">
        <f t="shared" si="50"/>
        <v/>
      </c>
      <c r="R828" s="13" t="str">
        <f t="shared" si="51"/>
        <v>Non diskon</v>
      </c>
    </row>
    <row r="829" spans="1:18" x14ac:dyDescent="0.25">
      <c r="A829" s="13" t="s">
        <v>841</v>
      </c>
      <c r="B829" s="13" t="s">
        <v>2194</v>
      </c>
      <c r="C829" s="13" t="s">
        <v>2200</v>
      </c>
      <c r="D829" s="13" t="s">
        <v>2206</v>
      </c>
      <c r="E829" s="13" t="s">
        <v>2211</v>
      </c>
      <c r="F829" s="13" t="s">
        <v>2220</v>
      </c>
      <c r="G829" s="13">
        <v>25.74</v>
      </c>
      <c r="H829" s="44">
        <v>0</v>
      </c>
      <c r="I829" s="13">
        <v>25.74</v>
      </c>
      <c r="J829" s="24">
        <v>45875</v>
      </c>
      <c r="K829" s="25">
        <v>33</v>
      </c>
      <c r="L829" s="25">
        <v>1.1000000000000001</v>
      </c>
      <c r="M829" s="13" t="b">
        <v>1</v>
      </c>
      <c r="N829" s="13" t="s">
        <v>2225</v>
      </c>
      <c r="O829" s="25">
        <f t="shared" si="48"/>
        <v>27</v>
      </c>
      <c r="P829" s="13">
        <f t="shared" si="49"/>
        <v>0</v>
      </c>
      <c r="Q829" s="13">
        <f t="shared" si="50"/>
        <v>1</v>
      </c>
      <c r="R829" s="13" t="str">
        <f t="shared" si="51"/>
        <v>Non diskon</v>
      </c>
    </row>
    <row r="830" spans="1:18" x14ac:dyDescent="0.25">
      <c r="A830" s="13" t="s">
        <v>842</v>
      </c>
      <c r="B830" s="13" t="s">
        <v>2193</v>
      </c>
      <c r="C830" s="13" t="s">
        <v>2201</v>
      </c>
      <c r="D830" s="13" t="s">
        <v>2204</v>
      </c>
      <c r="E830" s="13" t="s">
        <v>2208</v>
      </c>
      <c r="F830" s="13" t="s">
        <v>2218</v>
      </c>
      <c r="G830" s="13">
        <v>162.97</v>
      </c>
      <c r="H830" s="44">
        <v>0</v>
      </c>
      <c r="I830" s="13">
        <v>162.97</v>
      </c>
      <c r="J830" s="24">
        <v>45618</v>
      </c>
      <c r="K830" s="25">
        <v>47</v>
      </c>
      <c r="L830" s="25">
        <v>2.2000000000000002</v>
      </c>
      <c r="M830" s="13" t="b">
        <v>1</v>
      </c>
      <c r="N830" s="13" t="s">
        <v>2230</v>
      </c>
      <c r="O830" s="25">
        <f t="shared" si="48"/>
        <v>284</v>
      </c>
      <c r="P830" s="13">
        <f t="shared" si="49"/>
        <v>0</v>
      </c>
      <c r="Q830" s="13">
        <f t="shared" si="50"/>
        <v>1</v>
      </c>
      <c r="R830" s="13" t="str">
        <f t="shared" si="51"/>
        <v>Non diskon</v>
      </c>
    </row>
    <row r="831" spans="1:18" x14ac:dyDescent="0.25">
      <c r="A831" s="13" t="s">
        <v>843</v>
      </c>
      <c r="B831" s="13" t="s">
        <v>2192</v>
      </c>
      <c r="C831" s="13" t="s">
        <v>2200</v>
      </c>
      <c r="D831" s="13" t="s">
        <v>2205</v>
      </c>
      <c r="F831" s="13" t="s">
        <v>2216</v>
      </c>
      <c r="G831" s="13">
        <v>50.33</v>
      </c>
      <c r="H831" s="44">
        <v>8.6999999999999993</v>
      </c>
      <c r="I831" s="13">
        <v>45.95</v>
      </c>
      <c r="J831" s="24">
        <v>45875</v>
      </c>
      <c r="K831" s="25">
        <v>14</v>
      </c>
      <c r="L831" s="25">
        <v>1.3</v>
      </c>
      <c r="M831" s="13" t="b">
        <v>0</v>
      </c>
      <c r="O831" s="25">
        <f t="shared" si="48"/>
        <v>27</v>
      </c>
      <c r="P831" s="13">
        <f t="shared" si="49"/>
        <v>121.79999999999998</v>
      </c>
      <c r="Q831" s="13" t="str">
        <f t="shared" si="50"/>
        <v/>
      </c>
      <c r="R831" s="13" t="str">
        <f t="shared" si="51"/>
        <v>Diskon</v>
      </c>
    </row>
    <row r="832" spans="1:18" x14ac:dyDescent="0.25">
      <c r="A832" s="13" t="s">
        <v>844</v>
      </c>
      <c r="B832" s="13" t="s">
        <v>2193</v>
      </c>
      <c r="C832" s="13" t="s">
        <v>2197</v>
      </c>
      <c r="D832" s="13" t="s">
        <v>2204</v>
      </c>
      <c r="F832" s="13" t="s">
        <v>2215</v>
      </c>
      <c r="G832" s="13">
        <v>60.38</v>
      </c>
      <c r="H832" s="44">
        <v>0</v>
      </c>
      <c r="I832" s="13">
        <v>60.38</v>
      </c>
      <c r="J832" s="24">
        <v>45776</v>
      </c>
      <c r="K832" s="25">
        <v>0</v>
      </c>
      <c r="L832" s="25">
        <v>2.8205128205128198</v>
      </c>
      <c r="M832" s="13" t="b">
        <v>0</v>
      </c>
      <c r="O832" s="25">
        <f t="shared" si="48"/>
        <v>126</v>
      </c>
      <c r="P832" s="13">
        <f t="shared" si="49"/>
        <v>0</v>
      </c>
      <c r="Q832" s="13" t="str">
        <f t="shared" si="50"/>
        <v/>
      </c>
      <c r="R832" s="13" t="str">
        <f t="shared" si="51"/>
        <v>Non diskon</v>
      </c>
    </row>
    <row r="833" spans="1:18" x14ac:dyDescent="0.25">
      <c r="A833" s="13" t="s">
        <v>845</v>
      </c>
      <c r="B833" s="13" t="s">
        <v>2191</v>
      </c>
      <c r="C833" s="13" t="s">
        <v>2197</v>
      </c>
      <c r="D833" s="13" t="s">
        <v>2207</v>
      </c>
      <c r="E833" s="13" t="s">
        <v>2211</v>
      </c>
      <c r="F833" s="13" t="s">
        <v>2216</v>
      </c>
      <c r="G833" s="13">
        <v>103.65</v>
      </c>
      <c r="H833" s="44">
        <v>0</v>
      </c>
      <c r="I833" s="13">
        <v>103.65</v>
      </c>
      <c r="J833" s="24">
        <v>45875</v>
      </c>
      <c r="K833" s="25">
        <v>29</v>
      </c>
      <c r="L833" s="25">
        <v>3.7</v>
      </c>
      <c r="M833" s="13" t="b">
        <v>0</v>
      </c>
      <c r="O833" s="25">
        <f t="shared" si="48"/>
        <v>27</v>
      </c>
      <c r="P833" s="13">
        <f t="shared" si="49"/>
        <v>0</v>
      </c>
      <c r="Q833" s="13" t="str">
        <f t="shared" si="50"/>
        <v/>
      </c>
      <c r="R833" s="13" t="str">
        <f t="shared" si="51"/>
        <v>Non diskon</v>
      </c>
    </row>
    <row r="834" spans="1:18" x14ac:dyDescent="0.25">
      <c r="A834" s="13" t="s">
        <v>846</v>
      </c>
      <c r="B834" s="13" t="s">
        <v>2194</v>
      </c>
      <c r="C834" s="13" t="s">
        <v>2202</v>
      </c>
      <c r="D834" s="13" t="s">
        <v>2204</v>
      </c>
      <c r="E834" s="13" t="s">
        <v>2209</v>
      </c>
      <c r="F834" s="13" t="s">
        <v>2221</v>
      </c>
      <c r="G834" s="13">
        <v>75.14</v>
      </c>
      <c r="H834" s="44">
        <v>0</v>
      </c>
      <c r="I834" s="13">
        <v>75.14</v>
      </c>
      <c r="J834" s="24">
        <v>45684</v>
      </c>
      <c r="K834" s="25">
        <v>41</v>
      </c>
      <c r="L834" s="25">
        <v>3.1799999999999997</v>
      </c>
      <c r="M834" s="13" t="b">
        <v>1</v>
      </c>
      <c r="N834" s="13" t="s">
        <v>2229</v>
      </c>
      <c r="O834" s="25">
        <f t="shared" si="48"/>
        <v>218</v>
      </c>
      <c r="P834" s="13">
        <f t="shared" si="49"/>
        <v>0</v>
      </c>
      <c r="Q834" s="13">
        <f t="shared" si="50"/>
        <v>1</v>
      </c>
      <c r="R834" s="13" t="str">
        <f t="shared" si="51"/>
        <v>Non diskon</v>
      </c>
    </row>
    <row r="835" spans="1:18" x14ac:dyDescent="0.25">
      <c r="A835" s="13" t="s">
        <v>847</v>
      </c>
      <c r="B835" s="13" t="s">
        <v>2193</v>
      </c>
      <c r="C835" s="13" t="s">
        <v>2200</v>
      </c>
      <c r="D835" s="13" t="s">
        <v>2205</v>
      </c>
      <c r="E835" s="13" t="s">
        <v>2210</v>
      </c>
      <c r="F835" s="13" t="s">
        <v>2215</v>
      </c>
      <c r="G835" s="13">
        <v>88</v>
      </c>
      <c r="H835" s="44">
        <v>0</v>
      </c>
      <c r="I835" s="13">
        <v>88</v>
      </c>
      <c r="J835" s="24">
        <v>45875</v>
      </c>
      <c r="K835" s="25">
        <v>2</v>
      </c>
      <c r="L835" s="25">
        <v>1.9</v>
      </c>
      <c r="M835" s="13" t="b">
        <v>0</v>
      </c>
      <c r="O835" s="25">
        <f t="shared" ref="O835:O898" si="52">DATE(2025,9,2)-J835</f>
        <v>27</v>
      </c>
      <c r="P835" s="13">
        <f t="shared" ref="P835:P898" si="53">H835*K835</f>
        <v>0</v>
      </c>
      <c r="Q835" s="13" t="str">
        <f t="shared" ref="Q835:Q898" si="54">IF(M835=FALSE,"",1)</f>
        <v/>
      </c>
      <c r="R835" s="13" t="str">
        <f t="shared" ref="R835:R898" si="55">IF(H835=0,"Non diskon","Diskon")</f>
        <v>Non diskon</v>
      </c>
    </row>
    <row r="836" spans="1:18" x14ac:dyDescent="0.25">
      <c r="A836" s="13" t="s">
        <v>848</v>
      </c>
      <c r="B836" s="13" t="s">
        <v>2195</v>
      </c>
      <c r="C836" s="13" t="s">
        <v>2201</v>
      </c>
      <c r="D836" s="13" t="s">
        <v>2205</v>
      </c>
      <c r="E836" s="13" t="s">
        <v>2212</v>
      </c>
      <c r="F836" s="13" t="s">
        <v>2214</v>
      </c>
      <c r="G836" s="13">
        <v>69.540000000000006</v>
      </c>
      <c r="H836" s="44">
        <v>0</v>
      </c>
      <c r="I836" s="13">
        <v>69.540000000000006</v>
      </c>
      <c r="J836" s="24">
        <v>45875</v>
      </c>
      <c r="K836" s="25">
        <v>21</v>
      </c>
      <c r="L836" s="25">
        <v>3.1874999999999991</v>
      </c>
      <c r="M836" s="13" t="b">
        <v>0</v>
      </c>
      <c r="O836" s="25">
        <f t="shared" si="52"/>
        <v>27</v>
      </c>
      <c r="P836" s="13">
        <f t="shared" si="53"/>
        <v>0</v>
      </c>
      <c r="Q836" s="13" t="str">
        <f t="shared" si="54"/>
        <v/>
      </c>
      <c r="R836" s="13" t="str">
        <f t="shared" si="55"/>
        <v>Non diskon</v>
      </c>
    </row>
    <row r="837" spans="1:18" x14ac:dyDescent="0.25">
      <c r="A837" s="13" t="s">
        <v>849</v>
      </c>
      <c r="B837" s="13" t="s">
        <v>2190</v>
      </c>
      <c r="C837" s="13" t="s">
        <v>2199</v>
      </c>
      <c r="D837" s="13" t="s">
        <v>2205</v>
      </c>
      <c r="E837" s="13" t="s">
        <v>2212</v>
      </c>
      <c r="F837" s="13" t="s">
        <v>2215</v>
      </c>
      <c r="G837" s="13">
        <v>209.52</v>
      </c>
      <c r="H837" s="44">
        <v>0</v>
      </c>
      <c r="I837" s="13">
        <v>209.52</v>
      </c>
      <c r="J837" s="24">
        <v>45875</v>
      </c>
      <c r="K837" s="25">
        <v>48</v>
      </c>
      <c r="L837" s="25">
        <v>2.6</v>
      </c>
      <c r="M837" s="13" t="b">
        <v>0</v>
      </c>
      <c r="O837" s="25">
        <f t="shared" si="52"/>
        <v>27</v>
      </c>
      <c r="P837" s="13">
        <f t="shared" si="53"/>
        <v>0</v>
      </c>
      <c r="Q837" s="13" t="str">
        <f t="shared" si="54"/>
        <v/>
      </c>
      <c r="R837" s="13" t="str">
        <f t="shared" si="55"/>
        <v>Non diskon</v>
      </c>
    </row>
    <row r="838" spans="1:18" x14ac:dyDescent="0.25">
      <c r="A838" s="13" t="s">
        <v>850</v>
      </c>
      <c r="B838" s="13" t="s">
        <v>2193</v>
      </c>
      <c r="C838" s="13" t="s">
        <v>2200</v>
      </c>
      <c r="D838" s="13" t="s">
        <v>2206</v>
      </c>
      <c r="E838" s="13" t="s">
        <v>2211</v>
      </c>
      <c r="F838" s="13" t="s">
        <v>2221</v>
      </c>
      <c r="G838" s="13">
        <v>97.42</v>
      </c>
      <c r="H838" s="44">
        <v>0</v>
      </c>
      <c r="I838" s="13">
        <v>97.42</v>
      </c>
      <c r="J838" s="24">
        <v>45875</v>
      </c>
      <c r="K838" s="25">
        <v>35</v>
      </c>
      <c r="L838" s="25">
        <v>2</v>
      </c>
      <c r="M838" s="13" t="b">
        <v>0</v>
      </c>
      <c r="O838" s="25">
        <f t="shared" si="52"/>
        <v>27</v>
      </c>
      <c r="P838" s="13">
        <f t="shared" si="53"/>
        <v>0</v>
      </c>
      <c r="Q838" s="13" t="str">
        <f t="shared" si="54"/>
        <v/>
      </c>
      <c r="R838" s="13" t="str">
        <f t="shared" si="55"/>
        <v>Non diskon</v>
      </c>
    </row>
    <row r="839" spans="1:18" x14ac:dyDescent="0.25">
      <c r="A839" s="13" t="s">
        <v>851</v>
      </c>
      <c r="B839" s="13" t="s">
        <v>2195</v>
      </c>
      <c r="C839" s="13" t="s">
        <v>2197</v>
      </c>
      <c r="D839" s="13" t="s">
        <v>2205</v>
      </c>
      <c r="E839" s="13" t="s">
        <v>2212</v>
      </c>
      <c r="F839" s="13" t="s">
        <v>2217</v>
      </c>
      <c r="G839" s="13">
        <v>154.6</v>
      </c>
      <c r="H839" s="44">
        <v>0</v>
      </c>
      <c r="I839" s="13">
        <v>154.6</v>
      </c>
      <c r="J839" s="24">
        <v>45875</v>
      </c>
      <c r="K839" s="25">
        <v>38</v>
      </c>
      <c r="L839" s="25">
        <v>4.5</v>
      </c>
      <c r="M839" s="13" t="b">
        <v>1</v>
      </c>
      <c r="N839" s="13" t="s">
        <v>2229</v>
      </c>
      <c r="O839" s="25">
        <f t="shared" si="52"/>
        <v>27</v>
      </c>
      <c r="P839" s="13">
        <f t="shared" si="53"/>
        <v>0</v>
      </c>
      <c r="Q839" s="13">
        <f t="shared" si="54"/>
        <v>1</v>
      </c>
      <c r="R839" s="13" t="str">
        <f t="shared" si="55"/>
        <v>Non diskon</v>
      </c>
    </row>
    <row r="840" spans="1:18" x14ac:dyDescent="0.25">
      <c r="A840" s="13" t="s">
        <v>852</v>
      </c>
      <c r="B840" s="13" t="s">
        <v>2194</v>
      </c>
      <c r="C840" s="13" t="s">
        <v>2196</v>
      </c>
      <c r="D840" s="13" t="s">
        <v>2207</v>
      </c>
      <c r="E840" s="13" t="s">
        <v>2208</v>
      </c>
      <c r="F840" s="13" t="s">
        <v>2217</v>
      </c>
      <c r="G840" s="13">
        <v>81.59</v>
      </c>
      <c r="H840" s="44">
        <v>38</v>
      </c>
      <c r="I840" s="13">
        <v>50.59</v>
      </c>
      <c r="J840" s="24">
        <v>45875</v>
      </c>
      <c r="K840" s="25">
        <v>31</v>
      </c>
      <c r="L840" s="25">
        <v>1.2</v>
      </c>
      <c r="M840" s="13" t="b">
        <v>0</v>
      </c>
      <c r="O840" s="25">
        <f t="shared" si="52"/>
        <v>27</v>
      </c>
      <c r="P840" s="13">
        <f t="shared" si="53"/>
        <v>1178</v>
      </c>
      <c r="Q840" s="13" t="str">
        <f t="shared" si="54"/>
        <v/>
      </c>
      <c r="R840" s="13" t="str">
        <f t="shared" si="55"/>
        <v>Diskon</v>
      </c>
    </row>
    <row r="841" spans="1:18" x14ac:dyDescent="0.25">
      <c r="A841" s="13" t="s">
        <v>853</v>
      </c>
      <c r="B841" s="13" t="s">
        <v>2192</v>
      </c>
      <c r="C841" s="13" t="s">
        <v>2199</v>
      </c>
      <c r="D841" s="13" t="s">
        <v>2205</v>
      </c>
      <c r="F841" s="13" t="s">
        <v>2224</v>
      </c>
      <c r="G841" s="13">
        <v>48.04</v>
      </c>
      <c r="H841" s="44">
        <v>0</v>
      </c>
      <c r="I841" s="13">
        <v>48.04</v>
      </c>
      <c r="J841" s="24">
        <v>45875</v>
      </c>
      <c r="K841" s="25">
        <v>46</v>
      </c>
      <c r="L841" s="25">
        <v>4.8</v>
      </c>
      <c r="M841" s="13" t="b">
        <v>0</v>
      </c>
      <c r="O841" s="25">
        <f t="shared" si="52"/>
        <v>27</v>
      </c>
      <c r="P841" s="13">
        <f t="shared" si="53"/>
        <v>0</v>
      </c>
      <c r="Q841" s="13" t="str">
        <f t="shared" si="54"/>
        <v/>
      </c>
      <c r="R841" s="13" t="str">
        <f t="shared" si="55"/>
        <v>Non diskon</v>
      </c>
    </row>
    <row r="842" spans="1:18" x14ac:dyDescent="0.25">
      <c r="A842" s="13" t="s">
        <v>854</v>
      </c>
      <c r="B842" s="13" t="s">
        <v>2191</v>
      </c>
      <c r="C842" s="13" t="s">
        <v>2198</v>
      </c>
      <c r="D842" s="13" t="s">
        <v>2206</v>
      </c>
      <c r="E842" s="13" t="s">
        <v>2210</v>
      </c>
      <c r="F842" s="13" t="s">
        <v>2220</v>
      </c>
      <c r="G842" s="13">
        <v>70.77</v>
      </c>
      <c r="H842" s="44">
        <v>0</v>
      </c>
      <c r="I842" s="13">
        <v>70.77</v>
      </c>
      <c r="J842" s="24">
        <v>45875</v>
      </c>
      <c r="K842" s="25">
        <v>5</v>
      </c>
      <c r="L842" s="25">
        <v>3.7</v>
      </c>
      <c r="M842" s="13" t="b">
        <v>0</v>
      </c>
      <c r="O842" s="25">
        <f t="shared" si="52"/>
        <v>27</v>
      </c>
      <c r="P842" s="13">
        <f t="shared" si="53"/>
        <v>0</v>
      </c>
      <c r="Q842" s="13" t="str">
        <f t="shared" si="54"/>
        <v/>
      </c>
      <c r="R842" s="13" t="str">
        <f t="shared" si="55"/>
        <v>Non diskon</v>
      </c>
    </row>
    <row r="843" spans="1:18" x14ac:dyDescent="0.25">
      <c r="A843" s="13" t="s">
        <v>855</v>
      </c>
      <c r="B843" s="13" t="s">
        <v>2190</v>
      </c>
      <c r="C843" s="13" t="s">
        <v>2203</v>
      </c>
      <c r="D843" s="13" t="s">
        <v>2206</v>
      </c>
      <c r="E843" s="13" t="s">
        <v>2210</v>
      </c>
      <c r="F843" s="13" t="s">
        <v>2218</v>
      </c>
      <c r="G843" s="13">
        <v>103.49</v>
      </c>
      <c r="H843" s="44">
        <v>0</v>
      </c>
      <c r="I843" s="13">
        <v>103.49</v>
      </c>
      <c r="J843" s="24">
        <v>45875</v>
      </c>
      <c r="K843" s="25">
        <v>12</v>
      </c>
      <c r="L843" s="25">
        <v>1.8</v>
      </c>
      <c r="M843" s="13" t="b">
        <v>0</v>
      </c>
      <c r="O843" s="25">
        <f t="shared" si="52"/>
        <v>27</v>
      </c>
      <c r="P843" s="13">
        <f t="shared" si="53"/>
        <v>0</v>
      </c>
      <c r="Q843" s="13" t="str">
        <f t="shared" si="54"/>
        <v/>
      </c>
      <c r="R843" s="13" t="str">
        <f t="shared" si="55"/>
        <v>Non diskon</v>
      </c>
    </row>
    <row r="844" spans="1:18" x14ac:dyDescent="0.25">
      <c r="A844" s="13" t="s">
        <v>856</v>
      </c>
      <c r="B844" s="13" t="s">
        <v>2190</v>
      </c>
      <c r="C844" s="13" t="s">
        <v>2197</v>
      </c>
      <c r="D844" s="13" t="s">
        <v>2204</v>
      </c>
      <c r="E844" s="13" t="s">
        <v>2209</v>
      </c>
      <c r="F844" s="13" t="s">
        <v>2223</v>
      </c>
      <c r="G844" s="13">
        <v>138.88999999999999</v>
      </c>
      <c r="H844" s="44">
        <v>0</v>
      </c>
      <c r="I844" s="13">
        <v>138.88999999999999</v>
      </c>
      <c r="J844" s="24">
        <v>45687</v>
      </c>
      <c r="K844" s="25">
        <v>10</v>
      </c>
      <c r="L844" s="25">
        <v>3.15</v>
      </c>
      <c r="M844" s="13" t="b">
        <v>0</v>
      </c>
      <c r="O844" s="25">
        <f t="shared" si="52"/>
        <v>215</v>
      </c>
      <c r="P844" s="13">
        <f t="shared" si="53"/>
        <v>0</v>
      </c>
      <c r="Q844" s="13" t="str">
        <f t="shared" si="54"/>
        <v/>
      </c>
      <c r="R844" s="13" t="str">
        <f t="shared" si="55"/>
        <v>Non diskon</v>
      </c>
    </row>
    <row r="845" spans="1:18" x14ac:dyDescent="0.25">
      <c r="A845" s="13" t="s">
        <v>857</v>
      </c>
      <c r="B845" s="13" t="s">
        <v>2192</v>
      </c>
      <c r="C845" s="13" t="s">
        <v>2200</v>
      </c>
      <c r="D845" s="13" t="s">
        <v>2205</v>
      </c>
      <c r="F845" s="13" t="s">
        <v>2220</v>
      </c>
      <c r="G845" s="13">
        <v>73.510000000000005</v>
      </c>
      <c r="H845" s="44">
        <v>32.200000000000003</v>
      </c>
      <c r="I845" s="13">
        <v>49.84</v>
      </c>
      <c r="J845" s="24">
        <v>45875</v>
      </c>
      <c r="K845" s="25">
        <v>17</v>
      </c>
      <c r="L845" s="25">
        <v>2.7333333333333334</v>
      </c>
      <c r="M845" s="13" t="b">
        <v>1</v>
      </c>
      <c r="N845" s="13" t="s">
        <v>2230</v>
      </c>
      <c r="O845" s="25">
        <f t="shared" si="52"/>
        <v>27</v>
      </c>
      <c r="P845" s="13">
        <f t="shared" si="53"/>
        <v>547.40000000000009</v>
      </c>
      <c r="Q845" s="13">
        <f t="shared" si="54"/>
        <v>1</v>
      </c>
      <c r="R845" s="13" t="str">
        <f t="shared" si="55"/>
        <v>Diskon</v>
      </c>
    </row>
    <row r="846" spans="1:18" x14ac:dyDescent="0.25">
      <c r="A846" s="13" t="s">
        <v>858</v>
      </c>
      <c r="B846" s="13" t="s">
        <v>2194</v>
      </c>
      <c r="C846" s="13" t="s">
        <v>2196</v>
      </c>
      <c r="D846" s="13" t="s">
        <v>2204</v>
      </c>
      <c r="E846" s="13" t="s">
        <v>2213</v>
      </c>
      <c r="F846" s="13" t="s">
        <v>2223</v>
      </c>
      <c r="G846" s="13">
        <v>82.37</v>
      </c>
      <c r="H846" s="44">
        <v>0</v>
      </c>
      <c r="I846" s="13">
        <v>82.37</v>
      </c>
      <c r="J846" s="24">
        <v>45812</v>
      </c>
      <c r="K846" s="25">
        <v>49</v>
      </c>
      <c r="L846" s="25">
        <v>3.3</v>
      </c>
      <c r="M846" s="13" t="b">
        <v>0</v>
      </c>
      <c r="O846" s="25">
        <f t="shared" si="52"/>
        <v>90</v>
      </c>
      <c r="P846" s="13">
        <f t="shared" si="53"/>
        <v>0</v>
      </c>
      <c r="Q846" s="13" t="str">
        <f t="shared" si="54"/>
        <v/>
      </c>
      <c r="R846" s="13" t="str">
        <f t="shared" si="55"/>
        <v>Non diskon</v>
      </c>
    </row>
    <row r="847" spans="1:18" x14ac:dyDescent="0.25">
      <c r="A847" s="13" t="s">
        <v>859</v>
      </c>
      <c r="B847" s="13" t="s">
        <v>2195</v>
      </c>
      <c r="C847" s="13" t="s">
        <v>2201</v>
      </c>
      <c r="D847" s="13" t="s">
        <v>2207</v>
      </c>
      <c r="E847" s="13" t="s">
        <v>2212</v>
      </c>
      <c r="F847" s="13" t="s">
        <v>2222</v>
      </c>
      <c r="G847" s="13">
        <v>81.709999999999994</v>
      </c>
      <c r="H847" s="44">
        <v>18</v>
      </c>
      <c r="I847" s="13">
        <v>67</v>
      </c>
      <c r="J847" s="24">
        <v>45875</v>
      </c>
      <c r="K847" s="25">
        <v>28</v>
      </c>
      <c r="L847" s="25">
        <v>4.7</v>
      </c>
      <c r="M847" s="13" t="b">
        <v>0</v>
      </c>
      <c r="O847" s="25">
        <f t="shared" si="52"/>
        <v>27</v>
      </c>
      <c r="P847" s="13">
        <f t="shared" si="53"/>
        <v>504</v>
      </c>
      <c r="Q847" s="13" t="str">
        <f t="shared" si="54"/>
        <v/>
      </c>
      <c r="R847" s="13" t="str">
        <f t="shared" si="55"/>
        <v>Diskon</v>
      </c>
    </row>
    <row r="848" spans="1:18" x14ac:dyDescent="0.25">
      <c r="A848" s="13" t="s">
        <v>860</v>
      </c>
      <c r="B848" s="13" t="s">
        <v>2195</v>
      </c>
      <c r="C848" s="13" t="s">
        <v>2198</v>
      </c>
      <c r="D848" s="13" t="s">
        <v>2205</v>
      </c>
      <c r="E848" s="13" t="s">
        <v>2211</v>
      </c>
      <c r="F848" s="13" t="s">
        <v>2222</v>
      </c>
      <c r="G848" s="13">
        <v>107.02</v>
      </c>
      <c r="H848" s="44">
        <v>10.6</v>
      </c>
      <c r="I848" s="13">
        <v>95.68</v>
      </c>
      <c r="J848" s="24">
        <v>45875</v>
      </c>
      <c r="K848" s="25">
        <v>6</v>
      </c>
      <c r="L848" s="25">
        <v>2.9000000000000008</v>
      </c>
      <c r="M848" s="13" t="b">
        <v>0</v>
      </c>
      <c r="O848" s="25">
        <f t="shared" si="52"/>
        <v>27</v>
      </c>
      <c r="P848" s="13">
        <f t="shared" si="53"/>
        <v>63.599999999999994</v>
      </c>
      <c r="Q848" s="13" t="str">
        <f t="shared" si="54"/>
        <v/>
      </c>
      <c r="R848" s="13" t="str">
        <f t="shared" si="55"/>
        <v>Diskon</v>
      </c>
    </row>
    <row r="849" spans="1:18" x14ac:dyDescent="0.25">
      <c r="A849" s="13" t="s">
        <v>861</v>
      </c>
      <c r="B849" s="13" t="s">
        <v>2194</v>
      </c>
      <c r="C849" s="13" t="s">
        <v>2200</v>
      </c>
      <c r="D849" s="13" t="s">
        <v>2207</v>
      </c>
      <c r="E849" s="13" t="s">
        <v>2208</v>
      </c>
      <c r="F849" s="13" t="s">
        <v>2215</v>
      </c>
      <c r="G849" s="13">
        <v>103.23</v>
      </c>
      <c r="H849" s="44">
        <v>18.7</v>
      </c>
      <c r="I849" s="13">
        <v>83.93</v>
      </c>
      <c r="J849" s="24">
        <v>45875</v>
      </c>
      <c r="K849" s="25">
        <v>6</v>
      </c>
      <c r="L849" s="25">
        <v>4</v>
      </c>
      <c r="M849" s="13" t="b">
        <v>0</v>
      </c>
      <c r="O849" s="25">
        <f t="shared" si="52"/>
        <v>27</v>
      </c>
      <c r="P849" s="13">
        <f t="shared" si="53"/>
        <v>112.19999999999999</v>
      </c>
      <c r="Q849" s="13" t="str">
        <f t="shared" si="54"/>
        <v/>
      </c>
      <c r="R849" s="13" t="str">
        <f t="shared" si="55"/>
        <v>Diskon</v>
      </c>
    </row>
    <row r="850" spans="1:18" x14ac:dyDescent="0.25">
      <c r="A850" s="13" t="s">
        <v>862</v>
      </c>
      <c r="B850" s="13" t="s">
        <v>2191</v>
      </c>
      <c r="C850" s="13" t="s">
        <v>2202</v>
      </c>
      <c r="D850" s="13" t="s">
        <v>2206</v>
      </c>
      <c r="E850" s="13" t="s">
        <v>2209</v>
      </c>
      <c r="F850" s="13" t="s">
        <v>2219</v>
      </c>
      <c r="G850" s="13">
        <v>100.48</v>
      </c>
      <c r="H850" s="44">
        <v>17.600000000000001</v>
      </c>
      <c r="I850" s="13">
        <v>82.8</v>
      </c>
      <c r="J850" s="24">
        <v>45875</v>
      </c>
      <c r="K850" s="25">
        <v>19</v>
      </c>
      <c r="L850" s="25">
        <v>2.9074999999999998</v>
      </c>
      <c r="M850" s="13" t="b">
        <v>0</v>
      </c>
      <c r="O850" s="25">
        <f t="shared" si="52"/>
        <v>27</v>
      </c>
      <c r="P850" s="13">
        <f t="shared" si="53"/>
        <v>334.40000000000003</v>
      </c>
      <c r="Q850" s="13" t="str">
        <f t="shared" si="54"/>
        <v/>
      </c>
      <c r="R850" s="13" t="str">
        <f t="shared" si="55"/>
        <v>Diskon</v>
      </c>
    </row>
    <row r="851" spans="1:18" x14ac:dyDescent="0.25">
      <c r="A851" s="13" t="s">
        <v>863</v>
      </c>
      <c r="B851" s="13" t="s">
        <v>2193</v>
      </c>
      <c r="C851" s="13" t="s">
        <v>2201</v>
      </c>
      <c r="D851" s="13" t="s">
        <v>2205</v>
      </c>
      <c r="E851" s="13" t="s">
        <v>2208</v>
      </c>
      <c r="F851" s="13" t="s">
        <v>2217</v>
      </c>
      <c r="G851" s="13">
        <v>160.87</v>
      </c>
      <c r="H851" s="44">
        <v>53.7</v>
      </c>
      <c r="I851" s="13">
        <v>74.48</v>
      </c>
      <c r="J851" s="24">
        <v>45875</v>
      </c>
      <c r="K851" s="25">
        <v>18</v>
      </c>
      <c r="L851" s="25">
        <v>3.0068965517241386</v>
      </c>
      <c r="M851" s="13" t="b">
        <v>0</v>
      </c>
      <c r="O851" s="25">
        <f t="shared" si="52"/>
        <v>27</v>
      </c>
      <c r="P851" s="13">
        <f t="shared" si="53"/>
        <v>966.6</v>
      </c>
      <c r="Q851" s="13" t="str">
        <f t="shared" si="54"/>
        <v/>
      </c>
      <c r="R851" s="13" t="str">
        <f t="shared" si="55"/>
        <v>Diskon</v>
      </c>
    </row>
    <row r="852" spans="1:18" x14ac:dyDescent="0.25">
      <c r="A852" s="13" t="s">
        <v>864</v>
      </c>
      <c r="B852" s="13" t="s">
        <v>2192</v>
      </c>
      <c r="C852" s="13" t="s">
        <v>2199</v>
      </c>
      <c r="D852" s="13" t="s">
        <v>2206</v>
      </c>
      <c r="F852" s="13" t="s">
        <v>2217</v>
      </c>
      <c r="G852" s="13">
        <v>78.39</v>
      </c>
      <c r="H852" s="44">
        <v>0</v>
      </c>
      <c r="I852" s="13">
        <v>78.39</v>
      </c>
      <c r="J852" s="24">
        <v>45875</v>
      </c>
      <c r="K852" s="25">
        <v>7</v>
      </c>
      <c r="L852" s="25">
        <v>4.2</v>
      </c>
      <c r="M852" s="13" t="b">
        <v>0</v>
      </c>
      <c r="O852" s="25">
        <f t="shared" si="52"/>
        <v>27</v>
      </c>
      <c r="P852" s="13">
        <f t="shared" si="53"/>
        <v>0</v>
      </c>
      <c r="Q852" s="13" t="str">
        <f t="shared" si="54"/>
        <v/>
      </c>
      <c r="R852" s="13" t="str">
        <f t="shared" si="55"/>
        <v>Non diskon</v>
      </c>
    </row>
    <row r="853" spans="1:18" x14ac:dyDescent="0.25">
      <c r="A853" s="13" t="s">
        <v>865</v>
      </c>
      <c r="B853" s="13" t="s">
        <v>2190</v>
      </c>
      <c r="C853" s="13" t="s">
        <v>2196</v>
      </c>
      <c r="D853" s="13" t="s">
        <v>2204</v>
      </c>
      <c r="E853" s="13" t="s">
        <v>2210</v>
      </c>
      <c r="F853" s="13" t="s">
        <v>2221</v>
      </c>
      <c r="G853" s="13">
        <v>168.38</v>
      </c>
      <c r="H853" s="44">
        <v>23.1</v>
      </c>
      <c r="I853" s="13">
        <v>129.47999999999999</v>
      </c>
      <c r="J853" s="24">
        <v>45812</v>
      </c>
      <c r="K853" s="25">
        <v>3</v>
      </c>
      <c r="L853" s="25">
        <v>2</v>
      </c>
      <c r="M853" s="13" t="b">
        <v>0</v>
      </c>
      <c r="O853" s="25">
        <f t="shared" si="52"/>
        <v>90</v>
      </c>
      <c r="P853" s="13">
        <f t="shared" si="53"/>
        <v>69.300000000000011</v>
      </c>
      <c r="Q853" s="13" t="str">
        <f t="shared" si="54"/>
        <v/>
      </c>
      <c r="R853" s="13" t="str">
        <f t="shared" si="55"/>
        <v>Diskon</v>
      </c>
    </row>
    <row r="854" spans="1:18" x14ac:dyDescent="0.25">
      <c r="A854" s="13" t="s">
        <v>866</v>
      </c>
      <c r="B854" s="13" t="s">
        <v>2193</v>
      </c>
      <c r="C854" s="13" t="s">
        <v>2198</v>
      </c>
      <c r="D854" s="13" t="s">
        <v>2205</v>
      </c>
      <c r="E854" s="13" t="s">
        <v>2210</v>
      </c>
      <c r="F854" s="13" t="s">
        <v>2222</v>
      </c>
      <c r="G854" s="13">
        <v>128.35</v>
      </c>
      <c r="H854" s="44">
        <v>0</v>
      </c>
      <c r="I854" s="13">
        <v>128.35</v>
      </c>
      <c r="J854" s="24">
        <v>45875</v>
      </c>
      <c r="K854" s="25">
        <v>20</v>
      </c>
      <c r="L854" s="25">
        <v>2.5</v>
      </c>
      <c r="M854" s="13" t="b">
        <v>0</v>
      </c>
      <c r="O854" s="25">
        <f t="shared" si="52"/>
        <v>27</v>
      </c>
      <c r="P854" s="13">
        <f t="shared" si="53"/>
        <v>0</v>
      </c>
      <c r="Q854" s="13" t="str">
        <f t="shared" si="54"/>
        <v/>
      </c>
      <c r="R854" s="13" t="str">
        <f t="shared" si="55"/>
        <v>Non diskon</v>
      </c>
    </row>
    <row r="855" spans="1:18" x14ac:dyDescent="0.25">
      <c r="A855" s="13" t="s">
        <v>867</v>
      </c>
      <c r="B855" s="13" t="s">
        <v>2195</v>
      </c>
      <c r="C855" s="13" t="s">
        <v>2197</v>
      </c>
      <c r="D855" s="13" t="s">
        <v>2204</v>
      </c>
      <c r="E855" s="13" t="s">
        <v>2208</v>
      </c>
      <c r="F855" s="13" t="s">
        <v>2218</v>
      </c>
      <c r="G855" s="13">
        <v>138.16999999999999</v>
      </c>
      <c r="H855" s="44">
        <v>3</v>
      </c>
      <c r="I855" s="13">
        <v>134.02000000000001</v>
      </c>
      <c r="J855" s="24">
        <v>45751</v>
      </c>
      <c r="K855" s="25">
        <v>34</v>
      </c>
      <c r="L855" s="25">
        <v>4.0999999999999996</v>
      </c>
      <c r="M855" s="13" t="b">
        <v>0</v>
      </c>
      <c r="O855" s="25">
        <f t="shared" si="52"/>
        <v>151</v>
      </c>
      <c r="P855" s="13">
        <f t="shared" si="53"/>
        <v>102</v>
      </c>
      <c r="Q855" s="13" t="str">
        <f t="shared" si="54"/>
        <v/>
      </c>
      <c r="R855" s="13" t="str">
        <f t="shared" si="55"/>
        <v>Diskon</v>
      </c>
    </row>
    <row r="856" spans="1:18" x14ac:dyDescent="0.25">
      <c r="A856" s="13" t="s">
        <v>868</v>
      </c>
      <c r="B856" s="13" t="s">
        <v>2195</v>
      </c>
      <c r="C856" s="13" t="s">
        <v>2197</v>
      </c>
      <c r="D856" s="13" t="s">
        <v>2206</v>
      </c>
      <c r="E856" s="13" t="s">
        <v>2213</v>
      </c>
      <c r="F856" s="13" t="s">
        <v>2222</v>
      </c>
      <c r="G856" s="13">
        <v>52.45</v>
      </c>
      <c r="H856" s="44">
        <v>0</v>
      </c>
      <c r="I856" s="13">
        <v>52.45</v>
      </c>
      <c r="J856" s="24">
        <v>45875</v>
      </c>
      <c r="K856" s="25">
        <v>16</v>
      </c>
      <c r="L856" s="25">
        <v>1.7</v>
      </c>
      <c r="M856" s="13" t="b">
        <v>0</v>
      </c>
      <c r="O856" s="25">
        <f t="shared" si="52"/>
        <v>27</v>
      </c>
      <c r="P856" s="13">
        <f t="shared" si="53"/>
        <v>0</v>
      </c>
      <c r="Q856" s="13" t="str">
        <f t="shared" si="54"/>
        <v/>
      </c>
      <c r="R856" s="13" t="str">
        <f t="shared" si="55"/>
        <v>Non diskon</v>
      </c>
    </row>
    <row r="857" spans="1:18" x14ac:dyDescent="0.25">
      <c r="A857" s="13" t="s">
        <v>869</v>
      </c>
      <c r="B857" s="13" t="s">
        <v>2193</v>
      </c>
      <c r="C857" s="13" t="s">
        <v>2200</v>
      </c>
      <c r="D857" s="13" t="s">
        <v>2205</v>
      </c>
      <c r="E857" s="13" t="s">
        <v>2212</v>
      </c>
      <c r="F857" s="13" t="s">
        <v>2217</v>
      </c>
      <c r="G857" s="13">
        <v>171.53</v>
      </c>
      <c r="H857" s="44">
        <v>0</v>
      </c>
      <c r="I857" s="13">
        <v>171.53</v>
      </c>
      <c r="J857" s="24">
        <v>45875</v>
      </c>
      <c r="K857" s="25">
        <v>12</v>
      </c>
      <c r="L857" s="25">
        <v>4.8</v>
      </c>
      <c r="M857" s="13" t="b">
        <v>0</v>
      </c>
      <c r="O857" s="25">
        <f t="shared" si="52"/>
        <v>27</v>
      </c>
      <c r="P857" s="13">
        <f t="shared" si="53"/>
        <v>0</v>
      </c>
      <c r="Q857" s="13" t="str">
        <f t="shared" si="54"/>
        <v/>
      </c>
      <c r="R857" s="13" t="str">
        <f t="shared" si="55"/>
        <v>Non diskon</v>
      </c>
    </row>
    <row r="858" spans="1:18" x14ac:dyDescent="0.25">
      <c r="A858" s="13" t="s">
        <v>870</v>
      </c>
      <c r="B858" s="13" t="s">
        <v>2191</v>
      </c>
      <c r="C858" s="13" t="s">
        <v>2199</v>
      </c>
      <c r="D858" s="13" t="s">
        <v>2206</v>
      </c>
      <c r="E858" s="13" t="s">
        <v>2211</v>
      </c>
      <c r="F858" s="13" t="s">
        <v>2224</v>
      </c>
      <c r="G858" s="13">
        <v>81.23</v>
      </c>
      <c r="H858" s="44">
        <v>1.2</v>
      </c>
      <c r="I858" s="13">
        <v>80.260000000000005</v>
      </c>
      <c r="J858" s="24">
        <v>45875</v>
      </c>
      <c r="K858" s="25">
        <v>10</v>
      </c>
      <c r="L858" s="25">
        <v>4.9000000000000004</v>
      </c>
      <c r="M858" s="13" t="b">
        <v>0</v>
      </c>
      <c r="O858" s="25">
        <f t="shared" si="52"/>
        <v>27</v>
      </c>
      <c r="P858" s="13">
        <f t="shared" si="53"/>
        <v>12</v>
      </c>
      <c r="Q858" s="13" t="str">
        <f t="shared" si="54"/>
        <v/>
      </c>
      <c r="R858" s="13" t="str">
        <f t="shared" si="55"/>
        <v>Diskon</v>
      </c>
    </row>
    <row r="859" spans="1:18" x14ac:dyDescent="0.25">
      <c r="A859" s="13" t="s">
        <v>871</v>
      </c>
      <c r="B859" s="13" t="s">
        <v>2192</v>
      </c>
      <c r="C859" s="13" t="s">
        <v>2198</v>
      </c>
      <c r="D859" s="13" t="s">
        <v>2204</v>
      </c>
      <c r="F859" s="13" t="s">
        <v>2219</v>
      </c>
      <c r="G859" s="13">
        <v>31.37</v>
      </c>
      <c r="H859" s="44">
        <v>44.1</v>
      </c>
      <c r="I859" s="13">
        <v>17.54</v>
      </c>
      <c r="J859" s="24">
        <v>45548</v>
      </c>
      <c r="K859" s="25">
        <v>11</v>
      </c>
      <c r="L859" s="25">
        <v>3.4</v>
      </c>
      <c r="M859" s="13" t="b">
        <v>0</v>
      </c>
      <c r="O859" s="25">
        <f t="shared" si="52"/>
        <v>354</v>
      </c>
      <c r="P859" s="13">
        <f t="shared" si="53"/>
        <v>485.1</v>
      </c>
      <c r="Q859" s="13" t="str">
        <f t="shared" si="54"/>
        <v/>
      </c>
      <c r="R859" s="13" t="str">
        <f t="shared" si="55"/>
        <v>Diskon</v>
      </c>
    </row>
    <row r="860" spans="1:18" x14ac:dyDescent="0.25">
      <c r="A860" s="13" t="s">
        <v>872</v>
      </c>
      <c r="B860" s="13" t="s">
        <v>2194</v>
      </c>
      <c r="C860" s="13" t="s">
        <v>2202</v>
      </c>
      <c r="D860" s="13" t="s">
        <v>2204</v>
      </c>
      <c r="E860" s="13" t="s">
        <v>2210</v>
      </c>
      <c r="F860" s="13" t="s">
        <v>2214</v>
      </c>
      <c r="G860" s="13">
        <v>93.89</v>
      </c>
      <c r="H860" s="44">
        <v>0</v>
      </c>
      <c r="I860" s="13">
        <v>93.89</v>
      </c>
      <c r="J860" s="24">
        <v>45691</v>
      </c>
      <c r="K860" s="25">
        <v>3</v>
      </c>
      <c r="L860" s="25">
        <v>1.8</v>
      </c>
      <c r="M860" s="13" t="b">
        <v>0</v>
      </c>
      <c r="O860" s="25">
        <f t="shared" si="52"/>
        <v>211</v>
      </c>
      <c r="P860" s="13">
        <f t="shared" si="53"/>
        <v>0</v>
      </c>
      <c r="Q860" s="13" t="str">
        <f t="shared" si="54"/>
        <v/>
      </c>
      <c r="R860" s="13" t="str">
        <f t="shared" si="55"/>
        <v>Non diskon</v>
      </c>
    </row>
    <row r="861" spans="1:18" x14ac:dyDescent="0.25">
      <c r="A861" s="13" t="s">
        <v>873</v>
      </c>
      <c r="B861" s="13" t="s">
        <v>2194</v>
      </c>
      <c r="C861" s="13" t="s">
        <v>2197</v>
      </c>
      <c r="D861" s="13" t="s">
        <v>2204</v>
      </c>
      <c r="E861" s="13" t="s">
        <v>2208</v>
      </c>
      <c r="F861" s="13" t="s">
        <v>2218</v>
      </c>
      <c r="G861" s="13">
        <v>54.84</v>
      </c>
      <c r="H861" s="44">
        <v>0</v>
      </c>
      <c r="I861" s="13">
        <v>54.84</v>
      </c>
      <c r="J861" s="24">
        <v>45557</v>
      </c>
      <c r="K861" s="25">
        <v>12</v>
      </c>
      <c r="L861" s="25">
        <v>3.2</v>
      </c>
      <c r="M861" s="13" t="b">
        <v>0</v>
      </c>
      <c r="O861" s="25">
        <f t="shared" si="52"/>
        <v>345</v>
      </c>
      <c r="P861" s="13">
        <f t="shared" si="53"/>
        <v>0</v>
      </c>
      <c r="Q861" s="13" t="str">
        <f t="shared" si="54"/>
        <v/>
      </c>
      <c r="R861" s="13" t="str">
        <f t="shared" si="55"/>
        <v>Non diskon</v>
      </c>
    </row>
    <row r="862" spans="1:18" x14ac:dyDescent="0.25">
      <c r="A862" s="13" t="s">
        <v>874</v>
      </c>
      <c r="B862" s="13" t="s">
        <v>2195</v>
      </c>
      <c r="C862" s="13" t="s">
        <v>2196</v>
      </c>
      <c r="D862" s="13" t="s">
        <v>2205</v>
      </c>
      <c r="E862" s="13" t="s">
        <v>2209</v>
      </c>
      <c r="F862" s="13" t="s">
        <v>2214</v>
      </c>
      <c r="G862" s="13">
        <v>140.34</v>
      </c>
      <c r="H862" s="44">
        <v>0</v>
      </c>
      <c r="I862" s="13">
        <v>140.34</v>
      </c>
      <c r="J862" s="24">
        <v>45875</v>
      </c>
      <c r="K862" s="25">
        <v>23</v>
      </c>
      <c r="L862" s="25">
        <v>2.8</v>
      </c>
      <c r="M862" s="13" t="b">
        <v>1</v>
      </c>
      <c r="N862" s="13" t="s">
        <v>2229</v>
      </c>
      <c r="O862" s="25">
        <f t="shared" si="52"/>
        <v>27</v>
      </c>
      <c r="P862" s="13">
        <f t="shared" si="53"/>
        <v>0</v>
      </c>
      <c r="Q862" s="13">
        <f t="shared" si="54"/>
        <v>1</v>
      </c>
      <c r="R862" s="13" t="str">
        <f t="shared" si="55"/>
        <v>Non diskon</v>
      </c>
    </row>
    <row r="863" spans="1:18" x14ac:dyDescent="0.25">
      <c r="A863" s="13" t="s">
        <v>875</v>
      </c>
      <c r="B863" s="13" t="s">
        <v>2191</v>
      </c>
      <c r="C863" s="13" t="s">
        <v>2198</v>
      </c>
      <c r="D863" s="13" t="s">
        <v>2206</v>
      </c>
      <c r="E863" s="13" t="s">
        <v>2213</v>
      </c>
      <c r="F863" s="13" t="s">
        <v>2214</v>
      </c>
      <c r="G863" s="13">
        <v>51.88</v>
      </c>
      <c r="H863" s="44">
        <v>16.8</v>
      </c>
      <c r="I863" s="13">
        <v>43.16</v>
      </c>
      <c r="J863" s="24">
        <v>45875</v>
      </c>
      <c r="K863" s="25">
        <v>30</v>
      </c>
      <c r="L863" s="25">
        <v>1.5</v>
      </c>
      <c r="M863" s="13" t="b">
        <v>0</v>
      </c>
      <c r="O863" s="25">
        <f t="shared" si="52"/>
        <v>27</v>
      </c>
      <c r="P863" s="13">
        <f t="shared" si="53"/>
        <v>504</v>
      </c>
      <c r="Q863" s="13" t="str">
        <f t="shared" si="54"/>
        <v/>
      </c>
      <c r="R863" s="13" t="str">
        <f t="shared" si="55"/>
        <v>Diskon</v>
      </c>
    </row>
    <row r="864" spans="1:18" x14ac:dyDescent="0.25">
      <c r="A864" s="13" t="s">
        <v>876</v>
      </c>
      <c r="B864" s="13" t="s">
        <v>2195</v>
      </c>
      <c r="C864" s="13" t="s">
        <v>2199</v>
      </c>
      <c r="D864" s="13" t="s">
        <v>2204</v>
      </c>
      <c r="E864" s="13" t="s">
        <v>2210</v>
      </c>
      <c r="F864" s="13" t="s">
        <v>2223</v>
      </c>
      <c r="G864" s="13">
        <v>136.19999999999999</v>
      </c>
      <c r="H864" s="44">
        <v>44.3</v>
      </c>
      <c r="I864" s="13">
        <v>75.86</v>
      </c>
      <c r="J864" s="24">
        <v>45617</v>
      </c>
      <c r="K864" s="25">
        <v>49</v>
      </c>
      <c r="L864" s="25">
        <v>2.8372093023255811</v>
      </c>
      <c r="M864" s="13" t="b">
        <v>0</v>
      </c>
      <c r="O864" s="25">
        <f t="shared" si="52"/>
        <v>285</v>
      </c>
      <c r="P864" s="13">
        <f t="shared" si="53"/>
        <v>2170.6999999999998</v>
      </c>
      <c r="Q864" s="13" t="str">
        <f t="shared" si="54"/>
        <v/>
      </c>
      <c r="R864" s="13" t="str">
        <f t="shared" si="55"/>
        <v>Diskon</v>
      </c>
    </row>
    <row r="865" spans="1:18" x14ac:dyDescent="0.25">
      <c r="A865" s="13" t="s">
        <v>877</v>
      </c>
      <c r="B865" s="13" t="s">
        <v>2192</v>
      </c>
      <c r="C865" s="13" t="s">
        <v>2200</v>
      </c>
      <c r="D865" s="13" t="s">
        <v>2207</v>
      </c>
      <c r="F865" s="13" t="s">
        <v>2224</v>
      </c>
      <c r="G865" s="13">
        <v>71.19</v>
      </c>
      <c r="H865" s="44">
        <v>0</v>
      </c>
      <c r="I865" s="13">
        <v>71.19</v>
      </c>
      <c r="J865" s="24">
        <v>45875</v>
      </c>
      <c r="K865" s="25">
        <v>14</v>
      </c>
      <c r="L865" s="25">
        <v>2.8</v>
      </c>
      <c r="M865" s="13" t="b">
        <v>0</v>
      </c>
      <c r="O865" s="25">
        <f t="shared" si="52"/>
        <v>27</v>
      </c>
      <c r="P865" s="13">
        <f t="shared" si="53"/>
        <v>0</v>
      </c>
      <c r="Q865" s="13" t="str">
        <f t="shared" si="54"/>
        <v/>
      </c>
      <c r="R865" s="13" t="str">
        <f t="shared" si="55"/>
        <v>Non diskon</v>
      </c>
    </row>
    <row r="866" spans="1:18" x14ac:dyDescent="0.25">
      <c r="A866" s="13" t="s">
        <v>878</v>
      </c>
      <c r="B866" s="13" t="s">
        <v>2190</v>
      </c>
      <c r="C866" s="13" t="s">
        <v>2203</v>
      </c>
      <c r="D866" s="13" t="s">
        <v>2204</v>
      </c>
      <c r="E866" s="13" t="s">
        <v>2210</v>
      </c>
      <c r="F866" s="13" t="s">
        <v>2222</v>
      </c>
      <c r="G866" s="13">
        <v>241.37</v>
      </c>
      <c r="H866" s="44">
        <v>44.9</v>
      </c>
      <c r="I866" s="13">
        <v>132.99</v>
      </c>
      <c r="J866" s="24">
        <v>45792</v>
      </c>
      <c r="K866" s="25">
        <v>23</v>
      </c>
      <c r="L866" s="25">
        <v>2.1</v>
      </c>
      <c r="M866" s="13" t="b">
        <v>0</v>
      </c>
      <c r="O866" s="25">
        <f t="shared" si="52"/>
        <v>110</v>
      </c>
      <c r="P866" s="13">
        <f t="shared" si="53"/>
        <v>1032.7</v>
      </c>
      <c r="Q866" s="13" t="str">
        <f t="shared" si="54"/>
        <v/>
      </c>
      <c r="R866" s="13" t="str">
        <f t="shared" si="55"/>
        <v>Diskon</v>
      </c>
    </row>
    <row r="867" spans="1:18" x14ac:dyDescent="0.25">
      <c r="A867" s="13" t="s">
        <v>879</v>
      </c>
      <c r="B867" s="13" t="s">
        <v>2190</v>
      </c>
      <c r="C867" s="13" t="s">
        <v>2202</v>
      </c>
      <c r="D867" s="13" t="s">
        <v>2206</v>
      </c>
      <c r="E867" s="13" t="s">
        <v>2211</v>
      </c>
      <c r="F867" s="13" t="s">
        <v>2219</v>
      </c>
      <c r="G867" s="13">
        <v>198.26</v>
      </c>
      <c r="H867" s="44">
        <v>51.3</v>
      </c>
      <c r="I867" s="13">
        <v>96.55</v>
      </c>
      <c r="J867" s="24">
        <v>45875</v>
      </c>
      <c r="K867" s="25">
        <v>38</v>
      </c>
      <c r="L867" s="25">
        <v>2.9034482758620692</v>
      </c>
      <c r="M867" s="13" t="b">
        <v>0</v>
      </c>
      <c r="O867" s="25">
        <f t="shared" si="52"/>
        <v>27</v>
      </c>
      <c r="P867" s="13">
        <f t="shared" si="53"/>
        <v>1949.3999999999999</v>
      </c>
      <c r="Q867" s="13" t="str">
        <f t="shared" si="54"/>
        <v/>
      </c>
      <c r="R867" s="13" t="str">
        <f t="shared" si="55"/>
        <v>Diskon</v>
      </c>
    </row>
    <row r="868" spans="1:18" x14ac:dyDescent="0.25">
      <c r="A868" s="13" t="s">
        <v>880</v>
      </c>
      <c r="B868" s="13" t="s">
        <v>2194</v>
      </c>
      <c r="C868" s="13" t="s">
        <v>2201</v>
      </c>
      <c r="D868" s="13" t="s">
        <v>2205</v>
      </c>
      <c r="E868" s="13" t="s">
        <v>2211</v>
      </c>
      <c r="F868" s="13" t="s">
        <v>2221</v>
      </c>
      <c r="G868" s="13">
        <v>64.069999999999993</v>
      </c>
      <c r="H868" s="44">
        <v>0</v>
      </c>
      <c r="I868" s="13">
        <v>64.069999999999993</v>
      </c>
      <c r="J868" s="24">
        <v>45875</v>
      </c>
      <c r="K868" s="25">
        <v>34</v>
      </c>
      <c r="L868" s="25">
        <v>3.0575757575757576</v>
      </c>
      <c r="M868" s="13" t="b">
        <v>0</v>
      </c>
      <c r="O868" s="25">
        <f t="shared" si="52"/>
        <v>27</v>
      </c>
      <c r="P868" s="13">
        <f t="shared" si="53"/>
        <v>0</v>
      </c>
      <c r="Q868" s="13" t="str">
        <f t="shared" si="54"/>
        <v/>
      </c>
      <c r="R868" s="13" t="str">
        <f t="shared" si="55"/>
        <v>Non diskon</v>
      </c>
    </row>
    <row r="869" spans="1:18" x14ac:dyDescent="0.25">
      <c r="A869" s="13" t="s">
        <v>881</v>
      </c>
      <c r="B869" s="13" t="s">
        <v>2194</v>
      </c>
      <c r="C869" s="13" t="s">
        <v>2196</v>
      </c>
      <c r="D869" s="13" t="s">
        <v>2206</v>
      </c>
      <c r="E869" s="13" t="s">
        <v>2208</v>
      </c>
      <c r="F869" s="13" t="s">
        <v>2218</v>
      </c>
      <c r="G869" s="13">
        <v>110.15</v>
      </c>
      <c r="H869" s="44">
        <v>10.4</v>
      </c>
      <c r="I869" s="13">
        <v>98.69</v>
      </c>
      <c r="J869" s="24">
        <v>45875</v>
      </c>
      <c r="K869" s="25">
        <v>36</v>
      </c>
      <c r="L869" s="25">
        <v>1.6</v>
      </c>
      <c r="M869" s="13" t="b">
        <v>0</v>
      </c>
      <c r="O869" s="25">
        <f t="shared" si="52"/>
        <v>27</v>
      </c>
      <c r="P869" s="13">
        <f t="shared" si="53"/>
        <v>374.40000000000003</v>
      </c>
      <c r="Q869" s="13" t="str">
        <f t="shared" si="54"/>
        <v/>
      </c>
      <c r="R869" s="13" t="str">
        <f t="shared" si="55"/>
        <v>Diskon</v>
      </c>
    </row>
    <row r="870" spans="1:18" x14ac:dyDescent="0.25">
      <c r="A870" s="13" t="s">
        <v>882</v>
      </c>
      <c r="B870" s="13" t="s">
        <v>2190</v>
      </c>
      <c r="C870" s="13" t="s">
        <v>2203</v>
      </c>
      <c r="D870" s="13" t="s">
        <v>2204</v>
      </c>
      <c r="E870" s="13" t="s">
        <v>2212</v>
      </c>
      <c r="F870" s="13" t="s">
        <v>2219</v>
      </c>
      <c r="G870" s="13">
        <v>120.68</v>
      </c>
      <c r="H870" s="44">
        <v>0</v>
      </c>
      <c r="I870" s="13">
        <v>120.68</v>
      </c>
      <c r="J870" s="24">
        <v>45647</v>
      </c>
      <c r="K870" s="25">
        <v>6</v>
      </c>
      <c r="L870" s="25">
        <v>1.9</v>
      </c>
      <c r="M870" s="13" t="b">
        <v>0</v>
      </c>
      <c r="O870" s="25">
        <f t="shared" si="52"/>
        <v>255</v>
      </c>
      <c r="P870" s="13">
        <f t="shared" si="53"/>
        <v>0</v>
      </c>
      <c r="Q870" s="13" t="str">
        <f t="shared" si="54"/>
        <v/>
      </c>
      <c r="R870" s="13" t="str">
        <f t="shared" si="55"/>
        <v>Non diskon</v>
      </c>
    </row>
    <row r="871" spans="1:18" x14ac:dyDescent="0.25">
      <c r="A871" s="13" t="s">
        <v>883</v>
      </c>
      <c r="B871" s="13" t="s">
        <v>2192</v>
      </c>
      <c r="C871" s="13" t="s">
        <v>2196</v>
      </c>
      <c r="D871" s="13" t="s">
        <v>2206</v>
      </c>
      <c r="F871" s="13" t="s">
        <v>2216</v>
      </c>
      <c r="G871" s="13">
        <v>69.180000000000007</v>
      </c>
      <c r="H871" s="44">
        <v>31</v>
      </c>
      <c r="I871" s="13">
        <v>47.73</v>
      </c>
      <c r="J871" s="24">
        <v>45875</v>
      </c>
      <c r="K871" s="25">
        <v>9</v>
      </c>
      <c r="L871" s="25">
        <v>2.7</v>
      </c>
      <c r="M871" s="13" t="b">
        <v>1</v>
      </c>
      <c r="N871" s="13" t="s">
        <v>2226</v>
      </c>
      <c r="O871" s="25">
        <f t="shared" si="52"/>
        <v>27</v>
      </c>
      <c r="P871" s="13">
        <f t="shared" si="53"/>
        <v>279</v>
      </c>
      <c r="Q871" s="13">
        <f t="shared" si="54"/>
        <v>1</v>
      </c>
      <c r="R871" s="13" t="str">
        <f t="shared" si="55"/>
        <v>Diskon</v>
      </c>
    </row>
    <row r="872" spans="1:18" x14ac:dyDescent="0.25">
      <c r="A872" s="13" t="s">
        <v>884</v>
      </c>
      <c r="B872" s="13" t="s">
        <v>2195</v>
      </c>
      <c r="C872" s="13" t="s">
        <v>2201</v>
      </c>
      <c r="D872" s="13" t="s">
        <v>2206</v>
      </c>
      <c r="E872" s="13" t="s">
        <v>2209</v>
      </c>
      <c r="F872" s="13" t="s">
        <v>2214</v>
      </c>
      <c r="G872" s="13">
        <v>134.77000000000001</v>
      </c>
      <c r="H872" s="44">
        <v>0</v>
      </c>
      <c r="I872" s="13">
        <v>134.77000000000001</v>
      </c>
      <c r="J872" s="24">
        <v>45875</v>
      </c>
      <c r="K872" s="25">
        <v>36</v>
      </c>
      <c r="L872" s="25">
        <v>4.8</v>
      </c>
      <c r="M872" s="13" t="b">
        <v>0</v>
      </c>
      <c r="O872" s="25">
        <f t="shared" si="52"/>
        <v>27</v>
      </c>
      <c r="P872" s="13">
        <f t="shared" si="53"/>
        <v>0</v>
      </c>
      <c r="Q872" s="13" t="str">
        <f t="shared" si="54"/>
        <v/>
      </c>
      <c r="R872" s="13" t="str">
        <f t="shared" si="55"/>
        <v>Non diskon</v>
      </c>
    </row>
    <row r="873" spans="1:18" x14ac:dyDescent="0.25">
      <c r="A873" s="13" t="s">
        <v>885</v>
      </c>
      <c r="B873" s="13" t="s">
        <v>2191</v>
      </c>
      <c r="C873" s="13" t="s">
        <v>2197</v>
      </c>
      <c r="D873" s="13" t="s">
        <v>2204</v>
      </c>
      <c r="E873" s="13" t="s">
        <v>2210</v>
      </c>
      <c r="F873" s="13" t="s">
        <v>2216</v>
      </c>
      <c r="G873" s="13">
        <v>29.93</v>
      </c>
      <c r="H873" s="44">
        <v>0</v>
      </c>
      <c r="I873" s="13">
        <v>29.93</v>
      </c>
      <c r="J873" s="24">
        <v>45575</v>
      </c>
      <c r="K873" s="25">
        <v>13</v>
      </c>
      <c r="L873" s="25">
        <v>3.34</v>
      </c>
      <c r="M873" s="13" t="b">
        <v>0</v>
      </c>
      <c r="O873" s="25">
        <f t="shared" si="52"/>
        <v>327</v>
      </c>
      <c r="P873" s="13">
        <f t="shared" si="53"/>
        <v>0</v>
      </c>
      <c r="Q873" s="13" t="str">
        <f t="shared" si="54"/>
        <v/>
      </c>
      <c r="R873" s="13" t="str">
        <f t="shared" si="55"/>
        <v>Non diskon</v>
      </c>
    </row>
    <row r="874" spans="1:18" x14ac:dyDescent="0.25">
      <c r="A874" s="13" t="s">
        <v>886</v>
      </c>
      <c r="B874" s="13" t="s">
        <v>2192</v>
      </c>
      <c r="C874" s="13" t="s">
        <v>2202</v>
      </c>
      <c r="D874" s="13" t="s">
        <v>2205</v>
      </c>
      <c r="F874" s="13" t="s">
        <v>2217</v>
      </c>
      <c r="G874" s="13">
        <v>56.09</v>
      </c>
      <c r="H874" s="44">
        <v>0</v>
      </c>
      <c r="I874" s="13">
        <v>56.09</v>
      </c>
      <c r="J874" s="24">
        <v>45875</v>
      </c>
      <c r="K874" s="25">
        <v>21</v>
      </c>
      <c r="L874" s="25">
        <v>4.9000000000000004</v>
      </c>
      <c r="M874" s="13" t="b">
        <v>0</v>
      </c>
      <c r="O874" s="25">
        <f t="shared" si="52"/>
        <v>27</v>
      </c>
      <c r="P874" s="13">
        <f t="shared" si="53"/>
        <v>0</v>
      </c>
      <c r="Q874" s="13" t="str">
        <f t="shared" si="54"/>
        <v/>
      </c>
      <c r="R874" s="13" t="str">
        <f t="shared" si="55"/>
        <v>Non diskon</v>
      </c>
    </row>
    <row r="875" spans="1:18" x14ac:dyDescent="0.25">
      <c r="A875" s="13" t="s">
        <v>887</v>
      </c>
      <c r="B875" s="13" t="s">
        <v>2193</v>
      </c>
      <c r="C875" s="13" t="s">
        <v>2202</v>
      </c>
      <c r="D875" s="13" t="s">
        <v>2206</v>
      </c>
      <c r="E875" s="13" t="s">
        <v>2212</v>
      </c>
      <c r="F875" s="13" t="s">
        <v>2220</v>
      </c>
      <c r="G875" s="13">
        <v>124.81</v>
      </c>
      <c r="H875" s="44">
        <v>33.1</v>
      </c>
      <c r="I875" s="13">
        <v>83.5</v>
      </c>
      <c r="J875" s="24">
        <v>45875</v>
      </c>
      <c r="K875" s="25">
        <v>45</v>
      </c>
      <c r="L875" s="25">
        <v>2.4</v>
      </c>
      <c r="M875" s="13" t="b">
        <v>0</v>
      </c>
      <c r="O875" s="25">
        <f t="shared" si="52"/>
        <v>27</v>
      </c>
      <c r="P875" s="13">
        <f t="shared" si="53"/>
        <v>1489.5</v>
      </c>
      <c r="Q875" s="13" t="str">
        <f t="shared" si="54"/>
        <v/>
      </c>
      <c r="R875" s="13" t="str">
        <f t="shared" si="55"/>
        <v>Diskon</v>
      </c>
    </row>
    <row r="876" spans="1:18" x14ac:dyDescent="0.25">
      <c r="A876" s="13" t="s">
        <v>888</v>
      </c>
      <c r="B876" s="13" t="s">
        <v>2195</v>
      </c>
      <c r="C876" s="13" t="s">
        <v>2196</v>
      </c>
      <c r="D876" s="13" t="s">
        <v>2204</v>
      </c>
      <c r="E876" s="13" t="s">
        <v>2213</v>
      </c>
      <c r="F876" s="13" t="s">
        <v>2217</v>
      </c>
      <c r="G876" s="13">
        <v>94.03</v>
      </c>
      <c r="H876" s="44">
        <v>56.1</v>
      </c>
      <c r="I876" s="13">
        <v>41.28</v>
      </c>
      <c r="J876" s="24">
        <v>45642</v>
      </c>
      <c r="K876" s="25">
        <v>16</v>
      </c>
      <c r="L876" s="25">
        <v>1.2</v>
      </c>
      <c r="M876" s="13" t="b">
        <v>0</v>
      </c>
      <c r="O876" s="25">
        <f t="shared" si="52"/>
        <v>260</v>
      </c>
      <c r="P876" s="13">
        <f t="shared" si="53"/>
        <v>897.6</v>
      </c>
      <c r="Q876" s="13" t="str">
        <f t="shared" si="54"/>
        <v/>
      </c>
      <c r="R876" s="13" t="str">
        <f t="shared" si="55"/>
        <v>Diskon</v>
      </c>
    </row>
    <row r="877" spans="1:18" x14ac:dyDescent="0.25">
      <c r="A877" s="13" t="s">
        <v>889</v>
      </c>
      <c r="B877" s="13" t="s">
        <v>2193</v>
      </c>
      <c r="C877" s="13" t="s">
        <v>2196</v>
      </c>
      <c r="D877" s="13" t="s">
        <v>2206</v>
      </c>
      <c r="E877" s="13" t="s">
        <v>2212</v>
      </c>
      <c r="F877" s="13" t="s">
        <v>2214</v>
      </c>
      <c r="G877" s="13">
        <v>109.51</v>
      </c>
      <c r="H877" s="44">
        <v>8.1999999999999993</v>
      </c>
      <c r="I877" s="13">
        <v>100.53</v>
      </c>
      <c r="J877" s="24">
        <v>45875</v>
      </c>
      <c r="K877" s="25">
        <v>12</v>
      </c>
      <c r="L877" s="25">
        <v>2.9153846153846157</v>
      </c>
      <c r="M877" s="13" t="b">
        <v>0</v>
      </c>
      <c r="O877" s="25">
        <f t="shared" si="52"/>
        <v>27</v>
      </c>
      <c r="P877" s="13">
        <f t="shared" si="53"/>
        <v>98.399999999999991</v>
      </c>
      <c r="Q877" s="13" t="str">
        <f t="shared" si="54"/>
        <v/>
      </c>
      <c r="R877" s="13" t="str">
        <f t="shared" si="55"/>
        <v>Diskon</v>
      </c>
    </row>
    <row r="878" spans="1:18" x14ac:dyDescent="0.25">
      <c r="A878" s="13" t="s">
        <v>890</v>
      </c>
      <c r="B878" s="13" t="s">
        <v>2192</v>
      </c>
      <c r="C878" s="13" t="s">
        <v>2199</v>
      </c>
      <c r="D878" s="13" t="s">
        <v>2205</v>
      </c>
      <c r="F878" s="13" t="s">
        <v>2222</v>
      </c>
      <c r="G878" s="13">
        <v>31.13</v>
      </c>
      <c r="H878" s="44">
        <v>0</v>
      </c>
      <c r="I878" s="13">
        <v>31.13</v>
      </c>
      <c r="J878" s="24">
        <v>45875</v>
      </c>
      <c r="K878" s="25">
        <v>29</v>
      </c>
      <c r="L878" s="25">
        <v>4.7</v>
      </c>
      <c r="M878" s="13" t="b">
        <v>0</v>
      </c>
      <c r="O878" s="25">
        <f t="shared" si="52"/>
        <v>27</v>
      </c>
      <c r="P878" s="13">
        <f t="shared" si="53"/>
        <v>0</v>
      </c>
      <c r="Q878" s="13" t="str">
        <f t="shared" si="54"/>
        <v/>
      </c>
      <c r="R878" s="13" t="str">
        <f t="shared" si="55"/>
        <v>Non diskon</v>
      </c>
    </row>
    <row r="879" spans="1:18" x14ac:dyDescent="0.25">
      <c r="A879" s="13" t="s">
        <v>891</v>
      </c>
      <c r="B879" s="13" t="s">
        <v>2192</v>
      </c>
      <c r="C879" s="13" t="s">
        <v>2198</v>
      </c>
      <c r="D879" s="13" t="s">
        <v>2206</v>
      </c>
      <c r="F879" s="13" t="s">
        <v>2219</v>
      </c>
      <c r="G879" s="13">
        <v>66.3</v>
      </c>
      <c r="H879" s="44">
        <v>1.7</v>
      </c>
      <c r="I879" s="13">
        <v>65.17</v>
      </c>
      <c r="J879" s="24">
        <v>45875</v>
      </c>
      <c r="K879" s="25">
        <v>28</v>
      </c>
      <c r="L879" s="25">
        <v>1.6</v>
      </c>
      <c r="M879" s="13" t="b">
        <v>0</v>
      </c>
      <c r="O879" s="25">
        <f t="shared" si="52"/>
        <v>27</v>
      </c>
      <c r="P879" s="13">
        <f t="shared" si="53"/>
        <v>47.6</v>
      </c>
      <c r="Q879" s="13" t="str">
        <f t="shared" si="54"/>
        <v/>
      </c>
      <c r="R879" s="13" t="str">
        <f t="shared" si="55"/>
        <v>Diskon</v>
      </c>
    </row>
    <row r="880" spans="1:18" x14ac:dyDescent="0.25">
      <c r="A880" s="13" t="s">
        <v>892</v>
      </c>
      <c r="B880" s="13" t="s">
        <v>2194</v>
      </c>
      <c r="C880" s="13" t="s">
        <v>2200</v>
      </c>
      <c r="D880" s="13" t="s">
        <v>2205</v>
      </c>
      <c r="E880" s="13" t="s">
        <v>2213</v>
      </c>
      <c r="F880" s="13" t="s">
        <v>2214</v>
      </c>
      <c r="G880" s="13">
        <v>66.63</v>
      </c>
      <c r="H880" s="44">
        <v>28.4</v>
      </c>
      <c r="I880" s="13">
        <v>47.71</v>
      </c>
      <c r="J880" s="24">
        <v>45875</v>
      </c>
      <c r="K880" s="25">
        <v>32</v>
      </c>
      <c r="L880" s="25">
        <v>2</v>
      </c>
      <c r="M880" s="13" t="b">
        <v>0</v>
      </c>
      <c r="O880" s="25">
        <f t="shared" si="52"/>
        <v>27</v>
      </c>
      <c r="P880" s="13">
        <f t="shared" si="53"/>
        <v>908.8</v>
      </c>
      <c r="Q880" s="13" t="str">
        <f t="shared" si="54"/>
        <v/>
      </c>
      <c r="R880" s="13" t="str">
        <f t="shared" si="55"/>
        <v>Diskon</v>
      </c>
    </row>
    <row r="881" spans="1:18" x14ac:dyDescent="0.25">
      <c r="A881" s="13" t="s">
        <v>893</v>
      </c>
      <c r="B881" s="13" t="s">
        <v>2194</v>
      </c>
      <c r="C881" s="13" t="s">
        <v>2199</v>
      </c>
      <c r="D881" s="13" t="s">
        <v>2204</v>
      </c>
      <c r="E881" s="13" t="s">
        <v>2209</v>
      </c>
      <c r="F881" s="13" t="s">
        <v>2220</v>
      </c>
      <c r="G881" s="13">
        <v>117.63</v>
      </c>
      <c r="H881" s="44">
        <v>0</v>
      </c>
      <c r="I881" s="13">
        <v>117.63</v>
      </c>
      <c r="J881" s="24">
        <v>45563</v>
      </c>
      <c r="K881" s="25">
        <v>18</v>
      </c>
      <c r="L881" s="25">
        <v>1.2</v>
      </c>
      <c r="M881" s="13" t="b">
        <v>0</v>
      </c>
      <c r="O881" s="25">
        <f t="shared" si="52"/>
        <v>339</v>
      </c>
      <c r="P881" s="13">
        <f t="shared" si="53"/>
        <v>0</v>
      </c>
      <c r="Q881" s="13" t="str">
        <f t="shared" si="54"/>
        <v/>
      </c>
      <c r="R881" s="13" t="str">
        <f t="shared" si="55"/>
        <v>Non diskon</v>
      </c>
    </row>
    <row r="882" spans="1:18" x14ac:dyDescent="0.25">
      <c r="A882" s="13" t="s">
        <v>894</v>
      </c>
      <c r="B882" s="13" t="s">
        <v>2193</v>
      </c>
      <c r="C882" s="13" t="s">
        <v>2198</v>
      </c>
      <c r="D882" s="13" t="s">
        <v>2205</v>
      </c>
      <c r="E882" s="13" t="s">
        <v>2213</v>
      </c>
      <c r="F882" s="13" t="s">
        <v>2223</v>
      </c>
      <c r="G882" s="13">
        <v>174.53</v>
      </c>
      <c r="H882" s="44">
        <v>0</v>
      </c>
      <c r="I882" s="13">
        <v>174.53</v>
      </c>
      <c r="J882" s="24">
        <v>45875</v>
      </c>
      <c r="K882" s="25">
        <v>45</v>
      </c>
      <c r="L882" s="25">
        <v>3.1936170212765949</v>
      </c>
      <c r="M882" s="13" t="b">
        <v>0</v>
      </c>
      <c r="O882" s="25">
        <f t="shared" si="52"/>
        <v>27</v>
      </c>
      <c r="P882" s="13">
        <f t="shared" si="53"/>
        <v>0</v>
      </c>
      <c r="Q882" s="13" t="str">
        <f t="shared" si="54"/>
        <v/>
      </c>
      <c r="R882" s="13" t="str">
        <f t="shared" si="55"/>
        <v>Non diskon</v>
      </c>
    </row>
    <row r="883" spans="1:18" x14ac:dyDescent="0.25">
      <c r="A883" s="13" t="s">
        <v>895</v>
      </c>
      <c r="B883" s="13" t="s">
        <v>2195</v>
      </c>
      <c r="C883" s="13" t="s">
        <v>2196</v>
      </c>
      <c r="D883" s="13" t="s">
        <v>2205</v>
      </c>
      <c r="E883" s="13" t="s">
        <v>2210</v>
      </c>
      <c r="F883" s="13" t="s">
        <v>2220</v>
      </c>
      <c r="G883" s="13">
        <v>152.65</v>
      </c>
      <c r="H883" s="44">
        <v>0</v>
      </c>
      <c r="I883" s="13">
        <v>152.65</v>
      </c>
      <c r="J883" s="24">
        <v>45875</v>
      </c>
      <c r="K883" s="25">
        <v>27</v>
      </c>
      <c r="L883" s="25">
        <v>3.7</v>
      </c>
      <c r="M883" s="13" t="b">
        <v>0</v>
      </c>
      <c r="O883" s="25">
        <f t="shared" si="52"/>
        <v>27</v>
      </c>
      <c r="P883" s="13">
        <f t="shared" si="53"/>
        <v>0</v>
      </c>
      <c r="Q883" s="13" t="str">
        <f t="shared" si="54"/>
        <v/>
      </c>
      <c r="R883" s="13" t="str">
        <f t="shared" si="55"/>
        <v>Non diskon</v>
      </c>
    </row>
    <row r="884" spans="1:18" x14ac:dyDescent="0.25">
      <c r="A884" s="13" t="s">
        <v>896</v>
      </c>
      <c r="B884" s="13" t="s">
        <v>2190</v>
      </c>
      <c r="C884" s="13" t="s">
        <v>2201</v>
      </c>
      <c r="D884" s="13" t="s">
        <v>2207</v>
      </c>
      <c r="E884" s="13" t="s">
        <v>2208</v>
      </c>
      <c r="F884" s="13" t="s">
        <v>2219</v>
      </c>
      <c r="G884" s="13">
        <v>83.24</v>
      </c>
      <c r="H884" s="44">
        <v>0</v>
      </c>
      <c r="I884" s="13">
        <v>83.24</v>
      </c>
      <c r="J884" s="24">
        <v>45875</v>
      </c>
      <c r="K884" s="25">
        <v>16</v>
      </c>
      <c r="L884" s="25">
        <v>3.0305555555555546</v>
      </c>
      <c r="M884" s="13" t="b">
        <v>0</v>
      </c>
      <c r="O884" s="25">
        <f t="shared" si="52"/>
        <v>27</v>
      </c>
      <c r="P884" s="13">
        <f t="shared" si="53"/>
        <v>0</v>
      </c>
      <c r="Q884" s="13" t="str">
        <f t="shared" si="54"/>
        <v/>
      </c>
      <c r="R884" s="13" t="str">
        <f t="shared" si="55"/>
        <v>Non diskon</v>
      </c>
    </row>
    <row r="885" spans="1:18" x14ac:dyDescent="0.25">
      <c r="A885" s="13" t="s">
        <v>897</v>
      </c>
      <c r="B885" s="13" t="s">
        <v>2192</v>
      </c>
      <c r="C885" s="13" t="s">
        <v>2196</v>
      </c>
      <c r="D885" s="13" t="s">
        <v>2205</v>
      </c>
      <c r="F885" s="13" t="s">
        <v>2224</v>
      </c>
      <c r="G885" s="13">
        <v>40.18</v>
      </c>
      <c r="H885" s="44">
        <v>0</v>
      </c>
      <c r="I885" s="13">
        <v>40.18</v>
      </c>
      <c r="J885" s="24">
        <v>45875</v>
      </c>
      <c r="K885" s="25">
        <v>27</v>
      </c>
      <c r="L885" s="25">
        <v>4.7</v>
      </c>
      <c r="M885" s="13" t="b">
        <v>0</v>
      </c>
      <c r="O885" s="25">
        <f t="shared" si="52"/>
        <v>27</v>
      </c>
      <c r="P885" s="13">
        <f t="shared" si="53"/>
        <v>0</v>
      </c>
      <c r="Q885" s="13" t="str">
        <f t="shared" si="54"/>
        <v/>
      </c>
      <c r="R885" s="13" t="str">
        <f t="shared" si="55"/>
        <v>Non diskon</v>
      </c>
    </row>
    <row r="886" spans="1:18" x14ac:dyDescent="0.25">
      <c r="A886" s="13" t="s">
        <v>898</v>
      </c>
      <c r="B886" s="13" t="s">
        <v>2194</v>
      </c>
      <c r="C886" s="13" t="s">
        <v>2199</v>
      </c>
      <c r="D886" s="13" t="s">
        <v>2204</v>
      </c>
      <c r="E886" s="13" t="s">
        <v>2208</v>
      </c>
      <c r="F886" s="13" t="s">
        <v>2214</v>
      </c>
      <c r="G886" s="13">
        <v>73.77</v>
      </c>
      <c r="H886" s="44">
        <v>22.8</v>
      </c>
      <c r="I886" s="13">
        <v>56.95</v>
      </c>
      <c r="J886" s="24">
        <v>45522</v>
      </c>
      <c r="K886" s="25">
        <v>0</v>
      </c>
      <c r="L886" s="25">
        <v>2.8142857142857149</v>
      </c>
      <c r="M886" s="13" t="b">
        <v>0</v>
      </c>
      <c r="O886" s="25">
        <f t="shared" si="52"/>
        <v>380</v>
      </c>
      <c r="P886" s="13">
        <f t="shared" si="53"/>
        <v>0</v>
      </c>
      <c r="Q886" s="13" t="str">
        <f t="shared" si="54"/>
        <v/>
      </c>
      <c r="R886" s="13" t="str">
        <f t="shared" si="55"/>
        <v>Diskon</v>
      </c>
    </row>
    <row r="887" spans="1:18" x14ac:dyDescent="0.25">
      <c r="A887" s="13" t="s">
        <v>899</v>
      </c>
      <c r="B887" s="13" t="s">
        <v>2192</v>
      </c>
      <c r="C887" s="13" t="s">
        <v>2203</v>
      </c>
      <c r="D887" s="13" t="s">
        <v>2205</v>
      </c>
      <c r="F887" s="13" t="s">
        <v>2214</v>
      </c>
      <c r="G887" s="13">
        <v>71.3</v>
      </c>
      <c r="H887" s="44">
        <v>0</v>
      </c>
      <c r="I887" s="13">
        <v>71.3</v>
      </c>
      <c r="J887" s="24">
        <v>45875</v>
      </c>
      <c r="K887" s="25">
        <v>29</v>
      </c>
      <c r="L887" s="25">
        <v>2.8636363636363633</v>
      </c>
      <c r="M887" s="13" t="b">
        <v>0</v>
      </c>
      <c r="O887" s="25">
        <f t="shared" si="52"/>
        <v>27</v>
      </c>
      <c r="P887" s="13">
        <f t="shared" si="53"/>
        <v>0</v>
      </c>
      <c r="Q887" s="13" t="str">
        <f t="shared" si="54"/>
        <v/>
      </c>
      <c r="R887" s="13" t="str">
        <f t="shared" si="55"/>
        <v>Non diskon</v>
      </c>
    </row>
    <row r="888" spans="1:18" x14ac:dyDescent="0.25">
      <c r="A888" s="13" t="s">
        <v>900</v>
      </c>
      <c r="B888" s="13" t="s">
        <v>2192</v>
      </c>
      <c r="C888" s="13" t="s">
        <v>2203</v>
      </c>
      <c r="D888" s="13" t="s">
        <v>2207</v>
      </c>
      <c r="F888" s="13" t="s">
        <v>2221</v>
      </c>
      <c r="G888" s="13">
        <v>50.3</v>
      </c>
      <c r="H888" s="44">
        <v>52.8</v>
      </c>
      <c r="I888" s="13">
        <v>23.74</v>
      </c>
      <c r="J888" s="24">
        <v>45875</v>
      </c>
      <c r="K888" s="25">
        <v>11</v>
      </c>
      <c r="L888" s="25">
        <v>2.8636363636363633</v>
      </c>
      <c r="M888" s="13" t="b">
        <v>0</v>
      </c>
      <c r="O888" s="25">
        <f t="shared" si="52"/>
        <v>27</v>
      </c>
      <c r="P888" s="13">
        <f t="shared" si="53"/>
        <v>580.79999999999995</v>
      </c>
      <c r="Q888" s="13" t="str">
        <f t="shared" si="54"/>
        <v/>
      </c>
      <c r="R888" s="13" t="str">
        <f t="shared" si="55"/>
        <v>Diskon</v>
      </c>
    </row>
    <row r="889" spans="1:18" x14ac:dyDescent="0.25">
      <c r="A889" s="13" t="s">
        <v>901</v>
      </c>
      <c r="B889" s="13" t="s">
        <v>2192</v>
      </c>
      <c r="C889" s="13" t="s">
        <v>2200</v>
      </c>
      <c r="D889" s="13" t="s">
        <v>2204</v>
      </c>
      <c r="F889" s="13" t="s">
        <v>2220</v>
      </c>
      <c r="G889" s="13">
        <v>46.97</v>
      </c>
      <c r="H889" s="44">
        <v>0</v>
      </c>
      <c r="I889" s="13">
        <v>46.97</v>
      </c>
      <c r="J889" s="24">
        <v>45712</v>
      </c>
      <c r="K889" s="25">
        <v>33</v>
      </c>
      <c r="L889" s="25">
        <v>2.6</v>
      </c>
      <c r="M889" s="13" t="b">
        <v>0</v>
      </c>
      <c r="O889" s="25">
        <f t="shared" si="52"/>
        <v>190</v>
      </c>
      <c r="P889" s="13">
        <f t="shared" si="53"/>
        <v>0</v>
      </c>
      <c r="Q889" s="13" t="str">
        <f t="shared" si="54"/>
        <v/>
      </c>
      <c r="R889" s="13" t="str">
        <f t="shared" si="55"/>
        <v>Non diskon</v>
      </c>
    </row>
    <row r="890" spans="1:18" x14ac:dyDescent="0.25">
      <c r="A890" s="13" t="s">
        <v>902</v>
      </c>
      <c r="B890" s="13" t="s">
        <v>2193</v>
      </c>
      <c r="C890" s="13" t="s">
        <v>2196</v>
      </c>
      <c r="D890" s="13" t="s">
        <v>2206</v>
      </c>
      <c r="F890" s="13" t="s">
        <v>2224</v>
      </c>
      <c r="G890" s="13">
        <v>162.9</v>
      </c>
      <c r="H890" s="44">
        <v>0</v>
      </c>
      <c r="I890" s="13">
        <v>162.9</v>
      </c>
      <c r="J890" s="24">
        <v>45875</v>
      </c>
      <c r="K890" s="25">
        <v>30</v>
      </c>
      <c r="L890" s="25">
        <v>1.9</v>
      </c>
      <c r="M890" s="13" t="b">
        <v>0</v>
      </c>
      <c r="O890" s="25">
        <f t="shared" si="52"/>
        <v>27</v>
      </c>
      <c r="P890" s="13">
        <f t="shared" si="53"/>
        <v>0</v>
      </c>
      <c r="Q890" s="13" t="str">
        <f t="shared" si="54"/>
        <v/>
      </c>
      <c r="R890" s="13" t="str">
        <f t="shared" si="55"/>
        <v>Non diskon</v>
      </c>
    </row>
    <row r="891" spans="1:18" x14ac:dyDescent="0.25">
      <c r="A891" s="13" t="s">
        <v>903</v>
      </c>
      <c r="B891" s="13" t="s">
        <v>2194</v>
      </c>
      <c r="C891" s="13" t="s">
        <v>2203</v>
      </c>
      <c r="D891" s="13" t="s">
        <v>2205</v>
      </c>
      <c r="E891" s="13" t="s">
        <v>2208</v>
      </c>
      <c r="F891" s="13" t="s">
        <v>2217</v>
      </c>
      <c r="G891" s="13">
        <v>57.14</v>
      </c>
      <c r="H891" s="44">
        <v>0</v>
      </c>
      <c r="I891" s="13">
        <v>57.14</v>
      </c>
      <c r="J891" s="24">
        <v>45875</v>
      </c>
      <c r="K891" s="25">
        <v>39</v>
      </c>
      <c r="L891" s="25">
        <v>1.4</v>
      </c>
      <c r="M891" s="13" t="b">
        <v>0</v>
      </c>
      <c r="O891" s="25">
        <f t="shared" si="52"/>
        <v>27</v>
      </c>
      <c r="P891" s="13">
        <f t="shared" si="53"/>
        <v>0</v>
      </c>
      <c r="Q891" s="13" t="str">
        <f t="shared" si="54"/>
        <v/>
      </c>
      <c r="R891" s="13" t="str">
        <f t="shared" si="55"/>
        <v>Non diskon</v>
      </c>
    </row>
    <row r="892" spans="1:18" x14ac:dyDescent="0.25">
      <c r="A892" s="13" t="s">
        <v>904</v>
      </c>
      <c r="B892" s="13" t="s">
        <v>2193</v>
      </c>
      <c r="C892" s="13" t="s">
        <v>2201</v>
      </c>
      <c r="D892" s="13" t="s">
        <v>2204</v>
      </c>
      <c r="E892" s="13" t="s">
        <v>2209</v>
      </c>
      <c r="F892" s="13" t="s">
        <v>2223</v>
      </c>
      <c r="G892" s="13">
        <v>93.6</v>
      </c>
      <c r="H892" s="44">
        <v>0</v>
      </c>
      <c r="I892" s="13">
        <v>93.6</v>
      </c>
      <c r="J892" s="24">
        <v>45544</v>
      </c>
      <c r="K892" s="25">
        <v>49</v>
      </c>
      <c r="L892" s="25">
        <v>4.3</v>
      </c>
      <c r="M892" s="13" t="b">
        <v>0</v>
      </c>
      <c r="O892" s="25">
        <f t="shared" si="52"/>
        <v>358</v>
      </c>
      <c r="P892" s="13">
        <f t="shared" si="53"/>
        <v>0</v>
      </c>
      <c r="Q892" s="13" t="str">
        <f t="shared" si="54"/>
        <v/>
      </c>
      <c r="R892" s="13" t="str">
        <f t="shared" si="55"/>
        <v>Non diskon</v>
      </c>
    </row>
    <row r="893" spans="1:18" x14ac:dyDescent="0.25">
      <c r="A893" s="13" t="s">
        <v>905</v>
      </c>
      <c r="B893" s="13" t="s">
        <v>2192</v>
      </c>
      <c r="C893" s="13" t="s">
        <v>2203</v>
      </c>
      <c r="D893" s="13" t="s">
        <v>2204</v>
      </c>
      <c r="F893" s="13" t="s">
        <v>2224</v>
      </c>
      <c r="G893" s="13">
        <v>64.56</v>
      </c>
      <c r="H893" s="44">
        <v>43</v>
      </c>
      <c r="I893" s="13">
        <v>36.799999999999997</v>
      </c>
      <c r="J893" s="24">
        <v>45510</v>
      </c>
      <c r="K893" s="25">
        <v>36</v>
      </c>
      <c r="L893" s="25">
        <v>3.9</v>
      </c>
      <c r="M893" s="13" t="b">
        <v>0</v>
      </c>
      <c r="O893" s="25">
        <f t="shared" si="52"/>
        <v>392</v>
      </c>
      <c r="P893" s="13">
        <f t="shared" si="53"/>
        <v>1548</v>
      </c>
      <c r="Q893" s="13" t="str">
        <f t="shared" si="54"/>
        <v/>
      </c>
      <c r="R893" s="13" t="str">
        <f t="shared" si="55"/>
        <v>Diskon</v>
      </c>
    </row>
    <row r="894" spans="1:18" x14ac:dyDescent="0.25">
      <c r="A894" s="13" t="s">
        <v>906</v>
      </c>
      <c r="B894" s="13" t="s">
        <v>2190</v>
      </c>
      <c r="C894" s="13" t="s">
        <v>2201</v>
      </c>
      <c r="D894" s="13" t="s">
        <v>2205</v>
      </c>
      <c r="E894" s="13" t="s">
        <v>2210</v>
      </c>
      <c r="F894" s="13" t="s">
        <v>2222</v>
      </c>
      <c r="G894" s="13">
        <v>142.34</v>
      </c>
      <c r="H894" s="44">
        <v>0</v>
      </c>
      <c r="I894" s="13">
        <v>142.34</v>
      </c>
      <c r="J894" s="24">
        <v>45875</v>
      </c>
      <c r="K894" s="25">
        <v>43</v>
      </c>
      <c r="L894" s="25">
        <v>3.0305555555555546</v>
      </c>
      <c r="M894" s="13" t="b">
        <v>0</v>
      </c>
      <c r="O894" s="25">
        <f t="shared" si="52"/>
        <v>27</v>
      </c>
      <c r="P894" s="13">
        <f t="shared" si="53"/>
        <v>0</v>
      </c>
      <c r="Q894" s="13" t="str">
        <f t="shared" si="54"/>
        <v/>
      </c>
      <c r="R894" s="13" t="str">
        <f t="shared" si="55"/>
        <v>Non diskon</v>
      </c>
    </row>
    <row r="895" spans="1:18" x14ac:dyDescent="0.25">
      <c r="A895" s="13" t="s">
        <v>907</v>
      </c>
      <c r="B895" s="13" t="s">
        <v>2193</v>
      </c>
      <c r="C895" s="13" t="s">
        <v>2202</v>
      </c>
      <c r="D895" s="13" t="s">
        <v>2204</v>
      </c>
      <c r="E895" s="13" t="s">
        <v>2212</v>
      </c>
      <c r="F895" s="13" t="s">
        <v>2217</v>
      </c>
      <c r="G895" s="13">
        <v>111.02</v>
      </c>
      <c r="H895" s="44">
        <v>57.8</v>
      </c>
      <c r="I895" s="13">
        <v>46.85</v>
      </c>
      <c r="J895" s="24">
        <v>45796</v>
      </c>
      <c r="K895" s="25">
        <v>11</v>
      </c>
      <c r="L895" s="25">
        <v>2.2000000000000002</v>
      </c>
      <c r="M895" s="13" t="b">
        <v>0</v>
      </c>
      <c r="O895" s="25">
        <f t="shared" si="52"/>
        <v>106</v>
      </c>
      <c r="P895" s="13">
        <f t="shared" si="53"/>
        <v>635.79999999999995</v>
      </c>
      <c r="Q895" s="13" t="str">
        <f t="shared" si="54"/>
        <v/>
      </c>
      <c r="R895" s="13" t="str">
        <f t="shared" si="55"/>
        <v>Diskon</v>
      </c>
    </row>
    <row r="896" spans="1:18" x14ac:dyDescent="0.25">
      <c r="A896" s="13" t="s">
        <v>908</v>
      </c>
      <c r="B896" s="13" t="s">
        <v>2191</v>
      </c>
      <c r="C896" s="13" t="s">
        <v>2198</v>
      </c>
      <c r="D896" s="13" t="s">
        <v>2205</v>
      </c>
      <c r="F896" s="13" t="s">
        <v>2216</v>
      </c>
      <c r="G896" s="13">
        <v>29.16</v>
      </c>
      <c r="H896" s="44">
        <v>49</v>
      </c>
      <c r="I896" s="13">
        <v>14.87</v>
      </c>
      <c r="J896" s="24">
        <v>45875</v>
      </c>
      <c r="K896" s="25">
        <v>31</v>
      </c>
      <c r="L896" s="25">
        <v>2.953125</v>
      </c>
      <c r="M896" s="13" t="b">
        <v>0</v>
      </c>
      <c r="O896" s="25">
        <f t="shared" si="52"/>
        <v>27</v>
      </c>
      <c r="P896" s="13">
        <f t="shared" si="53"/>
        <v>1519</v>
      </c>
      <c r="Q896" s="13" t="str">
        <f t="shared" si="54"/>
        <v/>
      </c>
      <c r="R896" s="13" t="str">
        <f t="shared" si="55"/>
        <v>Diskon</v>
      </c>
    </row>
    <row r="897" spans="1:18" x14ac:dyDescent="0.25">
      <c r="A897" s="13" t="s">
        <v>909</v>
      </c>
      <c r="B897" s="13" t="s">
        <v>2191</v>
      </c>
      <c r="C897" s="13" t="s">
        <v>2201</v>
      </c>
      <c r="D897" s="13" t="s">
        <v>2207</v>
      </c>
      <c r="E897" s="13" t="s">
        <v>2212</v>
      </c>
      <c r="F897" s="13" t="s">
        <v>2216</v>
      </c>
      <c r="G897" s="13">
        <v>30.46</v>
      </c>
      <c r="H897" s="44">
        <v>0</v>
      </c>
      <c r="I897" s="13">
        <v>30.46</v>
      </c>
      <c r="J897" s="24">
        <v>45875</v>
      </c>
      <c r="K897" s="25">
        <v>19</v>
      </c>
      <c r="L897" s="25">
        <v>1.2</v>
      </c>
      <c r="M897" s="13" t="b">
        <v>0</v>
      </c>
      <c r="O897" s="25">
        <f t="shared" si="52"/>
        <v>27</v>
      </c>
      <c r="P897" s="13">
        <f t="shared" si="53"/>
        <v>0</v>
      </c>
      <c r="Q897" s="13" t="str">
        <f t="shared" si="54"/>
        <v/>
      </c>
      <c r="R897" s="13" t="str">
        <f t="shared" si="55"/>
        <v>Non diskon</v>
      </c>
    </row>
    <row r="898" spans="1:18" x14ac:dyDescent="0.25">
      <c r="A898" s="13" t="s">
        <v>910</v>
      </c>
      <c r="B898" s="13" t="s">
        <v>2192</v>
      </c>
      <c r="C898" s="13" t="s">
        <v>2203</v>
      </c>
      <c r="D898" s="13" t="s">
        <v>2205</v>
      </c>
      <c r="F898" s="13" t="s">
        <v>2219</v>
      </c>
      <c r="G898" s="13">
        <v>31.32</v>
      </c>
      <c r="H898" s="44">
        <v>0</v>
      </c>
      <c r="I898" s="13">
        <v>31.32</v>
      </c>
      <c r="J898" s="24">
        <v>45875</v>
      </c>
      <c r="K898" s="25">
        <v>28</v>
      </c>
      <c r="L898" s="25">
        <v>2.7</v>
      </c>
      <c r="M898" s="13" t="b">
        <v>0</v>
      </c>
      <c r="O898" s="25">
        <f t="shared" si="52"/>
        <v>27</v>
      </c>
      <c r="P898" s="13">
        <f t="shared" si="53"/>
        <v>0</v>
      </c>
      <c r="Q898" s="13" t="str">
        <f t="shared" si="54"/>
        <v/>
      </c>
      <c r="R898" s="13" t="str">
        <f t="shared" si="55"/>
        <v>Non diskon</v>
      </c>
    </row>
    <row r="899" spans="1:18" x14ac:dyDescent="0.25">
      <c r="A899" s="13" t="s">
        <v>911</v>
      </c>
      <c r="B899" s="13" t="s">
        <v>2194</v>
      </c>
      <c r="C899" s="13" t="s">
        <v>2197</v>
      </c>
      <c r="D899" s="13" t="s">
        <v>2204</v>
      </c>
      <c r="E899" s="13" t="s">
        <v>2213</v>
      </c>
      <c r="F899" s="13" t="s">
        <v>2215</v>
      </c>
      <c r="G899" s="13">
        <v>61.78</v>
      </c>
      <c r="H899" s="44">
        <v>0</v>
      </c>
      <c r="I899" s="13">
        <v>61.78</v>
      </c>
      <c r="J899" s="24">
        <v>45868</v>
      </c>
      <c r="K899" s="25">
        <v>24</v>
      </c>
      <c r="L899" s="25">
        <v>3.5</v>
      </c>
      <c r="M899" s="13" t="b">
        <v>0</v>
      </c>
      <c r="O899" s="25">
        <f t="shared" ref="O899:O962" si="56">DATE(2025,9,2)-J899</f>
        <v>34</v>
      </c>
      <c r="P899" s="13">
        <f t="shared" ref="P899:P962" si="57">H899*K899</f>
        <v>0</v>
      </c>
      <c r="Q899" s="13" t="str">
        <f t="shared" ref="Q899:Q962" si="58">IF(M899=FALSE,"",1)</f>
        <v/>
      </c>
      <c r="R899" s="13" t="str">
        <f t="shared" ref="R899:R962" si="59">IF(H899=0,"Non diskon","Diskon")</f>
        <v>Non diskon</v>
      </c>
    </row>
    <row r="900" spans="1:18" x14ac:dyDescent="0.25">
      <c r="A900" s="13" t="s">
        <v>912</v>
      </c>
      <c r="B900" s="13" t="s">
        <v>2190</v>
      </c>
      <c r="C900" s="13" t="s">
        <v>2196</v>
      </c>
      <c r="D900" s="13" t="s">
        <v>2207</v>
      </c>
      <c r="E900" s="13" t="s">
        <v>2213</v>
      </c>
      <c r="F900" s="13" t="s">
        <v>2220</v>
      </c>
      <c r="G900" s="13">
        <v>126.27</v>
      </c>
      <c r="H900" s="44">
        <v>0</v>
      </c>
      <c r="I900" s="13">
        <v>126.27</v>
      </c>
      <c r="J900" s="24">
        <v>45875</v>
      </c>
      <c r="K900" s="25">
        <v>1</v>
      </c>
      <c r="L900" s="25">
        <v>4.7</v>
      </c>
      <c r="M900" s="13" t="b">
        <v>0</v>
      </c>
      <c r="O900" s="25">
        <f t="shared" si="56"/>
        <v>27</v>
      </c>
      <c r="P900" s="13">
        <f t="shared" si="57"/>
        <v>0</v>
      </c>
      <c r="Q900" s="13" t="str">
        <f t="shared" si="58"/>
        <v/>
      </c>
      <c r="R900" s="13" t="str">
        <f t="shared" si="59"/>
        <v>Non diskon</v>
      </c>
    </row>
    <row r="901" spans="1:18" x14ac:dyDescent="0.25">
      <c r="A901" s="13" t="s">
        <v>913</v>
      </c>
      <c r="B901" s="13" t="s">
        <v>2190</v>
      </c>
      <c r="C901" s="13" t="s">
        <v>2197</v>
      </c>
      <c r="D901" s="13" t="s">
        <v>2205</v>
      </c>
      <c r="E901" s="13" t="s">
        <v>2209</v>
      </c>
      <c r="F901" s="13" t="s">
        <v>2217</v>
      </c>
      <c r="G901" s="13">
        <v>147.53</v>
      </c>
      <c r="H901" s="44">
        <v>0</v>
      </c>
      <c r="I901" s="13">
        <v>147.53</v>
      </c>
      <c r="J901" s="24">
        <v>45875</v>
      </c>
      <c r="K901" s="25">
        <v>33</v>
      </c>
      <c r="L901" s="25">
        <v>4.7</v>
      </c>
      <c r="M901" s="13" t="b">
        <v>1</v>
      </c>
      <c r="N901" s="13" t="s">
        <v>2228</v>
      </c>
      <c r="O901" s="25">
        <f t="shared" si="56"/>
        <v>27</v>
      </c>
      <c r="P901" s="13">
        <f t="shared" si="57"/>
        <v>0</v>
      </c>
      <c r="Q901" s="13">
        <f t="shared" si="58"/>
        <v>1</v>
      </c>
      <c r="R901" s="13" t="str">
        <f t="shared" si="59"/>
        <v>Non diskon</v>
      </c>
    </row>
    <row r="902" spans="1:18" x14ac:dyDescent="0.25">
      <c r="A902" s="13" t="s">
        <v>914</v>
      </c>
      <c r="B902" s="13" t="s">
        <v>2192</v>
      </c>
      <c r="C902" s="13" t="s">
        <v>2198</v>
      </c>
      <c r="D902" s="13" t="s">
        <v>2207</v>
      </c>
      <c r="F902" s="13" t="s">
        <v>2214</v>
      </c>
      <c r="G902" s="13">
        <v>36.979999999999997</v>
      </c>
      <c r="H902" s="44">
        <v>12.2</v>
      </c>
      <c r="I902" s="13">
        <v>32.47</v>
      </c>
      <c r="J902" s="24">
        <v>45875</v>
      </c>
      <c r="K902" s="25">
        <v>14</v>
      </c>
      <c r="L902" s="25">
        <v>4.8</v>
      </c>
      <c r="M902" s="13" t="b">
        <v>0</v>
      </c>
      <c r="O902" s="25">
        <f t="shared" si="56"/>
        <v>27</v>
      </c>
      <c r="P902" s="13">
        <f t="shared" si="57"/>
        <v>170.79999999999998</v>
      </c>
      <c r="Q902" s="13" t="str">
        <f t="shared" si="58"/>
        <v/>
      </c>
      <c r="R902" s="13" t="str">
        <f t="shared" si="59"/>
        <v>Diskon</v>
      </c>
    </row>
    <row r="903" spans="1:18" x14ac:dyDescent="0.25">
      <c r="A903" s="13" t="s">
        <v>915</v>
      </c>
      <c r="B903" s="13" t="s">
        <v>2193</v>
      </c>
      <c r="C903" s="13" t="s">
        <v>2200</v>
      </c>
      <c r="D903" s="13" t="s">
        <v>2206</v>
      </c>
      <c r="E903" s="13" t="s">
        <v>2213</v>
      </c>
      <c r="F903" s="13" t="s">
        <v>2215</v>
      </c>
      <c r="G903" s="13">
        <v>172.41</v>
      </c>
      <c r="H903" s="44">
        <v>0</v>
      </c>
      <c r="I903" s="13">
        <v>172.41</v>
      </c>
      <c r="J903" s="24">
        <v>45875</v>
      </c>
      <c r="K903" s="25">
        <v>33</v>
      </c>
      <c r="L903" s="25">
        <v>2.2999999999999998</v>
      </c>
      <c r="M903" s="13" t="b">
        <v>0</v>
      </c>
      <c r="O903" s="25">
        <f t="shared" si="56"/>
        <v>27</v>
      </c>
      <c r="P903" s="13">
        <f t="shared" si="57"/>
        <v>0</v>
      </c>
      <c r="Q903" s="13" t="str">
        <f t="shared" si="58"/>
        <v/>
      </c>
      <c r="R903" s="13" t="str">
        <f t="shared" si="59"/>
        <v>Non diskon</v>
      </c>
    </row>
    <row r="904" spans="1:18" x14ac:dyDescent="0.25">
      <c r="A904" s="13" t="s">
        <v>916</v>
      </c>
      <c r="B904" s="13" t="s">
        <v>2192</v>
      </c>
      <c r="C904" s="13" t="s">
        <v>2200</v>
      </c>
      <c r="D904" s="13" t="s">
        <v>2204</v>
      </c>
      <c r="F904" s="13" t="s">
        <v>2215</v>
      </c>
      <c r="G904" s="13">
        <v>53.79</v>
      </c>
      <c r="H904" s="44">
        <v>16</v>
      </c>
      <c r="I904" s="13">
        <v>45.18</v>
      </c>
      <c r="J904" s="24">
        <v>45566</v>
      </c>
      <c r="K904" s="25">
        <v>32</v>
      </c>
      <c r="L904" s="25">
        <v>2.7333333333333334</v>
      </c>
      <c r="M904" s="13" t="b">
        <v>0</v>
      </c>
      <c r="O904" s="25">
        <f t="shared" si="56"/>
        <v>336</v>
      </c>
      <c r="P904" s="13">
        <f t="shared" si="57"/>
        <v>512</v>
      </c>
      <c r="Q904" s="13" t="str">
        <f t="shared" si="58"/>
        <v/>
      </c>
      <c r="R904" s="13" t="str">
        <f t="shared" si="59"/>
        <v>Diskon</v>
      </c>
    </row>
    <row r="905" spans="1:18" x14ac:dyDescent="0.25">
      <c r="A905" s="13" t="s">
        <v>917</v>
      </c>
      <c r="B905" s="13" t="s">
        <v>2193</v>
      </c>
      <c r="C905" s="13" t="s">
        <v>2199</v>
      </c>
      <c r="D905" s="13" t="s">
        <v>2207</v>
      </c>
      <c r="E905" s="13" t="s">
        <v>2212</v>
      </c>
      <c r="F905" s="13" t="s">
        <v>2221</v>
      </c>
      <c r="G905" s="13">
        <v>80.56</v>
      </c>
      <c r="H905" s="44">
        <v>0</v>
      </c>
      <c r="I905" s="13">
        <v>80.56</v>
      </c>
      <c r="J905" s="24">
        <v>45875</v>
      </c>
      <c r="K905" s="25">
        <v>7</v>
      </c>
      <c r="L905" s="25">
        <v>1.9</v>
      </c>
      <c r="M905" s="13" t="b">
        <v>0</v>
      </c>
      <c r="O905" s="25">
        <f t="shared" si="56"/>
        <v>27</v>
      </c>
      <c r="P905" s="13">
        <f t="shared" si="57"/>
        <v>0</v>
      </c>
      <c r="Q905" s="13" t="str">
        <f t="shared" si="58"/>
        <v/>
      </c>
      <c r="R905" s="13" t="str">
        <f t="shared" si="59"/>
        <v>Non diskon</v>
      </c>
    </row>
    <row r="906" spans="1:18" x14ac:dyDescent="0.25">
      <c r="A906" s="13" t="s">
        <v>918</v>
      </c>
      <c r="B906" s="13" t="s">
        <v>2192</v>
      </c>
      <c r="C906" s="13" t="s">
        <v>2199</v>
      </c>
      <c r="D906" s="13" t="s">
        <v>2206</v>
      </c>
      <c r="F906" s="13" t="s">
        <v>2215</v>
      </c>
      <c r="G906" s="13">
        <v>51.72</v>
      </c>
      <c r="H906" s="44">
        <v>0</v>
      </c>
      <c r="I906" s="13">
        <v>51.72</v>
      </c>
      <c r="J906" s="24">
        <v>45875</v>
      </c>
      <c r="K906" s="25">
        <v>35</v>
      </c>
      <c r="L906" s="25">
        <v>3.7</v>
      </c>
      <c r="M906" s="13" t="b">
        <v>1</v>
      </c>
      <c r="N906" s="13" t="s">
        <v>2227</v>
      </c>
      <c r="O906" s="25">
        <f t="shared" si="56"/>
        <v>27</v>
      </c>
      <c r="P906" s="13">
        <f t="shared" si="57"/>
        <v>0</v>
      </c>
      <c r="Q906" s="13">
        <f t="shared" si="58"/>
        <v>1</v>
      </c>
      <c r="R906" s="13" t="str">
        <f t="shared" si="59"/>
        <v>Non diskon</v>
      </c>
    </row>
    <row r="907" spans="1:18" x14ac:dyDescent="0.25">
      <c r="A907" s="13" t="s">
        <v>919</v>
      </c>
      <c r="B907" s="13" t="s">
        <v>2194</v>
      </c>
      <c r="C907" s="13" t="s">
        <v>2199</v>
      </c>
      <c r="D907" s="13" t="s">
        <v>2204</v>
      </c>
      <c r="E907" s="13" t="s">
        <v>2208</v>
      </c>
      <c r="F907" s="13" t="s">
        <v>2215</v>
      </c>
      <c r="G907" s="13">
        <v>107.22</v>
      </c>
      <c r="H907" s="44">
        <v>37.799999999999997</v>
      </c>
      <c r="I907" s="13">
        <v>66.69</v>
      </c>
      <c r="J907" s="24">
        <v>45849</v>
      </c>
      <c r="K907" s="25">
        <v>21</v>
      </c>
      <c r="L907" s="25">
        <v>2.9</v>
      </c>
      <c r="M907" s="13" t="b">
        <v>0</v>
      </c>
      <c r="O907" s="25">
        <f t="shared" si="56"/>
        <v>53</v>
      </c>
      <c r="P907" s="13">
        <f t="shared" si="57"/>
        <v>793.8</v>
      </c>
      <c r="Q907" s="13" t="str">
        <f t="shared" si="58"/>
        <v/>
      </c>
      <c r="R907" s="13" t="str">
        <f t="shared" si="59"/>
        <v>Diskon</v>
      </c>
    </row>
    <row r="908" spans="1:18" x14ac:dyDescent="0.25">
      <c r="A908" s="13" t="s">
        <v>920</v>
      </c>
      <c r="B908" s="13" t="s">
        <v>2193</v>
      </c>
      <c r="C908" s="13" t="s">
        <v>2200</v>
      </c>
      <c r="D908" s="13" t="s">
        <v>2206</v>
      </c>
      <c r="E908" s="13" t="s">
        <v>2211</v>
      </c>
      <c r="F908" s="13" t="s">
        <v>2220</v>
      </c>
      <c r="G908" s="13">
        <v>174.99</v>
      </c>
      <c r="H908" s="44">
        <v>50.1</v>
      </c>
      <c r="I908" s="13">
        <v>87.32</v>
      </c>
      <c r="J908" s="24">
        <v>45875</v>
      </c>
      <c r="K908" s="25">
        <v>7</v>
      </c>
      <c r="L908" s="25">
        <v>4.9000000000000004</v>
      </c>
      <c r="M908" s="13" t="b">
        <v>0</v>
      </c>
      <c r="O908" s="25">
        <f t="shared" si="56"/>
        <v>27</v>
      </c>
      <c r="P908" s="13">
        <f t="shared" si="57"/>
        <v>350.7</v>
      </c>
      <c r="Q908" s="13" t="str">
        <f t="shared" si="58"/>
        <v/>
      </c>
      <c r="R908" s="13" t="str">
        <f t="shared" si="59"/>
        <v>Diskon</v>
      </c>
    </row>
    <row r="909" spans="1:18" x14ac:dyDescent="0.25">
      <c r="A909" s="13" t="s">
        <v>921</v>
      </c>
      <c r="B909" s="13" t="s">
        <v>2195</v>
      </c>
      <c r="C909" s="13" t="s">
        <v>2203</v>
      </c>
      <c r="D909" s="13" t="s">
        <v>2204</v>
      </c>
      <c r="E909" s="13" t="s">
        <v>2210</v>
      </c>
      <c r="F909" s="13" t="s">
        <v>2219</v>
      </c>
      <c r="G909" s="13">
        <v>90.52</v>
      </c>
      <c r="H909" s="44">
        <v>53.2</v>
      </c>
      <c r="I909" s="13">
        <v>42.36</v>
      </c>
      <c r="J909" s="24">
        <v>45866</v>
      </c>
      <c r="K909" s="25">
        <v>37</v>
      </c>
      <c r="L909" s="25">
        <v>2.2000000000000002</v>
      </c>
      <c r="M909" s="13" t="b">
        <v>0</v>
      </c>
      <c r="O909" s="25">
        <f t="shared" si="56"/>
        <v>36</v>
      </c>
      <c r="P909" s="13">
        <f t="shared" si="57"/>
        <v>1968.4</v>
      </c>
      <c r="Q909" s="13" t="str">
        <f t="shared" si="58"/>
        <v/>
      </c>
      <c r="R909" s="13" t="str">
        <f t="shared" si="59"/>
        <v>Diskon</v>
      </c>
    </row>
    <row r="910" spans="1:18" x14ac:dyDescent="0.25">
      <c r="A910" s="13" t="s">
        <v>922</v>
      </c>
      <c r="B910" s="13" t="s">
        <v>2193</v>
      </c>
      <c r="C910" s="13" t="s">
        <v>2203</v>
      </c>
      <c r="D910" s="13" t="s">
        <v>2207</v>
      </c>
      <c r="E910" s="13" t="s">
        <v>2211</v>
      </c>
      <c r="F910" s="13" t="s">
        <v>2220</v>
      </c>
      <c r="G910" s="13">
        <v>94.93</v>
      </c>
      <c r="H910" s="44">
        <v>16.600000000000001</v>
      </c>
      <c r="I910" s="13">
        <v>79.17</v>
      </c>
      <c r="J910" s="24">
        <v>45875</v>
      </c>
      <c r="K910" s="25">
        <v>39</v>
      </c>
      <c r="L910" s="25">
        <v>4.8</v>
      </c>
      <c r="M910" s="13" t="b">
        <v>0</v>
      </c>
      <c r="O910" s="25">
        <f t="shared" si="56"/>
        <v>27</v>
      </c>
      <c r="P910" s="13">
        <f t="shared" si="57"/>
        <v>647.40000000000009</v>
      </c>
      <c r="Q910" s="13" t="str">
        <f t="shared" si="58"/>
        <v/>
      </c>
      <c r="R910" s="13" t="str">
        <f t="shared" si="59"/>
        <v>Diskon</v>
      </c>
    </row>
    <row r="911" spans="1:18" x14ac:dyDescent="0.25">
      <c r="A911" s="13" t="s">
        <v>923</v>
      </c>
      <c r="B911" s="13" t="s">
        <v>2193</v>
      </c>
      <c r="C911" s="13" t="s">
        <v>2198</v>
      </c>
      <c r="D911" s="13" t="s">
        <v>2205</v>
      </c>
      <c r="E911" s="13" t="s">
        <v>2212</v>
      </c>
      <c r="F911" s="13" t="s">
        <v>2218</v>
      </c>
      <c r="G911" s="13">
        <v>179.82</v>
      </c>
      <c r="H911" s="44">
        <v>0</v>
      </c>
      <c r="I911" s="13">
        <v>179.82</v>
      </c>
      <c r="J911" s="24">
        <v>45875</v>
      </c>
      <c r="K911" s="25">
        <v>28</v>
      </c>
      <c r="L911" s="25">
        <v>2.4</v>
      </c>
      <c r="M911" s="13" t="b">
        <v>1</v>
      </c>
      <c r="N911" s="13" t="s">
        <v>2227</v>
      </c>
      <c r="O911" s="25">
        <f t="shared" si="56"/>
        <v>27</v>
      </c>
      <c r="P911" s="13">
        <f t="shared" si="57"/>
        <v>0</v>
      </c>
      <c r="Q911" s="13">
        <f t="shared" si="58"/>
        <v>1</v>
      </c>
      <c r="R911" s="13" t="str">
        <f t="shared" si="59"/>
        <v>Non diskon</v>
      </c>
    </row>
    <row r="912" spans="1:18" x14ac:dyDescent="0.25">
      <c r="A912" s="13" t="s">
        <v>924</v>
      </c>
      <c r="B912" s="13" t="s">
        <v>2191</v>
      </c>
      <c r="C912" s="13" t="s">
        <v>2197</v>
      </c>
      <c r="D912" s="13" t="s">
        <v>2204</v>
      </c>
      <c r="F912" s="13" t="s">
        <v>2224</v>
      </c>
      <c r="G912" s="13">
        <v>101.96</v>
      </c>
      <c r="H912" s="44">
        <v>23.7</v>
      </c>
      <c r="I912" s="13">
        <v>77.8</v>
      </c>
      <c r="J912" s="24">
        <v>45798</v>
      </c>
      <c r="K912" s="25">
        <v>29</v>
      </c>
      <c r="L912" s="25">
        <v>3.6</v>
      </c>
      <c r="M912" s="13" t="b">
        <v>0</v>
      </c>
      <c r="O912" s="25">
        <f t="shared" si="56"/>
        <v>104</v>
      </c>
      <c r="P912" s="13">
        <f t="shared" si="57"/>
        <v>687.3</v>
      </c>
      <c r="Q912" s="13" t="str">
        <f t="shared" si="58"/>
        <v/>
      </c>
      <c r="R912" s="13" t="str">
        <f t="shared" si="59"/>
        <v>Diskon</v>
      </c>
    </row>
    <row r="913" spans="1:18" x14ac:dyDescent="0.25">
      <c r="A913" s="13" t="s">
        <v>925</v>
      </c>
      <c r="B913" s="13" t="s">
        <v>2194</v>
      </c>
      <c r="C913" s="13" t="s">
        <v>2198</v>
      </c>
      <c r="D913" s="13" t="s">
        <v>2204</v>
      </c>
      <c r="E913" s="13" t="s">
        <v>2210</v>
      </c>
      <c r="F913" s="13" t="s">
        <v>2220</v>
      </c>
      <c r="G913" s="13">
        <v>27.11</v>
      </c>
      <c r="H913" s="44">
        <v>16.2</v>
      </c>
      <c r="I913" s="13">
        <v>22.72</v>
      </c>
      <c r="J913" s="24">
        <v>45634</v>
      </c>
      <c r="K913" s="25">
        <v>10</v>
      </c>
      <c r="L913" s="25">
        <v>2.4</v>
      </c>
      <c r="M913" s="13" t="b">
        <v>1</v>
      </c>
      <c r="N913" s="13" t="s">
        <v>2229</v>
      </c>
      <c r="O913" s="25">
        <f t="shared" si="56"/>
        <v>268</v>
      </c>
      <c r="P913" s="13">
        <f t="shared" si="57"/>
        <v>162</v>
      </c>
      <c r="Q913" s="13">
        <f t="shared" si="58"/>
        <v>1</v>
      </c>
      <c r="R913" s="13" t="str">
        <f t="shared" si="59"/>
        <v>Diskon</v>
      </c>
    </row>
    <row r="914" spans="1:18" x14ac:dyDescent="0.25">
      <c r="A914" s="13" t="s">
        <v>926</v>
      </c>
      <c r="B914" s="13" t="s">
        <v>2190</v>
      </c>
      <c r="C914" s="13" t="s">
        <v>2202</v>
      </c>
      <c r="D914" s="13" t="s">
        <v>2207</v>
      </c>
      <c r="E914" s="13" t="s">
        <v>2210</v>
      </c>
      <c r="F914" s="13" t="s">
        <v>2216</v>
      </c>
      <c r="G914" s="13">
        <v>141.83000000000001</v>
      </c>
      <c r="H914" s="44">
        <v>0</v>
      </c>
      <c r="I914" s="13">
        <v>141.83000000000001</v>
      </c>
      <c r="J914" s="24">
        <v>45875</v>
      </c>
      <c r="K914" s="25">
        <v>2</v>
      </c>
      <c r="L914" s="25">
        <v>2.4</v>
      </c>
      <c r="M914" s="13" t="b">
        <v>1</v>
      </c>
      <c r="N914" s="13" t="s">
        <v>2225</v>
      </c>
      <c r="O914" s="25">
        <f t="shared" si="56"/>
        <v>27</v>
      </c>
      <c r="P914" s="13">
        <f t="shared" si="57"/>
        <v>0</v>
      </c>
      <c r="Q914" s="13">
        <f t="shared" si="58"/>
        <v>1</v>
      </c>
      <c r="R914" s="13" t="str">
        <f t="shared" si="59"/>
        <v>Non diskon</v>
      </c>
    </row>
    <row r="915" spans="1:18" x14ac:dyDescent="0.25">
      <c r="A915" s="13" t="s">
        <v>927</v>
      </c>
      <c r="B915" s="13" t="s">
        <v>2193</v>
      </c>
      <c r="C915" s="13" t="s">
        <v>2202</v>
      </c>
      <c r="D915" s="13" t="s">
        <v>2204</v>
      </c>
      <c r="F915" s="13" t="s">
        <v>2221</v>
      </c>
      <c r="G915" s="13">
        <v>156.34</v>
      </c>
      <c r="H915" s="44">
        <v>37</v>
      </c>
      <c r="I915" s="13">
        <v>98.49</v>
      </c>
      <c r="J915" s="24">
        <v>45760</v>
      </c>
      <c r="K915" s="25">
        <v>45</v>
      </c>
      <c r="L915" s="25">
        <v>2.9</v>
      </c>
      <c r="M915" s="13" t="b">
        <v>1</v>
      </c>
      <c r="N915" s="13" t="s">
        <v>2226</v>
      </c>
      <c r="O915" s="25">
        <f t="shared" si="56"/>
        <v>142</v>
      </c>
      <c r="P915" s="13">
        <f t="shared" si="57"/>
        <v>1665</v>
      </c>
      <c r="Q915" s="13">
        <f t="shared" si="58"/>
        <v>1</v>
      </c>
      <c r="R915" s="13" t="str">
        <f t="shared" si="59"/>
        <v>Diskon</v>
      </c>
    </row>
    <row r="916" spans="1:18" x14ac:dyDescent="0.25">
      <c r="A916" s="13" t="s">
        <v>928</v>
      </c>
      <c r="B916" s="13" t="s">
        <v>2191</v>
      </c>
      <c r="C916" s="13" t="s">
        <v>2203</v>
      </c>
      <c r="D916" s="13" t="s">
        <v>2207</v>
      </c>
      <c r="E916" s="13" t="s">
        <v>2212</v>
      </c>
      <c r="F916" s="13" t="s">
        <v>2224</v>
      </c>
      <c r="G916" s="13">
        <v>81.84</v>
      </c>
      <c r="H916" s="44">
        <v>0</v>
      </c>
      <c r="I916" s="13">
        <v>81.84</v>
      </c>
      <c r="J916" s="24">
        <v>45875</v>
      </c>
      <c r="K916" s="25">
        <v>41</v>
      </c>
      <c r="L916" s="25">
        <v>2.4</v>
      </c>
      <c r="M916" s="13" t="b">
        <v>0</v>
      </c>
      <c r="O916" s="25">
        <f t="shared" si="56"/>
        <v>27</v>
      </c>
      <c r="P916" s="13">
        <f t="shared" si="57"/>
        <v>0</v>
      </c>
      <c r="Q916" s="13" t="str">
        <f t="shared" si="58"/>
        <v/>
      </c>
      <c r="R916" s="13" t="str">
        <f t="shared" si="59"/>
        <v>Non diskon</v>
      </c>
    </row>
    <row r="917" spans="1:18" x14ac:dyDescent="0.25">
      <c r="A917" s="13" t="s">
        <v>929</v>
      </c>
      <c r="B917" s="13" t="s">
        <v>2194</v>
      </c>
      <c r="C917" s="13" t="s">
        <v>2200</v>
      </c>
      <c r="D917" s="13" t="s">
        <v>2206</v>
      </c>
      <c r="E917" s="13" t="s">
        <v>2209</v>
      </c>
      <c r="F917" s="13" t="s">
        <v>2216</v>
      </c>
      <c r="G917" s="13">
        <v>36.44</v>
      </c>
      <c r="H917" s="44">
        <v>19.899999999999999</v>
      </c>
      <c r="I917" s="13">
        <v>29.19</v>
      </c>
      <c r="J917" s="24">
        <v>45875</v>
      </c>
      <c r="K917" s="25">
        <v>39</v>
      </c>
      <c r="L917" s="25">
        <v>1.8</v>
      </c>
      <c r="M917" s="13" t="b">
        <v>0</v>
      </c>
      <c r="O917" s="25">
        <f t="shared" si="56"/>
        <v>27</v>
      </c>
      <c r="P917" s="13">
        <f t="shared" si="57"/>
        <v>776.09999999999991</v>
      </c>
      <c r="Q917" s="13" t="str">
        <f t="shared" si="58"/>
        <v/>
      </c>
      <c r="R917" s="13" t="str">
        <f t="shared" si="59"/>
        <v>Diskon</v>
      </c>
    </row>
    <row r="918" spans="1:18" x14ac:dyDescent="0.25">
      <c r="A918" s="13" t="s">
        <v>930</v>
      </c>
      <c r="B918" s="13" t="s">
        <v>2190</v>
      </c>
      <c r="C918" s="13" t="s">
        <v>2201</v>
      </c>
      <c r="D918" s="13" t="s">
        <v>2206</v>
      </c>
      <c r="E918" s="13" t="s">
        <v>2210</v>
      </c>
      <c r="F918" s="13" t="s">
        <v>2215</v>
      </c>
      <c r="G918" s="13">
        <v>155.30000000000001</v>
      </c>
      <c r="H918" s="44">
        <v>0</v>
      </c>
      <c r="I918" s="13">
        <v>155.30000000000001</v>
      </c>
      <c r="J918" s="24">
        <v>45875</v>
      </c>
      <c r="K918" s="25">
        <v>9</v>
      </c>
      <c r="L918" s="25">
        <v>3</v>
      </c>
      <c r="M918" s="13" t="b">
        <v>0</v>
      </c>
      <c r="O918" s="25">
        <f t="shared" si="56"/>
        <v>27</v>
      </c>
      <c r="P918" s="13">
        <f t="shared" si="57"/>
        <v>0</v>
      </c>
      <c r="Q918" s="13" t="str">
        <f t="shared" si="58"/>
        <v/>
      </c>
      <c r="R918" s="13" t="str">
        <f t="shared" si="59"/>
        <v>Non diskon</v>
      </c>
    </row>
    <row r="919" spans="1:18" x14ac:dyDescent="0.25">
      <c r="A919" s="13" t="s">
        <v>931</v>
      </c>
      <c r="B919" s="13" t="s">
        <v>2194</v>
      </c>
      <c r="C919" s="13" t="s">
        <v>2197</v>
      </c>
      <c r="D919" s="13" t="s">
        <v>2206</v>
      </c>
      <c r="E919" s="13" t="s">
        <v>2208</v>
      </c>
      <c r="F919" s="13" t="s">
        <v>2214</v>
      </c>
      <c r="G919" s="13">
        <v>84.04</v>
      </c>
      <c r="H919" s="44">
        <v>28.5</v>
      </c>
      <c r="I919" s="13">
        <v>60.09</v>
      </c>
      <c r="J919" s="24">
        <v>45875</v>
      </c>
      <c r="K919" s="25">
        <v>3</v>
      </c>
      <c r="L919" s="25">
        <v>1</v>
      </c>
      <c r="M919" s="13" t="b">
        <v>0</v>
      </c>
      <c r="O919" s="25">
        <f t="shared" si="56"/>
        <v>27</v>
      </c>
      <c r="P919" s="13">
        <f t="shared" si="57"/>
        <v>85.5</v>
      </c>
      <c r="Q919" s="13" t="str">
        <f t="shared" si="58"/>
        <v/>
      </c>
      <c r="R919" s="13" t="str">
        <f t="shared" si="59"/>
        <v>Diskon</v>
      </c>
    </row>
    <row r="920" spans="1:18" x14ac:dyDescent="0.25">
      <c r="A920" s="13" t="s">
        <v>932</v>
      </c>
      <c r="B920" s="13" t="s">
        <v>2193</v>
      </c>
      <c r="C920" s="13" t="s">
        <v>2202</v>
      </c>
      <c r="D920" s="13" t="s">
        <v>2206</v>
      </c>
      <c r="E920" s="13" t="s">
        <v>2212</v>
      </c>
      <c r="F920" s="13" t="s">
        <v>2224</v>
      </c>
      <c r="G920" s="13">
        <v>98.76</v>
      </c>
      <c r="H920" s="44">
        <v>56.4</v>
      </c>
      <c r="I920" s="13">
        <v>43.06</v>
      </c>
      <c r="J920" s="24">
        <v>45875</v>
      </c>
      <c r="K920" s="25">
        <v>22</v>
      </c>
      <c r="L920" s="25">
        <v>4.5</v>
      </c>
      <c r="M920" s="13" t="b">
        <v>0</v>
      </c>
      <c r="O920" s="25">
        <f t="shared" si="56"/>
        <v>27</v>
      </c>
      <c r="P920" s="13">
        <f t="shared" si="57"/>
        <v>1240.8</v>
      </c>
      <c r="Q920" s="13" t="str">
        <f t="shared" si="58"/>
        <v/>
      </c>
      <c r="R920" s="13" t="str">
        <f t="shared" si="59"/>
        <v>Diskon</v>
      </c>
    </row>
    <row r="921" spans="1:18" x14ac:dyDescent="0.25">
      <c r="A921" s="13" t="s">
        <v>933</v>
      </c>
      <c r="B921" s="13" t="s">
        <v>2192</v>
      </c>
      <c r="C921" s="13" t="s">
        <v>2201</v>
      </c>
      <c r="D921" s="13" t="s">
        <v>2207</v>
      </c>
      <c r="F921" s="13" t="s">
        <v>2217</v>
      </c>
      <c r="G921" s="13">
        <v>52.99</v>
      </c>
      <c r="H921" s="44">
        <v>59.1</v>
      </c>
      <c r="I921" s="13">
        <v>21.67</v>
      </c>
      <c r="J921" s="24">
        <v>45875</v>
      </c>
      <c r="K921" s="25">
        <v>50</v>
      </c>
      <c r="L921" s="25">
        <v>3.4</v>
      </c>
      <c r="M921" s="13" t="b">
        <v>1</v>
      </c>
      <c r="N921" s="13" t="s">
        <v>2226</v>
      </c>
      <c r="O921" s="25">
        <f t="shared" si="56"/>
        <v>27</v>
      </c>
      <c r="P921" s="13">
        <f t="shared" si="57"/>
        <v>2955</v>
      </c>
      <c r="Q921" s="13">
        <f t="shared" si="58"/>
        <v>1</v>
      </c>
      <c r="R921" s="13" t="str">
        <f t="shared" si="59"/>
        <v>Diskon</v>
      </c>
    </row>
    <row r="922" spans="1:18" x14ac:dyDescent="0.25">
      <c r="A922" s="13" t="s">
        <v>934</v>
      </c>
      <c r="B922" s="13" t="s">
        <v>2194</v>
      </c>
      <c r="C922" s="13" t="s">
        <v>2197</v>
      </c>
      <c r="D922" s="13" t="s">
        <v>2204</v>
      </c>
      <c r="E922" s="13" t="s">
        <v>2209</v>
      </c>
      <c r="F922" s="13" t="s">
        <v>2214</v>
      </c>
      <c r="G922" s="13">
        <v>39.840000000000003</v>
      </c>
      <c r="H922" s="44">
        <v>0</v>
      </c>
      <c r="I922" s="13">
        <v>39.840000000000003</v>
      </c>
      <c r="J922" s="24">
        <v>45765</v>
      </c>
      <c r="K922" s="25">
        <v>24</v>
      </c>
      <c r="L922" s="25">
        <v>2.4</v>
      </c>
      <c r="M922" s="13" t="b">
        <v>0</v>
      </c>
      <c r="O922" s="25">
        <f t="shared" si="56"/>
        <v>137</v>
      </c>
      <c r="P922" s="13">
        <f t="shared" si="57"/>
        <v>0</v>
      </c>
      <c r="Q922" s="13" t="str">
        <f t="shared" si="58"/>
        <v/>
      </c>
      <c r="R922" s="13" t="str">
        <f t="shared" si="59"/>
        <v>Non diskon</v>
      </c>
    </row>
    <row r="923" spans="1:18" x14ac:dyDescent="0.25">
      <c r="A923" s="13" t="s">
        <v>935</v>
      </c>
      <c r="B923" s="13" t="s">
        <v>2192</v>
      </c>
      <c r="C923" s="13" t="s">
        <v>2201</v>
      </c>
      <c r="D923" s="13" t="s">
        <v>2204</v>
      </c>
      <c r="F923" s="13" t="s">
        <v>2220</v>
      </c>
      <c r="G923" s="13">
        <v>40.01</v>
      </c>
      <c r="H923" s="44">
        <v>0</v>
      </c>
      <c r="I923" s="13">
        <v>40.01</v>
      </c>
      <c r="J923" s="24">
        <v>45813</v>
      </c>
      <c r="K923" s="25">
        <v>22</v>
      </c>
      <c r="L923" s="25">
        <v>4.5</v>
      </c>
      <c r="M923" s="13" t="b">
        <v>0</v>
      </c>
      <c r="O923" s="25">
        <f t="shared" si="56"/>
        <v>89</v>
      </c>
      <c r="P923" s="13">
        <f t="shared" si="57"/>
        <v>0</v>
      </c>
      <c r="Q923" s="13" t="str">
        <f t="shared" si="58"/>
        <v/>
      </c>
      <c r="R923" s="13" t="str">
        <f t="shared" si="59"/>
        <v>Non diskon</v>
      </c>
    </row>
    <row r="924" spans="1:18" x14ac:dyDescent="0.25">
      <c r="A924" s="13" t="s">
        <v>936</v>
      </c>
      <c r="B924" s="13" t="s">
        <v>2190</v>
      </c>
      <c r="C924" s="13" t="s">
        <v>2201</v>
      </c>
      <c r="D924" s="13" t="s">
        <v>2207</v>
      </c>
      <c r="E924" s="13" t="s">
        <v>2209</v>
      </c>
      <c r="F924" s="13" t="s">
        <v>2222</v>
      </c>
      <c r="G924" s="13">
        <v>245.75</v>
      </c>
      <c r="H924" s="44">
        <v>0</v>
      </c>
      <c r="I924" s="13">
        <v>245.75</v>
      </c>
      <c r="J924" s="24">
        <v>45875</v>
      </c>
      <c r="K924" s="25">
        <v>12</v>
      </c>
      <c r="L924" s="25">
        <v>3.0305555555555546</v>
      </c>
      <c r="M924" s="13" t="b">
        <v>1</v>
      </c>
      <c r="N924" s="13" t="s">
        <v>2229</v>
      </c>
      <c r="O924" s="25">
        <f t="shared" si="56"/>
        <v>27</v>
      </c>
      <c r="P924" s="13">
        <f t="shared" si="57"/>
        <v>0</v>
      </c>
      <c r="Q924" s="13">
        <f t="shared" si="58"/>
        <v>1</v>
      </c>
      <c r="R924" s="13" t="str">
        <f t="shared" si="59"/>
        <v>Non diskon</v>
      </c>
    </row>
    <row r="925" spans="1:18" x14ac:dyDescent="0.25">
      <c r="A925" s="13" t="s">
        <v>937</v>
      </c>
      <c r="B925" s="13" t="s">
        <v>2194</v>
      </c>
      <c r="C925" s="13" t="s">
        <v>2196</v>
      </c>
      <c r="D925" s="13" t="s">
        <v>2205</v>
      </c>
      <c r="E925" s="13" t="s">
        <v>2208</v>
      </c>
      <c r="F925" s="13" t="s">
        <v>2218</v>
      </c>
      <c r="G925" s="13">
        <v>102.25</v>
      </c>
      <c r="H925" s="44">
        <v>0</v>
      </c>
      <c r="I925" s="13">
        <v>102.25</v>
      </c>
      <c r="J925" s="24">
        <v>45875</v>
      </c>
      <c r="K925" s="25">
        <v>6</v>
      </c>
      <c r="L925" s="25">
        <v>3.8</v>
      </c>
      <c r="M925" s="13" t="b">
        <v>0</v>
      </c>
      <c r="O925" s="25">
        <f t="shared" si="56"/>
        <v>27</v>
      </c>
      <c r="P925" s="13">
        <f t="shared" si="57"/>
        <v>0</v>
      </c>
      <c r="Q925" s="13" t="str">
        <f t="shared" si="58"/>
        <v/>
      </c>
      <c r="R925" s="13" t="str">
        <f t="shared" si="59"/>
        <v>Non diskon</v>
      </c>
    </row>
    <row r="926" spans="1:18" x14ac:dyDescent="0.25">
      <c r="A926" s="13" t="s">
        <v>938</v>
      </c>
      <c r="B926" s="13" t="s">
        <v>2191</v>
      </c>
      <c r="C926" s="13" t="s">
        <v>2201</v>
      </c>
      <c r="D926" s="13" t="s">
        <v>2207</v>
      </c>
      <c r="E926" s="13" t="s">
        <v>2213</v>
      </c>
      <c r="F926" s="13" t="s">
        <v>2218</v>
      </c>
      <c r="G926" s="13">
        <v>76.33</v>
      </c>
      <c r="H926" s="44">
        <v>0</v>
      </c>
      <c r="I926" s="13">
        <v>76.33</v>
      </c>
      <c r="J926" s="24">
        <v>45875</v>
      </c>
      <c r="K926" s="25">
        <v>15</v>
      </c>
      <c r="L926" s="25">
        <v>2</v>
      </c>
      <c r="M926" s="13" t="b">
        <v>1</v>
      </c>
      <c r="N926" s="13" t="s">
        <v>2230</v>
      </c>
      <c r="O926" s="25">
        <f t="shared" si="56"/>
        <v>27</v>
      </c>
      <c r="P926" s="13">
        <f t="shared" si="57"/>
        <v>0</v>
      </c>
      <c r="Q926" s="13">
        <f t="shared" si="58"/>
        <v>1</v>
      </c>
      <c r="R926" s="13" t="str">
        <f t="shared" si="59"/>
        <v>Non diskon</v>
      </c>
    </row>
    <row r="927" spans="1:18" x14ac:dyDescent="0.25">
      <c r="A927" s="13" t="s">
        <v>939</v>
      </c>
      <c r="B927" s="13" t="s">
        <v>2192</v>
      </c>
      <c r="C927" s="13" t="s">
        <v>2196</v>
      </c>
      <c r="D927" s="13" t="s">
        <v>2204</v>
      </c>
      <c r="F927" s="13" t="s">
        <v>2218</v>
      </c>
      <c r="G927" s="13">
        <v>51.79</v>
      </c>
      <c r="H927" s="44">
        <v>39</v>
      </c>
      <c r="I927" s="13">
        <v>31.59</v>
      </c>
      <c r="J927" s="24">
        <v>45733</v>
      </c>
      <c r="K927" s="25">
        <v>37</v>
      </c>
      <c r="L927" s="25">
        <v>2.5</v>
      </c>
      <c r="M927" s="13" t="b">
        <v>0</v>
      </c>
      <c r="O927" s="25">
        <f t="shared" si="56"/>
        <v>169</v>
      </c>
      <c r="P927" s="13">
        <f t="shared" si="57"/>
        <v>1443</v>
      </c>
      <c r="Q927" s="13" t="str">
        <f t="shared" si="58"/>
        <v/>
      </c>
      <c r="R927" s="13" t="str">
        <f t="shared" si="59"/>
        <v>Diskon</v>
      </c>
    </row>
    <row r="928" spans="1:18" x14ac:dyDescent="0.25">
      <c r="A928" s="13" t="s">
        <v>940</v>
      </c>
      <c r="B928" s="13" t="s">
        <v>2190</v>
      </c>
      <c r="C928" s="13" t="s">
        <v>2196</v>
      </c>
      <c r="D928" s="13" t="s">
        <v>2204</v>
      </c>
      <c r="E928" s="13" t="s">
        <v>2211</v>
      </c>
      <c r="F928" s="13" t="s">
        <v>2215</v>
      </c>
      <c r="G928" s="13">
        <v>141.24</v>
      </c>
      <c r="H928" s="44">
        <v>12.9</v>
      </c>
      <c r="I928" s="13">
        <v>123.02</v>
      </c>
      <c r="J928" s="24">
        <v>45567</v>
      </c>
      <c r="K928" s="25">
        <v>23</v>
      </c>
      <c r="L928" s="25">
        <v>1.7</v>
      </c>
      <c r="M928" s="13" t="b">
        <v>0</v>
      </c>
      <c r="O928" s="25">
        <f t="shared" si="56"/>
        <v>335</v>
      </c>
      <c r="P928" s="13">
        <f t="shared" si="57"/>
        <v>296.7</v>
      </c>
      <c r="Q928" s="13" t="str">
        <f t="shared" si="58"/>
        <v/>
      </c>
      <c r="R928" s="13" t="str">
        <f t="shared" si="59"/>
        <v>Diskon</v>
      </c>
    </row>
    <row r="929" spans="1:18" x14ac:dyDescent="0.25">
      <c r="A929" s="13" t="s">
        <v>941</v>
      </c>
      <c r="B929" s="13" t="s">
        <v>2192</v>
      </c>
      <c r="C929" s="13" t="s">
        <v>2197</v>
      </c>
      <c r="D929" s="13" t="s">
        <v>2204</v>
      </c>
      <c r="F929" s="13" t="s">
        <v>2216</v>
      </c>
      <c r="G929" s="13">
        <v>66.180000000000007</v>
      </c>
      <c r="H929" s="44">
        <v>0</v>
      </c>
      <c r="I929" s="13">
        <v>66.180000000000007</v>
      </c>
      <c r="J929" s="24">
        <v>45800</v>
      </c>
      <c r="K929" s="25">
        <v>20</v>
      </c>
      <c r="L929" s="25">
        <v>1.7</v>
      </c>
      <c r="M929" s="13" t="b">
        <v>0</v>
      </c>
      <c r="O929" s="25">
        <f t="shared" si="56"/>
        <v>102</v>
      </c>
      <c r="P929" s="13">
        <f t="shared" si="57"/>
        <v>0</v>
      </c>
      <c r="Q929" s="13" t="str">
        <f t="shared" si="58"/>
        <v/>
      </c>
      <c r="R929" s="13" t="str">
        <f t="shared" si="59"/>
        <v>Non diskon</v>
      </c>
    </row>
    <row r="930" spans="1:18" x14ac:dyDescent="0.25">
      <c r="A930" s="13" t="s">
        <v>942</v>
      </c>
      <c r="B930" s="13" t="s">
        <v>2191</v>
      </c>
      <c r="C930" s="13" t="s">
        <v>2198</v>
      </c>
      <c r="D930" s="13" t="s">
        <v>2207</v>
      </c>
      <c r="E930" s="13" t="s">
        <v>2213</v>
      </c>
      <c r="F930" s="13" t="s">
        <v>2222</v>
      </c>
      <c r="G930" s="13">
        <v>35.15</v>
      </c>
      <c r="H930" s="44">
        <v>0</v>
      </c>
      <c r="I930" s="13">
        <v>35.15</v>
      </c>
      <c r="J930" s="24">
        <v>45875</v>
      </c>
      <c r="K930" s="25">
        <v>38</v>
      </c>
      <c r="L930" s="25">
        <v>2.2000000000000002</v>
      </c>
      <c r="M930" s="13" t="b">
        <v>0</v>
      </c>
      <c r="O930" s="25">
        <f t="shared" si="56"/>
        <v>27</v>
      </c>
      <c r="P930" s="13">
        <f t="shared" si="57"/>
        <v>0</v>
      </c>
      <c r="Q930" s="13" t="str">
        <f t="shared" si="58"/>
        <v/>
      </c>
      <c r="R930" s="13" t="str">
        <f t="shared" si="59"/>
        <v>Non diskon</v>
      </c>
    </row>
    <row r="931" spans="1:18" x14ac:dyDescent="0.25">
      <c r="A931" s="13" t="s">
        <v>943</v>
      </c>
      <c r="B931" s="13" t="s">
        <v>2192</v>
      </c>
      <c r="C931" s="13" t="s">
        <v>2200</v>
      </c>
      <c r="D931" s="13" t="s">
        <v>2204</v>
      </c>
      <c r="F931" s="13" t="s">
        <v>2215</v>
      </c>
      <c r="G931" s="13">
        <v>35.619999999999997</v>
      </c>
      <c r="H931" s="44">
        <v>41.2</v>
      </c>
      <c r="I931" s="13">
        <v>20.94</v>
      </c>
      <c r="J931" s="24">
        <v>45736</v>
      </c>
      <c r="K931" s="25">
        <v>4</v>
      </c>
      <c r="L931" s="25">
        <v>3.7</v>
      </c>
      <c r="M931" s="13" t="b">
        <v>0</v>
      </c>
      <c r="O931" s="25">
        <f t="shared" si="56"/>
        <v>166</v>
      </c>
      <c r="P931" s="13">
        <f t="shared" si="57"/>
        <v>164.8</v>
      </c>
      <c r="Q931" s="13" t="str">
        <f t="shared" si="58"/>
        <v/>
      </c>
      <c r="R931" s="13" t="str">
        <f t="shared" si="59"/>
        <v>Diskon</v>
      </c>
    </row>
    <row r="932" spans="1:18" x14ac:dyDescent="0.25">
      <c r="A932" s="13" t="s">
        <v>944</v>
      </c>
      <c r="B932" s="13" t="s">
        <v>2192</v>
      </c>
      <c r="C932" s="13" t="s">
        <v>2203</v>
      </c>
      <c r="D932" s="13" t="s">
        <v>2207</v>
      </c>
      <c r="F932" s="13" t="s">
        <v>2220</v>
      </c>
      <c r="G932" s="13">
        <v>35.64</v>
      </c>
      <c r="H932" s="44">
        <v>0</v>
      </c>
      <c r="I932" s="13">
        <v>35.64</v>
      </c>
      <c r="J932" s="24">
        <v>45875</v>
      </c>
      <c r="K932" s="25">
        <v>48</v>
      </c>
      <c r="L932" s="25">
        <v>5</v>
      </c>
      <c r="M932" s="13" t="b">
        <v>1</v>
      </c>
      <c r="N932" s="13" t="s">
        <v>2225</v>
      </c>
      <c r="O932" s="25">
        <f t="shared" si="56"/>
        <v>27</v>
      </c>
      <c r="P932" s="13">
        <f t="shared" si="57"/>
        <v>0</v>
      </c>
      <c r="Q932" s="13">
        <f t="shared" si="58"/>
        <v>1</v>
      </c>
      <c r="R932" s="13" t="str">
        <f t="shared" si="59"/>
        <v>Non diskon</v>
      </c>
    </row>
    <row r="933" spans="1:18" x14ac:dyDescent="0.25">
      <c r="A933" s="13" t="s">
        <v>945</v>
      </c>
      <c r="B933" s="13" t="s">
        <v>2194</v>
      </c>
      <c r="C933" s="13" t="s">
        <v>2201</v>
      </c>
      <c r="D933" s="13" t="s">
        <v>2207</v>
      </c>
      <c r="E933" s="13" t="s">
        <v>2209</v>
      </c>
      <c r="F933" s="13" t="s">
        <v>2214</v>
      </c>
      <c r="G933" s="13">
        <v>86.68</v>
      </c>
      <c r="H933" s="44">
        <v>0</v>
      </c>
      <c r="I933" s="13">
        <v>86.68</v>
      </c>
      <c r="J933" s="24">
        <v>45875</v>
      </c>
      <c r="K933" s="25">
        <v>2</v>
      </c>
      <c r="L933" s="25">
        <v>3.0575757575757576</v>
      </c>
      <c r="M933" s="13" t="b">
        <v>0</v>
      </c>
      <c r="O933" s="25">
        <f t="shared" si="56"/>
        <v>27</v>
      </c>
      <c r="P933" s="13">
        <f t="shared" si="57"/>
        <v>0</v>
      </c>
      <c r="Q933" s="13" t="str">
        <f t="shared" si="58"/>
        <v/>
      </c>
      <c r="R933" s="13" t="str">
        <f t="shared" si="59"/>
        <v>Non diskon</v>
      </c>
    </row>
    <row r="934" spans="1:18" x14ac:dyDescent="0.25">
      <c r="A934" s="13" t="s">
        <v>946</v>
      </c>
      <c r="B934" s="13" t="s">
        <v>2192</v>
      </c>
      <c r="C934" s="13" t="s">
        <v>2200</v>
      </c>
      <c r="D934" s="13" t="s">
        <v>2206</v>
      </c>
      <c r="F934" s="13" t="s">
        <v>2215</v>
      </c>
      <c r="G934" s="13">
        <v>17.72</v>
      </c>
      <c r="H934" s="44">
        <v>0</v>
      </c>
      <c r="I934" s="13">
        <v>17.72</v>
      </c>
      <c r="J934" s="24">
        <v>45875</v>
      </c>
      <c r="K934" s="25">
        <v>9</v>
      </c>
      <c r="L934" s="25">
        <v>1.2</v>
      </c>
      <c r="M934" s="13" t="b">
        <v>0</v>
      </c>
      <c r="O934" s="25">
        <f t="shared" si="56"/>
        <v>27</v>
      </c>
      <c r="P934" s="13">
        <f t="shared" si="57"/>
        <v>0</v>
      </c>
      <c r="Q934" s="13" t="str">
        <f t="shared" si="58"/>
        <v/>
      </c>
      <c r="R934" s="13" t="str">
        <f t="shared" si="59"/>
        <v>Non diskon</v>
      </c>
    </row>
    <row r="935" spans="1:18" x14ac:dyDescent="0.25">
      <c r="A935" s="13" t="s">
        <v>947</v>
      </c>
      <c r="B935" s="13" t="s">
        <v>2190</v>
      </c>
      <c r="C935" s="13" t="s">
        <v>2197</v>
      </c>
      <c r="D935" s="13" t="s">
        <v>2206</v>
      </c>
      <c r="E935" s="13" t="s">
        <v>2211</v>
      </c>
      <c r="F935" s="13" t="s">
        <v>2215</v>
      </c>
      <c r="G935" s="13">
        <v>87.95</v>
      </c>
      <c r="H935" s="44">
        <v>13.3</v>
      </c>
      <c r="I935" s="13">
        <v>76.25</v>
      </c>
      <c r="J935" s="24">
        <v>45875</v>
      </c>
      <c r="K935" s="25">
        <v>4</v>
      </c>
      <c r="L935" s="25">
        <v>4.5</v>
      </c>
      <c r="M935" s="13" t="b">
        <v>0</v>
      </c>
      <c r="O935" s="25">
        <f t="shared" si="56"/>
        <v>27</v>
      </c>
      <c r="P935" s="13">
        <f t="shared" si="57"/>
        <v>53.2</v>
      </c>
      <c r="Q935" s="13" t="str">
        <f t="shared" si="58"/>
        <v/>
      </c>
      <c r="R935" s="13" t="str">
        <f t="shared" si="59"/>
        <v>Diskon</v>
      </c>
    </row>
    <row r="936" spans="1:18" x14ac:dyDescent="0.25">
      <c r="A936" s="13" t="s">
        <v>948</v>
      </c>
      <c r="B936" s="13" t="s">
        <v>2190</v>
      </c>
      <c r="C936" s="13" t="s">
        <v>2199</v>
      </c>
      <c r="D936" s="13" t="s">
        <v>2204</v>
      </c>
      <c r="E936" s="13" t="s">
        <v>2212</v>
      </c>
      <c r="F936" s="13" t="s">
        <v>2218</v>
      </c>
      <c r="G936" s="13">
        <v>216.26</v>
      </c>
      <c r="H936" s="44">
        <v>0</v>
      </c>
      <c r="I936" s="13">
        <v>216.26</v>
      </c>
      <c r="J936" s="24">
        <v>45763</v>
      </c>
      <c r="K936" s="25">
        <v>26</v>
      </c>
      <c r="L936" s="25">
        <v>1.1000000000000001</v>
      </c>
      <c r="M936" s="13" t="b">
        <v>0</v>
      </c>
      <c r="O936" s="25">
        <f t="shared" si="56"/>
        <v>139</v>
      </c>
      <c r="P936" s="13">
        <f t="shared" si="57"/>
        <v>0</v>
      </c>
      <c r="Q936" s="13" t="str">
        <f t="shared" si="58"/>
        <v/>
      </c>
      <c r="R936" s="13" t="str">
        <f t="shared" si="59"/>
        <v>Non diskon</v>
      </c>
    </row>
    <row r="937" spans="1:18" x14ac:dyDescent="0.25">
      <c r="A937" s="13" t="s">
        <v>949</v>
      </c>
      <c r="B937" s="13" t="s">
        <v>2190</v>
      </c>
      <c r="C937" s="13" t="s">
        <v>2199</v>
      </c>
      <c r="D937" s="13" t="s">
        <v>2207</v>
      </c>
      <c r="E937" s="13" t="s">
        <v>2210</v>
      </c>
      <c r="F937" s="13" t="s">
        <v>2216</v>
      </c>
      <c r="G937" s="13">
        <v>238.11</v>
      </c>
      <c r="H937" s="44">
        <v>0</v>
      </c>
      <c r="I937" s="13">
        <v>238.11</v>
      </c>
      <c r="J937" s="24">
        <v>45875</v>
      </c>
      <c r="K937" s="25">
        <v>49</v>
      </c>
      <c r="L937" s="25">
        <v>2.4137931034482762</v>
      </c>
      <c r="M937" s="13" t="b">
        <v>0</v>
      </c>
      <c r="O937" s="25">
        <f t="shared" si="56"/>
        <v>27</v>
      </c>
      <c r="P937" s="13">
        <f t="shared" si="57"/>
        <v>0</v>
      </c>
      <c r="Q937" s="13" t="str">
        <f t="shared" si="58"/>
        <v/>
      </c>
      <c r="R937" s="13" t="str">
        <f t="shared" si="59"/>
        <v>Non diskon</v>
      </c>
    </row>
    <row r="938" spans="1:18" x14ac:dyDescent="0.25">
      <c r="A938" s="13" t="s">
        <v>950</v>
      </c>
      <c r="B938" s="13" t="s">
        <v>2193</v>
      </c>
      <c r="C938" s="13" t="s">
        <v>2197</v>
      </c>
      <c r="D938" s="13" t="s">
        <v>2205</v>
      </c>
      <c r="E938" s="13" t="s">
        <v>2211</v>
      </c>
      <c r="F938" s="13" t="s">
        <v>2215</v>
      </c>
      <c r="G938" s="13">
        <v>112.77</v>
      </c>
      <c r="H938" s="44">
        <v>0</v>
      </c>
      <c r="I938" s="13">
        <v>112.77</v>
      </c>
      <c r="J938" s="24">
        <v>45875</v>
      </c>
      <c r="K938" s="25">
        <v>11</v>
      </c>
      <c r="L938" s="25">
        <v>4.0999999999999996</v>
      </c>
      <c r="M938" s="13" t="b">
        <v>0</v>
      </c>
      <c r="O938" s="25">
        <f t="shared" si="56"/>
        <v>27</v>
      </c>
      <c r="P938" s="13">
        <f t="shared" si="57"/>
        <v>0</v>
      </c>
      <c r="Q938" s="13" t="str">
        <f t="shared" si="58"/>
        <v/>
      </c>
      <c r="R938" s="13" t="str">
        <f t="shared" si="59"/>
        <v>Non diskon</v>
      </c>
    </row>
    <row r="939" spans="1:18" x14ac:dyDescent="0.25">
      <c r="A939" s="13" t="s">
        <v>951</v>
      </c>
      <c r="B939" s="13" t="s">
        <v>2192</v>
      </c>
      <c r="C939" s="13" t="s">
        <v>2202</v>
      </c>
      <c r="D939" s="13" t="s">
        <v>2205</v>
      </c>
      <c r="F939" s="13" t="s">
        <v>2222</v>
      </c>
      <c r="G939" s="13">
        <v>39.020000000000003</v>
      </c>
      <c r="H939" s="44">
        <v>44.8</v>
      </c>
      <c r="I939" s="13">
        <v>21.54</v>
      </c>
      <c r="J939" s="24">
        <v>45875</v>
      </c>
      <c r="K939" s="25">
        <v>29</v>
      </c>
      <c r="L939" s="25">
        <v>3.4</v>
      </c>
      <c r="M939" s="13" t="b">
        <v>0</v>
      </c>
      <c r="O939" s="25">
        <f t="shared" si="56"/>
        <v>27</v>
      </c>
      <c r="P939" s="13">
        <f t="shared" si="57"/>
        <v>1299.1999999999998</v>
      </c>
      <c r="Q939" s="13" t="str">
        <f t="shared" si="58"/>
        <v/>
      </c>
      <c r="R939" s="13" t="str">
        <f t="shared" si="59"/>
        <v>Diskon</v>
      </c>
    </row>
    <row r="940" spans="1:18" x14ac:dyDescent="0.25">
      <c r="A940" s="13" t="s">
        <v>952</v>
      </c>
      <c r="B940" s="13" t="s">
        <v>2191</v>
      </c>
      <c r="C940" s="13" t="s">
        <v>2201</v>
      </c>
      <c r="D940" s="13" t="s">
        <v>2204</v>
      </c>
      <c r="E940" s="13" t="s">
        <v>2211</v>
      </c>
      <c r="F940" s="13" t="s">
        <v>2223</v>
      </c>
      <c r="G940" s="13">
        <v>69.77</v>
      </c>
      <c r="H940" s="44">
        <v>0</v>
      </c>
      <c r="I940" s="13">
        <v>69.77</v>
      </c>
      <c r="J940" s="24">
        <v>45605</v>
      </c>
      <c r="K940" s="25">
        <v>29</v>
      </c>
      <c r="L940" s="25">
        <v>5</v>
      </c>
      <c r="M940" s="13" t="b">
        <v>0</v>
      </c>
      <c r="O940" s="25">
        <f t="shared" si="56"/>
        <v>297</v>
      </c>
      <c r="P940" s="13">
        <f t="shared" si="57"/>
        <v>0</v>
      </c>
      <c r="Q940" s="13" t="str">
        <f t="shared" si="58"/>
        <v/>
      </c>
      <c r="R940" s="13" t="str">
        <f t="shared" si="59"/>
        <v>Non diskon</v>
      </c>
    </row>
    <row r="941" spans="1:18" x14ac:dyDescent="0.25">
      <c r="A941" s="13" t="s">
        <v>953</v>
      </c>
      <c r="B941" s="13" t="s">
        <v>2195</v>
      </c>
      <c r="C941" s="13" t="s">
        <v>2200</v>
      </c>
      <c r="D941" s="13" t="s">
        <v>2204</v>
      </c>
      <c r="E941" s="13" t="s">
        <v>2213</v>
      </c>
      <c r="F941" s="13" t="s">
        <v>2223</v>
      </c>
      <c r="G941" s="13">
        <v>124.92</v>
      </c>
      <c r="H941" s="44">
        <v>48.4</v>
      </c>
      <c r="I941" s="13">
        <v>64.459999999999994</v>
      </c>
      <c r="J941" s="24">
        <v>45780</v>
      </c>
      <c r="K941" s="25">
        <v>22</v>
      </c>
      <c r="L941" s="25">
        <v>3.2</v>
      </c>
      <c r="M941" s="13" t="b">
        <v>0</v>
      </c>
      <c r="O941" s="25">
        <f t="shared" si="56"/>
        <v>122</v>
      </c>
      <c r="P941" s="13">
        <f t="shared" si="57"/>
        <v>1064.8</v>
      </c>
      <c r="Q941" s="13" t="str">
        <f t="shared" si="58"/>
        <v/>
      </c>
      <c r="R941" s="13" t="str">
        <f t="shared" si="59"/>
        <v>Diskon</v>
      </c>
    </row>
    <row r="942" spans="1:18" x14ac:dyDescent="0.25">
      <c r="A942" s="13" t="s">
        <v>954</v>
      </c>
      <c r="B942" s="13" t="s">
        <v>2195</v>
      </c>
      <c r="C942" s="13" t="s">
        <v>2198</v>
      </c>
      <c r="D942" s="13" t="s">
        <v>2207</v>
      </c>
      <c r="F942" s="13" t="s">
        <v>2223</v>
      </c>
      <c r="G942" s="13">
        <v>83.92</v>
      </c>
      <c r="H942" s="44">
        <v>29.4</v>
      </c>
      <c r="I942" s="13">
        <v>59.25</v>
      </c>
      <c r="J942" s="24">
        <v>45875</v>
      </c>
      <c r="K942" s="25">
        <v>20</v>
      </c>
      <c r="L942" s="25">
        <v>2.1</v>
      </c>
      <c r="M942" s="13" t="b">
        <v>1</v>
      </c>
      <c r="N942" s="13" t="s">
        <v>2228</v>
      </c>
      <c r="O942" s="25">
        <f t="shared" si="56"/>
        <v>27</v>
      </c>
      <c r="P942" s="13">
        <f t="shared" si="57"/>
        <v>588</v>
      </c>
      <c r="Q942" s="13">
        <f t="shared" si="58"/>
        <v>1</v>
      </c>
      <c r="R942" s="13" t="str">
        <f t="shared" si="59"/>
        <v>Diskon</v>
      </c>
    </row>
    <row r="943" spans="1:18" x14ac:dyDescent="0.25">
      <c r="A943" s="13" t="s">
        <v>955</v>
      </c>
      <c r="B943" s="13" t="s">
        <v>2190</v>
      </c>
      <c r="C943" s="13" t="s">
        <v>2203</v>
      </c>
      <c r="D943" s="13" t="s">
        <v>2206</v>
      </c>
      <c r="E943" s="13" t="s">
        <v>2212</v>
      </c>
      <c r="F943" s="13" t="s">
        <v>2221</v>
      </c>
      <c r="G943" s="13">
        <v>180.91</v>
      </c>
      <c r="H943" s="44">
        <v>0</v>
      </c>
      <c r="I943" s="13">
        <v>180.91</v>
      </c>
      <c r="J943" s="24">
        <v>45875</v>
      </c>
      <c r="K943" s="25">
        <v>10</v>
      </c>
      <c r="L943" s="25">
        <v>3.8</v>
      </c>
      <c r="M943" s="13" t="b">
        <v>0</v>
      </c>
      <c r="O943" s="25">
        <f t="shared" si="56"/>
        <v>27</v>
      </c>
      <c r="P943" s="13">
        <f t="shared" si="57"/>
        <v>0</v>
      </c>
      <c r="Q943" s="13" t="str">
        <f t="shared" si="58"/>
        <v/>
      </c>
      <c r="R943" s="13" t="str">
        <f t="shared" si="59"/>
        <v>Non diskon</v>
      </c>
    </row>
    <row r="944" spans="1:18" x14ac:dyDescent="0.25">
      <c r="A944" s="13" t="s">
        <v>956</v>
      </c>
      <c r="B944" s="13" t="s">
        <v>2193</v>
      </c>
      <c r="C944" s="13" t="s">
        <v>2203</v>
      </c>
      <c r="D944" s="13" t="s">
        <v>2204</v>
      </c>
      <c r="E944" s="13" t="s">
        <v>2211</v>
      </c>
      <c r="F944" s="13" t="s">
        <v>2224</v>
      </c>
      <c r="G944" s="13">
        <v>120.11</v>
      </c>
      <c r="H944" s="44">
        <v>0</v>
      </c>
      <c r="I944" s="13">
        <v>120.11</v>
      </c>
      <c r="J944" s="24">
        <v>45650</v>
      </c>
      <c r="K944" s="25">
        <v>27</v>
      </c>
      <c r="L944" s="25">
        <v>4.0999999999999996</v>
      </c>
      <c r="M944" s="13" t="b">
        <v>0</v>
      </c>
      <c r="O944" s="25">
        <f t="shared" si="56"/>
        <v>252</v>
      </c>
      <c r="P944" s="13">
        <f t="shared" si="57"/>
        <v>0</v>
      </c>
      <c r="Q944" s="13" t="str">
        <f t="shared" si="58"/>
        <v/>
      </c>
      <c r="R944" s="13" t="str">
        <f t="shared" si="59"/>
        <v>Non diskon</v>
      </c>
    </row>
    <row r="945" spans="1:18" x14ac:dyDescent="0.25">
      <c r="A945" s="13" t="s">
        <v>957</v>
      </c>
      <c r="B945" s="13" t="s">
        <v>2190</v>
      </c>
      <c r="C945" s="13" t="s">
        <v>2203</v>
      </c>
      <c r="D945" s="13" t="s">
        <v>2207</v>
      </c>
      <c r="E945" s="13" t="s">
        <v>2208</v>
      </c>
      <c r="F945" s="13" t="s">
        <v>2214</v>
      </c>
      <c r="G945" s="13">
        <v>225.01</v>
      </c>
      <c r="H945" s="44">
        <v>0</v>
      </c>
      <c r="I945" s="13">
        <v>225.01</v>
      </c>
      <c r="J945" s="24">
        <v>45875</v>
      </c>
      <c r="K945" s="25">
        <v>50</v>
      </c>
      <c r="L945" s="25">
        <v>1.9</v>
      </c>
      <c r="M945" s="13" t="b">
        <v>1</v>
      </c>
      <c r="N945" s="13" t="s">
        <v>2226</v>
      </c>
      <c r="O945" s="25">
        <f t="shared" si="56"/>
        <v>27</v>
      </c>
      <c r="P945" s="13">
        <f t="shared" si="57"/>
        <v>0</v>
      </c>
      <c r="Q945" s="13">
        <f t="shared" si="58"/>
        <v>1</v>
      </c>
      <c r="R945" s="13" t="str">
        <f t="shared" si="59"/>
        <v>Non diskon</v>
      </c>
    </row>
    <row r="946" spans="1:18" x14ac:dyDescent="0.25">
      <c r="A946" s="13" t="s">
        <v>958</v>
      </c>
      <c r="B946" s="13" t="s">
        <v>2195</v>
      </c>
      <c r="C946" s="13" t="s">
        <v>2199</v>
      </c>
      <c r="D946" s="13" t="s">
        <v>2207</v>
      </c>
      <c r="E946" s="13" t="s">
        <v>2209</v>
      </c>
      <c r="F946" s="13" t="s">
        <v>2220</v>
      </c>
      <c r="G946" s="13">
        <v>115.57</v>
      </c>
      <c r="H946" s="44">
        <v>0</v>
      </c>
      <c r="I946" s="13">
        <v>115.57</v>
      </c>
      <c r="J946" s="24">
        <v>45875</v>
      </c>
      <c r="K946" s="25">
        <v>32</v>
      </c>
      <c r="L946" s="25">
        <v>3</v>
      </c>
      <c r="M946" s="13" t="b">
        <v>0</v>
      </c>
      <c r="O946" s="25">
        <f t="shared" si="56"/>
        <v>27</v>
      </c>
      <c r="P946" s="13">
        <f t="shared" si="57"/>
        <v>0</v>
      </c>
      <c r="Q946" s="13" t="str">
        <f t="shared" si="58"/>
        <v/>
      </c>
      <c r="R946" s="13" t="str">
        <f t="shared" si="59"/>
        <v>Non diskon</v>
      </c>
    </row>
    <row r="947" spans="1:18" x14ac:dyDescent="0.25">
      <c r="A947" s="13" t="s">
        <v>959</v>
      </c>
      <c r="B947" s="13" t="s">
        <v>2192</v>
      </c>
      <c r="C947" s="13" t="s">
        <v>2202</v>
      </c>
      <c r="D947" s="13" t="s">
        <v>2206</v>
      </c>
      <c r="F947" s="13" t="s">
        <v>2219</v>
      </c>
      <c r="G947" s="13">
        <v>21.2</v>
      </c>
      <c r="H947" s="44">
        <v>19</v>
      </c>
      <c r="I947" s="13">
        <v>17.170000000000002</v>
      </c>
      <c r="J947" s="24">
        <v>45875</v>
      </c>
      <c r="K947" s="25">
        <v>22</v>
      </c>
      <c r="L947" s="25">
        <v>1.3</v>
      </c>
      <c r="M947" s="13" t="b">
        <v>0</v>
      </c>
      <c r="O947" s="25">
        <f t="shared" si="56"/>
        <v>27</v>
      </c>
      <c r="P947" s="13">
        <f t="shared" si="57"/>
        <v>418</v>
      </c>
      <c r="Q947" s="13" t="str">
        <f t="shared" si="58"/>
        <v/>
      </c>
      <c r="R947" s="13" t="str">
        <f t="shared" si="59"/>
        <v>Diskon</v>
      </c>
    </row>
    <row r="948" spans="1:18" x14ac:dyDescent="0.25">
      <c r="A948" s="13" t="s">
        <v>960</v>
      </c>
      <c r="B948" s="13" t="s">
        <v>2194</v>
      </c>
      <c r="C948" s="13" t="s">
        <v>2196</v>
      </c>
      <c r="D948" s="13" t="s">
        <v>2204</v>
      </c>
      <c r="E948" s="13" t="s">
        <v>2211</v>
      </c>
      <c r="F948" s="13" t="s">
        <v>2216</v>
      </c>
      <c r="G948" s="13">
        <v>52.36</v>
      </c>
      <c r="H948" s="44">
        <v>0</v>
      </c>
      <c r="I948" s="13">
        <v>52.36</v>
      </c>
      <c r="J948" s="24">
        <v>45769</v>
      </c>
      <c r="K948" s="25">
        <v>35</v>
      </c>
      <c r="L948" s="25">
        <v>2.9210526315789478</v>
      </c>
      <c r="M948" s="13" t="b">
        <v>0</v>
      </c>
      <c r="O948" s="25">
        <f t="shared" si="56"/>
        <v>133</v>
      </c>
      <c r="P948" s="13">
        <f t="shared" si="57"/>
        <v>0</v>
      </c>
      <c r="Q948" s="13" t="str">
        <f t="shared" si="58"/>
        <v/>
      </c>
      <c r="R948" s="13" t="str">
        <f t="shared" si="59"/>
        <v>Non diskon</v>
      </c>
    </row>
    <row r="949" spans="1:18" x14ac:dyDescent="0.25">
      <c r="A949" s="13" t="s">
        <v>961</v>
      </c>
      <c r="B949" s="13" t="s">
        <v>2192</v>
      </c>
      <c r="C949" s="13" t="s">
        <v>2201</v>
      </c>
      <c r="D949" s="13" t="s">
        <v>2206</v>
      </c>
      <c r="F949" s="13" t="s">
        <v>2218</v>
      </c>
      <c r="G949" s="13">
        <v>73.430000000000007</v>
      </c>
      <c r="H949" s="44">
        <v>0</v>
      </c>
      <c r="I949" s="13">
        <v>73.430000000000007</v>
      </c>
      <c r="J949" s="24">
        <v>45875</v>
      </c>
      <c r="K949" s="25">
        <v>22</v>
      </c>
      <c r="L949" s="25">
        <v>2.2999999999999998</v>
      </c>
      <c r="M949" s="13" t="b">
        <v>0</v>
      </c>
      <c r="O949" s="25">
        <f t="shared" si="56"/>
        <v>27</v>
      </c>
      <c r="P949" s="13">
        <f t="shared" si="57"/>
        <v>0</v>
      </c>
      <c r="Q949" s="13" t="str">
        <f t="shared" si="58"/>
        <v/>
      </c>
      <c r="R949" s="13" t="str">
        <f t="shared" si="59"/>
        <v>Non diskon</v>
      </c>
    </row>
    <row r="950" spans="1:18" x14ac:dyDescent="0.25">
      <c r="A950" s="13" t="s">
        <v>962</v>
      </c>
      <c r="B950" s="13" t="s">
        <v>2192</v>
      </c>
      <c r="C950" s="13" t="s">
        <v>2201</v>
      </c>
      <c r="D950" s="13" t="s">
        <v>2204</v>
      </c>
      <c r="F950" s="13" t="s">
        <v>2223</v>
      </c>
      <c r="G950" s="13">
        <v>70.75</v>
      </c>
      <c r="H950" s="44">
        <v>0</v>
      </c>
      <c r="I950" s="13">
        <v>70.75</v>
      </c>
      <c r="J950" s="24">
        <v>45789</v>
      </c>
      <c r="K950" s="25">
        <v>0</v>
      </c>
      <c r="L950" s="25">
        <v>1.4</v>
      </c>
      <c r="M950" s="13" t="b">
        <v>0</v>
      </c>
      <c r="O950" s="25">
        <f t="shared" si="56"/>
        <v>113</v>
      </c>
      <c r="P950" s="13">
        <f t="shared" si="57"/>
        <v>0</v>
      </c>
      <c r="Q950" s="13" t="str">
        <f t="shared" si="58"/>
        <v/>
      </c>
      <c r="R950" s="13" t="str">
        <f t="shared" si="59"/>
        <v>Non diskon</v>
      </c>
    </row>
    <row r="951" spans="1:18" x14ac:dyDescent="0.25">
      <c r="A951" s="13" t="s">
        <v>963</v>
      </c>
      <c r="B951" s="13" t="s">
        <v>2192</v>
      </c>
      <c r="C951" s="13" t="s">
        <v>2202</v>
      </c>
      <c r="D951" s="13" t="s">
        <v>2206</v>
      </c>
      <c r="F951" s="13" t="s">
        <v>2217</v>
      </c>
      <c r="G951" s="13">
        <v>58.9</v>
      </c>
      <c r="H951" s="44">
        <v>0</v>
      </c>
      <c r="I951" s="13">
        <v>58.9</v>
      </c>
      <c r="J951" s="24">
        <v>45875</v>
      </c>
      <c r="K951" s="25">
        <v>39</v>
      </c>
      <c r="L951" s="25">
        <v>4</v>
      </c>
      <c r="M951" s="13" t="b">
        <v>0</v>
      </c>
      <c r="O951" s="25">
        <f t="shared" si="56"/>
        <v>27</v>
      </c>
      <c r="P951" s="13">
        <f t="shared" si="57"/>
        <v>0</v>
      </c>
      <c r="Q951" s="13" t="str">
        <f t="shared" si="58"/>
        <v/>
      </c>
      <c r="R951" s="13" t="str">
        <f t="shared" si="59"/>
        <v>Non diskon</v>
      </c>
    </row>
    <row r="952" spans="1:18" x14ac:dyDescent="0.25">
      <c r="A952" s="13" t="s">
        <v>964</v>
      </c>
      <c r="B952" s="13" t="s">
        <v>2190</v>
      </c>
      <c r="C952" s="13" t="s">
        <v>2203</v>
      </c>
      <c r="D952" s="13" t="s">
        <v>2205</v>
      </c>
      <c r="E952" s="13" t="s">
        <v>2209</v>
      </c>
      <c r="F952" s="13" t="s">
        <v>2223</v>
      </c>
      <c r="G952" s="13">
        <v>104.78</v>
      </c>
      <c r="H952" s="44">
        <v>16.899999999999999</v>
      </c>
      <c r="I952" s="13">
        <v>87.07</v>
      </c>
      <c r="J952" s="24">
        <v>45875</v>
      </c>
      <c r="K952" s="25">
        <v>43</v>
      </c>
      <c r="L952" s="25">
        <v>4.3</v>
      </c>
      <c r="M952" s="13" t="b">
        <v>0</v>
      </c>
      <c r="O952" s="25">
        <f t="shared" si="56"/>
        <v>27</v>
      </c>
      <c r="P952" s="13">
        <f t="shared" si="57"/>
        <v>726.69999999999993</v>
      </c>
      <c r="Q952" s="13" t="str">
        <f t="shared" si="58"/>
        <v/>
      </c>
      <c r="R952" s="13" t="str">
        <f t="shared" si="59"/>
        <v>Diskon</v>
      </c>
    </row>
    <row r="953" spans="1:18" x14ac:dyDescent="0.25">
      <c r="A953" s="13" t="s">
        <v>965</v>
      </c>
      <c r="B953" s="13" t="s">
        <v>2192</v>
      </c>
      <c r="C953" s="13" t="s">
        <v>2203</v>
      </c>
      <c r="D953" s="13" t="s">
        <v>2206</v>
      </c>
      <c r="F953" s="13" t="s">
        <v>2219</v>
      </c>
      <c r="G953" s="13">
        <v>55.3</v>
      </c>
      <c r="H953" s="44">
        <v>0</v>
      </c>
      <c r="I953" s="13">
        <v>55.3</v>
      </c>
      <c r="J953" s="24">
        <v>45875</v>
      </c>
      <c r="K953" s="25">
        <v>17</v>
      </c>
      <c r="L953" s="25">
        <v>2.5</v>
      </c>
      <c r="M953" s="13" t="b">
        <v>0</v>
      </c>
      <c r="O953" s="25">
        <f t="shared" si="56"/>
        <v>27</v>
      </c>
      <c r="P953" s="13">
        <f t="shared" si="57"/>
        <v>0</v>
      </c>
      <c r="Q953" s="13" t="str">
        <f t="shared" si="58"/>
        <v/>
      </c>
      <c r="R953" s="13" t="str">
        <f t="shared" si="59"/>
        <v>Non diskon</v>
      </c>
    </row>
    <row r="954" spans="1:18" x14ac:dyDescent="0.25">
      <c r="A954" s="13" t="s">
        <v>966</v>
      </c>
      <c r="B954" s="13" t="s">
        <v>2194</v>
      </c>
      <c r="C954" s="13" t="s">
        <v>2202</v>
      </c>
      <c r="D954" s="13" t="s">
        <v>2207</v>
      </c>
      <c r="E954" s="13" t="s">
        <v>2212</v>
      </c>
      <c r="F954" s="13" t="s">
        <v>2216</v>
      </c>
      <c r="G954" s="13">
        <v>56.65</v>
      </c>
      <c r="H954" s="44">
        <v>34</v>
      </c>
      <c r="I954" s="13">
        <v>37.39</v>
      </c>
      <c r="J954" s="24">
        <v>45875</v>
      </c>
      <c r="K954" s="25">
        <v>23</v>
      </c>
      <c r="L954" s="25">
        <v>4.3</v>
      </c>
      <c r="M954" s="13" t="b">
        <v>0</v>
      </c>
      <c r="O954" s="25">
        <f t="shared" si="56"/>
        <v>27</v>
      </c>
      <c r="P954" s="13">
        <f t="shared" si="57"/>
        <v>782</v>
      </c>
      <c r="Q954" s="13" t="str">
        <f t="shared" si="58"/>
        <v/>
      </c>
      <c r="R954" s="13" t="str">
        <f t="shared" si="59"/>
        <v>Diskon</v>
      </c>
    </row>
    <row r="955" spans="1:18" x14ac:dyDescent="0.25">
      <c r="A955" s="13" t="s">
        <v>967</v>
      </c>
      <c r="B955" s="13" t="s">
        <v>2193</v>
      </c>
      <c r="C955" s="13" t="s">
        <v>2197</v>
      </c>
      <c r="D955" s="13" t="s">
        <v>2206</v>
      </c>
      <c r="E955" s="13" t="s">
        <v>2212</v>
      </c>
      <c r="F955" s="13" t="s">
        <v>2215</v>
      </c>
      <c r="G955" s="13">
        <v>199.14</v>
      </c>
      <c r="H955" s="44">
        <v>0</v>
      </c>
      <c r="I955" s="13">
        <v>199.14</v>
      </c>
      <c r="J955" s="24">
        <v>45875</v>
      </c>
      <c r="K955" s="25">
        <v>18</v>
      </c>
      <c r="L955" s="25">
        <v>2.8205128205128198</v>
      </c>
      <c r="M955" s="13" t="b">
        <v>0</v>
      </c>
      <c r="O955" s="25">
        <f t="shared" si="56"/>
        <v>27</v>
      </c>
      <c r="P955" s="13">
        <f t="shared" si="57"/>
        <v>0</v>
      </c>
      <c r="Q955" s="13" t="str">
        <f t="shared" si="58"/>
        <v/>
      </c>
      <c r="R955" s="13" t="str">
        <f t="shared" si="59"/>
        <v>Non diskon</v>
      </c>
    </row>
    <row r="956" spans="1:18" x14ac:dyDescent="0.25">
      <c r="A956" s="13" t="s">
        <v>968</v>
      </c>
      <c r="B956" s="13" t="s">
        <v>2193</v>
      </c>
      <c r="C956" s="13" t="s">
        <v>2196</v>
      </c>
      <c r="D956" s="13" t="s">
        <v>2206</v>
      </c>
      <c r="E956" s="13" t="s">
        <v>2213</v>
      </c>
      <c r="F956" s="13" t="s">
        <v>2215</v>
      </c>
      <c r="G956" s="13">
        <v>128.68</v>
      </c>
      <c r="H956" s="44">
        <v>0</v>
      </c>
      <c r="I956" s="13">
        <v>128.68</v>
      </c>
      <c r="J956" s="24">
        <v>45875</v>
      </c>
      <c r="K956" s="25">
        <v>8</v>
      </c>
      <c r="L956" s="25">
        <v>2.2000000000000002</v>
      </c>
      <c r="M956" s="13" t="b">
        <v>0</v>
      </c>
      <c r="O956" s="25">
        <f t="shared" si="56"/>
        <v>27</v>
      </c>
      <c r="P956" s="13">
        <f t="shared" si="57"/>
        <v>0</v>
      </c>
      <c r="Q956" s="13" t="str">
        <f t="shared" si="58"/>
        <v/>
      </c>
      <c r="R956" s="13" t="str">
        <f t="shared" si="59"/>
        <v>Non diskon</v>
      </c>
    </row>
    <row r="957" spans="1:18" x14ac:dyDescent="0.25">
      <c r="A957" s="13" t="s">
        <v>969</v>
      </c>
      <c r="B957" s="13" t="s">
        <v>2190</v>
      </c>
      <c r="C957" s="13" t="s">
        <v>2197</v>
      </c>
      <c r="D957" s="13" t="s">
        <v>2206</v>
      </c>
      <c r="E957" s="13" t="s">
        <v>2208</v>
      </c>
      <c r="F957" s="13" t="s">
        <v>2221</v>
      </c>
      <c r="G957" s="13">
        <v>150.37</v>
      </c>
      <c r="H957" s="44">
        <v>51.9</v>
      </c>
      <c r="I957" s="13">
        <v>72.33</v>
      </c>
      <c r="J957" s="24">
        <v>45875</v>
      </c>
      <c r="K957" s="25">
        <v>15</v>
      </c>
      <c r="L957" s="25">
        <v>5</v>
      </c>
      <c r="M957" s="13" t="b">
        <v>0</v>
      </c>
      <c r="O957" s="25">
        <f t="shared" si="56"/>
        <v>27</v>
      </c>
      <c r="P957" s="13">
        <f t="shared" si="57"/>
        <v>778.5</v>
      </c>
      <c r="Q957" s="13" t="str">
        <f t="shared" si="58"/>
        <v/>
      </c>
      <c r="R957" s="13" t="str">
        <f t="shared" si="59"/>
        <v>Diskon</v>
      </c>
    </row>
    <row r="958" spans="1:18" x14ac:dyDescent="0.25">
      <c r="A958" s="13" t="s">
        <v>970</v>
      </c>
      <c r="B958" s="13" t="s">
        <v>2195</v>
      </c>
      <c r="C958" s="13" t="s">
        <v>2203</v>
      </c>
      <c r="D958" s="13" t="s">
        <v>2205</v>
      </c>
      <c r="E958" s="13" t="s">
        <v>2213</v>
      </c>
      <c r="F958" s="13" t="s">
        <v>2215</v>
      </c>
      <c r="G958" s="13">
        <v>162.65</v>
      </c>
      <c r="H958" s="44">
        <v>0</v>
      </c>
      <c r="I958" s="13">
        <v>162.65</v>
      </c>
      <c r="J958" s="24">
        <v>45875</v>
      </c>
      <c r="K958" s="25">
        <v>36</v>
      </c>
      <c r="L958" s="25">
        <v>1.4</v>
      </c>
      <c r="M958" s="13" t="b">
        <v>0</v>
      </c>
      <c r="O958" s="25">
        <f t="shared" si="56"/>
        <v>27</v>
      </c>
      <c r="P958" s="13">
        <f t="shared" si="57"/>
        <v>0</v>
      </c>
      <c r="Q958" s="13" t="str">
        <f t="shared" si="58"/>
        <v/>
      </c>
      <c r="R958" s="13" t="str">
        <f t="shared" si="59"/>
        <v>Non diskon</v>
      </c>
    </row>
    <row r="959" spans="1:18" x14ac:dyDescent="0.25">
      <c r="A959" s="13" t="s">
        <v>971</v>
      </c>
      <c r="B959" s="13" t="s">
        <v>2194</v>
      </c>
      <c r="C959" s="13" t="s">
        <v>2199</v>
      </c>
      <c r="D959" s="13" t="s">
        <v>2207</v>
      </c>
      <c r="E959" s="13" t="s">
        <v>2211</v>
      </c>
      <c r="F959" s="13" t="s">
        <v>2217</v>
      </c>
      <c r="G959" s="13">
        <v>28.9</v>
      </c>
      <c r="H959" s="44">
        <v>0</v>
      </c>
      <c r="I959" s="13">
        <v>28.9</v>
      </c>
      <c r="J959" s="24">
        <v>45875</v>
      </c>
      <c r="K959" s="25">
        <v>5</v>
      </c>
      <c r="L959" s="25">
        <v>4.5999999999999996</v>
      </c>
      <c r="M959" s="13" t="b">
        <v>0</v>
      </c>
      <c r="O959" s="25">
        <f t="shared" si="56"/>
        <v>27</v>
      </c>
      <c r="P959" s="13">
        <f t="shared" si="57"/>
        <v>0</v>
      </c>
      <c r="Q959" s="13" t="str">
        <f t="shared" si="58"/>
        <v/>
      </c>
      <c r="R959" s="13" t="str">
        <f t="shared" si="59"/>
        <v>Non diskon</v>
      </c>
    </row>
    <row r="960" spans="1:18" x14ac:dyDescent="0.25">
      <c r="A960" s="13" t="s">
        <v>972</v>
      </c>
      <c r="B960" s="13" t="s">
        <v>2192</v>
      </c>
      <c r="C960" s="13" t="s">
        <v>2203</v>
      </c>
      <c r="D960" s="13" t="s">
        <v>2204</v>
      </c>
      <c r="F960" s="13" t="s">
        <v>2215</v>
      </c>
      <c r="G960" s="13">
        <v>75.59</v>
      </c>
      <c r="H960" s="44">
        <v>38.799999999999997</v>
      </c>
      <c r="I960" s="13">
        <v>46.26</v>
      </c>
      <c r="J960" s="24">
        <v>45745</v>
      </c>
      <c r="K960" s="25">
        <v>43</v>
      </c>
      <c r="L960" s="25">
        <v>1.1000000000000001</v>
      </c>
      <c r="M960" s="13" t="b">
        <v>0</v>
      </c>
      <c r="O960" s="25">
        <f t="shared" si="56"/>
        <v>157</v>
      </c>
      <c r="P960" s="13">
        <f t="shared" si="57"/>
        <v>1668.3999999999999</v>
      </c>
      <c r="Q960" s="13" t="str">
        <f t="shared" si="58"/>
        <v/>
      </c>
      <c r="R960" s="13" t="str">
        <f t="shared" si="59"/>
        <v>Diskon</v>
      </c>
    </row>
    <row r="961" spans="1:18" x14ac:dyDescent="0.25">
      <c r="A961" s="13" t="s">
        <v>973</v>
      </c>
      <c r="B961" s="13" t="s">
        <v>2191</v>
      </c>
      <c r="C961" s="13" t="s">
        <v>2196</v>
      </c>
      <c r="D961" s="13" t="s">
        <v>2204</v>
      </c>
      <c r="E961" s="13" t="s">
        <v>2210</v>
      </c>
      <c r="F961" s="13" t="s">
        <v>2224</v>
      </c>
      <c r="G961" s="13">
        <v>30.9</v>
      </c>
      <c r="H961" s="44">
        <v>5.5</v>
      </c>
      <c r="I961" s="13">
        <v>29.2</v>
      </c>
      <c r="J961" s="24">
        <v>45602</v>
      </c>
      <c r="K961" s="25">
        <v>25</v>
      </c>
      <c r="L961" s="25">
        <v>1.4</v>
      </c>
      <c r="M961" s="13" t="b">
        <v>0</v>
      </c>
      <c r="O961" s="25">
        <f t="shared" si="56"/>
        <v>300</v>
      </c>
      <c r="P961" s="13">
        <f t="shared" si="57"/>
        <v>137.5</v>
      </c>
      <c r="Q961" s="13" t="str">
        <f t="shared" si="58"/>
        <v/>
      </c>
      <c r="R961" s="13" t="str">
        <f t="shared" si="59"/>
        <v>Diskon</v>
      </c>
    </row>
    <row r="962" spans="1:18" x14ac:dyDescent="0.25">
      <c r="A962" s="13" t="s">
        <v>974</v>
      </c>
      <c r="B962" s="13" t="s">
        <v>2190</v>
      </c>
      <c r="C962" s="13" t="s">
        <v>2199</v>
      </c>
      <c r="D962" s="13" t="s">
        <v>2207</v>
      </c>
      <c r="E962" s="13" t="s">
        <v>2210</v>
      </c>
      <c r="F962" s="13" t="s">
        <v>2219</v>
      </c>
      <c r="G962" s="13">
        <v>101.04</v>
      </c>
      <c r="H962" s="44">
        <v>0</v>
      </c>
      <c r="I962" s="13">
        <v>101.04</v>
      </c>
      <c r="J962" s="24">
        <v>45875</v>
      </c>
      <c r="K962" s="25">
        <v>35</v>
      </c>
      <c r="L962" s="25">
        <v>3.5</v>
      </c>
      <c r="M962" s="13" t="b">
        <v>0</v>
      </c>
      <c r="O962" s="25">
        <f t="shared" si="56"/>
        <v>27</v>
      </c>
      <c r="P962" s="13">
        <f t="shared" si="57"/>
        <v>0</v>
      </c>
      <c r="Q962" s="13" t="str">
        <f t="shared" si="58"/>
        <v/>
      </c>
      <c r="R962" s="13" t="str">
        <f t="shared" si="59"/>
        <v>Non diskon</v>
      </c>
    </row>
    <row r="963" spans="1:18" x14ac:dyDescent="0.25">
      <c r="A963" s="13" t="s">
        <v>975</v>
      </c>
      <c r="B963" s="13" t="s">
        <v>2195</v>
      </c>
      <c r="C963" s="13" t="s">
        <v>2203</v>
      </c>
      <c r="D963" s="13" t="s">
        <v>2206</v>
      </c>
      <c r="E963" s="13" t="s">
        <v>2210</v>
      </c>
      <c r="F963" s="13" t="s">
        <v>2217</v>
      </c>
      <c r="G963" s="13">
        <v>54.81</v>
      </c>
      <c r="H963" s="44">
        <v>0</v>
      </c>
      <c r="I963" s="13">
        <v>54.81</v>
      </c>
      <c r="J963" s="24">
        <v>45875</v>
      </c>
      <c r="K963" s="25">
        <v>41</v>
      </c>
      <c r="L963" s="25">
        <v>1.2</v>
      </c>
      <c r="M963" s="13" t="b">
        <v>1</v>
      </c>
      <c r="N963" s="13" t="s">
        <v>2230</v>
      </c>
      <c r="O963" s="25">
        <f t="shared" ref="O963:O1026" si="60">DATE(2025,9,2)-J963</f>
        <v>27</v>
      </c>
      <c r="P963" s="13">
        <f t="shared" ref="P963:P1026" si="61">H963*K963</f>
        <v>0</v>
      </c>
      <c r="Q963" s="13">
        <f t="shared" ref="Q963:Q1026" si="62">IF(M963=FALSE,"",1)</f>
        <v>1</v>
      </c>
      <c r="R963" s="13" t="str">
        <f t="shared" ref="R963:R1026" si="63">IF(H963=0,"Non diskon","Diskon")</f>
        <v>Non diskon</v>
      </c>
    </row>
    <row r="964" spans="1:18" x14ac:dyDescent="0.25">
      <c r="A964" s="13" t="s">
        <v>976</v>
      </c>
      <c r="B964" s="13" t="s">
        <v>2193</v>
      </c>
      <c r="C964" s="13" t="s">
        <v>2200</v>
      </c>
      <c r="D964" s="13" t="s">
        <v>2207</v>
      </c>
      <c r="E964" s="13" t="s">
        <v>2213</v>
      </c>
      <c r="F964" s="13" t="s">
        <v>2222</v>
      </c>
      <c r="G964" s="13">
        <v>191.61</v>
      </c>
      <c r="H964" s="44">
        <v>42.1</v>
      </c>
      <c r="I964" s="13">
        <v>110.94</v>
      </c>
      <c r="J964" s="24">
        <v>45875</v>
      </c>
      <c r="K964" s="25">
        <v>28</v>
      </c>
      <c r="L964" s="25">
        <v>4</v>
      </c>
      <c r="M964" s="13" t="b">
        <v>0</v>
      </c>
      <c r="O964" s="25">
        <f t="shared" si="60"/>
        <v>27</v>
      </c>
      <c r="P964" s="13">
        <f t="shared" si="61"/>
        <v>1178.8</v>
      </c>
      <c r="Q964" s="13" t="str">
        <f t="shared" si="62"/>
        <v/>
      </c>
      <c r="R964" s="13" t="str">
        <f t="shared" si="63"/>
        <v>Diskon</v>
      </c>
    </row>
    <row r="965" spans="1:18" x14ac:dyDescent="0.25">
      <c r="A965" s="13" t="s">
        <v>977</v>
      </c>
      <c r="B965" s="13" t="s">
        <v>2191</v>
      </c>
      <c r="C965" s="13" t="s">
        <v>2199</v>
      </c>
      <c r="D965" s="13" t="s">
        <v>2207</v>
      </c>
      <c r="E965" s="13" t="s">
        <v>2211</v>
      </c>
      <c r="F965" s="13" t="s">
        <v>2215</v>
      </c>
      <c r="G965" s="13">
        <v>100.5</v>
      </c>
      <c r="H965" s="44">
        <v>0</v>
      </c>
      <c r="I965" s="13">
        <v>100.5</v>
      </c>
      <c r="J965" s="24">
        <v>45875</v>
      </c>
      <c r="K965" s="25">
        <v>12</v>
      </c>
      <c r="L965" s="25">
        <v>2.7</v>
      </c>
      <c r="M965" s="13" t="b">
        <v>1</v>
      </c>
      <c r="N965" s="13" t="s">
        <v>2227</v>
      </c>
      <c r="O965" s="25">
        <f t="shared" si="60"/>
        <v>27</v>
      </c>
      <c r="P965" s="13">
        <f t="shared" si="61"/>
        <v>0</v>
      </c>
      <c r="Q965" s="13">
        <f t="shared" si="62"/>
        <v>1</v>
      </c>
      <c r="R965" s="13" t="str">
        <f t="shared" si="63"/>
        <v>Non diskon</v>
      </c>
    </row>
    <row r="966" spans="1:18" x14ac:dyDescent="0.25">
      <c r="A966" s="13" t="s">
        <v>978</v>
      </c>
      <c r="B966" s="13" t="s">
        <v>2193</v>
      </c>
      <c r="C966" s="13" t="s">
        <v>2199</v>
      </c>
      <c r="D966" s="13" t="s">
        <v>2204</v>
      </c>
      <c r="E966" s="13" t="s">
        <v>2211</v>
      </c>
      <c r="F966" s="13" t="s">
        <v>2220</v>
      </c>
      <c r="G966" s="13">
        <v>92.35</v>
      </c>
      <c r="H966" s="44">
        <v>23.6</v>
      </c>
      <c r="I966" s="13">
        <v>70.56</v>
      </c>
      <c r="J966" s="24">
        <v>45624</v>
      </c>
      <c r="K966" s="25">
        <v>32</v>
      </c>
      <c r="L966" s="25">
        <v>2.2000000000000002</v>
      </c>
      <c r="M966" s="13" t="b">
        <v>0</v>
      </c>
      <c r="O966" s="25">
        <f t="shared" si="60"/>
        <v>278</v>
      </c>
      <c r="P966" s="13">
        <f t="shared" si="61"/>
        <v>755.2</v>
      </c>
      <c r="Q966" s="13" t="str">
        <f t="shared" si="62"/>
        <v/>
      </c>
      <c r="R966" s="13" t="str">
        <f t="shared" si="63"/>
        <v>Diskon</v>
      </c>
    </row>
    <row r="967" spans="1:18" x14ac:dyDescent="0.25">
      <c r="A967" s="13" t="s">
        <v>979</v>
      </c>
      <c r="B967" s="13" t="s">
        <v>2193</v>
      </c>
      <c r="C967" s="13" t="s">
        <v>2201</v>
      </c>
      <c r="D967" s="13" t="s">
        <v>2207</v>
      </c>
      <c r="E967" s="13" t="s">
        <v>2213</v>
      </c>
      <c r="F967" s="13" t="s">
        <v>2218</v>
      </c>
      <c r="G967" s="13">
        <v>161.24</v>
      </c>
      <c r="H967" s="44">
        <v>56.6</v>
      </c>
      <c r="I967" s="13">
        <v>69.98</v>
      </c>
      <c r="J967" s="24">
        <v>45875</v>
      </c>
      <c r="K967" s="25">
        <v>8</v>
      </c>
      <c r="L967" s="25">
        <v>2.1</v>
      </c>
      <c r="M967" s="13" t="b">
        <v>0</v>
      </c>
      <c r="O967" s="25">
        <f t="shared" si="60"/>
        <v>27</v>
      </c>
      <c r="P967" s="13">
        <f t="shared" si="61"/>
        <v>452.8</v>
      </c>
      <c r="Q967" s="13" t="str">
        <f t="shared" si="62"/>
        <v/>
      </c>
      <c r="R967" s="13" t="str">
        <f t="shared" si="63"/>
        <v>Diskon</v>
      </c>
    </row>
    <row r="968" spans="1:18" x14ac:dyDescent="0.25">
      <c r="A968" s="13" t="s">
        <v>980</v>
      </c>
      <c r="B968" s="13" t="s">
        <v>2195</v>
      </c>
      <c r="C968" s="13" t="s">
        <v>2199</v>
      </c>
      <c r="D968" s="13" t="s">
        <v>2205</v>
      </c>
      <c r="E968" s="13" t="s">
        <v>2212</v>
      </c>
      <c r="F968" s="13" t="s">
        <v>2218</v>
      </c>
      <c r="G968" s="13">
        <v>68.03</v>
      </c>
      <c r="H968" s="44">
        <v>6.3</v>
      </c>
      <c r="I968" s="13">
        <v>63.74</v>
      </c>
      <c r="J968" s="24">
        <v>45875</v>
      </c>
      <c r="K968" s="25">
        <v>43</v>
      </c>
      <c r="L968" s="25">
        <v>3.4</v>
      </c>
      <c r="M968" s="13" t="b">
        <v>0</v>
      </c>
      <c r="O968" s="25">
        <f t="shared" si="60"/>
        <v>27</v>
      </c>
      <c r="P968" s="13">
        <f t="shared" si="61"/>
        <v>270.89999999999998</v>
      </c>
      <c r="Q968" s="13" t="str">
        <f t="shared" si="62"/>
        <v/>
      </c>
      <c r="R968" s="13" t="str">
        <f t="shared" si="63"/>
        <v>Diskon</v>
      </c>
    </row>
    <row r="969" spans="1:18" x14ac:dyDescent="0.25">
      <c r="A969" s="13" t="s">
        <v>981</v>
      </c>
      <c r="B969" s="13" t="s">
        <v>2193</v>
      </c>
      <c r="C969" s="13" t="s">
        <v>2201</v>
      </c>
      <c r="D969" s="13" t="s">
        <v>2206</v>
      </c>
      <c r="E969" s="13" t="s">
        <v>2212</v>
      </c>
      <c r="F969" s="13" t="s">
        <v>2223</v>
      </c>
      <c r="G969" s="13">
        <v>121.21</v>
      </c>
      <c r="H969" s="44">
        <v>47.4</v>
      </c>
      <c r="I969" s="13">
        <v>63.76</v>
      </c>
      <c r="J969" s="24">
        <v>45875</v>
      </c>
      <c r="K969" s="25">
        <v>45</v>
      </c>
      <c r="L969" s="25">
        <v>3</v>
      </c>
      <c r="M969" s="13" t="b">
        <v>1</v>
      </c>
      <c r="N969" s="13" t="s">
        <v>2229</v>
      </c>
      <c r="O969" s="25">
        <f t="shared" si="60"/>
        <v>27</v>
      </c>
      <c r="P969" s="13">
        <f t="shared" si="61"/>
        <v>2133</v>
      </c>
      <c r="Q969" s="13">
        <f t="shared" si="62"/>
        <v>1</v>
      </c>
      <c r="R969" s="13" t="str">
        <f t="shared" si="63"/>
        <v>Diskon</v>
      </c>
    </row>
    <row r="970" spans="1:18" x14ac:dyDescent="0.25">
      <c r="A970" s="13" t="s">
        <v>982</v>
      </c>
      <c r="B970" s="13" t="s">
        <v>2191</v>
      </c>
      <c r="C970" s="13" t="s">
        <v>2196</v>
      </c>
      <c r="D970" s="13" t="s">
        <v>2205</v>
      </c>
      <c r="E970" s="13" t="s">
        <v>2209</v>
      </c>
      <c r="F970" s="13" t="s">
        <v>2219</v>
      </c>
      <c r="G970" s="13">
        <v>69.599999999999994</v>
      </c>
      <c r="H970" s="44">
        <v>28.8</v>
      </c>
      <c r="I970" s="13">
        <v>49.56</v>
      </c>
      <c r="J970" s="24">
        <v>45875</v>
      </c>
      <c r="K970" s="25">
        <v>42</v>
      </c>
      <c r="L970" s="25">
        <v>3.7</v>
      </c>
      <c r="M970" s="13" t="b">
        <v>0</v>
      </c>
      <c r="O970" s="25">
        <f t="shared" si="60"/>
        <v>27</v>
      </c>
      <c r="P970" s="13">
        <f t="shared" si="61"/>
        <v>1209.6000000000001</v>
      </c>
      <c r="Q970" s="13" t="str">
        <f t="shared" si="62"/>
        <v/>
      </c>
      <c r="R970" s="13" t="str">
        <f t="shared" si="63"/>
        <v>Diskon</v>
      </c>
    </row>
    <row r="971" spans="1:18" x14ac:dyDescent="0.25">
      <c r="A971" s="13" t="s">
        <v>983</v>
      </c>
      <c r="B971" s="13" t="s">
        <v>2190</v>
      </c>
      <c r="C971" s="13" t="s">
        <v>2198</v>
      </c>
      <c r="D971" s="13" t="s">
        <v>2205</v>
      </c>
      <c r="E971" s="13" t="s">
        <v>2212</v>
      </c>
      <c r="F971" s="13" t="s">
        <v>2217</v>
      </c>
      <c r="G971" s="13">
        <v>222.5</v>
      </c>
      <c r="H971" s="44">
        <v>18.7</v>
      </c>
      <c r="I971" s="13">
        <v>180.89</v>
      </c>
      <c r="J971" s="24">
        <v>45875</v>
      </c>
      <c r="K971" s="25">
        <v>47</v>
      </c>
      <c r="L971" s="25">
        <v>3.0177777777777774</v>
      </c>
      <c r="M971" s="13" t="b">
        <v>0</v>
      </c>
      <c r="O971" s="25">
        <f t="shared" si="60"/>
        <v>27</v>
      </c>
      <c r="P971" s="13">
        <f t="shared" si="61"/>
        <v>878.9</v>
      </c>
      <c r="Q971" s="13" t="str">
        <f t="shared" si="62"/>
        <v/>
      </c>
      <c r="R971" s="13" t="str">
        <f t="shared" si="63"/>
        <v>Diskon</v>
      </c>
    </row>
    <row r="972" spans="1:18" x14ac:dyDescent="0.25">
      <c r="A972" s="13" t="s">
        <v>984</v>
      </c>
      <c r="B972" s="13" t="s">
        <v>2194</v>
      </c>
      <c r="C972" s="13" t="s">
        <v>2203</v>
      </c>
      <c r="D972" s="13" t="s">
        <v>2206</v>
      </c>
      <c r="E972" s="13" t="s">
        <v>2211</v>
      </c>
      <c r="F972" s="13" t="s">
        <v>2215</v>
      </c>
      <c r="G972" s="13">
        <v>25.58</v>
      </c>
      <c r="H972" s="44">
        <v>54.5</v>
      </c>
      <c r="I972" s="13">
        <v>11.64</v>
      </c>
      <c r="J972" s="24">
        <v>45875</v>
      </c>
      <c r="K972" s="25">
        <v>34</v>
      </c>
      <c r="L972" s="25">
        <v>2.4</v>
      </c>
      <c r="M972" s="13" t="b">
        <v>0</v>
      </c>
      <c r="O972" s="25">
        <f t="shared" si="60"/>
        <v>27</v>
      </c>
      <c r="P972" s="13">
        <f t="shared" si="61"/>
        <v>1853</v>
      </c>
      <c r="Q972" s="13" t="str">
        <f t="shared" si="62"/>
        <v/>
      </c>
      <c r="R972" s="13" t="str">
        <f t="shared" si="63"/>
        <v>Diskon</v>
      </c>
    </row>
    <row r="973" spans="1:18" x14ac:dyDescent="0.25">
      <c r="A973" s="13" t="s">
        <v>985</v>
      </c>
      <c r="B973" s="13" t="s">
        <v>2195</v>
      </c>
      <c r="C973" s="13" t="s">
        <v>2199</v>
      </c>
      <c r="D973" s="13" t="s">
        <v>2207</v>
      </c>
      <c r="E973" s="13" t="s">
        <v>2208</v>
      </c>
      <c r="F973" s="13" t="s">
        <v>2219</v>
      </c>
      <c r="G973" s="13">
        <v>54.46</v>
      </c>
      <c r="H973" s="44">
        <v>6.6</v>
      </c>
      <c r="I973" s="13">
        <v>50.87</v>
      </c>
      <c r="J973" s="24">
        <v>45875</v>
      </c>
      <c r="K973" s="25">
        <v>17</v>
      </c>
      <c r="L973" s="25">
        <v>1.7</v>
      </c>
      <c r="M973" s="13" t="b">
        <v>0</v>
      </c>
      <c r="O973" s="25">
        <f t="shared" si="60"/>
        <v>27</v>
      </c>
      <c r="P973" s="13">
        <f t="shared" si="61"/>
        <v>112.19999999999999</v>
      </c>
      <c r="Q973" s="13" t="str">
        <f t="shared" si="62"/>
        <v/>
      </c>
      <c r="R973" s="13" t="str">
        <f t="shared" si="63"/>
        <v>Diskon</v>
      </c>
    </row>
    <row r="974" spans="1:18" x14ac:dyDescent="0.25">
      <c r="A974" s="13" t="s">
        <v>986</v>
      </c>
      <c r="B974" s="13" t="s">
        <v>2194</v>
      </c>
      <c r="C974" s="13" t="s">
        <v>2203</v>
      </c>
      <c r="D974" s="13" t="s">
        <v>2205</v>
      </c>
      <c r="E974" s="13" t="s">
        <v>2210</v>
      </c>
      <c r="F974" s="13" t="s">
        <v>2215</v>
      </c>
      <c r="G974" s="13">
        <v>43.32</v>
      </c>
      <c r="H974" s="44">
        <v>0</v>
      </c>
      <c r="I974" s="13">
        <v>43.32</v>
      </c>
      <c r="J974" s="24">
        <v>45875</v>
      </c>
      <c r="K974" s="25">
        <v>0</v>
      </c>
      <c r="L974" s="25">
        <v>2.6</v>
      </c>
      <c r="M974" s="13" t="b">
        <v>0</v>
      </c>
      <c r="O974" s="25">
        <f t="shared" si="60"/>
        <v>27</v>
      </c>
      <c r="P974" s="13">
        <f t="shared" si="61"/>
        <v>0</v>
      </c>
      <c r="Q974" s="13" t="str">
        <f t="shared" si="62"/>
        <v/>
      </c>
      <c r="R974" s="13" t="str">
        <f t="shared" si="63"/>
        <v>Non diskon</v>
      </c>
    </row>
    <row r="975" spans="1:18" x14ac:dyDescent="0.25">
      <c r="A975" s="13" t="s">
        <v>987</v>
      </c>
      <c r="B975" s="13" t="s">
        <v>2192</v>
      </c>
      <c r="C975" s="13" t="s">
        <v>2203</v>
      </c>
      <c r="D975" s="13" t="s">
        <v>2205</v>
      </c>
      <c r="F975" s="13" t="s">
        <v>2214</v>
      </c>
      <c r="G975" s="13">
        <v>75.09</v>
      </c>
      <c r="H975" s="44">
        <v>0</v>
      </c>
      <c r="I975" s="13">
        <v>75.09</v>
      </c>
      <c r="J975" s="24">
        <v>45875</v>
      </c>
      <c r="K975" s="25">
        <v>41</v>
      </c>
      <c r="L975" s="25">
        <v>3.5</v>
      </c>
      <c r="M975" s="13" t="b">
        <v>0</v>
      </c>
      <c r="O975" s="25">
        <f t="shared" si="60"/>
        <v>27</v>
      </c>
      <c r="P975" s="13">
        <f t="shared" si="61"/>
        <v>0</v>
      </c>
      <c r="Q975" s="13" t="str">
        <f t="shared" si="62"/>
        <v/>
      </c>
      <c r="R975" s="13" t="str">
        <f t="shared" si="63"/>
        <v>Non diskon</v>
      </c>
    </row>
    <row r="976" spans="1:18" x14ac:dyDescent="0.25">
      <c r="A976" s="13" t="s">
        <v>988</v>
      </c>
      <c r="B976" s="13" t="s">
        <v>2195</v>
      </c>
      <c r="C976" s="13" t="s">
        <v>2197</v>
      </c>
      <c r="D976" s="13" t="s">
        <v>2204</v>
      </c>
      <c r="E976" s="13" t="s">
        <v>2212</v>
      </c>
      <c r="F976" s="13" t="s">
        <v>2214</v>
      </c>
      <c r="G976" s="13">
        <v>167.46</v>
      </c>
      <c r="H976" s="44">
        <v>0</v>
      </c>
      <c r="I976" s="13">
        <v>167.46</v>
      </c>
      <c r="J976" s="24">
        <v>45522</v>
      </c>
      <c r="K976" s="25">
        <v>4</v>
      </c>
      <c r="L976" s="25">
        <v>1.3</v>
      </c>
      <c r="M976" s="13" t="b">
        <v>0</v>
      </c>
      <c r="O976" s="25">
        <f t="shared" si="60"/>
        <v>380</v>
      </c>
      <c r="P976" s="13">
        <f t="shared" si="61"/>
        <v>0</v>
      </c>
      <c r="Q976" s="13" t="str">
        <f t="shared" si="62"/>
        <v/>
      </c>
      <c r="R976" s="13" t="str">
        <f t="shared" si="63"/>
        <v>Non diskon</v>
      </c>
    </row>
    <row r="977" spans="1:18" x14ac:dyDescent="0.25">
      <c r="A977" s="13" t="s">
        <v>989</v>
      </c>
      <c r="B977" s="13" t="s">
        <v>2193</v>
      </c>
      <c r="C977" s="13" t="s">
        <v>2198</v>
      </c>
      <c r="D977" s="13" t="s">
        <v>2206</v>
      </c>
      <c r="E977" s="13" t="s">
        <v>2209</v>
      </c>
      <c r="F977" s="13" t="s">
        <v>2219</v>
      </c>
      <c r="G977" s="13">
        <v>111.24</v>
      </c>
      <c r="H977" s="44">
        <v>34.299999999999997</v>
      </c>
      <c r="I977" s="13">
        <v>73.08</v>
      </c>
      <c r="J977" s="24">
        <v>45875</v>
      </c>
      <c r="K977" s="25">
        <v>3</v>
      </c>
      <c r="L977" s="25">
        <v>2.2000000000000002</v>
      </c>
      <c r="M977" s="13" t="b">
        <v>0</v>
      </c>
      <c r="O977" s="25">
        <f t="shared" si="60"/>
        <v>27</v>
      </c>
      <c r="P977" s="13">
        <f t="shared" si="61"/>
        <v>102.89999999999999</v>
      </c>
      <c r="Q977" s="13" t="str">
        <f t="shared" si="62"/>
        <v/>
      </c>
      <c r="R977" s="13" t="str">
        <f t="shared" si="63"/>
        <v>Diskon</v>
      </c>
    </row>
    <row r="978" spans="1:18" x14ac:dyDescent="0.25">
      <c r="A978" s="13" t="s">
        <v>990</v>
      </c>
      <c r="B978" s="13" t="s">
        <v>2194</v>
      </c>
      <c r="C978" s="13" t="s">
        <v>2197</v>
      </c>
      <c r="D978" s="13" t="s">
        <v>2206</v>
      </c>
      <c r="E978" s="13" t="s">
        <v>2211</v>
      </c>
      <c r="F978" s="13" t="s">
        <v>2222</v>
      </c>
      <c r="G978" s="13">
        <v>59.36</v>
      </c>
      <c r="H978" s="44">
        <v>0</v>
      </c>
      <c r="I978" s="13">
        <v>59.36</v>
      </c>
      <c r="J978" s="24">
        <v>45875</v>
      </c>
      <c r="K978" s="25">
        <v>16</v>
      </c>
      <c r="L978" s="25">
        <v>3.0846153846153843</v>
      </c>
      <c r="M978" s="13" t="b">
        <v>0</v>
      </c>
      <c r="O978" s="25">
        <f t="shared" si="60"/>
        <v>27</v>
      </c>
      <c r="P978" s="13">
        <f t="shared" si="61"/>
        <v>0</v>
      </c>
      <c r="Q978" s="13" t="str">
        <f t="shared" si="62"/>
        <v/>
      </c>
      <c r="R978" s="13" t="str">
        <f t="shared" si="63"/>
        <v>Non diskon</v>
      </c>
    </row>
    <row r="979" spans="1:18" x14ac:dyDescent="0.25">
      <c r="A979" s="13" t="s">
        <v>991</v>
      </c>
      <c r="B979" s="13" t="s">
        <v>2193</v>
      </c>
      <c r="C979" s="13" t="s">
        <v>2198</v>
      </c>
      <c r="D979" s="13" t="s">
        <v>2206</v>
      </c>
      <c r="E979" s="13" t="s">
        <v>2210</v>
      </c>
      <c r="F979" s="13" t="s">
        <v>2222</v>
      </c>
      <c r="G979" s="13">
        <v>199.46</v>
      </c>
      <c r="H979" s="44">
        <v>0</v>
      </c>
      <c r="I979" s="13">
        <v>199.46</v>
      </c>
      <c r="J979" s="24">
        <v>45875</v>
      </c>
      <c r="K979" s="25">
        <v>15</v>
      </c>
      <c r="L979" s="25">
        <v>1.4</v>
      </c>
      <c r="M979" s="13" t="b">
        <v>0</v>
      </c>
      <c r="O979" s="25">
        <f t="shared" si="60"/>
        <v>27</v>
      </c>
      <c r="P979" s="13">
        <f t="shared" si="61"/>
        <v>0</v>
      </c>
      <c r="Q979" s="13" t="str">
        <f t="shared" si="62"/>
        <v/>
      </c>
      <c r="R979" s="13" t="str">
        <f t="shared" si="63"/>
        <v>Non diskon</v>
      </c>
    </row>
    <row r="980" spans="1:18" x14ac:dyDescent="0.25">
      <c r="A980" s="13" t="s">
        <v>992</v>
      </c>
      <c r="B980" s="13" t="s">
        <v>2193</v>
      </c>
      <c r="C980" s="13" t="s">
        <v>2203</v>
      </c>
      <c r="D980" s="13" t="s">
        <v>2206</v>
      </c>
      <c r="E980" s="13" t="s">
        <v>2213</v>
      </c>
      <c r="F980" s="13" t="s">
        <v>2217</v>
      </c>
      <c r="G980" s="13">
        <v>72.75</v>
      </c>
      <c r="H980" s="44">
        <v>50.2</v>
      </c>
      <c r="I980" s="13">
        <v>36.229999999999997</v>
      </c>
      <c r="J980" s="24">
        <v>45875</v>
      </c>
      <c r="K980" s="25">
        <v>28</v>
      </c>
      <c r="L980" s="25">
        <v>3.6</v>
      </c>
      <c r="M980" s="13" t="b">
        <v>0</v>
      </c>
      <c r="O980" s="25">
        <f t="shared" si="60"/>
        <v>27</v>
      </c>
      <c r="P980" s="13">
        <f t="shared" si="61"/>
        <v>1405.6000000000001</v>
      </c>
      <c r="Q980" s="13" t="str">
        <f t="shared" si="62"/>
        <v/>
      </c>
      <c r="R980" s="13" t="str">
        <f t="shared" si="63"/>
        <v>Diskon</v>
      </c>
    </row>
    <row r="981" spans="1:18" x14ac:dyDescent="0.25">
      <c r="A981" s="13" t="s">
        <v>993</v>
      </c>
      <c r="B981" s="13" t="s">
        <v>2194</v>
      </c>
      <c r="C981" s="13" t="s">
        <v>2199</v>
      </c>
      <c r="D981" s="13" t="s">
        <v>2206</v>
      </c>
      <c r="E981" s="13" t="s">
        <v>2212</v>
      </c>
      <c r="F981" s="13" t="s">
        <v>2215</v>
      </c>
      <c r="G981" s="13">
        <v>86.52</v>
      </c>
      <c r="H981" s="44">
        <v>27.6</v>
      </c>
      <c r="I981" s="13">
        <v>62.64</v>
      </c>
      <c r="J981" s="24">
        <v>45875</v>
      </c>
      <c r="K981" s="25">
        <v>47</v>
      </c>
      <c r="L981" s="25">
        <v>1.1000000000000001</v>
      </c>
      <c r="M981" s="13" t="b">
        <v>0</v>
      </c>
      <c r="O981" s="25">
        <f t="shared" si="60"/>
        <v>27</v>
      </c>
      <c r="P981" s="13">
        <f t="shared" si="61"/>
        <v>1297.2</v>
      </c>
      <c r="Q981" s="13" t="str">
        <f t="shared" si="62"/>
        <v/>
      </c>
      <c r="R981" s="13" t="str">
        <f t="shared" si="63"/>
        <v>Diskon</v>
      </c>
    </row>
    <row r="982" spans="1:18" x14ac:dyDescent="0.25">
      <c r="A982" s="13" t="s">
        <v>994</v>
      </c>
      <c r="B982" s="13" t="s">
        <v>2192</v>
      </c>
      <c r="C982" s="13" t="s">
        <v>2203</v>
      </c>
      <c r="D982" s="13" t="s">
        <v>2204</v>
      </c>
      <c r="F982" s="13" t="s">
        <v>2219</v>
      </c>
      <c r="G982" s="13">
        <v>52.69</v>
      </c>
      <c r="H982" s="44">
        <v>40.200000000000003</v>
      </c>
      <c r="I982" s="13">
        <v>31.51</v>
      </c>
      <c r="J982" s="24">
        <v>45611</v>
      </c>
      <c r="K982" s="25">
        <v>7</v>
      </c>
      <c r="L982" s="25">
        <v>2.7</v>
      </c>
      <c r="M982" s="13" t="b">
        <v>0</v>
      </c>
      <c r="O982" s="25">
        <f t="shared" si="60"/>
        <v>291</v>
      </c>
      <c r="P982" s="13">
        <f t="shared" si="61"/>
        <v>281.40000000000003</v>
      </c>
      <c r="Q982" s="13" t="str">
        <f t="shared" si="62"/>
        <v/>
      </c>
      <c r="R982" s="13" t="str">
        <f t="shared" si="63"/>
        <v>Diskon</v>
      </c>
    </row>
    <row r="983" spans="1:18" x14ac:dyDescent="0.25">
      <c r="A983" s="13" t="s">
        <v>995</v>
      </c>
      <c r="B983" s="13" t="s">
        <v>2190</v>
      </c>
      <c r="C983" s="13" t="s">
        <v>2198</v>
      </c>
      <c r="D983" s="13" t="s">
        <v>2206</v>
      </c>
      <c r="E983" s="13" t="s">
        <v>2209</v>
      </c>
      <c r="F983" s="13" t="s">
        <v>2216</v>
      </c>
      <c r="G983" s="13">
        <v>104.18</v>
      </c>
      <c r="H983" s="44">
        <v>0</v>
      </c>
      <c r="I983" s="13">
        <v>104.18</v>
      </c>
      <c r="J983" s="24">
        <v>45875</v>
      </c>
      <c r="K983" s="25">
        <v>12</v>
      </c>
      <c r="L983" s="25">
        <v>5</v>
      </c>
      <c r="M983" s="13" t="b">
        <v>0</v>
      </c>
      <c r="O983" s="25">
        <f t="shared" si="60"/>
        <v>27</v>
      </c>
      <c r="P983" s="13">
        <f t="shared" si="61"/>
        <v>0</v>
      </c>
      <c r="Q983" s="13" t="str">
        <f t="shared" si="62"/>
        <v/>
      </c>
      <c r="R983" s="13" t="str">
        <f t="shared" si="63"/>
        <v>Non diskon</v>
      </c>
    </row>
    <row r="984" spans="1:18" x14ac:dyDescent="0.25">
      <c r="A984" s="13" t="s">
        <v>996</v>
      </c>
      <c r="B984" s="13" t="s">
        <v>2190</v>
      </c>
      <c r="C984" s="13" t="s">
        <v>2200</v>
      </c>
      <c r="D984" s="13" t="s">
        <v>2205</v>
      </c>
      <c r="E984" s="13" t="s">
        <v>2209</v>
      </c>
      <c r="F984" s="13" t="s">
        <v>2214</v>
      </c>
      <c r="G984" s="13">
        <v>132.38</v>
      </c>
      <c r="H984" s="44">
        <v>58.2</v>
      </c>
      <c r="I984" s="13">
        <v>55.33</v>
      </c>
      <c r="J984" s="24">
        <v>45875</v>
      </c>
      <c r="K984" s="25">
        <v>24</v>
      </c>
      <c r="L984" s="25">
        <v>2.9228571428571426</v>
      </c>
      <c r="M984" s="13" t="b">
        <v>0</v>
      </c>
      <c r="O984" s="25">
        <f t="shared" si="60"/>
        <v>27</v>
      </c>
      <c r="P984" s="13">
        <f t="shared" si="61"/>
        <v>1396.8000000000002</v>
      </c>
      <c r="Q984" s="13" t="str">
        <f t="shared" si="62"/>
        <v/>
      </c>
      <c r="R984" s="13" t="str">
        <f t="shared" si="63"/>
        <v>Diskon</v>
      </c>
    </row>
    <row r="985" spans="1:18" x14ac:dyDescent="0.25">
      <c r="A985" s="13" t="s">
        <v>997</v>
      </c>
      <c r="B985" s="13" t="s">
        <v>2193</v>
      </c>
      <c r="C985" s="13" t="s">
        <v>2200</v>
      </c>
      <c r="D985" s="13" t="s">
        <v>2206</v>
      </c>
      <c r="E985" s="13" t="s">
        <v>2208</v>
      </c>
      <c r="F985" s="13" t="s">
        <v>2215</v>
      </c>
      <c r="G985" s="13">
        <v>64.400000000000006</v>
      </c>
      <c r="H985" s="44">
        <v>0</v>
      </c>
      <c r="I985" s="13">
        <v>64.400000000000006</v>
      </c>
      <c r="J985" s="24">
        <v>45875</v>
      </c>
      <c r="K985" s="25">
        <v>40</v>
      </c>
      <c r="L985" s="25">
        <v>4.9000000000000004</v>
      </c>
      <c r="M985" s="13" t="b">
        <v>0</v>
      </c>
      <c r="O985" s="25">
        <f t="shared" si="60"/>
        <v>27</v>
      </c>
      <c r="P985" s="13">
        <f t="shared" si="61"/>
        <v>0</v>
      </c>
      <c r="Q985" s="13" t="str">
        <f t="shared" si="62"/>
        <v/>
      </c>
      <c r="R985" s="13" t="str">
        <f t="shared" si="63"/>
        <v>Non diskon</v>
      </c>
    </row>
    <row r="986" spans="1:18" x14ac:dyDescent="0.25">
      <c r="A986" s="13" t="s">
        <v>998</v>
      </c>
      <c r="B986" s="13" t="s">
        <v>2194</v>
      </c>
      <c r="C986" s="13" t="s">
        <v>2196</v>
      </c>
      <c r="D986" s="13" t="s">
        <v>2207</v>
      </c>
      <c r="E986" s="13" t="s">
        <v>2208</v>
      </c>
      <c r="F986" s="13" t="s">
        <v>2218</v>
      </c>
      <c r="G986" s="13">
        <v>34.07</v>
      </c>
      <c r="H986" s="44">
        <v>0</v>
      </c>
      <c r="I986" s="13">
        <v>34.07</v>
      </c>
      <c r="J986" s="24">
        <v>45875</v>
      </c>
      <c r="K986" s="25">
        <v>25</v>
      </c>
      <c r="L986" s="25">
        <v>4.2</v>
      </c>
      <c r="M986" s="13" t="b">
        <v>1</v>
      </c>
      <c r="N986" s="13" t="s">
        <v>2230</v>
      </c>
      <c r="O986" s="25">
        <f t="shared" si="60"/>
        <v>27</v>
      </c>
      <c r="P986" s="13">
        <f t="shared" si="61"/>
        <v>0</v>
      </c>
      <c r="Q986" s="13">
        <f t="shared" si="62"/>
        <v>1</v>
      </c>
      <c r="R986" s="13" t="str">
        <f t="shared" si="63"/>
        <v>Non diskon</v>
      </c>
    </row>
    <row r="987" spans="1:18" x14ac:dyDescent="0.25">
      <c r="A987" s="13" t="s">
        <v>999</v>
      </c>
      <c r="B987" s="13" t="s">
        <v>2194</v>
      </c>
      <c r="C987" s="13" t="s">
        <v>2196</v>
      </c>
      <c r="D987" s="13" t="s">
        <v>2205</v>
      </c>
      <c r="E987" s="13" t="s">
        <v>2211</v>
      </c>
      <c r="F987" s="13" t="s">
        <v>2214</v>
      </c>
      <c r="G987" s="13">
        <v>43.33</v>
      </c>
      <c r="H987" s="44">
        <v>45.3</v>
      </c>
      <c r="I987" s="13">
        <v>23.7</v>
      </c>
      <c r="J987" s="24">
        <v>45875</v>
      </c>
      <c r="K987" s="25">
        <v>1</v>
      </c>
      <c r="L987" s="25">
        <v>3.4</v>
      </c>
      <c r="M987" s="13" t="b">
        <v>0</v>
      </c>
      <c r="O987" s="25">
        <f t="shared" si="60"/>
        <v>27</v>
      </c>
      <c r="P987" s="13">
        <f t="shared" si="61"/>
        <v>45.3</v>
      </c>
      <c r="Q987" s="13" t="str">
        <f t="shared" si="62"/>
        <v/>
      </c>
      <c r="R987" s="13" t="str">
        <f t="shared" si="63"/>
        <v>Diskon</v>
      </c>
    </row>
    <row r="988" spans="1:18" x14ac:dyDescent="0.25">
      <c r="A988" s="13" t="s">
        <v>1000</v>
      </c>
      <c r="B988" s="13" t="s">
        <v>2190</v>
      </c>
      <c r="C988" s="13" t="s">
        <v>2197</v>
      </c>
      <c r="D988" s="13" t="s">
        <v>2204</v>
      </c>
      <c r="E988" s="13" t="s">
        <v>2208</v>
      </c>
      <c r="F988" s="13" t="s">
        <v>2217</v>
      </c>
      <c r="G988" s="13">
        <v>122.92</v>
      </c>
      <c r="H988" s="44">
        <v>0</v>
      </c>
      <c r="I988" s="13">
        <v>122.92</v>
      </c>
      <c r="J988" s="24">
        <v>45602</v>
      </c>
      <c r="K988" s="25">
        <v>41</v>
      </c>
      <c r="L988" s="25">
        <v>2.9</v>
      </c>
      <c r="M988" s="13" t="b">
        <v>0</v>
      </c>
      <c r="O988" s="25">
        <f t="shared" si="60"/>
        <v>300</v>
      </c>
      <c r="P988" s="13">
        <f t="shared" si="61"/>
        <v>0</v>
      </c>
      <c r="Q988" s="13" t="str">
        <f t="shared" si="62"/>
        <v/>
      </c>
      <c r="R988" s="13" t="str">
        <f t="shared" si="63"/>
        <v>Non diskon</v>
      </c>
    </row>
    <row r="989" spans="1:18" x14ac:dyDescent="0.25">
      <c r="A989" s="13" t="s">
        <v>1001</v>
      </c>
      <c r="B989" s="13" t="s">
        <v>2193</v>
      </c>
      <c r="C989" s="13" t="s">
        <v>2196</v>
      </c>
      <c r="D989" s="13" t="s">
        <v>2204</v>
      </c>
      <c r="E989" s="13" t="s">
        <v>2210</v>
      </c>
      <c r="F989" s="13" t="s">
        <v>2218</v>
      </c>
      <c r="G989" s="13">
        <v>142.84</v>
      </c>
      <c r="H989" s="44">
        <v>0</v>
      </c>
      <c r="I989" s="13">
        <v>142.84</v>
      </c>
      <c r="J989" s="24">
        <v>45702</v>
      </c>
      <c r="K989" s="25">
        <v>36</v>
      </c>
      <c r="L989" s="25">
        <v>2.9153846153846157</v>
      </c>
      <c r="M989" s="13" t="b">
        <v>0</v>
      </c>
      <c r="O989" s="25">
        <f t="shared" si="60"/>
        <v>200</v>
      </c>
      <c r="P989" s="13">
        <f t="shared" si="61"/>
        <v>0</v>
      </c>
      <c r="Q989" s="13" t="str">
        <f t="shared" si="62"/>
        <v/>
      </c>
      <c r="R989" s="13" t="str">
        <f t="shared" si="63"/>
        <v>Non diskon</v>
      </c>
    </row>
    <row r="990" spans="1:18" x14ac:dyDescent="0.25">
      <c r="A990" s="13" t="s">
        <v>1002</v>
      </c>
      <c r="B990" s="13" t="s">
        <v>2193</v>
      </c>
      <c r="C990" s="13" t="s">
        <v>2202</v>
      </c>
      <c r="D990" s="13" t="s">
        <v>2207</v>
      </c>
      <c r="E990" s="13" t="s">
        <v>2211</v>
      </c>
      <c r="F990" s="13" t="s">
        <v>2216</v>
      </c>
      <c r="G990" s="13">
        <v>131.55000000000001</v>
      </c>
      <c r="H990" s="44">
        <v>0</v>
      </c>
      <c r="I990" s="13">
        <v>131.55000000000001</v>
      </c>
      <c r="J990" s="24">
        <v>45875</v>
      </c>
      <c r="K990" s="25">
        <v>45</v>
      </c>
      <c r="L990" s="25">
        <v>1.8</v>
      </c>
      <c r="M990" s="13" t="b">
        <v>0</v>
      </c>
      <c r="O990" s="25">
        <f t="shared" si="60"/>
        <v>27</v>
      </c>
      <c r="P990" s="13">
        <f t="shared" si="61"/>
        <v>0</v>
      </c>
      <c r="Q990" s="13" t="str">
        <f t="shared" si="62"/>
        <v/>
      </c>
      <c r="R990" s="13" t="str">
        <f t="shared" si="63"/>
        <v>Non diskon</v>
      </c>
    </row>
    <row r="991" spans="1:18" x14ac:dyDescent="0.25">
      <c r="A991" s="13" t="s">
        <v>1003</v>
      </c>
      <c r="B991" s="13" t="s">
        <v>2190</v>
      </c>
      <c r="C991" s="13" t="s">
        <v>2196</v>
      </c>
      <c r="D991" s="13" t="s">
        <v>2204</v>
      </c>
      <c r="E991" s="13" t="s">
        <v>2210</v>
      </c>
      <c r="F991" s="13" t="s">
        <v>2214</v>
      </c>
      <c r="G991" s="13">
        <v>192.58</v>
      </c>
      <c r="H991" s="44">
        <v>0</v>
      </c>
      <c r="I991" s="13">
        <v>192.58</v>
      </c>
      <c r="J991" s="24">
        <v>45764</v>
      </c>
      <c r="K991" s="25">
        <v>16</v>
      </c>
      <c r="L991" s="25">
        <v>1.2</v>
      </c>
      <c r="M991" s="13" t="b">
        <v>0</v>
      </c>
      <c r="O991" s="25">
        <f t="shared" si="60"/>
        <v>138</v>
      </c>
      <c r="P991" s="13">
        <f t="shared" si="61"/>
        <v>0</v>
      </c>
      <c r="Q991" s="13" t="str">
        <f t="shared" si="62"/>
        <v/>
      </c>
      <c r="R991" s="13" t="str">
        <f t="shared" si="63"/>
        <v>Non diskon</v>
      </c>
    </row>
    <row r="992" spans="1:18" x14ac:dyDescent="0.25">
      <c r="A992" s="13" t="s">
        <v>1004</v>
      </c>
      <c r="B992" s="13" t="s">
        <v>2192</v>
      </c>
      <c r="C992" s="13" t="s">
        <v>2201</v>
      </c>
      <c r="D992" s="13" t="s">
        <v>2204</v>
      </c>
      <c r="F992" s="13" t="s">
        <v>2223</v>
      </c>
      <c r="G992" s="13">
        <v>33.56</v>
      </c>
      <c r="H992" s="44">
        <v>0</v>
      </c>
      <c r="I992" s="13">
        <v>33.56</v>
      </c>
      <c r="J992" s="24">
        <v>45743</v>
      </c>
      <c r="K992" s="25">
        <v>24</v>
      </c>
      <c r="L992" s="25">
        <v>3</v>
      </c>
      <c r="M992" s="13" t="b">
        <v>0</v>
      </c>
      <c r="O992" s="25">
        <f t="shared" si="60"/>
        <v>159</v>
      </c>
      <c r="P992" s="13">
        <f t="shared" si="61"/>
        <v>0</v>
      </c>
      <c r="Q992" s="13" t="str">
        <f t="shared" si="62"/>
        <v/>
      </c>
      <c r="R992" s="13" t="str">
        <f t="shared" si="63"/>
        <v>Non diskon</v>
      </c>
    </row>
    <row r="993" spans="1:18" x14ac:dyDescent="0.25">
      <c r="A993" s="13" t="s">
        <v>1005</v>
      </c>
      <c r="B993" s="13" t="s">
        <v>2192</v>
      </c>
      <c r="C993" s="13" t="s">
        <v>2197</v>
      </c>
      <c r="D993" s="13" t="s">
        <v>2207</v>
      </c>
      <c r="F993" s="13" t="s">
        <v>2219</v>
      </c>
      <c r="G993" s="13">
        <v>59.1</v>
      </c>
      <c r="H993" s="44">
        <v>0</v>
      </c>
      <c r="I993" s="13">
        <v>59.1</v>
      </c>
      <c r="J993" s="24">
        <v>45875</v>
      </c>
      <c r="K993" s="25">
        <v>29</v>
      </c>
      <c r="L993" s="25">
        <v>1.3</v>
      </c>
      <c r="M993" s="13" t="b">
        <v>0</v>
      </c>
      <c r="O993" s="25">
        <f t="shared" si="60"/>
        <v>27</v>
      </c>
      <c r="P993" s="13">
        <f t="shared" si="61"/>
        <v>0</v>
      </c>
      <c r="Q993" s="13" t="str">
        <f t="shared" si="62"/>
        <v/>
      </c>
      <c r="R993" s="13" t="str">
        <f t="shared" si="63"/>
        <v>Non diskon</v>
      </c>
    </row>
    <row r="994" spans="1:18" x14ac:dyDescent="0.25">
      <c r="A994" s="13" t="s">
        <v>1006</v>
      </c>
      <c r="B994" s="13" t="s">
        <v>2193</v>
      </c>
      <c r="C994" s="13" t="s">
        <v>2202</v>
      </c>
      <c r="D994" s="13" t="s">
        <v>2206</v>
      </c>
      <c r="E994" s="13" t="s">
        <v>2210</v>
      </c>
      <c r="F994" s="13" t="s">
        <v>2218</v>
      </c>
      <c r="G994" s="13">
        <v>109.15</v>
      </c>
      <c r="H994" s="44">
        <v>20.7</v>
      </c>
      <c r="I994" s="13">
        <v>86.56</v>
      </c>
      <c r="J994" s="24">
        <v>45875</v>
      </c>
      <c r="K994" s="25">
        <v>28</v>
      </c>
      <c r="L994" s="25">
        <v>2</v>
      </c>
      <c r="M994" s="13" t="b">
        <v>1</v>
      </c>
      <c r="N994" s="13" t="s">
        <v>2229</v>
      </c>
      <c r="O994" s="25">
        <f t="shared" si="60"/>
        <v>27</v>
      </c>
      <c r="P994" s="13">
        <f t="shared" si="61"/>
        <v>579.6</v>
      </c>
      <c r="Q994" s="13">
        <f t="shared" si="62"/>
        <v>1</v>
      </c>
      <c r="R994" s="13" t="str">
        <f t="shared" si="63"/>
        <v>Diskon</v>
      </c>
    </row>
    <row r="995" spans="1:18" x14ac:dyDescent="0.25">
      <c r="A995" s="13" t="s">
        <v>1007</v>
      </c>
      <c r="B995" s="13" t="s">
        <v>2194</v>
      </c>
      <c r="C995" s="13" t="s">
        <v>2201</v>
      </c>
      <c r="D995" s="13" t="s">
        <v>2206</v>
      </c>
      <c r="F995" s="13" t="s">
        <v>2221</v>
      </c>
      <c r="G995" s="13">
        <v>59.1</v>
      </c>
      <c r="H995" s="44">
        <v>0</v>
      </c>
      <c r="I995" s="13">
        <v>59.1</v>
      </c>
      <c r="J995" s="24">
        <v>45875</v>
      </c>
      <c r="K995" s="25">
        <v>47</v>
      </c>
      <c r="L995" s="25">
        <v>4.5999999999999996</v>
      </c>
      <c r="M995" s="13" t="b">
        <v>0</v>
      </c>
      <c r="O995" s="25">
        <f t="shared" si="60"/>
        <v>27</v>
      </c>
      <c r="P995" s="13">
        <f t="shared" si="61"/>
        <v>0</v>
      </c>
      <c r="Q995" s="13" t="str">
        <f t="shared" si="62"/>
        <v/>
      </c>
      <c r="R995" s="13" t="str">
        <f t="shared" si="63"/>
        <v>Non diskon</v>
      </c>
    </row>
    <row r="996" spans="1:18" x14ac:dyDescent="0.25">
      <c r="A996" s="13" t="s">
        <v>1008</v>
      </c>
      <c r="B996" s="13" t="s">
        <v>2193</v>
      </c>
      <c r="C996" s="13" t="s">
        <v>2202</v>
      </c>
      <c r="D996" s="13" t="s">
        <v>2204</v>
      </c>
      <c r="E996" s="13" t="s">
        <v>2213</v>
      </c>
      <c r="F996" s="13" t="s">
        <v>2223</v>
      </c>
      <c r="G996" s="13">
        <v>99.33</v>
      </c>
      <c r="H996" s="44">
        <v>0</v>
      </c>
      <c r="I996" s="13">
        <v>99.33</v>
      </c>
      <c r="J996" s="24">
        <v>45798</v>
      </c>
      <c r="K996" s="25">
        <v>16</v>
      </c>
      <c r="L996" s="25">
        <v>3.9</v>
      </c>
      <c r="M996" s="13" t="b">
        <v>0</v>
      </c>
      <c r="O996" s="25">
        <f t="shared" si="60"/>
        <v>104</v>
      </c>
      <c r="P996" s="13">
        <f t="shared" si="61"/>
        <v>0</v>
      </c>
      <c r="Q996" s="13" t="str">
        <f t="shared" si="62"/>
        <v/>
      </c>
      <c r="R996" s="13" t="str">
        <f t="shared" si="63"/>
        <v>Non diskon</v>
      </c>
    </row>
    <row r="997" spans="1:18" x14ac:dyDescent="0.25">
      <c r="A997" s="13" t="s">
        <v>1009</v>
      </c>
      <c r="B997" s="13" t="s">
        <v>2195</v>
      </c>
      <c r="C997" s="13" t="s">
        <v>2201</v>
      </c>
      <c r="D997" s="13" t="s">
        <v>2205</v>
      </c>
      <c r="E997" s="13" t="s">
        <v>2208</v>
      </c>
      <c r="F997" s="13" t="s">
        <v>2222</v>
      </c>
      <c r="G997" s="13">
        <v>92.75</v>
      </c>
      <c r="H997" s="44">
        <v>0</v>
      </c>
      <c r="I997" s="13">
        <v>92.75</v>
      </c>
      <c r="J997" s="24">
        <v>45875</v>
      </c>
      <c r="K997" s="25">
        <v>29</v>
      </c>
      <c r="L997" s="25">
        <v>3.1874999999999991</v>
      </c>
      <c r="M997" s="13" t="b">
        <v>1</v>
      </c>
      <c r="N997" s="13" t="s">
        <v>2229</v>
      </c>
      <c r="O997" s="25">
        <f t="shared" si="60"/>
        <v>27</v>
      </c>
      <c r="P997" s="13">
        <f t="shared" si="61"/>
        <v>0</v>
      </c>
      <c r="Q997" s="13">
        <f t="shared" si="62"/>
        <v>1</v>
      </c>
      <c r="R997" s="13" t="str">
        <f t="shared" si="63"/>
        <v>Non diskon</v>
      </c>
    </row>
    <row r="998" spans="1:18" x14ac:dyDescent="0.25">
      <c r="A998" s="13" t="s">
        <v>1010</v>
      </c>
      <c r="B998" s="13" t="s">
        <v>2191</v>
      </c>
      <c r="C998" s="13" t="s">
        <v>2196</v>
      </c>
      <c r="D998" s="13" t="s">
        <v>2207</v>
      </c>
      <c r="E998" s="13" t="s">
        <v>2210</v>
      </c>
      <c r="F998" s="13" t="s">
        <v>2221</v>
      </c>
      <c r="G998" s="13">
        <v>116.82</v>
      </c>
      <c r="H998" s="44">
        <v>0</v>
      </c>
      <c r="I998" s="13">
        <v>116.82</v>
      </c>
      <c r="J998" s="24">
        <v>45875</v>
      </c>
      <c r="K998" s="25">
        <v>34</v>
      </c>
      <c r="L998" s="25">
        <v>2.9181818181818175</v>
      </c>
      <c r="M998" s="13" t="b">
        <v>0</v>
      </c>
      <c r="O998" s="25">
        <f t="shared" si="60"/>
        <v>27</v>
      </c>
      <c r="P998" s="13">
        <f t="shared" si="61"/>
        <v>0</v>
      </c>
      <c r="Q998" s="13" t="str">
        <f t="shared" si="62"/>
        <v/>
      </c>
      <c r="R998" s="13" t="str">
        <f t="shared" si="63"/>
        <v>Non diskon</v>
      </c>
    </row>
    <row r="999" spans="1:18" x14ac:dyDescent="0.25">
      <c r="A999" s="13" t="s">
        <v>1011</v>
      </c>
      <c r="B999" s="13" t="s">
        <v>2190</v>
      </c>
      <c r="C999" s="13" t="s">
        <v>2201</v>
      </c>
      <c r="D999" s="13" t="s">
        <v>2207</v>
      </c>
      <c r="E999" s="13" t="s">
        <v>2208</v>
      </c>
      <c r="F999" s="13" t="s">
        <v>2220</v>
      </c>
      <c r="G999" s="13">
        <v>129.78</v>
      </c>
      <c r="H999" s="44">
        <v>9.5</v>
      </c>
      <c r="I999" s="13">
        <v>117.45</v>
      </c>
      <c r="J999" s="24">
        <v>45875</v>
      </c>
      <c r="K999" s="25">
        <v>17</v>
      </c>
      <c r="L999" s="25">
        <v>4</v>
      </c>
      <c r="M999" s="13" t="b">
        <v>0</v>
      </c>
      <c r="O999" s="25">
        <f t="shared" si="60"/>
        <v>27</v>
      </c>
      <c r="P999" s="13">
        <f t="shared" si="61"/>
        <v>161.5</v>
      </c>
      <c r="Q999" s="13" t="str">
        <f t="shared" si="62"/>
        <v/>
      </c>
      <c r="R999" s="13" t="str">
        <f t="shared" si="63"/>
        <v>Diskon</v>
      </c>
    </row>
    <row r="1000" spans="1:18" x14ac:dyDescent="0.25">
      <c r="A1000" s="13" t="s">
        <v>1012</v>
      </c>
      <c r="B1000" s="13" t="s">
        <v>2195</v>
      </c>
      <c r="C1000" s="13" t="s">
        <v>2198</v>
      </c>
      <c r="D1000" s="13" t="s">
        <v>2204</v>
      </c>
      <c r="E1000" s="13" t="s">
        <v>2212</v>
      </c>
      <c r="F1000" s="13" t="s">
        <v>2224</v>
      </c>
      <c r="G1000" s="13">
        <v>135.69</v>
      </c>
      <c r="H1000" s="44">
        <v>3</v>
      </c>
      <c r="I1000" s="13">
        <v>131.62</v>
      </c>
      <c r="J1000" s="24">
        <v>45533</v>
      </c>
      <c r="K1000" s="25">
        <v>16</v>
      </c>
      <c r="L1000" s="25">
        <v>2.9000000000000008</v>
      </c>
      <c r="M1000" s="13" t="b">
        <v>0</v>
      </c>
      <c r="O1000" s="25">
        <f t="shared" si="60"/>
        <v>369</v>
      </c>
      <c r="P1000" s="13">
        <f t="shared" si="61"/>
        <v>48</v>
      </c>
      <c r="Q1000" s="13" t="str">
        <f t="shared" si="62"/>
        <v/>
      </c>
      <c r="R1000" s="13" t="str">
        <f t="shared" si="63"/>
        <v>Diskon</v>
      </c>
    </row>
    <row r="1001" spans="1:18" x14ac:dyDescent="0.25">
      <c r="A1001" s="13" t="s">
        <v>1013</v>
      </c>
      <c r="B1001" s="13" t="s">
        <v>2195</v>
      </c>
      <c r="C1001" s="13" t="s">
        <v>2202</v>
      </c>
      <c r="D1001" s="13" t="s">
        <v>2206</v>
      </c>
      <c r="F1001" s="13" t="s">
        <v>2214</v>
      </c>
      <c r="G1001" s="13">
        <v>48.14</v>
      </c>
      <c r="H1001" s="44">
        <v>28.3</v>
      </c>
      <c r="I1001" s="13">
        <v>34.520000000000003</v>
      </c>
      <c r="J1001" s="24">
        <v>45875</v>
      </c>
      <c r="K1001" s="25">
        <v>41</v>
      </c>
      <c r="L1001" s="25">
        <v>2.980952380952381</v>
      </c>
      <c r="M1001" s="13" t="b">
        <v>0</v>
      </c>
      <c r="O1001" s="25">
        <f t="shared" si="60"/>
        <v>27</v>
      </c>
      <c r="P1001" s="13">
        <f t="shared" si="61"/>
        <v>1160.3</v>
      </c>
      <c r="Q1001" s="13" t="str">
        <f t="shared" si="62"/>
        <v/>
      </c>
      <c r="R1001" s="13" t="str">
        <f t="shared" si="63"/>
        <v>Diskon</v>
      </c>
    </row>
    <row r="1002" spans="1:18" x14ac:dyDescent="0.25">
      <c r="A1002" s="13" t="s">
        <v>1014</v>
      </c>
      <c r="B1002" s="13" t="s">
        <v>2195</v>
      </c>
      <c r="C1002" s="13" t="s">
        <v>2199</v>
      </c>
      <c r="D1002" s="13" t="s">
        <v>2206</v>
      </c>
      <c r="E1002" s="13" t="s">
        <v>2212</v>
      </c>
      <c r="F1002" s="13" t="s">
        <v>2219</v>
      </c>
      <c r="G1002" s="13">
        <v>142.96</v>
      </c>
      <c r="H1002" s="44">
        <v>47.7</v>
      </c>
      <c r="I1002" s="13">
        <v>74.77</v>
      </c>
      <c r="J1002" s="24">
        <v>45875</v>
      </c>
      <c r="K1002" s="25">
        <v>7</v>
      </c>
      <c r="L1002" s="25">
        <v>2.8372093023255811</v>
      </c>
      <c r="M1002" s="13" t="b">
        <v>0</v>
      </c>
      <c r="O1002" s="25">
        <f t="shared" si="60"/>
        <v>27</v>
      </c>
      <c r="P1002" s="13">
        <f t="shared" si="61"/>
        <v>333.90000000000003</v>
      </c>
      <c r="Q1002" s="13" t="str">
        <f t="shared" si="62"/>
        <v/>
      </c>
      <c r="R1002" s="13" t="str">
        <f t="shared" si="63"/>
        <v>Diskon</v>
      </c>
    </row>
    <row r="1003" spans="1:18" x14ac:dyDescent="0.25">
      <c r="A1003" s="13" t="s">
        <v>1015</v>
      </c>
      <c r="B1003" s="13" t="s">
        <v>2191</v>
      </c>
      <c r="C1003" s="13" t="s">
        <v>2203</v>
      </c>
      <c r="D1003" s="13" t="s">
        <v>2204</v>
      </c>
      <c r="E1003" s="13" t="s">
        <v>2209</v>
      </c>
      <c r="F1003" s="13" t="s">
        <v>2221</v>
      </c>
      <c r="G1003" s="13">
        <v>51.72</v>
      </c>
      <c r="H1003" s="44">
        <v>0</v>
      </c>
      <c r="I1003" s="13">
        <v>51.72</v>
      </c>
      <c r="J1003" s="24">
        <v>45702</v>
      </c>
      <c r="K1003" s="25">
        <v>50</v>
      </c>
      <c r="L1003" s="25">
        <v>2.6870967741935483</v>
      </c>
      <c r="M1003" s="13" t="b">
        <v>0</v>
      </c>
      <c r="O1003" s="25">
        <f t="shared" si="60"/>
        <v>200</v>
      </c>
      <c r="P1003" s="13">
        <f t="shared" si="61"/>
        <v>0</v>
      </c>
      <c r="Q1003" s="13" t="str">
        <f t="shared" si="62"/>
        <v/>
      </c>
      <c r="R1003" s="13" t="str">
        <f t="shared" si="63"/>
        <v>Non diskon</v>
      </c>
    </row>
    <row r="1004" spans="1:18" x14ac:dyDescent="0.25">
      <c r="A1004" s="13" t="s">
        <v>1016</v>
      </c>
      <c r="B1004" s="13" t="s">
        <v>2192</v>
      </c>
      <c r="C1004" s="13" t="s">
        <v>2196</v>
      </c>
      <c r="D1004" s="13" t="s">
        <v>2206</v>
      </c>
      <c r="F1004" s="13" t="s">
        <v>2224</v>
      </c>
      <c r="G1004" s="13">
        <v>18.3</v>
      </c>
      <c r="H1004" s="44">
        <v>38.299999999999997</v>
      </c>
      <c r="I1004" s="13">
        <v>11.29</v>
      </c>
      <c r="J1004" s="24">
        <v>45875</v>
      </c>
      <c r="K1004" s="25">
        <v>14</v>
      </c>
      <c r="L1004" s="25">
        <v>1.1000000000000001</v>
      </c>
      <c r="M1004" s="13" t="b">
        <v>0</v>
      </c>
      <c r="O1004" s="25">
        <f t="shared" si="60"/>
        <v>27</v>
      </c>
      <c r="P1004" s="13">
        <f t="shared" si="61"/>
        <v>536.19999999999993</v>
      </c>
      <c r="Q1004" s="13" t="str">
        <f t="shared" si="62"/>
        <v/>
      </c>
      <c r="R1004" s="13" t="str">
        <f t="shared" si="63"/>
        <v>Diskon</v>
      </c>
    </row>
    <row r="1005" spans="1:18" x14ac:dyDescent="0.25">
      <c r="A1005" s="13" t="s">
        <v>1017</v>
      </c>
      <c r="B1005" s="13" t="s">
        <v>2190</v>
      </c>
      <c r="C1005" s="13" t="s">
        <v>2199</v>
      </c>
      <c r="D1005" s="13" t="s">
        <v>2204</v>
      </c>
      <c r="E1005" s="13" t="s">
        <v>2209</v>
      </c>
      <c r="F1005" s="13" t="s">
        <v>2222</v>
      </c>
      <c r="G1005" s="13">
        <v>214.99</v>
      </c>
      <c r="H1005" s="44">
        <v>29</v>
      </c>
      <c r="I1005" s="13">
        <v>152.63999999999999</v>
      </c>
      <c r="J1005" s="24">
        <v>45541</v>
      </c>
      <c r="K1005" s="25">
        <v>32</v>
      </c>
      <c r="L1005" s="25">
        <v>2.8</v>
      </c>
      <c r="M1005" s="13" t="b">
        <v>1</v>
      </c>
      <c r="N1005" s="13" t="s">
        <v>2230</v>
      </c>
      <c r="O1005" s="25">
        <f t="shared" si="60"/>
        <v>361</v>
      </c>
      <c r="P1005" s="13">
        <f t="shared" si="61"/>
        <v>928</v>
      </c>
      <c r="Q1005" s="13">
        <f t="shared" si="62"/>
        <v>1</v>
      </c>
      <c r="R1005" s="13" t="str">
        <f t="shared" si="63"/>
        <v>Diskon</v>
      </c>
    </row>
    <row r="1006" spans="1:18" x14ac:dyDescent="0.25">
      <c r="A1006" s="13" t="s">
        <v>1018</v>
      </c>
      <c r="B1006" s="13" t="s">
        <v>2192</v>
      </c>
      <c r="C1006" s="13" t="s">
        <v>2202</v>
      </c>
      <c r="D1006" s="13" t="s">
        <v>2204</v>
      </c>
      <c r="F1006" s="13" t="s">
        <v>2214</v>
      </c>
      <c r="G1006" s="13">
        <v>20.77</v>
      </c>
      <c r="H1006" s="44">
        <v>0</v>
      </c>
      <c r="I1006" s="13">
        <v>20.77</v>
      </c>
      <c r="J1006" s="24">
        <v>45521</v>
      </c>
      <c r="K1006" s="25">
        <v>31</v>
      </c>
      <c r="L1006" s="25">
        <v>2</v>
      </c>
      <c r="M1006" s="13" t="b">
        <v>0</v>
      </c>
      <c r="O1006" s="25">
        <f t="shared" si="60"/>
        <v>381</v>
      </c>
      <c r="P1006" s="13">
        <f t="shared" si="61"/>
        <v>0</v>
      </c>
      <c r="Q1006" s="13" t="str">
        <f t="shared" si="62"/>
        <v/>
      </c>
      <c r="R1006" s="13" t="str">
        <f t="shared" si="63"/>
        <v>Non diskon</v>
      </c>
    </row>
    <row r="1007" spans="1:18" x14ac:dyDescent="0.25">
      <c r="A1007" s="13" t="s">
        <v>1019</v>
      </c>
      <c r="B1007" s="13" t="s">
        <v>2192</v>
      </c>
      <c r="C1007" s="13" t="s">
        <v>2202</v>
      </c>
      <c r="D1007" s="13" t="s">
        <v>2207</v>
      </c>
      <c r="F1007" s="13" t="s">
        <v>2215</v>
      </c>
      <c r="G1007" s="13">
        <v>77.959999999999994</v>
      </c>
      <c r="H1007" s="44">
        <v>0</v>
      </c>
      <c r="I1007" s="13">
        <v>77.959999999999994</v>
      </c>
      <c r="J1007" s="24">
        <v>45875</v>
      </c>
      <c r="K1007" s="25">
        <v>39</v>
      </c>
      <c r="L1007" s="25">
        <v>4.8</v>
      </c>
      <c r="M1007" s="13" t="b">
        <v>0</v>
      </c>
      <c r="O1007" s="25">
        <f t="shared" si="60"/>
        <v>27</v>
      </c>
      <c r="P1007" s="13">
        <f t="shared" si="61"/>
        <v>0</v>
      </c>
      <c r="Q1007" s="13" t="str">
        <f t="shared" si="62"/>
        <v/>
      </c>
      <c r="R1007" s="13" t="str">
        <f t="shared" si="63"/>
        <v>Non diskon</v>
      </c>
    </row>
    <row r="1008" spans="1:18" x14ac:dyDescent="0.25">
      <c r="A1008" s="13" t="s">
        <v>1020</v>
      </c>
      <c r="B1008" s="13" t="s">
        <v>2192</v>
      </c>
      <c r="C1008" s="13" t="s">
        <v>2196</v>
      </c>
      <c r="D1008" s="13" t="s">
        <v>2206</v>
      </c>
      <c r="F1008" s="13" t="s">
        <v>2223</v>
      </c>
      <c r="G1008" s="13">
        <v>73.33</v>
      </c>
      <c r="H1008" s="44">
        <v>34.6</v>
      </c>
      <c r="I1008" s="13">
        <v>47.96</v>
      </c>
      <c r="J1008" s="24">
        <v>45875</v>
      </c>
      <c r="K1008" s="25">
        <v>45</v>
      </c>
      <c r="L1008" s="25">
        <v>2.1</v>
      </c>
      <c r="M1008" s="13" t="b">
        <v>0</v>
      </c>
      <c r="O1008" s="25">
        <f t="shared" si="60"/>
        <v>27</v>
      </c>
      <c r="P1008" s="13">
        <f t="shared" si="61"/>
        <v>1557</v>
      </c>
      <c r="Q1008" s="13" t="str">
        <f t="shared" si="62"/>
        <v/>
      </c>
      <c r="R1008" s="13" t="str">
        <f t="shared" si="63"/>
        <v>Diskon</v>
      </c>
    </row>
    <row r="1009" spans="1:18" x14ac:dyDescent="0.25">
      <c r="A1009" s="13" t="s">
        <v>1021</v>
      </c>
      <c r="B1009" s="13" t="s">
        <v>2192</v>
      </c>
      <c r="C1009" s="13" t="s">
        <v>2203</v>
      </c>
      <c r="D1009" s="13" t="s">
        <v>2206</v>
      </c>
      <c r="F1009" s="13" t="s">
        <v>2223</v>
      </c>
      <c r="G1009" s="13">
        <v>75.22</v>
      </c>
      <c r="H1009" s="44">
        <v>25.9</v>
      </c>
      <c r="I1009" s="13">
        <v>55.74</v>
      </c>
      <c r="J1009" s="24">
        <v>45875</v>
      </c>
      <c r="K1009" s="25">
        <v>31</v>
      </c>
      <c r="L1009" s="25">
        <v>1.9</v>
      </c>
      <c r="M1009" s="13" t="b">
        <v>1</v>
      </c>
      <c r="N1009" s="13" t="s">
        <v>2225</v>
      </c>
      <c r="O1009" s="25">
        <f t="shared" si="60"/>
        <v>27</v>
      </c>
      <c r="P1009" s="13">
        <f t="shared" si="61"/>
        <v>802.9</v>
      </c>
      <c r="Q1009" s="13">
        <f t="shared" si="62"/>
        <v>1</v>
      </c>
      <c r="R1009" s="13" t="str">
        <f t="shared" si="63"/>
        <v>Diskon</v>
      </c>
    </row>
    <row r="1010" spans="1:18" x14ac:dyDescent="0.25">
      <c r="A1010" s="13" t="s">
        <v>1022</v>
      </c>
      <c r="B1010" s="13" t="s">
        <v>2194</v>
      </c>
      <c r="C1010" s="13" t="s">
        <v>2202</v>
      </c>
      <c r="D1010" s="13" t="s">
        <v>2206</v>
      </c>
      <c r="E1010" s="13" t="s">
        <v>2212</v>
      </c>
      <c r="F1010" s="13" t="s">
        <v>2216</v>
      </c>
      <c r="G1010" s="13">
        <v>46.65</v>
      </c>
      <c r="H1010" s="44">
        <v>24.2</v>
      </c>
      <c r="I1010" s="13">
        <v>35.36</v>
      </c>
      <c r="J1010" s="24">
        <v>45875</v>
      </c>
      <c r="K1010" s="25">
        <v>8</v>
      </c>
      <c r="L1010" s="25">
        <v>3.2</v>
      </c>
      <c r="M1010" s="13" t="b">
        <v>0</v>
      </c>
      <c r="O1010" s="25">
        <f t="shared" si="60"/>
        <v>27</v>
      </c>
      <c r="P1010" s="13">
        <f t="shared" si="61"/>
        <v>193.6</v>
      </c>
      <c r="Q1010" s="13" t="str">
        <f t="shared" si="62"/>
        <v/>
      </c>
      <c r="R1010" s="13" t="str">
        <f t="shared" si="63"/>
        <v>Diskon</v>
      </c>
    </row>
    <row r="1011" spans="1:18" x14ac:dyDescent="0.25">
      <c r="A1011" s="13" t="s">
        <v>1023</v>
      </c>
      <c r="B1011" s="13" t="s">
        <v>2195</v>
      </c>
      <c r="C1011" s="13" t="s">
        <v>2199</v>
      </c>
      <c r="D1011" s="13" t="s">
        <v>2206</v>
      </c>
      <c r="E1011" s="13" t="s">
        <v>2211</v>
      </c>
      <c r="F1011" s="13" t="s">
        <v>2215</v>
      </c>
      <c r="G1011" s="13">
        <v>108.19</v>
      </c>
      <c r="H1011" s="44">
        <v>0</v>
      </c>
      <c r="I1011" s="13">
        <v>108.19</v>
      </c>
      <c r="J1011" s="24">
        <v>45875</v>
      </c>
      <c r="K1011" s="25">
        <v>21</v>
      </c>
      <c r="L1011" s="25">
        <v>2.8372093023255811</v>
      </c>
      <c r="M1011" s="13" t="b">
        <v>0</v>
      </c>
      <c r="O1011" s="25">
        <f t="shared" si="60"/>
        <v>27</v>
      </c>
      <c r="P1011" s="13">
        <f t="shared" si="61"/>
        <v>0</v>
      </c>
      <c r="Q1011" s="13" t="str">
        <f t="shared" si="62"/>
        <v/>
      </c>
      <c r="R1011" s="13" t="str">
        <f t="shared" si="63"/>
        <v>Non diskon</v>
      </c>
    </row>
    <row r="1012" spans="1:18" x14ac:dyDescent="0.25">
      <c r="A1012" s="13" t="s">
        <v>1024</v>
      </c>
      <c r="B1012" s="13" t="s">
        <v>2195</v>
      </c>
      <c r="C1012" s="13" t="s">
        <v>2196</v>
      </c>
      <c r="D1012" s="13" t="s">
        <v>2204</v>
      </c>
      <c r="E1012" s="13" t="s">
        <v>2209</v>
      </c>
      <c r="F1012" s="13" t="s">
        <v>2214</v>
      </c>
      <c r="G1012" s="13">
        <v>62.82</v>
      </c>
      <c r="H1012" s="44">
        <v>0</v>
      </c>
      <c r="I1012" s="13">
        <v>62.82</v>
      </c>
      <c r="J1012" s="24">
        <v>45573</v>
      </c>
      <c r="K1012" s="25">
        <v>36</v>
      </c>
      <c r="L1012" s="25">
        <v>2.1</v>
      </c>
      <c r="M1012" s="13" t="b">
        <v>0</v>
      </c>
      <c r="O1012" s="25">
        <f t="shared" si="60"/>
        <v>329</v>
      </c>
      <c r="P1012" s="13">
        <f t="shared" si="61"/>
        <v>0</v>
      </c>
      <c r="Q1012" s="13" t="str">
        <f t="shared" si="62"/>
        <v/>
      </c>
      <c r="R1012" s="13" t="str">
        <f t="shared" si="63"/>
        <v>Non diskon</v>
      </c>
    </row>
    <row r="1013" spans="1:18" x14ac:dyDescent="0.25">
      <c r="A1013" s="13" t="s">
        <v>1025</v>
      </c>
      <c r="B1013" s="13" t="s">
        <v>2191</v>
      </c>
      <c r="C1013" s="13" t="s">
        <v>2196</v>
      </c>
      <c r="D1013" s="13" t="s">
        <v>2207</v>
      </c>
      <c r="E1013" s="13" t="s">
        <v>2210</v>
      </c>
      <c r="F1013" s="13" t="s">
        <v>2215</v>
      </c>
      <c r="G1013" s="13">
        <v>57.32</v>
      </c>
      <c r="H1013" s="44">
        <v>57.4</v>
      </c>
      <c r="I1013" s="13">
        <v>24.42</v>
      </c>
      <c r="J1013" s="24">
        <v>45875</v>
      </c>
      <c r="K1013" s="25">
        <v>46</v>
      </c>
      <c r="L1013" s="25">
        <v>3.1</v>
      </c>
      <c r="M1013" s="13" t="b">
        <v>0</v>
      </c>
      <c r="O1013" s="25">
        <f t="shared" si="60"/>
        <v>27</v>
      </c>
      <c r="P1013" s="13">
        <f t="shared" si="61"/>
        <v>2640.4</v>
      </c>
      <c r="Q1013" s="13" t="str">
        <f t="shared" si="62"/>
        <v/>
      </c>
      <c r="R1013" s="13" t="str">
        <f t="shared" si="63"/>
        <v>Diskon</v>
      </c>
    </row>
    <row r="1014" spans="1:18" x14ac:dyDescent="0.25">
      <c r="A1014" s="13" t="s">
        <v>1026</v>
      </c>
      <c r="B1014" s="13" t="s">
        <v>2190</v>
      </c>
      <c r="C1014" s="13" t="s">
        <v>2200</v>
      </c>
      <c r="D1014" s="13" t="s">
        <v>2205</v>
      </c>
      <c r="E1014" s="13" t="s">
        <v>2211</v>
      </c>
      <c r="F1014" s="13" t="s">
        <v>2220</v>
      </c>
      <c r="G1014" s="13">
        <v>153.59</v>
      </c>
      <c r="H1014" s="44">
        <v>0</v>
      </c>
      <c r="I1014" s="13">
        <v>153.59</v>
      </c>
      <c r="J1014" s="24">
        <v>45875</v>
      </c>
      <c r="K1014" s="25">
        <v>31</v>
      </c>
      <c r="L1014" s="25">
        <v>2.9</v>
      </c>
      <c r="M1014" s="13" t="b">
        <v>1</v>
      </c>
      <c r="N1014" s="13" t="s">
        <v>2227</v>
      </c>
      <c r="O1014" s="25">
        <f t="shared" si="60"/>
        <v>27</v>
      </c>
      <c r="P1014" s="13">
        <f t="shared" si="61"/>
        <v>0</v>
      </c>
      <c r="Q1014" s="13">
        <f t="shared" si="62"/>
        <v>1</v>
      </c>
      <c r="R1014" s="13" t="str">
        <f t="shared" si="63"/>
        <v>Non diskon</v>
      </c>
    </row>
    <row r="1015" spans="1:18" x14ac:dyDescent="0.25">
      <c r="A1015" s="13" t="s">
        <v>1027</v>
      </c>
      <c r="B1015" s="13" t="s">
        <v>2193</v>
      </c>
      <c r="C1015" s="13" t="s">
        <v>2199</v>
      </c>
      <c r="D1015" s="13" t="s">
        <v>2205</v>
      </c>
      <c r="E1015" s="13" t="s">
        <v>2208</v>
      </c>
      <c r="F1015" s="13" t="s">
        <v>2223</v>
      </c>
      <c r="G1015" s="13">
        <v>101.14</v>
      </c>
      <c r="H1015" s="44">
        <v>0</v>
      </c>
      <c r="I1015" s="13">
        <v>101.14</v>
      </c>
      <c r="J1015" s="24">
        <v>45875</v>
      </c>
      <c r="K1015" s="25">
        <v>43</v>
      </c>
      <c r="L1015" s="25">
        <v>2.8</v>
      </c>
      <c r="M1015" s="13" t="b">
        <v>0</v>
      </c>
      <c r="O1015" s="25">
        <f t="shared" si="60"/>
        <v>27</v>
      </c>
      <c r="P1015" s="13">
        <f t="shared" si="61"/>
        <v>0</v>
      </c>
      <c r="Q1015" s="13" t="str">
        <f t="shared" si="62"/>
        <v/>
      </c>
      <c r="R1015" s="13" t="str">
        <f t="shared" si="63"/>
        <v>Non diskon</v>
      </c>
    </row>
    <row r="1016" spans="1:18" x14ac:dyDescent="0.25">
      <c r="A1016" s="13" t="s">
        <v>1028</v>
      </c>
      <c r="B1016" s="13" t="s">
        <v>2194</v>
      </c>
      <c r="C1016" s="13" t="s">
        <v>2201</v>
      </c>
      <c r="D1016" s="13" t="s">
        <v>2204</v>
      </c>
      <c r="E1016" s="13" t="s">
        <v>2211</v>
      </c>
      <c r="F1016" s="13" t="s">
        <v>2224</v>
      </c>
      <c r="G1016" s="13">
        <v>43.89</v>
      </c>
      <c r="H1016" s="44">
        <v>15.6</v>
      </c>
      <c r="I1016" s="13">
        <v>37.04</v>
      </c>
      <c r="J1016" s="24">
        <v>45777</v>
      </c>
      <c r="K1016" s="25">
        <v>31</v>
      </c>
      <c r="L1016" s="25">
        <v>1.7</v>
      </c>
      <c r="M1016" s="13" t="b">
        <v>1</v>
      </c>
      <c r="N1016" s="13" t="s">
        <v>2230</v>
      </c>
      <c r="O1016" s="25">
        <f t="shared" si="60"/>
        <v>125</v>
      </c>
      <c r="P1016" s="13">
        <f t="shared" si="61"/>
        <v>483.59999999999997</v>
      </c>
      <c r="Q1016" s="13">
        <f t="shared" si="62"/>
        <v>1</v>
      </c>
      <c r="R1016" s="13" t="str">
        <f t="shared" si="63"/>
        <v>Diskon</v>
      </c>
    </row>
    <row r="1017" spans="1:18" x14ac:dyDescent="0.25">
      <c r="A1017" s="13" t="s">
        <v>1029</v>
      </c>
      <c r="B1017" s="13" t="s">
        <v>2190</v>
      </c>
      <c r="C1017" s="13" t="s">
        <v>2196</v>
      </c>
      <c r="D1017" s="13" t="s">
        <v>2205</v>
      </c>
      <c r="E1017" s="13" t="s">
        <v>2210</v>
      </c>
      <c r="F1017" s="13" t="s">
        <v>2218</v>
      </c>
      <c r="G1017" s="13">
        <v>130.16</v>
      </c>
      <c r="H1017" s="44">
        <v>47.5</v>
      </c>
      <c r="I1017" s="13">
        <v>68.33</v>
      </c>
      <c r="J1017" s="24">
        <v>45875</v>
      </c>
      <c r="K1017" s="25">
        <v>21</v>
      </c>
      <c r="L1017" s="25">
        <v>2.7030303030303036</v>
      </c>
      <c r="M1017" s="13" t="b">
        <v>0</v>
      </c>
      <c r="O1017" s="25">
        <f t="shared" si="60"/>
        <v>27</v>
      </c>
      <c r="P1017" s="13">
        <f t="shared" si="61"/>
        <v>997.5</v>
      </c>
      <c r="Q1017" s="13" t="str">
        <f t="shared" si="62"/>
        <v/>
      </c>
      <c r="R1017" s="13" t="str">
        <f t="shared" si="63"/>
        <v>Diskon</v>
      </c>
    </row>
    <row r="1018" spans="1:18" x14ac:dyDescent="0.25">
      <c r="A1018" s="13" t="s">
        <v>1030</v>
      </c>
      <c r="B1018" s="13" t="s">
        <v>2195</v>
      </c>
      <c r="C1018" s="13" t="s">
        <v>2202</v>
      </c>
      <c r="D1018" s="13" t="s">
        <v>2205</v>
      </c>
      <c r="E1018" s="13" t="s">
        <v>2209</v>
      </c>
      <c r="F1018" s="13" t="s">
        <v>2216</v>
      </c>
      <c r="G1018" s="13">
        <v>153.12</v>
      </c>
      <c r="H1018" s="44">
        <v>0</v>
      </c>
      <c r="I1018" s="13">
        <v>153.12</v>
      </c>
      <c r="J1018" s="24">
        <v>45875</v>
      </c>
      <c r="K1018" s="25">
        <v>27</v>
      </c>
      <c r="L1018" s="25">
        <v>3.3</v>
      </c>
      <c r="M1018" s="13" t="b">
        <v>0</v>
      </c>
      <c r="O1018" s="25">
        <f t="shared" si="60"/>
        <v>27</v>
      </c>
      <c r="P1018" s="13">
        <f t="shared" si="61"/>
        <v>0</v>
      </c>
      <c r="Q1018" s="13" t="str">
        <f t="shared" si="62"/>
        <v/>
      </c>
      <c r="R1018" s="13" t="str">
        <f t="shared" si="63"/>
        <v>Non diskon</v>
      </c>
    </row>
    <row r="1019" spans="1:18" x14ac:dyDescent="0.25">
      <c r="A1019" s="13" t="s">
        <v>1031</v>
      </c>
      <c r="B1019" s="13" t="s">
        <v>2191</v>
      </c>
      <c r="C1019" s="13" t="s">
        <v>2203</v>
      </c>
      <c r="D1019" s="13" t="s">
        <v>2207</v>
      </c>
      <c r="E1019" s="13" t="s">
        <v>2211</v>
      </c>
      <c r="F1019" s="13" t="s">
        <v>2219</v>
      </c>
      <c r="G1019" s="13">
        <v>37.119999999999997</v>
      </c>
      <c r="H1019" s="44">
        <v>12.1</v>
      </c>
      <c r="I1019" s="13">
        <v>32.630000000000003</v>
      </c>
      <c r="J1019" s="24">
        <v>45875</v>
      </c>
      <c r="K1019" s="25">
        <v>43</v>
      </c>
      <c r="L1019" s="25">
        <v>3.2</v>
      </c>
      <c r="M1019" s="13" t="b">
        <v>0</v>
      </c>
      <c r="O1019" s="25">
        <f t="shared" si="60"/>
        <v>27</v>
      </c>
      <c r="P1019" s="13">
        <f t="shared" si="61"/>
        <v>520.29999999999995</v>
      </c>
      <c r="Q1019" s="13" t="str">
        <f t="shared" si="62"/>
        <v/>
      </c>
      <c r="R1019" s="13" t="str">
        <f t="shared" si="63"/>
        <v>Diskon</v>
      </c>
    </row>
    <row r="1020" spans="1:18" x14ac:dyDescent="0.25">
      <c r="A1020" s="13" t="s">
        <v>1032</v>
      </c>
      <c r="B1020" s="13" t="s">
        <v>2191</v>
      </c>
      <c r="C1020" s="13" t="s">
        <v>2199</v>
      </c>
      <c r="D1020" s="13" t="s">
        <v>2207</v>
      </c>
      <c r="E1020" s="13" t="s">
        <v>2211</v>
      </c>
      <c r="F1020" s="13" t="s">
        <v>2223</v>
      </c>
      <c r="G1020" s="13">
        <v>41.05</v>
      </c>
      <c r="H1020" s="44">
        <v>0</v>
      </c>
      <c r="I1020" s="13">
        <v>41.05</v>
      </c>
      <c r="J1020" s="24">
        <v>45875</v>
      </c>
      <c r="K1020" s="25">
        <v>24</v>
      </c>
      <c r="L1020" s="25">
        <v>2.9742857142857138</v>
      </c>
      <c r="M1020" s="13" t="b">
        <v>0</v>
      </c>
      <c r="O1020" s="25">
        <f t="shared" si="60"/>
        <v>27</v>
      </c>
      <c r="P1020" s="13">
        <f t="shared" si="61"/>
        <v>0</v>
      </c>
      <c r="Q1020" s="13" t="str">
        <f t="shared" si="62"/>
        <v/>
      </c>
      <c r="R1020" s="13" t="str">
        <f t="shared" si="63"/>
        <v>Non diskon</v>
      </c>
    </row>
    <row r="1021" spans="1:18" x14ac:dyDescent="0.25">
      <c r="A1021" s="13" t="s">
        <v>1033</v>
      </c>
      <c r="B1021" s="13" t="s">
        <v>2193</v>
      </c>
      <c r="C1021" s="13" t="s">
        <v>2203</v>
      </c>
      <c r="D1021" s="13" t="s">
        <v>2206</v>
      </c>
      <c r="E1021" s="13" t="s">
        <v>2213</v>
      </c>
      <c r="F1021" s="13" t="s">
        <v>2222</v>
      </c>
      <c r="G1021" s="13">
        <v>61.04</v>
      </c>
      <c r="H1021" s="44">
        <v>0</v>
      </c>
      <c r="I1021" s="13">
        <v>61.04</v>
      </c>
      <c r="J1021" s="24">
        <v>45875</v>
      </c>
      <c r="K1021" s="25">
        <v>43</v>
      </c>
      <c r="L1021" s="25">
        <v>1.9</v>
      </c>
      <c r="M1021" s="13" t="b">
        <v>0</v>
      </c>
      <c r="O1021" s="25">
        <f t="shared" si="60"/>
        <v>27</v>
      </c>
      <c r="P1021" s="13">
        <f t="shared" si="61"/>
        <v>0</v>
      </c>
      <c r="Q1021" s="13" t="str">
        <f t="shared" si="62"/>
        <v/>
      </c>
      <c r="R1021" s="13" t="str">
        <f t="shared" si="63"/>
        <v>Non diskon</v>
      </c>
    </row>
    <row r="1022" spans="1:18" x14ac:dyDescent="0.25">
      <c r="A1022" s="13" t="s">
        <v>1034</v>
      </c>
      <c r="B1022" s="13" t="s">
        <v>2191</v>
      </c>
      <c r="C1022" s="13" t="s">
        <v>2201</v>
      </c>
      <c r="D1022" s="13" t="s">
        <v>2207</v>
      </c>
      <c r="E1022" s="13" t="s">
        <v>2210</v>
      </c>
      <c r="F1022" s="13" t="s">
        <v>2216</v>
      </c>
      <c r="G1022" s="13">
        <v>97.17</v>
      </c>
      <c r="H1022" s="44">
        <v>0</v>
      </c>
      <c r="I1022" s="13">
        <v>97.17</v>
      </c>
      <c r="J1022" s="24">
        <v>45875</v>
      </c>
      <c r="K1022" s="25">
        <v>35</v>
      </c>
      <c r="L1022" s="25">
        <v>3</v>
      </c>
      <c r="M1022" s="13" t="b">
        <v>0</v>
      </c>
      <c r="O1022" s="25">
        <f t="shared" si="60"/>
        <v>27</v>
      </c>
      <c r="P1022" s="13">
        <f t="shared" si="61"/>
        <v>0</v>
      </c>
      <c r="Q1022" s="13" t="str">
        <f t="shared" si="62"/>
        <v/>
      </c>
      <c r="R1022" s="13" t="str">
        <f t="shared" si="63"/>
        <v>Non diskon</v>
      </c>
    </row>
    <row r="1023" spans="1:18" x14ac:dyDescent="0.25">
      <c r="A1023" s="13" t="s">
        <v>1035</v>
      </c>
      <c r="B1023" s="13" t="s">
        <v>2192</v>
      </c>
      <c r="C1023" s="13" t="s">
        <v>2197</v>
      </c>
      <c r="D1023" s="13" t="s">
        <v>2207</v>
      </c>
      <c r="F1023" s="13" t="s">
        <v>2214</v>
      </c>
      <c r="G1023" s="13">
        <v>63.45</v>
      </c>
      <c r="H1023" s="44">
        <v>0</v>
      </c>
      <c r="I1023" s="13">
        <v>63.45</v>
      </c>
      <c r="J1023" s="24">
        <v>45875</v>
      </c>
      <c r="K1023" s="25">
        <v>4</v>
      </c>
      <c r="L1023" s="25">
        <v>3.9</v>
      </c>
      <c r="M1023" s="13" t="b">
        <v>0</v>
      </c>
      <c r="O1023" s="25">
        <f t="shared" si="60"/>
        <v>27</v>
      </c>
      <c r="P1023" s="13">
        <f t="shared" si="61"/>
        <v>0</v>
      </c>
      <c r="Q1023" s="13" t="str">
        <f t="shared" si="62"/>
        <v/>
      </c>
      <c r="R1023" s="13" t="str">
        <f t="shared" si="63"/>
        <v>Non diskon</v>
      </c>
    </row>
    <row r="1024" spans="1:18" x14ac:dyDescent="0.25">
      <c r="A1024" s="13" t="s">
        <v>1036</v>
      </c>
      <c r="B1024" s="13" t="s">
        <v>2191</v>
      </c>
      <c r="C1024" s="13" t="s">
        <v>2199</v>
      </c>
      <c r="D1024" s="13" t="s">
        <v>2206</v>
      </c>
      <c r="F1024" s="13" t="s">
        <v>2218</v>
      </c>
      <c r="G1024" s="13">
        <v>117.39</v>
      </c>
      <c r="H1024" s="44">
        <v>0</v>
      </c>
      <c r="I1024" s="13">
        <v>117.39</v>
      </c>
      <c r="J1024" s="24">
        <v>45875</v>
      </c>
      <c r="K1024" s="25">
        <v>14</v>
      </c>
      <c r="L1024" s="25">
        <v>3.2</v>
      </c>
      <c r="M1024" s="13" t="b">
        <v>0</v>
      </c>
      <c r="O1024" s="25">
        <f t="shared" si="60"/>
        <v>27</v>
      </c>
      <c r="P1024" s="13">
        <f t="shared" si="61"/>
        <v>0</v>
      </c>
      <c r="Q1024" s="13" t="str">
        <f t="shared" si="62"/>
        <v/>
      </c>
      <c r="R1024" s="13" t="str">
        <f t="shared" si="63"/>
        <v>Non diskon</v>
      </c>
    </row>
    <row r="1025" spans="1:18" x14ac:dyDescent="0.25">
      <c r="A1025" s="13" t="s">
        <v>1037</v>
      </c>
      <c r="B1025" s="13" t="s">
        <v>2191</v>
      </c>
      <c r="C1025" s="13" t="s">
        <v>2198</v>
      </c>
      <c r="D1025" s="13" t="s">
        <v>2204</v>
      </c>
      <c r="E1025" s="13" t="s">
        <v>2210</v>
      </c>
      <c r="F1025" s="13" t="s">
        <v>2224</v>
      </c>
      <c r="G1025" s="13">
        <v>32.89</v>
      </c>
      <c r="H1025" s="44">
        <v>0</v>
      </c>
      <c r="I1025" s="13">
        <v>32.89</v>
      </c>
      <c r="J1025" s="24">
        <v>45846</v>
      </c>
      <c r="K1025" s="25">
        <v>6</v>
      </c>
      <c r="L1025" s="25">
        <v>4.5999999999999996</v>
      </c>
      <c r="M1025" s="13" t="b">
        <v>0</v>
      </c>
      <c r="O1025" s="25">
        <f t="shared" si="60"/>
        <v>56</v>
      </c>
      <c r="P1025" s="13">
        <f t="shared" si="61"/>
        <v>0</v>
      </c>
      <c r="Q1025" s="13" t="str">
        <f t="shared" si="62"/>
        <v/>
      </c>
      <c r="R1025" s="13" t="str">
        <f t="shared" si="63"/>
        <v>Non diskon</v>
      </c>
    </row>
    <row r="1026" spans="1:18" x14ac:dyDescent="0.25">
      <c r="A1026" s="13" t="s">
        <v>1038</v>
      </c>
      <c r="B1026" s="13" t="s">
        <v>2194</v>
      </c>
      <c r="C1026" s="13" t="s">
        <v>2201</v>
      </c>
      <c r="D1026" s="13" t="s">
        <v>2204</v>
      </c>
      <c r="E1026" s="13" t="s">
        <v>2209</v>
      </c>
      <c r="F1026" s="13" t="s">
        <v>2219</v>
      </c>
      <c r="G1026" s="13">
        <v>102.6</v>
      </c>
      <c r="H1026" s="44">
        <v>38.6</v>
      </c>
      <c r="I1026" s="13">
        <v>63</v>
      </c>
      <c r="J1026" s="24">
        <v>45787</v>
      </c>
      <c r="K1026" s="25">
        <v>14</v>
      </c>
      <c r="L1026" s="25">
        <v>4</v>
      </c>
      <c r="M1026" s="13" t="b">
        <v>0</v>
      </c>
      <c r="O1026" s="25">
        <f t="shared" si="60"/>
        <v>115</v>
      </c>
      <c r="P1026" s="13">
        <f t="shared" si="61"/>
        <v>540.4</v>
      </c>
      <c r="Q1026" s="13" t="str">
        <f t="shared" si="62"/>
        <v/>
      </c>
      <c r="R1026" s="13" t="str">
        <f t="shared" si="63"/>
        <v>Diskon</v>
      </c>
    </row>
    <row r="1027" spans="1:18" x14ac:dyDescent="0.25">
      <c r="A1027" s="13" t="s">
        <v>1039</v>
      </c>
      <c r="B1027" s="13" t="s">
        <v>2193</v>
      </c>
      <c r="C1027" s="13" t="s">
        <v>2202</v>
      </c>
      <c r="D1027" s="13" t="s">
        <v>2204</v>
      </c>
      <c r="E1027" s="13" t="s">
        <v>2211</v>
      </c>
      <c r="F1027" s="13" t="s">
        <v>2222</v>
      </c>
      <c r="G1027" s="13">
        <v>155.91999999999999</v>
      </c>
      <c r="H1027" s="44">
        <v>32.200000000000003</v>
      </c>
      <c r="I1027" s="13">
        <v>105.71</v>
      </c>
      <c r="J1027" s="24">
        <v>45567</v>
      </c>
      <c r="K1027" s="25">
        <v>5</v>
      </c>
      <c r="L1027" s="25">
        <v>2</v>
      </c>
      <c r="M1027" s="13" t="b">
        <v>0</v>
      </c>
      <c r="O1027" s="25">
        <f t="shared" ref="O1027:O1090" si="64">DATE(2025,9,2)-J1027</f>
        <v>335</v>
      </c>
      <c r="P1027" s="13">
        <f t="shared" ref="P1027:P1090" si="65">H1027*K1027</f>
        <v>161</v>
      </c>
      <c r="Q1027" s="13" t="str">
        <f t="shared" ref="Q1027:Q1090" si="66">IF(M1027=FALSE,"",1)</f>
        <v/>
      </c>
      <c r="R1027" s="13" t="str">
        <f t="shared" ref="R1027:R1090" si="67">IF(H1027=0,"Non diskon","Diskon")</f>
        <v>Diskon</v>
      </c>
    </row>
    <row r="1028" spans="1:18" x14ac:dyDescent="0.25">
      <c r="A1028" s="13" t="s">
        <v>1040</v>
      </c>
      <c r="B1028" s="13" t="s">
        <v>2190</v>
      </c>
      <c r="C1028" s="13" t="s">
        <v>2202</v>
      </c>
      <c r="D1028" s="13" t="s">
        <v>2206</v>
      </c>
      <c r="E1028" s="13" t="s">
        <v>2209</v>
      </c>
      <c r="F1028" s="13" t="s">
        <v>2223</v>
      </c>
      <c r="G1028" s="13">
        <v>178.39</v>
      </c>
      <c r="H1028" s="44">
        <v>0</v>
      </c>
      <c r="I1028" s="13">
        <v>178.39</v>
      </c>
      <c r="J1028" s="24">
        <v>45875</v>
      </c>
      <c r="K1028" s="25">
        <v>29</v>
      </c>
      <c r="L1028" s="25">
        <v>4.2</v>
      </c>
      <c r="M1028" s="13" t="b">
        <v>0</v>
      </c>
      <c r="O1028" s="25">
        <f t="shared" si="64"/>
        <v>27</v>
      </c>
      <c r="P1028" s="13">
        <f t="shared" si="65"/>
        <v>0</v>
      </c>
      <c r="Q1028" s="13" t="str">
        <f t="shared" si="66"/>
        <v/>
      </c>
      <c r="R1028" s="13" t="str">
        <f t="shared" si="67"/>
        <v>Non diskon</v>
      </c>
    </row>
    <row r="1029" spans="1:18" x14ac:dyDescent="0.25">
      <c r="A1029" s="13" t="s">
        <v>1041</v>
      </c>
      <c r="B1029" s="13" t="s">
        <v>2190</v>
      </c>
      <c r="C1029" s="13" t="s">
        <v>2200</v>
      </c>
      <c r="D1029" s="13" t="s">
        <v>2204</v>
      </c>
      <c r="E1029" s="13" t="s">
        <v>2208</v>
      </c>
      <c r="F1029" s="13" t="s">
        <v>2218</v>
      </c>
      <c r="G1029" s="13">
        <v>151.1</v>
      </c>
      <c r="H1029" s="44">
        <v>0</v>
      </c>
      <c r="I1029" s="13">
        <v>151.1</v>
      </c>
      <c r="J1029" s="24">
        <v>45738</v>
      </c>
      <c r="K1029" s="25">
        <v>24</v>
      </c>
      <c r="L1029" s="25">
        <v>2.4</v>
      </c>
      <c r="M1029" s="13" t="b">
        <v>0</v>
      </c>
      <c r="O1029" s="25">
        <f t="shared" si="64"/>
        <v>164</v>
      </c>
      <c r="P1029" s="13">
        <f t="shared" si="65"/>
        <v>0</v>
      </c>
      <c r="Q1029" s="13" t="str">
        <f t="shared" si="66"/>
        <v/>
      </c>
      <c r="R1029" s="13" t="str">
        <f t="shared" si="67"/>
        <v>Non diskon</v>
      </c>
    </row>
    <row r="1030" spans="1:18" x14ac:dyDescent="0.25">
      <c r="A1030" s="13" t="s">
        <v>1042</v>
      </c>
      <c r="B1030" s="13" t="s">
        <v>2191</v>
      </c>
      <c r="C1030" s="13" t="s">
        <v>2203</v>
      </c>
      <c r="D1030" s="13" t="s">
        <v>2207</v>
      </c>
      <c r="E1030" s="13" t="s">
        <v>2211</v>
      </c>
      <c r="F1030" s="13" t="s">
        <v>2221</v>
      </c>
      <c r="G1030" s="13">
        <v>91.03</v>
      </c>
      <c r="H1030" s="44">
        <v>55.4</v>
      </c>
      <c r="I1030" s="13">
        <v>40.6</v>
      </c>
      <c r="J1030" s="24">
        <v>45875</v>
      </c>
      <c r="K1030" s="25">
        <v>2</v>
      </c>
      <c r="L1030" s="25">
        <v>2.5</v>
      </c>
      <c r="M1030" s="13" t="b">
        <v>0</v>
      </c>
      <c r="O1030" s="25">
        <f t="shared" si="64"/>
        <v>27</v>
      </c>
      <c r="P1030" s="13">
        <f t="shared" si="65"/>
        <v>110.8</v>
      </c>
      <c r="Q1030" s="13" t="str">
        <f t="shared" si="66"/>
        <v/>
      </c>
      <c r="R1030" s="13" t="str">
        <f t="shared" si="67"/>
        <v>Diskon</v>
      </c>
    </row>
    <row r="1031" spans="1:18" x14ac:dyDescent="0.25">
      <c r="A1031" s="13" t="s">
        <v>1043</v>
      </c>
      <c r="B1031" s="13" t="s">
        <v>2191</v>
      </c>
      <c r="C1031" s="13" t="s">
        <v>2200</v>
      </c>
      <c r="D1031" s="13" t="s">
        <v>2206</v>
      </c>
      <c r="E1031" s="13" t="s">
        <v>2213</v>
      </c>
      <c r="F1031" s="13" t="s">
        <v>2218</v>
      </c>
      <c r="G1031" s="13">
        <v>89.03</v>
      </c>
      <c r="H1031" s="44">
        <v>41.3</v>
      </c>
      <c r="I1031" s="13">
        <v>52.26</v>
      </c>
      <c r="J1031" s="24">
        <v>45875</v>
      </c>
      <c r="K1031" s="25">
        <v>50</v>
      </c>
      <c r="L1031" s="25">
        <v>2.9657142857142857</v>
      </c>
      <c r="M1031" s="13" t="b">
        <v>0</v>
      </c>
      <c r="O1031" s="25">
        <f t="shared" si="64"/>
        <v>27</v>
      </c>
      <c r="P1031" s="13">
        <f t="shared" si="65"/>
        <v>2065</v>
      </c>
      <c r="Q1031" s="13" t="str">
        <f t="shared" si="66"/>
        <v/>
      </c>
      <c r="R1031" s="13" t="str">
        <f t="shared" si="67"/>
        <v>Diskon</v>
      </c>
    </row>
    <row r="1032" spans="1:18" x14ac:dyDescent="0.25">
      <c r="A1032" s="13" t="s">
        <v>1044</v>
      </c>
      <c r="B1032" s="13" t="s">
        <v>2195</v>
      </c>
      <c r="C1032" s="13" t="s">
        <v>2201</v>
      </c>
      <c r="D1032" s="13" t="s">
        <v>2207</v>
      </c>
      <c r="E1032" s="13" t="s">
        <v>2210</v>
      </c>
      <c r="F1032" s="13" t="s">
        <v>2220</v>
      </c>
      <c r="G1032" s="13">
        <v>147.58000000000001</v>
      </c>
      <c r="H1032" s="44">
        <v>0</v>
      </c>
      <c r="I1032" s="13">
        <v>147.58000000000001</v>
      </c>
      <c r="J1032" s="24">
        <v>45875</v>
      </c>
      <c r="K1032" s="25">
        <v>10</v>
      </c>
      <c r="L1032" s="25">
        <v>4.3</v>
      </c>
      <c r="M1032" s="13" t="b">
        <v>0</v>
      </c>
      <c r="O1032" s="25">
        <f t="shared" si="64"/>
        <v>27</v>
      </c>
      <c r="P1032" s="13">
        <f t="shared" si="65"/>
        <v>0</v>
      </c>
      <c r="Q1032" s="13" t="str">
        <f t="shared" si="66"/>
        <v/>
      </c>
      <c r="R1032" s="13" t="str">
        <f t="shared" si="67"/>
        <v>Non diskon</v>
      </c>
    </row>
    <row r="1033" spans="1:18" x14ac:dyDescent="0.25">
      <c r="A1033" s="13" t="s">
        <v>1045</v>
      </c>
      <c r="B1033" s="13" t="s">
        <v>2195</v>
      </c>
      <c r="C1033" s="13" t="s">
        <v>2198</v>
      </c>
      <c r="D1033" s="13" t="s">
        <v>2207</v>
      </c>
      <c r="E1033" s="13" t="s">
        <v>2208</v>
      </c>
      <c r="F1033" s="13" t="s">
        <v>2219</v>
      </c>
      <c r="G1033" s="13">
        <v>79.98</v>
      </c>
      <c r="H1033" s="44">
        <v>0</v>
      </c>
      <c r="I1033" s="13">
        <v>79.98</v>
      </c>
      <c r="J1033" s="24">
        <v>45875</v>
      </c>
      <c r="K1033" s="25">
        <v>25</v>
      </c>
      <c r="L1033" s="25">
        <v>1.5</v>
      </c>
      <c r="M1033" s="13" t="b">
        <v>0</v>
      </c>
      <c r="O1033" s="25">
        <f t="shared" si="64"/>
        <v>27</v>
      </c>
      <c r="P1033" s="13">
        <f t="shared" si="65"/>
        <v>0</v>
      </c>
      <c r="Q1033" s="13" t="str">
        <f t="shared" si="66"/>
        <v/>
      </c>
      <c r="R1033" s="13" t="str">
        <f t="shared" si="67"/>
        <v>Non diskon</v>
      </c>
    </row>
    <row r="1034" spans="1:18" x14ac:dyDescent="0.25">
      <c r="A1034" s="13" t="s">
        <v>1046</v>
      </c>
      <c r="B1034" s="13" t="s">
        <v>2195</v>
      </c>
      <c r="C1034" s="13" t="s">
        <v>2200</v>
      </c>
      <c r="D1034" s="13" t="s">
        <v>2206</v>
      </c>
      <c r="E1034" s="13" t="s">
        <v>2212</v>
      </c>
      <c r="F1034" s="13" t="s">
        <v>2221</v>
      </c>
      <c r="G1034" s="13">
        <v>86.38</v>
      </c>
      <c r="H1034" s="44">
        <v>0</v>
      </c>
      <c r="I1034" s="13">
        <v>86.38</v>
      </c>
      <c r="J1034" s="24">
        <v>45875</v>
      </c>
      <c r="K1034" s="25">
        <v>40</v>
      </c>
      <c r="L1034" s="25">
        <v>2.7</v>
      </c>
      <c r="M1034" s="13" t="b">
        <v>0</v>
      </c>
      <c r="O1034" s="25">
        <f t="shared" si="64"/>
        <v>27</v>
      </c>
      <c r="P1034" s="13">
        <f t="shared" si="65"/>
        <v>0</v>
      </c>
      <c r="Q1034" s="13" t="str">
        <f t="shared" si="66"/>
        <v/>
      </c>
      <c r="R1034" s="13" t="str">
        <f t="shared" si="67"/>
        <v>Non diskon</v>
      </c>
    </row>
    <row r="1035" spans="1:18" x14ac:dyDescent="0.25">
      <c r="A1035" s="13" t="s">
        <v>1047</v>
      </c>
      <c r="B1035" s="13" t="s">
        <v>2191</v>
      </c>
      <c r="C1035" s="13" t="s">
        <v>2198</v>
      </c>
      <c r="D1035" s="13" t="s">
        <v>2207</v>
      </c>
      <c r="E1035" s="13" t="s">
        <v>2211</v>
      </c>
      <c r="F1035" s="13" t="s">
        <v>2224</v>
      </c>
      <c r="G1035" s="13">
        <v>47.29</v>
      </c>
      <c r="H1035" s="44">
        <v>40.4</v>
      </c>
      <c r="I1035" s="13">
        <v>28.18</v>
      </c>
      <c r="J1035" s="24">
        <v>45875</v>
      </c>
      <c r="K1035" s="25">
        <v>26</v>
      </c>
      <c r="L1035" s="25">
        <v>4.4000000000000004</v>
      </c>
      <c r="M1035" s="13" t="b">
        <v>0</v>
      </c>
      <c r="O1035" s="25">
        <f t="shared" si="64"/>
        <v>27</v>
      </c>
      <c r="P1035" s="13">
        <f t="shared" si="65"/>
        <v>1050.3999999999999</v>
      </c>
      <c r="Q1035" s="13" t="str">
        <f t="shared" si="66"/>
        <v/>
      </c>
      <c r="R1035" s="13" t="str">
        <f t="shared" si="67"/>
        <v>Diskon</v>
      </c>
    </row>
    <row r="1036" spans="1:18" x14ac:dyDescent="0.25">
      <c r="A1036" s="13" t="s">
        <v>1048</v>
      </c>
      <c r="B1036" s="13" t="s">
        <v>2190</v>
      </c>
      <c r="C1036" s="13" t="s">
        <v>2203</v>
      </c>
      <c r="D1036" s="13" t="s">
        <v>2204</v>
      </c>
      <c r="E1036" s="13" t="s">
        <v>2209</v>
      </c>
      <c r="F1036" s="13" t="s">
        <v>2222</v>
      </c>
      <c r="G1036" s="13">
        <v>196.54</v>
      </c>
      <c r="H1036" s="44">
        <v>22.6</v>
      </c>
      <c r="I1036" s="13">
        <v>152.12</v>
      </c>
      <c r="J1036" s="24">
        <v>45789</v>
      </c>
      <c r="K1036" s="25">
        <v>33</v>
      </c>
      <c r="L1036" s="25">
        <v>1.4</v>
      </c>
      <c r="M1036" s="13" t="b">
        <v>0</v>
      </c>
      <c r="O1036" s="25">
        <f t="shared" si="64"/>
        <v>113</v>
      </c>
      <c r="P1036" s="13">
        <f t="shared" si="65"/>
        <v>745.80000000000007</v>
      </c>
      <c r="Q1036" s="13" t="str">
        <f t="shared" si="66"/>
        <v/>
      </c>
      <c r="R1036" s="13" t="str">
        <f t="shared" si="67"/>
        <v>Diskon</v>
      </c>
    </row>
    <row r="1037" spans="1:18" x14ac:dyDescent="0.25">
      <c r="A1037" s="13" t="s">
        <v>1049</v>
      </c>
      <c r="B1037" s="13" t="s">
        <v>2191</v>
      </c>
      <c r="C1037" s="13" t="s">
        <v>2196</v>
      </c>
      <c r="D1037" s="13" t="s">
        <v>2204</v>
      </c>
      <c r="E1037" s="13" t="s">
        <v>2211</v>
      </c>
      <c r="F1037" s="13" t="s">
        <v>2218</v>
      </c>
      <c r="G1037" s="13">
        <v>72.72</v>
      </c>
      <c r="H1037" s="44">
        <v>0</v>
      </c>
      <c r="I1037" s="13">
        <v>72.72</v>
      </c>
      <c r="J1037" s="24">
        <v>45688</v>
      </c>
      <c r="K1037" s="25">
        <v>23</v>
      </c>
      <c r="L1037" s="25">
        <v>1.6</v>
      </c>
      <c r="M1037" s="13" t="b">
        <v>0</v>
      </c>
      <c r="O1037" s="25">
        <f t="shared" si="64"/>
        <v>214</v>
      </c>
      <c r="P1037" s="13">
        <f t="shared" si="65"/>
        <v>0</v>
      </c>
      <c r="Q1037" s="13" t="str">
        <f t="shared" si="66"/>
        <v/>
      </c>
      <c r="R1037" s="13" t="str">
        <f t="shared" si="67"/>
        <v>Non diskon</v>
      </c>
    </row>
    <row r="1038" spans="1:18" x14ac:dyDescent="0.25">
      <c r="A1038" s="13" t="s">
        <v>1050</v>
      </c>
      <c r="B1038" s="13" t="s">
        <v>2191</v>
      </c>
      <c r="C1038" s="13" t="s">
        <v>2202</v>
      </c>
      <c r="D1038" s="13" t="s">
        <v>2207</v>
      </c>
      <c r="E1038" s="13" t="s">
        <v>2211</v>
      </c>
      <c r="F1038" s="13" t="s">
        <v>2221</v>
      </c>
      <c r="G1038" s="13">
        <v>115.5</v>
      </c>
      <c r="H1038" s="44">
        <v>0</v>
      </c>
      <c r="I1038" s="13">
        <v>115.5</v>
      </c>
      <c r="J1038" s="24">
        <v>45875</v>
      </c>
      <c r="K1038" s="25">
        <v>36</v>
      </c>
      <c r="L1038" s="25">
        <v>2.9074999999999998</v>
      </c>
      <c r="M1038" s="13" t="b">
        <v>1</v>
      </c>
      <c r="N1038" s="13" t="s">
        <v>2228</v>
      </c>
      <c r="O1038" s="25">
        <f t="shared" si="64"/>
        <v>27</v>
      </c>
      <c r="P1038" s="13">
        <f t="shared" si="65"/>
        <v>0</v>
      </c>
      <c r="Q1038" s="13">
        <f t="shared" si="66"/>
        <v>1</v>
      </c>
      <c r="R1038" s="13" t="str">
        <f t="shared" si="67"/>
        <v>Non diskon</v>
      </c>
    </row>
    <row r="1039" spans="1:18" x14ac:dyDescent="0.25">
      <c r="A1039" s="13" t="s">
        <v>1051</v>
      </c>
      <c r="B1039" s="13" t="s">
        <v>2192</v>
      </c>
      <c r="C1039" s="13" t="s">
        <v>2200</v>
      </c>
      <c r="D1039" s="13" t="s">
        <v>2207</v>
      </c>
      <c r="F1039" s="13" t="s">
        <v>2218</v>
      </c>
      <c r="G1039" s="13">
        <v>68.22</v>
      </c>
      <c r="H1039" s="44">
        <v>8.1</v>
      </c>
      <c r="I1039" s="13">
        <v>62.69</v>
      </c>
      <c r="J1039" s="24">
        <v>45875</v>
      </c>
      <c r="K1039" s="25">
        <v>28</v>
      </c>
      <c r="L1039" s="25">
        <v>4</v>
      </c>
      <c r="M1039" s="13" t="b">
        <v>0</v>
      </c>
      <c r="O1039" s="25">
        <f t="shared" si="64"/>
        <v>27</v>
      </c>
      <c r="P1039" s="13">
        <f t="shared" si="65"/>
        <v>226.79999999999998</v>
      </c>
      <c r="Q1039" s="13" t="str">
        <f t="shared" si="66"/>
        <v/>
      </c>
      <c r="R1039" s="13" t="str">
        <f t="shared" si="67"/>
        <v>Diskon</v>
      </c>
    </row>
    <row r="1040" spans="1:18" x14ac:dyDescent="0.25">
      <c r="A1040" s="13" t="s">
        <v>1052</v>
      </c>
      <c r="B1040" s="13" t="s">
        <v>2191</v>
      </c>
      <c r="C1040" s="13" t="s">
        <v>2199</v>
      </c>
      <c r="D1040" s="13" t="s">
        <v>2206</v>
      </c>
      <c r="E1040" s="13" t="s">
        <v>2211</v>
      </c>
      <c r="F1040" s="13" t="s">
        <v>2216</v>
      </c>
      <c r="G1040" s="13">
        <v>91.03</v>
      </c>
      <c r="H1040" s="44">
        <v>0</v>
      </c>
      <c r="I1040" s="13">
        <v>91.03</v>
      </c>
      <c r="J1040" s="24">
        <v>45875</v>
      </c>
      <c r="K1040" s="25">
        <v>20</v>
      </c>
      <c r="L1040" s="25">
        <v>2.1</v>
      </c>
      <c r="M1040" s="13" t="b">
        <v>0</v>
      </c>
      <c r="O1040" s="25">
        <f t="shared" si="64"/>
        <v>27</v>
      </c>
      <c r="P1040" s="13">
        <f t="shared" si="65"/>
        <v>0</v>
      </c>
      <c r="Q1040" s="13" t="str">
        <f t="shared" si="66"/>
        <v/>
      </c>
      <c r="R1040" s="13" t="str">
        <f t="shared" si="67"/>
        <v>Non diskon</v>
      </c>
    </row>
    <row r="1041" spans="1:18" x14ac:dyDescent="0.25">
      <c r="A1041" s="13" t="s">
        <v>1053</v>
      </c>
      <c r="B1041" s="13" t="s">
        <v>2190</v>
      </c>
      <c r="C1041" s="13" t="s">
        <v>2203</v>
      </c>
      <c r="D1041" s="13" t="s">
        <v>2206</v>
      </c>
      <c r="E1041" s="13" t="s">
        <v>2211</v>
      </c>
      <c r="F1041" s="13" t="s">
        <v>2223</v>
      </c>
      <c r="G1041" s="13">
        <v>100.39</v>
      </c>
      <c r="H1041" s="44">
        <v>16.5</v>
      </c>
      <c r="I1041" s="13">
        <v>83.83</v>
      </c>
      <c r="J1041" s="24">
        <v>45875</v>
      </c>
      <c r="K1041" s="25">
        <v>17</v>
      </c>
      <c r="L1041" s="25">
        <v>4.5999999999999996</v>
      </c>
      <c r="M1041" s="13" t="b">
        <v>0</v>
      </c>
      <c r="O1041" s="25">
        <f t="shared" si="64"/>
        <v>27</v>
      </c>
      <c r="P1041" s="13">
        <f t="shared" si="65"/>
        <v>280.5</v>
      </c>
      <c r="Q1041" s="13" t="str">
        <f t="shared" si="66"/>
        <v/>
      </c>
      <c r="R1041" s="13" t="str">
        <f t="shared" si="67"/>
        <v>Diskon</v>
      </c>
    </row>
    <row r="1042" spans="1:18" x14ac:dyDescent="0.25">
      <c r="A1042" s="13" t="s">
        <v>1054</v>
      </c>
      <c r="B1042" s="13" t="s">
        <v>2191</v>
      </c>
      <c r="C1042" s="13" t="s">
        <v>2202</v>
      </c>
      <c r="D1042" s="13" t="s">
        <v>2206</v>
      </c>
      <c r="E1042" s="13" t="s">
        <v>2212</v>
      </c>
      <c r="F1042" s="13" t="s">
        <v>2222</v>
      </c>
      <c r="G1042" s="13">
        <v>100.03</v>
      </c>
      <c r="H1042" s="44">
        <v>0</v>
      </c>
      <c r="I1042" s="13">
        <v>100.03</v>
      </c>
      <c r="J1042" s="24">
        <v>45875</v>
      </c>
      <c r="K1042" s="25">
        <v>39</v>
      </c>
      <c r="L1042" s="25">
        <v>1.2</v>
      </c>
      <c r="M1042" s="13" t="b">
        <v>0</v>
      </c>
      <c r="O1042" s="25">
        <f t="shared" si="64"/>
        <v>27</v>
      </c>
      <c r="P1042" s="13">
        <f t="shared" si="65"/>
        <v>0</v>
      </c>
      <c r="Q1042" s="13" t="str">
        <f t="shared" si="66"/>
        <v/>
      </c>
      <c r="R1042" s="13" t="str">
        <f t="shared" si="67"/>
        <v>Non diskon</v>
      </c>
    </row>
    <row r="1043" spans="1:18" x14ac:dyDescent="0.25">
      <c r="A1043" s="13" t="s">
        <v>1055</v>
      </c>
      <c r="B1043" s="13" t="s">
        <v>2192</v>
      </c>
      <c r="C1043" s="13" t="s">
        <v>2202</v>
      </c>
      <c r="D1043" s="13" t="s">
        <v>2204</v>
      </c>
      <c r="F1043" s="13" t="s">
        <v>2217</v>
      </c>
      <c r="G1043" s="13">
        <v>50.14</v>
      </c>
      <c r="H1043" s="44">
        <v>29.2</v>
      </c>
      <c r="I1043" s="13">
        <v>35.5</v>
      </c>
      <c r="J1043" s="24">
        <v>45692</v>
      </c>
      <c r="K1043" s="25">
        <v>33</v>
      </c>
      <c r="L1043" s="25">
        <v>4.4000000000000004</v>
      </c>
      <c r="M1043" s="13" t="b">
        <v>0</v>
      </c>
      <c r="O1043" s="25">
        <f t="shared" si="64"/>
        <v>210</v>
      </c>
      <c r="P1043" s="13">
        <f t="shared" si="65"/>
        <v>963.6</v>
      </c>
      <c r="Q1043" s="13" t="str">
        <f t="shared" si="66"/>
        <v/>
      </c>
      <c r="R1043" s="13" t="str">
        <f t="shared" si="67"/>
        <v>Diskon</v>
      </c>
    </row>
    <row r="1044" spans="1:18" x14ac:dyDescent="0.25">
      <c r="A1044" s="13" t="s">
        <v>1056</v>
      </c>
      <c r="B1044" s="13" t="s">
        <v>2194</v>
      </c>
      <c r="C1044" s="13" t="s">
        <v>2196</v>
      </c>
      <c r="D1044" s="13" t="s">
        <v>2207</v>
      </c>
      <c r="E1044" s="13" t="s">
        <v>2208</v>
      </c>
      <c r="F1044" s="13" t="s">
        <v>2216</v>
      </c>
      <c r="G1044" s="13">
        <v>33.130000000000003</v>
      </c>
      <c r="H1044" s="44">
        <v>0</v>
      </c>
      <c r="I1044" s="13">
        <v>33.130000000000003</v>
      </c>
      <c r="J1044" s="24">
        <v>45875</v>
      </c>
      <c r="K1044" s="25">
        <v>41</v>
      </c>
      <c r="L1044" s="25">
        <v>3.3</v>
      </c>
      <c r="M1044" s="13" t="b">
        <v>0</v>
      </c>
      <c r="O1044" s="25">
        <f t="shared" si="64"/>
        <v>27</v>
      </c>
      <c r="P1044" s="13">
        <f t="shared" si="65"/>
        <v>0</v>
      </c>
      <c r="Q1044" s="13" t="str">
        <f t="shared" si="66"/>
        <v/>
      </c>
      <c r="R1044" s="13" t="str">
        <f t="shared" si="67"/>
        <v>Non diskon</v>
      </c>
    </row>
    <row r="1045" spans="1:18" x14ac:dyDescent="0.25">
      <c r="A1045" s="13" t="s">
        <v>1057</v>
      </c>
      <c r="B1045" s="13" t="s">
        <v>2192</v>
      </c>
      <c r="C1045" s="13" t="s">
        <v>2200</v>
      </c>
      <c r="D1045" s="13" t="s">
        <v>2204</v>
      </c>
      <c r="F1045" s="13" t="s">
        <v>2222</v>
      </c>
      <c r="G1045" s="13">
        <v>67.67</v>
      </c>
      <c r="H1045" s="44">
        <v>0</v>
      </c>
      <c r="I1045" s="13">
        <v>67.67</v>
      </c>
      <c r="J1045" s="24">
        <v>45560</v>
      </c>
      <c r="K1045" s="25">
        <v>7</v>
      </c>
      <c r="L1045" s="25">
        <v>3.3</v>
      </c>
      <c r="M1045" s="13" t="b">
        <v>0</v>
      </c>
      <c r="O1045" s="25">
        <f t="shared" si="64"/>
        <v>342</v>
      </c>
      <c r="P1045" s="13">
        <f t="shared" si="65"/>
        <v>0</v>
      </c>
      <c r="Q1045" s="13" t="str">
        <f t="shared" si="66"/>
        <v/>
      </c>
      <c r="R1045" s="13" t="str">
        <f t="shared" si="67"/>
        <v>Non diskon</v>
      </c>
    </row>
    <row r="1046" spans="1:18" x14ac:dyDescent="0.25">
      <c r="A1046" s="13" t="s">
        <v>1058</v>
      </c>
      <c r="B1046" s="13" t="s">
        <v>2194</v>
      </c>
      <c r="C1046" s="13" t="s">
        <v>2198</v>
      </c>
      <c r="D1046" s="13" t="s">
        <v>2207</v>
      </c>
      <c r="E1046" s="13" t="s">
        <v>2210</v>
      </c>
      <c r="F1046" s="13" t="s">
        <v>2216</v>
      </c>
      <c r="G1046" s="13">
        <v>93.94</v>
      </c>
      <c r="H1046" s="44">
        <v>56.3</v>
      </c>
      <c r="I1046" s="13">
        <v>41.05</v>
      </c>
      <c r="J1046" s="24">
        <v>45875</v>
      </c>
      <c r="K1046" s="25">
        <v>36</v>
      </c>
      <c r="L1046" s="25">
        <v>1.1000000000000001</v>
      </c>
      <c r="M1046" s="13" t="b">
        <v>0</v>
      </c>
      <c r="O1046" s="25">
        <f t="shared" si="64"/>
        <v>27</v>
      </c>
      <c r="P1046" s="13">
        <f t="shared" si="65"/>
        <v>2026.8</v>
      </c>
      <c r="Q1046" s="13" t="str">
        <f t="shared" si="66"/>
        <v/>
      </c>
      <c r="R1046" s="13" t="str">
        <f t="shared" si="67"/>
        <v>Diskon</v>
      </c>
    </row>
    <row r="1047" spans="1:18" x14ac:dyDescent="0.25">
      <c r="A1047" s="13" t="s">
        <v>1059</v>
      </c>
      <c r="B1047" s="13" t="s">
        <v>2191</v>
      </c>
      <c r="C1047" s="13" t="s">
        <v>2198</v>
      </c>
      <c r="D1047" s="13" t="s">
        <v>2206</v>
      </c>
      <c r="E1047" s="13" t="s">
        <v>2212</v>
      </c>
      <c r="F1047" s="13" t="s">
        <v>2216</v>
      </c>
      <c r="G1047" s="13">
        <v>34.56</v>
      </c>
      <c r="H1047" s="44">
        <v>11.2</v>
      </c>
      <c r="I1047" s="13">
        <v>30.69</v>
      </c>
      <c r="J1047" s="24">
        <v>45875</v>
      </c>
      <c r="K1047" s="25">
        <v>46</v>
      </c>
      <c r="L1047" s="25">
        <v>3.4</v>
      </c>
      <c r="M1047" s="13" t="b">
        <v>0</v>
      </c>
      <c r="O1047" s="25">
        <f t="shared" si="64"/>
        <v>27</v>
      </c>
      <c r="P1047" s="13">
        <f t="shared" si="65"/>
        <v>515.19999999999993</v>
      </c>
      <c r="Q1047" s="13" t="str">
        <f t="shared" si="66"/>
        <v/>
      </c>
      <c r="R1047" s="13" t="str">
        <f t="shared" si="67"/>
        <v>Diskon</v>
      </c>
    </row>
    <row r="1048" spans="1:18" x14ac:dyDescent="0.25">
      <c r="A1048" s="13" t="s">
        <v>1060</v>
      </c>
      <c r="B1048" s="13" t="s">
        <v>2190</v>
      </c>
      <c r="C1048" s="13" t="s">
        <v>2201</v>
      </c>
      <c r="D1048" s="13" t="s">
        <v>2207</v>
      </c>
      <c r="E1048" s="13" t="s">
        <v>2213</v>
      </c>
      <c r="F1048" s="13" t="s">
        <v>2216</v>
      </c>
      <c r="G1048" s="13">
        <v>235.33</v>
      </c>
      <c r="H1048" s="44">
        <v>0</v>
      </c>
      <c r="I1048" s="13">
        <v>235.33</v>
      </c>
      <c r="J1048" s="24">
        <v>45875</v>
      </c>
      <c r="K1048" s="25">
        <v>11</v>
      </c>
      <c r="L1048" s="25">
        <v>4.7</v>
      </c>
      <c r="M1048" s="13" t="b">
        <v>1</v>
      </c>
      <c r="N1048" s="13" t="s">
        <v>2226</v>
      </c>
      <c r="O1048" s="25">
        <f t="shared" si="64"/>
        <v>27</v>
      </c>
      <c r="P1048" s="13">
        <f t="shared" si="65"/>
        <v>0</v>
      </c>
      <c r="Q1048" s="13">
        <f t="shared" si="66"/>
        <v>1</v>
      </c>
      <c r="R1048" s="13" t="str">
        <f t="shared" si="67"/>
        <v>Non diskon</v>
      </c>
    </row>
    <row r="1049" spans="1:18" x14ac:dyDescent="0.25">
      <c r="A1049" s="13" t="s">
        <v>1061</v>
      </c>
      <c r="B1049" s="13" t="s">
        <v>2191</v>
      </c>
      <c r="C1049" s="13" t="s">
        <v>2197</v>
      </c>
      <c r="D1049" s="13" t="s">
        <v>2204</v>
      </c>
      <c r="E1049" s="13" t="s">
        <v>2212</v>
      </c>
      <c r="F1049" s="13" t="s">
        <v>2214</v>
      </c>
      <c r="G1049" s="13">
        <v>25.45</v>
      </c>
      <c r="H1049" s="44">
        <v>0</v>
      </c>
      <c r="I1049" s="13">
        <v>25.45</v>
      </c>
      <c r="J1049" s="24">
        <v>45514</v>
      </c>
      <c r="K1049" s="25">
        <v>29</v>
      </c>
      <c r="L1049" s="25">
        <v>3.7</v>
      </c>
      <c r="M1049" s="13" t="b">
        <v>0</v>
      </c>
      <c r="O1049" s="25">
        <f t="shared" si="64"/>
        <v>388</v>
      </c>
      <c r="P1049" s="13">
        <f t="shared" si="65"/>
        <v>0</v>
      </c>
      <c r="Q1049" s="13" t="str">
        <f t="shared" si="66"/>
        <v/>
      </c>
      <c r="R1049" s="13" t="str">
        <f t="shared" si="67"/>
        <v>Non diskon</v>
      </c>
    </row>
    <row r="1050" spans="1:18" x14ac:dyDescent="0.25">
      <c r="A1050" s="13" t="s">
        <v>1062</v>
      </c>
      <c r="B1050" s="13" t="s">
        <v>2191</v>
      </c>
      <c r="C1050" s="13" t="s">
        <v>2202</v>
      </c>
      <c r="D1050" s="13" t="s">
        <v>2205</v>
      </c>
      <c r="E1050" s="13" t="s">
        <v>2208</v>
      </c>
      <c r="F1050" s="13" t="s">
        <v>2218</v>
      </c>
      <c r="G1050" s="13">
        <v>71.44</v>
      </c>
      <c r="H1050" s="44">
        <v>0</v>
      </c>
      <c r="I1050" s="13">
        <v>71.44</v>
      </c>
      <c r="J1050" s="24">
        <v>45875</v>
      </c>
      <c r="K1050" s="25">
        <v>18</v>
      </c>
      <c r="L1050" s="25">
        <v>4.3</v>
      </c>
      <c r="M1050" s="13" t="b">
        <v>0</v>
      </c>
      <c r="O1050" s="25">
        <f t="shared" si="64"/>
        <v>27</v>
      </c>
      <c r="P1050" s="13">
        <f t="shared" si="65"/>
        <v>0</v>
      </c>
      <c r="Q1050" s="13" t="str">
        <f t="shared" si="66"/>
        <v/>
      </c>
      <c r="R1050" s="13" t="str">
        <f t="shared" si="67"/>
        <v>Non diskon</v>
      </c>
    </row>
    <row r="1051" spans="1:18" x14ac:dyDescent="0.25">
      <c r="A1051" s="13" t="s">
        <v>1063</v>
      </c>
      <c r="B1051" s="13" t="s">
        <v>2195</v>
      </c>
      <c r="C1051" s="13" t="s">
        <v>2198</v>
      </c>
      <c r="D1051" s="13" t="s">
        <v>2207</v>
      </c>
      <c r="E1051" s="13" t="s">
        <v>2208</v>
      </c>
      <c r="F1051" s="13" t="s">
        <v>2217</v>
      </c>
      <c r="G1051" s="13">
        <v>98.33</v>
      </c>
      <c r="H1051" s="44">
        <v>0</v>
      </c>
      <c r="I1051" s="13">
        <v>98.33</v>
      </c>
      <c r="J1051" s="24">
        <v>45875</v>
      </c>
      <c r="K1051" s="25">
        <v>46</v>
      </c>
      <c r="L1051" s="25">
        <v>3.7</v>
      </c>
      <c r="M1051" s="13" t="b">
        <v>0</v>
      </c>
      <c r="O1051" s="25">
        <f t="shared" si="64"/>
        <v>27</v>
      </c>
      <c r="P1051" s="13">
        <f t="shared" si="65"/>
        <v>0</v>
      </c>
      <c r="Q1051" s="13" t="str">
        <f t="shared" si="66"/>
        <v/>
      </c>
      <c r="R1051" s="13" t="str">
        <f t="shared" si="67"/>
        <v>Non diskon</v>
      </c>
    </row>
    <row r="1052" spans="1:18" x14ac:dyDescent="0.25">
      <c r="A1052" s="13" t="s">
        <v>1064</v>
      </c>
      <c r="B1052" s="13" t="s">
        <v>2195</v>
      </c>
      <c r="C1052" s="13" t="s">
        <v>2203</v>
      </c>
      <c r="D1052" s="13" t="s">
        <v>2204</v>
      </c>
      <c r="E1052" s="13" t="s">
        <v>2210</v>
      </c>
      <c r="F1052" s="13" t="s">
        <v>2219</v>
      </c>
      <c r="G1052" s="13">
        <v>171.1</v>
      </c>
      <c r="H1052" s="44">
        <v>0</v>
      </c>
      <c r="I1052" s="13">
        <v>171.1</v>
      </c>
      <c r="J1052" s="24">
        <v>45861</v>
      </c>
      <c r="K1052" s="25">
        <v>34</v>
      </c>
      <c r="L1052" s="25">
        <v>2.9636363636363638</v>
      </c>
      <c r="M1052" s="13" t="b">
        <v>0</v>
      </c>
      <c r="O1052" s="25">
        <f t="shared" si="64"/>
        <v>41</v>
      </c>
      <c r="P1052" s="13">
        <f t="shared" si="65"/>
        <v>0</v>
      </c>
      <c r="Q1052" s="13" t="str">
        <f t="shared" si="66"/>
        <v/>
      </c>
      <c r="R1052" s="13" t="str">
        <f t="shared" si="67"/>
        <v>Non diskon</v>
      </c>
    </row>
    <row r="1053" spans="1:18" x14ac:dyDescent="0.25">
      <c r="A1053" s="13" t="s">
        <v>1065</v>
      </c>
      <c r="B1053" s="13" t="s">
        <v>2195</v>
      </c>
      <c r="C1053" s="13" t="s">
        <v>2203</v>
      </c>
      <c r="D1053" s="13" t="s">
        <v>2205</v>
      </c>
      <c r="E1053" s="13" t="s">
        <v>2212</v>
      </c>
      <c r="F1053" s="13" t="s">
        <v>2217</v>
      </c>
      <c r="G1053" s="13">
        <v>155.57</v>
      </c>
      <c r="H1053" s="44">
        <v>0</v>
      </c>
      <c r="I1053" s="13">
        <v>155.57</v>
      </c>
      <c r="J1053" s="24">
        <v>45875</v>
      </c>
      <c r="K1053" s="25">
        <v>48</v>
      </c>
      <c r="L1053" s="25">
        <v>3.8</v>
      </c>
      <c r="M1053" s="13" t="b">
        <v>0</v>
      </c>
      <c r="O1053" s="25">
        <f t="shared" si="64"/>
        <v>27</v>
      </c>
      <c r="P1053" s="13">
        <f t="shared" si="65"/>
        <v>0</v>
      </c>
      <c r="Q1053" s="13" t="str">
        <f t="shared" si="66"/>
        <v/>
      </c>
      <c r="R1053" s="13" t="str">
        <f t="shared" si="67"/>
        <v>Non diskon</v>
      </c>
    </row>
    <row r="1054" spans="1:18" x14ac:dyDescent="0.25">
      <c r="A1054" s="13" t="s">
        <v>1066</v>
      </c>
      <c r="B1054" s="13" t="s">
        <v>2190</v>
      </c>
      <c r="C1054" s="13" t="s">
        <v>2199</v>
      </c>
      <c r="D1054" s="13" t="s">
        <v>2206</v>
      </c>
      <c r="E1054" s="13" t="s">
        <v>2209</v>
      </c>
      <c r="F1054" s="13" t="s">
        <v>2220</v>
      </c>
      <c r="G1054" s="13">
        <v>198.44</v>
      </c>
      <c r="H1054" s="44">
        <v>0</v>
      </c>
      <c r="I1054" s="13">
        <v>198.44</v>
      </c>
      <c r="J1054" s="24">
        <v>45875</v>
      </c>
      <c r="K1054" s="25">
        <v>40</v>
      </c>
      <c r="L1054" s="25">
        <v>2.2000000000000002</v>
      </c>
      <c r="M1054" s="13" t="b">
        <v>0</v>
      </c>
      <c r="O1054" s="25">
        <f t="shared" si="64"/>
        <v>27</v>
      </c>
      <c r="P1054" s="13">
        <f t="shared" si="65"/>
        <v>0</v>
      </c>
      <c r="Q1054" s="13" t="str">
        <f t="shared" si="66"/>
        <v/>
      </c>
      <c r="R1054" s="13" t="str">
        <f t="shared" si="67"/>
        <v>Non diskon</v>
      </c>
    </row>
    <row r="1055" spans="1:18" x14ac:dyDescent="0.25">
      <c r="A1055" s="13" t="s">
        <v>1067</v>
      </c>
      <c r="B1055" s="13" t="s">
        <v>2193</v>
      </c>
      <c r="C1055" s="13" t="s">
        <v>2201</v>
      </c>
      <c r="D1055" s="13" t="s">
        <v>2204</v>
      </c>
      <c r="E1055" s="13" t="s">
        <v>2213</v>
      </c>
      <c r="F1055" s="13" t="s">
        <v>2216</v>
      </c>
      <c r="G1055" s="13">
        <v>175.85</v>
      </c>
      <c r="H1055" s="44">
        <v>18.100000000000001</v>
      </c>
      <c r="I1055" s="13">
        <v>144.02000000000001</v>
      </c>
      <c r="J1055" s="24">
        <v>45686</v>
      </c>
      <c r="K1055" s="25">
        <v>4</v>
      </c>
      <c r="L1055" s="25">
        <v>4</v>
      </c>
      <c r="M1055" s="13" t="b">
        <v>0</v>
      </c>
      <c r="O1055" s="25">
        <f t="shared" si="64"/>
        <v>216</v>
      </c>
      <c r="P1055" s="13">
        <f t="shared" si="65"/>
        <v>72.400000000000006</v>
      </c>
      <c r="Q1055" s="13" t="str">
        <f t="shared" si="66"/>
        <v/>
      </c>
      <c r="R1055" s="13" t="str">
        <f t="shared" si="67"/>
        <v>Diskon</v>
      </c>
    </row>
    <row r="1056" spans="1:18" x14ac:dyDescent="0.25">
      <c r="A1056" s="13" t="s">
        <v>1068</v>
      </c>
      <c r="B1056" s="13" t="s">
        <v>2190</v>
      </c>
      <c r="C1056" s="13" t="s">
        <v>2203</v>
      </c>
      <c r="D1056" s="13" t="s">
        <v>2207</v>
      </c>
      <c r="E1056" s="13" t="s">
        <v>2213</v>
      </c>
      <c r="F1056" s="13" t="s">
        <v>2215</v>
      </c>
      <c r="G1056" s="13">
        <v>100.23</v>
      </c>
      <c r="H1056" s="44">
        <v>0</v>
      </c>
      <c r="I1056" s="13">
        <v>100.23</v>
      </c>
      <c r="J1056" s="24">
        <v>45875</v>
      </c>
      <c r="K1056" s="25">
        <v>12</v>
      </c>
      <c r="L1056" s="25">
        <v>3.5</v>
      </c>
      <c r="M1056" s="13" t="b">
        <v>0</v>
      </c>
      <c r="O1056" s="25">
        <f t="shared" si="64"/>
        <v>27</v>
      </c>
      <c r="P1056" s="13">
        <f t="shared" si="65"/>
        <v>0</v>
      </c>
      <c r="Q1056" s="13" t="str">
        <f t="shared" si="66"/>
        <v/>
      </c>
      <c r="R1056" s="13" t="str">
        <f t="shared" si="67"/>
        <v>Non diskon</v>
      </c>
    </row>
    <row r="1057" spans="1:18" x14ac:dyDescent="0.25">
      <c r="A1057" s="13" t="s">
        <v>1069</v>
      </c>
      <c r="B1057" s="13" t="s">
        <v>2190</v>
      </c>
      <c r="C1057" s="13" t="s">
        <v>2196</v>
      </c>
      <c r="D1057" s="13" t="s">
        <v>2205</v>
      </c>
      <c r="E1057" s="13" t="s">
        <v>2211</v>
      </c>
      <c r="F1057" s="13" t="s">
        <v>2221</v>
      </c>
      <c r="G1057" s="13">
        <v>88.94</v>
      </c>
      <c r="H1057" s="44">
        <v>0</v>
      </c>
      <c r="I1057" s="13">
        <v>88.94</v>
      </c>
      <c r="J1057" s="24">
        <v>45875</v>
      </c>
      <c r="K1057" s="25">
        <v>36</v>
      </c>
      <c r="L1057" s="25">
        <v>2.7030303030303036</v>
      </c>
      <c r="M1057" s="13" t="b">
        <v>0</v>
      </c>
      <c r="O1057" s="25">
        <f t="shared" si="64"/>
        <v>27</v>
      </c>
      <c r="P1057" s="13">
        <f t="shared" si="65"/>
        <v>0</v>
      </c>
      <c r="Q1057" s="13" t="str">
        <f t="shared" si="66"/>
        <v/>
      </c>
      <c r="R1057" s="13" t="str">
        <f t="shared" si="67"/>
        <v>Non diskon</v>
      </c>
    </row>
    <row r="1058" spans="1:18" x14ac:dyDescent="0.25">
      <c r="A1058" s="13" t="s">
        <v>1070</v>
      </c>
      <c r="B1058" s="13" t="s">
        <v>2190</v>
      </c>
      <c r="C1058" s="13" t="s">
        <v>2200</v>
      </c>
      <c r="D1058" s="13" t="s">
        <v>2206</v>
      </c>
      <c r="E1058" s="13" t="s">
        <v>2211</v>
      </c>
      <c r="F1058" s="13" t="s">
        <v>2222</v>
      </c>
      <c r="G1058" s="13">
        <v>205.91</v>
      </c>
      <c r="H1058" s="44">
        <v>0</v>
      </c>
      <c r="I1058" s="13">
        <v>205.91</v>
      </c>
      <c r="J1058" s="24">
        <v>45875</v>
      </c>
      <c r="K1058" s="25">
        <v>3</v>
      </c>
      <c r="L1058" s="25">
        <v>4.8</v>
      </c>
      <c r="M1058" s="13" t="b">
        <v>0</v>
      </c>
      <c r="O1058" s="25">
        <f t="shared" si="64"/>
        <v>27</v>
      </c>
      <c r="P1058" s="13">
        <f t="shared" si="65"/>
        <v>0</v>
      </c>
      <c r="Q1058" s="13" t="str">
        <f t="shared" si="66"/>
        <v/>
      </c>
      <c r="R1058" s="13" t="str">
        <f t="shared" si="67"/>
        <v>Non diskon</v>
      </c>
    </row>
    <row r="1059" spans="1:18" x14ac:dyDescent="0.25">
      <c r="A1059" s="13" t="s">
        <v>1071</v>
      </c>
      <c r="B1059" s="13" t="s">
        <v>2192</v>
      </c>
      <c r="C1059" s="13" t="s">
        <v>2197</v>
      </c>
      <c r="D1059" s="13" t="s">
        <v>2206</v>
      </c>
      <c r="F1059" s="13" t="s">
        <v>2215</v>
      </c>
      <c r="G1059" s="13">
        <v>29.06</v>
      </c>
      <c r="H1059" s="44">
        <v>1.1000000000000001</v>
      </c>
      <c r="I1059" s="13">
        <v>28.74</v>
      </c>
      <c r="J1059" s="24">
        <v>45875</v>
      </c>
      <c r="K1059" s="25">
        <v>12</v>
      </c>
      <c r="L1059" s="25">
        <v>1.1000000000000001</v>
      </c>
      <c r="M1059" s="13" t="b">
        <v>1</v>
      </c>
      <c r="N1059" s="13" t="s">
        <v>2225</v>
      </c>
      <c r="O1059" s="25">
        <f t="shared" si="64"/>
        <v>27</v>
      </c>
      <c r="P1059" s="13">
        <f t="shared" si="65"/>
        <v>13.200000000000001</v>
      </c>
      <c r="Q1059" s="13">
        <f t="shared" si="66"/>
        <v>1</v>
      </c>
      <c r="R1059" s="13" t="str">
        <f t="shared" si="67"/>
        <v>Diskon</v>
      </c>
    </row>
    <row r="1060" spans="1:18" x14ac:dyDescent="0.25">
      <c r="A1060" s="13" t="s">
        <v>1072</v>
      </c>
      <c r="B1060" s="13" t="s">
        <v>2192</v>
      </c>
      <c r="C1060" s="13" t="s">
        <v>2202</v>
      </c>
      <c r="D1060" s="13" t="s">
        <v>2207</v>
      </c>
      <c r="F1060" s="13" t="s">
        <v>2224</v>
      </c>
      <c r="G1060" s="13">
        <v>68.56</v>
      </c>
      <c r="H1060" s="44">
        <v>0</v>
      </c>
      <c r="I1060" s="13">
        <v>68.56</v>
      </c>
      <c r="J1060" s="24">
        <v>45875</v>
      </c>
      <c r="K1060" s="25">
        <v>2</v>
      </c>
      <c r="L1060" s="25">
        <v>2.4</v>
      </c>
      <c r="M1060" s="13" t="b">
        <v>0</v>
      </c>
      <c r="O1060" s="25">
        <f t="shared" si="64"/>
        <v>27</v>
      </c>
      <c r="P1060" s="13">
        <f t="shared" si="65"/>
        <v>0</v>
      </c>
      <c r="Q1060" s="13" t="str">
        <f t="shared" si="66"/>
        <v/>
      </c>
      <c r="R1060" s="13" t="str">
        <f t="shared" si="67"/>
        <v>Non diskon</v>
      </c>
    </row>
    <row r="1061" spans="1:18" x14ac:dyDescent="0.25">
      <c r="A1061" s="13" t="s">
        <v>1073</v>
      </c>
      <c r="B1061" s="13" t="s">
        <v>2191</v>
      </c>
      <c r="C1061" s="13" t="s">
        <v>2203</v>
      </c>
      <c r="D1061" s="13" t="s">
        <v>2207</v>
      </c>
      <c r="E1061" s="13" t="s">
        <v>2209</v>
      </c>
      <c r="F1061" s="13" t="s">
        <v>2223</v>
      </c>
      <c r="G1061" s="13">
        <v>91.6</v>
      </c>
      <c r="H1061" s="44">
        <v>59.5</v>
      </c>
      <c r="I1061" s="13">
        <v>37.1</v>
      </c>
      <c r="J1061" s="24">
        <v>45875</v>
      </c>
      <c r="K1061" s="25">
        <v>2</v>
      </c>
      <c r="L1061" s="25">
        <v>4.3</v>
      </c>
      <c r="M1061" s="13" t="b">
        <v>0</v>
      </c>
      <c r="O1061" s="25">
        <f t="shared" si="64"/>
        <v>27</v>
      </c>
      <c r="P1061" s="13">
        <f t="shared" si="65"/>
        <v>119</v>
      </c>
      <c r="Q1061" s="13" t="str">
        <f t="shared" si="66"/>
        <v/>
      </c>
      <c r="R1061" s="13" t="str">
        <f t="shared" si="67"/>
        <v>Diskon</v>
      </c>
    </row>
    <row r="1062" spans="1:18" x14ac:dyDescent="0.25">
      <c r="A1062" s="13" t="s">
        <v>1074</v>
      </c>
      <c r="B1062" s="13" t="s">
        <v>2195</v>
      </c>
      <c r="C1062" s="13" t="s">
        <v>2200</v>
      </c>
      <c r="D1062" s="13" t="s">
        <v>2207</v>
      </c>
      <c r="E1062" s="13" t="s">
        <v>2212</v>
      </c>
      <c r="F1062" s="13" t="s">
        <v>2216</v>
      </c>
      <c r="G1062" s="13">
        <v>96.57</v>
      </c>
      <c r="H1062" s="44">
        <v>0</v>
      </c>
      <c r="I1062" s="13">
        <v>96.57</v>
      </c>
      <c r="J1062" s="24">
        <v>45875</v>
      </c>
      <c r="K1062" s="25">
        <v>6</v>
      </c>
      <c r="L1062" s="25">
        <v>1.9</v>
      </c>
      <c r="M1062" s="13" t="b">
        <v>0</v>
      </c>
      <c r="O1062" s="25">
        <f t="shared" si="64"/>
        <v>27</v>
      </c>
      <c r="P1062" s="13">
        <f t="shared" si="65"/>
        <v>0</v>
      </c>
      <c r="Q1062" s="13" t="str">
        <f t="shared" si="66"/>
        <v/>
      </c>
      <c r="R1062" s="13" t="str">
        <f t="shared" si="67"/>
        <v>Non diskon</v>
      </c>
    </row>
    <row r="1063" spans="1:18" x14ac:dyDescent="0.25">
      <c r="A1063" s="13" t="s">
        <v>1075</v>
      </c>
      <c r="B1063" s="13" t="s">
        <v>2194</v>
      </c>
      <c r="C1063" s="13" t="s">
        <v>2200</v>
      </c>
      <c r="D1063" s="13" t="s">
        <v>2205</v>
      </c>
      <c r="E1063" s="13" t="s">
        <v>2210</v>
      </c>
      <c r="F1063" s="13" t="s">
        <v>2215</v>
      </c>
      <c r="G1063" s="13">
        <v>35.630000000000003</v>
      </c>
      <c r="H1063" s="44">
        <v>57.9</v>
      </c>
      <c r="I1063" s="13">
        <v>15</v>
      </c>
      <c r="J1063" s="24">
        <v>45875</v>
      </c>
      <c r="K1063" s="25">
        <v>11</v>
      </c>
      <c r="L1063" s="25">
        <v>1.8</v>
      </c>
      <c r="M1063" s="13" t="b">
        <v>0</v>
      </c>
      <c r="O1063" s="25">
        <f t="shared" si="64"/>
        <v>27</v>
      </c>
      <c r="P1063" s="13">
        <f t="shared" si="65"/>
        <v>636.9</v>
      </c>
      <c r="Q1063" s="13" t="str">
        <f t="shared" si="66"/>
        <v/>
      </c>
      <c r="R1063" s="13" t="str">
        <f t="shared" si="67"/>
        <v>Diskon</v>
      </c>
    </row>
    <row r="1064" spans="1:18" x14ac:dyDescent="0.25">
      <c r="A1064" s="13" t="s">
        <v>1076</v>
      </c>
      <c r="B1064" s="13" t="s">
        <v>2193</v>
      </c>
      <c r="C1064" s="13" t="s">
        <v>2197</v>
      </c>
      <c r="D1064" s="13" t="s">
        <v>2205</v>
      </c>
      <c r="E1064" s="13" t="s">
        <v>2212</v>
      </c>
      <c r="F1064" s="13" t="s">
        <v>2220</v>
      </c>
      <c r="G1064" s="13">
        <v>118.98</v>
      </c>
      <c r="H1064" s="44">
        <v>38.1</v>
      </c>
      <c r="I1064" s="13">
        <v>73.650000000000006</v>
      </c>
      <c r="J1064" s="24">
        <v>45875</v>
      </c>
      <c r="K1064" s="25">
        <v>36</v>
      </c>
      <c r="L1064" s="25">
        <v>1.1000000000000001</v>
      </c>
      <c r="M1064" s="13" t="b">
        <v>1</v>
      </c>
      <c r="N1064" s="13" t="s">
        <v>2225</v>
      </c>
      <c r="O1064" s="25">
        <f t="shared" si="64"/>
        <v>27</v>
      </c>
      <c r="P1064" s="13">
        <f t="shared" si="65"/>
        <v>1371.6000000000001</v>
      </c>
      <c r="Q1064" s="13">
        <f t="shared" si="66"/>
        <v>1</v>
      </c>
      <c r="R1064" s="13" t="str">
        <f t="shared" si="67"/>
        <v>Diskon</v>
      </c>
    </row>
    <row r="1065" spans="1:18" x14ac:dyDescent="0.25">
      <c r="A1065" s="13" t="s">
        <v>1077</v>
      </c>
      <c r="B1065" s="13" t="s">
        <v>2193</v>
      </c>
      <c r="C1065" s="13" t="s">
        <v>2200</v>
      </c>
      <c r="D1065" s="13" t="s">
        <v>2204</v>
      </c>
      <c r="E1065" s="13" t="s">
        <v>2208</v>
      </c>
      <c r="F1065" s="13" t="s">
        <v>2214</v>
      </c>
      <c r="G1065" s="13">
        <v>62.62</v>
      </c>
      <c r="H1065" s="44">
        <v>10.1</v>
      </c>
      <c r="I1065" s="13">
        <v>56.3</v>
      </c>
      <c r="J1065" s="24">
        <v>45762</v>
      </c>
      <c r="K1065" s="25">
        <v>32</v>
      </c>
      <c r="L1065" s="25">
        <v>2.9</v>
      </c>
      <c r="M1065" s="13" t="b">
        <v>0</v>
      </c>
      <c r="O1065" s="25">
        <f t="shared" si="64"/>
        <v>140</v>
      </c>
      <c r="P1065" s="13">
        <f t="shared" si="65"/>
        <v>323.2</v>
      </c>
      <c r="Q1065" s="13" t="str">
        <f t="shared" si="66"/>
        <v/>
      </c>
      <c r="R1065" s="13" t="str">
        <f t="shared" si="67"/>
        <v>Diskon</v>
      </c>
    </row>
    <row r="1066" spans="1:18" x14ac:dyDescent="0.25">
      <c r="A1066" s="13" t="s">
        <v>1078</v>
      </c>
      <c r="B1066" s="13" t="s">
        <v>2193</v>
      </c>
      <c r="C1066" s="13" t="s">
        <v>2203</v>
      </c>
      <c r="D1066" s="13" t="s">
        <v>2207</v>
      </c>
      <c r="E1066" s="13" t="s">
        <v>2213</v>
      </c>
      <c r="F1066" s="13" t="s">
        <v>2224</v>
      </c>
      <c r="G1066" s="13">
        <v>153.34</v>
      </c>
      <c r="H1066" s="44">
        <v>55.5</v>
      </c>
      <c r="I1066" s="13">
        <v>68.239999999999995</v>
      </c>
      <c r="J1066" s="24">
        <v>45875</v>
      </c>
      <c r="K1066" s="25">
        <v>46</v>
      </c>
      <c r="L1066" s="25">
        <v>4.2</v>
      </c>
      <c r="M1066" s="13" t="b">
        <v>1</v>
      </c>
      <c r="N1066" s="13" t="s">
        <v>2230</v>
      </c>
      <c r="O1066" s="25">
        <f t="shared" si="64"/>
        <v>27</v>
      </c>
      <c r="P1066" s="13">
        <f t="shared" si="65"/>
        <v>2553</v>
      </c>
      <c r="Q1066" s="13">
        <f t="shared" si="66"/>
        <v>1</v>
      </c>
      <c r="R1066" s="13" t="str">
        <f t="shared" si="67"/>
        <v>Diskon</v>
      </c>
    </row>
    <row r="1067" spans="1:18" x14ac:dyDescent="0.25">
      <c r="A1067" s="13" t="s">
        <v>1079</v>
      </c>
      <c r="B1067" s="13" t="s">
        <v>2191</v>
      </c>
      <c r="C1067" s="13" t="s">
        <v>2201</v>
      </c>
      <c r="D1067" s="13" t="s">
        <v>2207</v>
      </c>
      <c r="E1067" s="13" t="s">
        <v>2209</v>
      </c>
      <c r="F1067" s="13" t="s">
        <v>2220</v>
      </c>
      <c r="G1067" s="13">
        <v>71.66</v>
      </c>
      <c r="H1067" s="44">
        <v>49.7</v>
      </c>
      <c r="I1067" s="13">
        <v>36.04</v>
      </c>
      <c r="J1067" s="24">
        <v>45875</v>
      </c>
      <c r="K1067" s="25">
        <v>33</v>
      </c>
      <c r="L1067" s="25">
        <v>2.9846153846153847</v>
      </c>
      <c r="M1067" s="13" t="b">
        <v>1</v>
      </c>
      <c r="N1067" s="13" t="s">
        <v>2225</v>
      </c>
      <c r="O1067" s="25">
        <f t="shared" si="64"/>
        <v>27</v>
      </c>
      <c r="P1067" s="13">
        <f t="shared" si="65"/>
        <v>1640.1000000000001</v>
      </c>
      <c r="Q1067" s="13">
        <f t="shared" si="66"/>
        <v>1</v>
      </c>
      <c r="R1067" s="13" t="str">
        <f t="shared" si="67"/>
        <v>Diskon</v>
      </c>
    </row>
    <row r="1068" spans="1:18" x14ac:dyDescent="0.25">
      <c r="A1068" s="13" t="s">
        <v>1080</v>
      </c>
      <c r="B1068" s="13" t="s">
        <v>2195</v>
      </c>
      <c r="C1068" s="13" t="s">
        <v>2201</v>
      </c>
      <c r="D1068" s="13" t="s">
        <v>2204</v>
      </c>
      <c r="E1068" s="13" t="s">
        <v>2210</v>
      </c>
      <c r="F1068" s="13" t="s">
        <v>2216</v>
      </c>
      <c r="G1068" s="13">
        <v>107.58</v>
      </c>
      <c r="H1068" s="44">
        <v>55.9</v>
      </c>
      <c r="I1068" s="13">
        <v>47.44</v>
      </c>
      <c r="J1068" s="24">
        <v>45703</v>
      </c>
      <c r="K1068" s="25">
        <v>19</v>
      </c>
      <c r="L1068" s="25">
        <v>4.4000000000000004</v>
      </c>
      <c r="M1068" s="13" t="b">
        <v>0</v>
      </c>
      <c r="O1068" s="25">
        <f t="shared" si="64"/>
        <v>199</v>
      </c>
      <c r="P1068" s="13">
        <f t="shared" si="65"/>
        <v>1062.0999999999999</v>
      </c>
      <c r="Q1068" s="13" t="str">
        <f t="shared" si="66"/>
        <v/>
      </c>
      <c r="R1068" s="13" t="str">
        <f t="shared" si="67"/>
        <v>Diskon</v>
      </c>
    </row>
    <row r="1069" spans="1:18" x14ac:dyDescent="0.25">
      <c r="A1069" s="13" t="s">
        <v>1081</v>
      </c>
      <c r="B1069" s="13" t="s">
        <v>2193</v>
      </c>
      <c r="C1069" s="13" t="s">
        <v>2196</v>
      </c>
      <c r="D1069" s="13" t="s">
        <v>2204</v>
      </c>
      <c r="E1069" s="13" t="s">
        <v>2208</v>
      </c>
      <c r="F1069" s="13" t="s">
        <v>2219</v>
      </c>
      <c r="G1069" s="13">
        <v>137.16</v>
      </c>
      <c r="H1069" s="44">
        <v>0</v>
      </c>
      <c r="I1069" s="13">
        <v>137.16</v>
      </c>
      <c r="J1069" s="24">
        <v>45749</v>
      </c>
      <c r="K1069" s="25">
        <v>34</v>
      </c>
      <c r="L1069" s="25">
        <v>4</v>
      </c>
      <c r="M1069" s="13" t="b">
        <v>0</v>
      </c>
      <c r="O1069" s="25">
        <f t="shared" si="64"/>
        <v>153</v>
      </c>
      <c r="P1069" s="13">
        <f t="shared" si="65"/>
        <v>0</v>
      </c>
      <c r="Q1069" s="13" t="str">
        <f t="shared" si="66"/>
        <v/>
      </c>
      <c r="R1069" s="13" t="str">
        <f t="shared" si="67"/>
        <v>Non diskon</v>
      </c>
    </row>
    <row r="1070" spans="1:18" x14ac:dyDescent="0.25">
      <c r="A1070" s="13" t="s">
        <v>1082</v>
      </c>
      <c r="B1070" s="13" t="s">
        <v>2191</v>
      </c>
      <c r="C1070" s="13" t="s">
        <v>2198</v>
      </c>
      <c r="D1070" s="13" t="s">
        <v>2205</v>
      </c>
      <c r="E1070" s="13" t="s">
        <v>2213</v>
      </c>
      <c r="F1070" s="13" t="s">
        <v>2217</v>
      </c>
      <c r="G1070" s="13">
        <v>119.29</v>
      </c>
      <c r="H1070" s="44">
        <v>0</v>
      </c>
      <c r="I1070" s="13">
        <v>119.29</v>
      </c>
      <c r="J1070" s="24">
        <v>45875</v>
      </c>
      <c r="K1070" s="25">
        <v>3</v>
      </c>
      <c r="L1070" s="25">
        <v>2.953125</v>
      </c>
      <c r="M1070" s="13" t="b">
        <v>0</v>
      </c>
      <c r="O1070" s="25">
        <f t="shared" si="64"/>
        <v>27</v>
      </c>
      <c r="P1070" s="13">
        <f t="shared" si="65"/>
        <v>0</v>
      </c>
      <c r="Q1070" s="13" t="str">
        <f t="shared" si="66"/>
        <v/>
      </c>
      <c r="R1070" s="13" t="str">
        <f t="shared" si="67"/>
        <v>Non diskon</v>
      </c>
    </row>
    <row r="1071" spans="1:18" x14ac:dyDescent="0.25">
      <c r="A1071" s="13" t="s">
        <v>1083</v>
      </c>
      <c r="B1071" s="13" t="s">
        <v>2191</v>
      </c>
      <c r="C1071" s="13" t="s">
        <v>2199</v>
      </c>
      <c r="D1071" s="13" t="s">
        <v>2204</v>
      </c>
      <c r="E1071" s="13" t="s">
        <v>2213</v>
      </c>
      <c r="F1071" s="13" t="s">
        <v>2222</v>
      </c>
      <c r="G1071" s="13">
        <v>104.09</v>
      </c>
      <c r="H1071" s="44">
        <v>0</v>
      </c>
      <c r="I1071" s="13">
        <v>104.09</v>
      </c>
      <c r="J1071" s="24">
        <v>45647</v>
      </c>
      <c r="K1071" s="25">
        <v>29</v>
      </c>
      <c r="L1071" s="25">
        <v>2.9742857142857138</v>
      </c>
      <c r="M1071" s="13" t="b">
        <v>0</v>
      </c>
      <c r="O1071" s="25">
        <f t="shared" si="64"/>
        <v>255</v>
      </c>
      <c r="P1071" s="13">
        <f t="shared" si="65"/>
        <v>0</v>
      </c>
      <c r="Q1071" s="13" t="str">
        <f t="shared" si="66"/>
        <v/>
      </c>
      <c r="R1071" s="13" t="str">
        <f t="shared" si="67"/>
        <v>Non diskon</v>
      </c>
    </row>
    <row r="1072" spans="1:18" x14ac:dyDescent="0.25">
      <c r="A1072" s="13" t="s">
        <v>1084</v>
      </c>
      <c r="B1072" s="13" t="s">
        <v>2195</v>
      </c>
      <c r="C1072" s="13" t="s">
        <v>2198</v>
      </c>
      <c r="D1072" s="13" t="s">
        <v>2206</v>
      </c>
      <c r="F1072" s="13" t="s">
        <v>2215</v>
      </c>
      <c r="G1072" s="13">
        <v>73.069999999999993</v>
      </c>
      <c r="H1072" s="44">
        <v>0</v>
      </c>
      <c r="I1072" s="13">
        <v>73.069999999999993</v>
      </c>
      <c r="J1072" s="24">
        <v>45875</v>
      </c>
      <c r="K1072" s="25">
        <v>5</v>
      </c>
      <c r="L1072" s="25">
        <v>4.2</v>
      </c>
      <c r="M1072" s="13" t="b">
        <v>0</v>
      </c>
      <c r="O1072" s="25">
        <f t="shared" si="64"/>
        <v>27</v>
      </c>
      <c r="P1072" s="13">
        <f t="shared" si="65"/>
        <v>0</v>
      </c>
      <c r="Q1072" s="13" t="str">
        <f t="shared" si="66"/>
        <v/>
      </c>
      <c r="R1072" s="13" t="str">
        <f t="shared" si="67"/>
        <v>Non diskon</v>
      </c>
    </row>
    <row r="1073" spans="1:18" x14ac:dyDescent="0.25">
      <c r="A1073" s="13" t="s">
        <v>1085</v>
      </c>
      <c r="B1073" s="13" t="s">
        <v>2194</v>
      </c>
      <c r="C1073" s="13" t="s">
        <v>2196</v>
      </c>
      <c r="D1073" s="13" t="s">
        <v>2206</v>
      </c>
      <c r="E1073" s="13" t="s">
        <v>2211</v>
      </c>
      <c r="F1073" s="13" t="s">
        <v>2220</v>
      </c>
      <c r="G1073" s="13">
        <v>76.94</v>
      </c>
      <c r="H1073" s="44">
        <v>7.6</v>
      </c>
      <c r="I1073" s="13">
        <v>71.09</v>
      </c>
      <c r="J1073" s="24">
        <v>45875</v>
      </c>
      <c r="K1073" s="25">
        <v>20</v>
      </c>
      <c r="L1073" s="25">
        <v>3.7</v>
      </c>
      <c r="M1073" s="13" t="b">
        <v>0</v>
      </c>
      <c r="O1073" s="25">
        <f t="shared" si="64"/>
        <v>27</v>
      </c>
      <c r="P1073" s="13">
        <f t="shared" si="65"/>
        <v>152</v>
      </c>
      <c r="Q1073" s="13" t="str">
        <f t="shared" si="66"/>
        <v/>
      </c>
      <c r="R1073" s="13" t="str">
        <f t="shared" si="67"/>
        <v>Diskon</v>
      </c>
    </row>
    <row r="1074" spans="1:18" x14ac:dyDescent="0.25">
      <c r="A1074" s="13" t="s">
        <v>1086</v>
      </c>
      <c r="B1074" s="13" t="s">
        <v>2194</v>
      </c>
      <c r="C1074" s="13" t="s">
        <v>2203</v>
      </c>
      <c r="D1074" s="13" t="s">
        <v>2205</v>
      </c>
      <c r="E1074" s="13" t="s">
        <v>2208</v>
      </c>
      <c r="F1074" s="13" t="s">
        <v>2221</v>
      </c>
      <c r="G1074" s="13">
        <v>119.92</v>
      </c>
      <c r="H1074" s="44">
        <v>0</v>
      </c>
      <c r="I1074" s="13">
        <v>119.92</v>
      </c>
      <c r="J1074" s="24">
        <v>45875</v>
      </c>
      <c r="K1074" s="25">
        <v>37</v>
      </c>
      <c r="L1074" s="25">
        <v>5</v>
      </c>
      <c r="M1074" s="13" t="b">
        <v>0</v>
      </c>
      <c r="O1074" s="25">
        <f t="shared" si="64"/>
        <v>27</v>
      </c>
      <c r="P1074" s="13">
        <f t="shared" si="65"/>
        <v>0</v>
      </c>
      <c r="Q1074" s="13" t="str">
        <f t="shared" si="66"/>
        <v/>
      </c>
      <c r="R1074" s="13" t="str">
        <f t="shared" si="67"/>
        <v>Non diskon</v>
      </c>
    </row>
    <row r="1075" spans="1:18" x14ac:dyDescent="0.25">
      <c r="A1075" s="13" t="s">
        <v>1087</v>
      </c>
      <c r="B1075" s="13" t="s">
        <v>2190</v>
      </c>
      <c r="C1075" s="13" t="s">
        <v>2201</v>
      </c>
      <c r="D1075" s="13" t="s">
        <v>2205</v>
      </c>
      <c r="E1075" s="13" t="s">
        <v>2212</v>
      </c>
      <c r="F1075" s="13" t="s">
        <v>2217</v>
      </c>
      <c r="G1075" s="13">
        <v>116.49</v>
      </c>
      <c r="H1075" s="44">
        <v>0</v>
      </c>
      <c r="I1075" s="13">
        <v>116.49</v>
      </c>
      <c r="J1075" s="24">
        <v>45875</v>
      </c>
      <c r="K1075" s="25">
        <v>17</v>
      </c>
      <c r="L1075" s="25">
        <v>3.3</v>
      </c>
      <c r="M1075" s="13" t="b">
        <v>1</v>
      </c>
      <c r="N1075" s="13" t="s">
        <v>2227</v>
      </c>
      <c r="O1075" s="25">
        <f t="shared" si="64"/>
        <v>27</v>
      </c>
      <c r="P1075" s="13">
        <f t="shared" si="65"/>
        <v>0</v>
      </c>
      <c r="Q1075" s="13">
        <f t="shared" si="66"/>
        <v>1</v>
      </c>
      <c r="R1075" s="13" t="str">
        <f t="shared" si="67"/>
        <v>Non diskon</v>
      </c>
    </row>
    <row r="1076" spans="1:18" x14ac:dyDescent="0.25">
      <c r="A1076" s="13" t="s">
        <v>1088</v>
      </c>
      <c r="B1076" s="13" t="s">
        <v>2193</v>
      </c>
      <c r="C1076" s="13" t="s">
        <v>2202</v>
      </c>
      <c r="D1076" s="13" t="s">
        <v>2206</v>
      </c>
      <c r="E1076" s="13" t="s">
        <v>2208</v>
      </c>
      <c r="F1076" s="13" t="s">
        <v>2215</v>
      </c>
      <c r="G1076" s="13">
        <v>179.59</v>
      </c>
      <c r="H1076" s="44">
        <v>14.7</v>
      </c>
      <c r="I1076" s="13">
        <v>153.19</v>
      </c>
      <c r="J1076" s="24">
        <v>45875</v>
      </c>
      <c r="K1076" s="25">
        <v>47</v>
      </c>
      <c r="L1076" s="25">
        <v>2.9</v>
      </c>
      <c r="M1076" s="13" t="b">
        <v>0</v>
      </c>
      <c r="O1076" s="25">
        <f t="shared" si="64"/>
        <v>27</v>
      </c>
      <c r="P1076" s="13">
        <f t="shared" si="65"/>
        <v>690.9</v>
      </c>
      <c r="Q1076" s="13" t="str">
        <f t="shared" si="66"/>
        <v/>
      </c>
      <c r="R1076" s="13" t="str">
        <f t="shared" si="67"/>
        <v>Diskon</v>
      </c>
    </row>
    <row r="1077" spans="1:18" x14ac:dyDescent="0.25">
      <c r="A1077" s="13" t="s">
        <v>1089</v>
      </c>
      <c r="B1077" s="13" t="s">
        <v>2192</v>
      </c>
      <c r="C1077" s="13" t="s">
        <v>2197</v>
      </c>
      <c r="D1077" s="13" t="s">
        <v>2205</v>
      </c>
      <c r="F1077" s="13" t="s">
        <v>2216</v>
      </c>
      <c r="G1077" s="13">
        <v>33.799999999999997</v>
      </c>
      <c r="H1077" s="44">
        <v>0</v>
      </c>
      <c r="I1077" s="13">
        <v>33.799999999999997</v>
      </c>
      <c r="J1077" s="24">
        <v>45875</v>
      </c>
      <c r="K1077" s="25">
        <v>34</v>
      </c>
      <c r="L1077" s="25">
        <v>4.8</v>
      </c>
      <c r="M1077" s="13" t="b">
        <v>0</v>
      </c>
      <c r="O1077" s="25">
        <f t="shared" si="64"/>
        <v>27</v>
      </c>
      <c r="P1077" s="13">
        <f t="shared" si="65"/>
        <v>0</v>
      </c>
      <c r="Q1077" s="13" t="str">
        <f t="shared" si="66"/>
        <v/>
      </c>
      <c r="R1077" s="13" t="str">
        <f t="shared" si="67"/>
        <v>Non diskon</v>
      </c>
    </row>
    <row r="1078" spans="1:18" x14ac:dyDescent="0.25">
      <c r="A1078" s="13" t="s">
        <v>1090</v>
      </c>
      <c r="B1078" s="13" t="s">
        <v>2191</v>
      </c>
      <c r="C1078" s="13" t="s">
        <v>2197</v>
      </c>
      <c r="D1078" s="13" t="s">
        <v>2206</v>
      </c>
      <c r="E1078" s="13" t="s">
        <v>2209</v>
      </c>
      <c r="F1078" s="13" t="s">
        <v>2221</v>
      </c>
      <c r="G1078" s="13">
        <v>41.57</v>
      </c>
      <c r="H1078" s="44">
        <v>3.3</v>
      </c>
      <c r="I1078" s="13">
        <v>40.200000000000003</v>
      </c>
      <c r="J1078" s="24">
        <v>45875</v>
      </c>
      <c r="K1078" s="25">
        <v>5</v>
      </c>
      <c r="L1078" s="25">
        <v>2.9</v>
      </c>
      <c r="M1078" s="13" t="b">
        <v>0</v>
      </c>
      <c r="O1078" s="25">
        <f t="shared" si="64"/>
        <v>27</v>
      </c>
      <c r="P1078" s="13">
        <f t="shared" si="65"/>
        <v>16.5</v>
      </c>
      <c r="Q1078" s="13" t="str">
        <f t="shared" si="66"/>
        <v/>
      </c>
      <c r="R1078" s="13" t="str">
        <f t="shared" si="67"/>
        <v>Diskon</v>
      </c>
    </row>
    <row r="1079" spans="1:18" x14ac:dyDescent="0.25">
      <c r="A1079" s="13" t="s">
        <v>1091</v>
      </c>
      <c r="B1079" s="13" t="s">
        <v>2193</v>
      </c>
      <c r="C1079" s="13" t="s">
        <v>2203</v>
      </c>
      <c r="D1079" s="13" t="s">
        <v>2204</v>
      </c>
      <c r="E1079" s="13" t="s">
        <v>2208</v>
      </c>
      <c r="F1079" s="13" t="s">
        <v>2223</v>
      </c>
      <c r="G1079" s="13">
        <v>139.1</v>
      </c>
      <c r="H1079" s="44">
        <v>47</v>
      </c>
      <c r="I1079" s="13">
        <v>73.72</v>
      </c>
      <c r="J1079" s="24">
        <v>45661</v>
      </c>
      <c r="K1079" s="25">
        <v>6</v>
      </c>
      <c r="L1079" s="25">
        <v>3.4</v>
      </c>
      <c r="M1079" s="13" t="b">
        <v>0</v>
      </c>
      <c r="O1079" s="25">
        <f t="shared" si="64"/>
        <v>241</v>
      </c>
      <c r="P1079" s="13">
        <f t="shared" si="65"/>
        <v>282</v>
      </c>
      <c r="Q1079" s="13" t="str">
        <f t="shared" si="66"/>
        <v/>
      </c>
      <c r="R1079" s="13" t="str">
        <f t="shared" si="67"/>
        <v>Diskon</v>
      </c>
    </row>
    <row r="1080" spans="1:18" x14ac:dyDescent="0.25">
      <c r="A1080" s="13" t="s">
        <v>1092</v>
      </c>
      <c r="B1080" s="13" t="s">
        <v>2195</v>
      </c>
      <c r="C1080" s="13" t="s">
        <v>2199</v>
      </c>
      <c r="D1080" s="13" t="s">
        <v>2206</v>
      </c>
      <c r="E1080" s="13" t="s">
        <v>2209</v>
      </c>
      <c r="F1080" s="13" t="s">
        <v>2215</v>
      </c>
      <c r="G1080" s="13">
        <v>102.04</v>
      </c>
      <c r="H1080" s="44">
        <v>0</v>
      </c>
      <c r="I1080" s="13">
        <v>102.04</v>
      </c>
      <c r="J1080" s="24">
        <v>45875</v>
      </c>
      <c r="K1080" s="25">
        <v>34</v>
      </c>
      <c r="L1080" s="25">
        <v>3.4</v>
      </c>
      <c r="M1080" s="13" t="b">
        <v>0</v>
      </c>
      <c r="O1080" s="25">
        <f t="shared" si="64"/>
        <v>27</v>
      </c>
      <c r="P1080" s="13">
        <f t="shared" si="65"/>
        <v>0</v>
      </c>
      <c r="Q1080" s="13" t="str">
        <f t="shared" si="66"/>
        <v/>
      </c>
      <c r="R1080" s="13" t="str">
        <f t="shared" si="67"/>
        <v>Non diskon</v>
      </c>
    </row>
    <row r="1081" spans="1:18" x14ac:dyDescent="0.25">
      <c r="A1081" s="13" t="s">
        <v>1093</v>
      </c>
      <c r="B1081" s="13" t="s">
        <v>2194</v>
      </c>
      <c r="C1081" s="13" t="s">
        <v>2202</v>
      </c>
      <c r="D1081" s="13" t="s">
        <v>2206</v>
      </c>
      <c r="E1081" s="13" t="s">
        <v>2211</v>
      </c>
      <c r="F1081" s="13" t="s">
        <v>2222</v>
      </c>
      <c r="G1081" s="13">
        <v>47.25</v>
      </c>
      <c r="H1081" s="44">
        <v>54.2</v>
      </c>
      <c r="I1081" s="13">
        <v>21.64</v>
      </c>
      <c r="J1081" s="24">
        <v>45875</v>
      </c>
      <c r="K1081" s="25">
        <v>4</v>
      </c>
      <c r="L1081" s="25">
        <v>4.9000000000000004</v>
      </c>
      <c r="M1081" s="13" t="b">
        <v>0</v>
      </c>
      <c r="O1081" s="25">
        <f t="shared" si="64"/>
        <v>27</v>
      </c>
      <c r="P1081" s="13">
        <f t="shared" si="65"/>
        <v>216.8</v>
      </c>
      <c r="Q1081" s="13" t="str">
        <f t="shared" si="66"/>
        <v/>
      </c>
      <c r="R1081" s="13" t="str">
        <f t="shared" si="67"/>
        <v>Diskon</v>
      </c>
    </row>
    <row r="1082" spans="1:18" x14ac:dyDescent="0.25">
      <c r="A1082" s="13" t="s">
        <v>1094</v>
      </c>
      <c r="B1082" s="13" t="s">
        <v>2195</v>
      </c>
      <c r="C1082" s="13" t="s">
        <v>2197</v>
      </c>
      <c r="D1082" s="13" t="s">
        <v>2207</v>
      </c>
      <c r="E1082" s="13" t="s">
        <v>2212</v>
      </c>
      <c r="F1082" s="13" t="s">
        <v>2217</v>
      </c>
      <c r="G1082" s="13">
        <v>55.08</v>
      </c>
      <c r="H1082" s="44">
        <v>0</v>
      </c>
      <c r="I1082" s="13">
        <v>55.08</v>
      </c>
      <c r="J1082" s="24">
        <v>45875</v>
      </c>
      <c r="K1082" s="25">
        <v>48</v>
      </c>
      <c r="L1082" s="25">
        <v>4.0999999999999996</v>
      </c>
      <c r="M1082" s="13" t="b">
        <v>0</v>
      </c>
      <c r="O1082" s="25">
        <f t="shared" si="64"/>
        <v>27</v>
      </c>
      <c r="P1082" s="13">
        <f t="shared" si="65"/>
        <v>0</v>
      </c>
      <c r="Q1082" s="13" t="str">
        <f t="shared" si="66"/>
        <v/>
      </c>
      <c r="R1082" s="13" t="str">
        <f t="shared" si="67"/>
        <v>Non diskon</v>
      </c>
    </row>
    <row r="1083" spans="1:18" x14ac:dyDescent="0.25">
      <c r="A1083" s="13" t="s">
        <v>1095</v>
      </c>
      <c r="B1083" s="13" t="s">
        <v>2190</v>
      </c>
      <c r="C1083" s="13" t="s">
        <v>2203</v>
      </c>
      <c r="D1083" s="13" t="s">
        <v>2205</v>
      </c>
      <c r="E1083" s="13" t="s">
        <v>2209</v>
      </c>
      <c r="F1083" s="13" t="s">
        <v>2220</v>
      </c>
      <c r="G1083" s="13">
        <v>88.32</v>
      </c>
      <c r="H1083" s="44">
        <v>54.8</v>
      </c>
      <c r="I1083" s="13">
        <v>39.92</v>
      </c>
      <c r="J1083" s="24">
        <v>45875</v>
      </c>
      <c r="K1083" s="25">
        <v>36</v>
      </c>
      <c r="L1083" s="25">
        <v>3.1</v>
      </c>
      <c r="M1083" s="13" t="b">
        <v>0</v>
      </c>
      <c r="O1083" s="25">
        <f t="shared" si="64"/>
        <v>27</v>
      </c>
      <c r="P1083" s="13">
        <f t="shared" si="65"/>
        <v>1972.8</v>
      </c>
      <c r="Q1083" s="13" t="str">
        <f t="shared" si="66"/>
        <v/>
      </c>
      <c r="R1083" s="13" t="str">
        <f t="shared" si="67"/>
        <v>Diskon</v>
      </c>
    </row>
    <row r="1084" spans="1:18" x14ac:dyDescent="0.25">
      <c r="A1084" s="13" t="s">
        <v>1096</v>
      </c>
      <c r="B1084" s="13" t="s">
        <v>2194</v>
      </c>
      <c r="C1084" s="13" t="s">
        <v>2199</v>
      </c>
      <c r="D1084" s="13" t="s">
        <v>2206</v>
      </c>
      <c r="E1084" s="13" t="s">
        <v>2213</v>
      </c>
      <c r="F1084" s="13" t="s">
        <v>2214</v>
      </c>
      <c r="G1084" s="13">
        <v>74.900000000000006</v>
      </c>
      <c r="H1084" s="44">
        <v>16.8</v>
      </c>
      <c r="I1084" s="13">
        <v>62.32</v>
      </c>
      <c r="J1084" s="24">
        <v>45875</v>
      </c>
      <c r="K1084" s="25">
        <v>13</v>
      </c>
      <c r="L1084" s="25">
        <v>2.8142857142857149</v>
      </c>
      <c r="M1084" s="13" t="b">
        <v>1</v>
      </c>
      <c r="N1084" s="13" t="s">
        <v>2225</v>
      </c>
      <c r="O1084" s="25">
        <f t="shared" si="64"/>
        <v>27</v>
      </c>
      <c r="P1084" s="13">
        <f t="shared" si="65"/>
        <v>218.4</v>
      </c>
      <c r="Q1084" s="13">
        <f t="shared" si="66"/>
        <v>1</v>
      </c>
      <c r="R1084" s="13" t="str">
        <f t="shared" si="67"/>
        <v>Diskon</v>
      </c>
    </row>
    <row r="1085" spans="1:18" x14ac:dyDescent="0.25">
      <c r="A1085" s="13" t="s">
        <v>1097</v>
      </c>
      <c r="B1085" s="13" t="s">
        <v>2194</v>
      </c>
      <c r="C1085" s="13" t="s">
        <v>2199</v>
      </c>
      <c r="D1085" s="13" t="s">
        <v>2205</v>
      </c>
      <c r="E1085" s="13" t="s">
        <v>2213</v>
      </c>
      <c r="F1085" s="13" t="s">
        <v>2217</v>
      </c>
      <c r="G1085" s="13">
        <v>69.88</v>
      </c>
      <c r="H1085" s="44">
        <v>57.4</v>
      </c>
      <c r="I1085" s="13">
        <v>29.77</v>
      </c>
      <c r="J1085" s="24">
        <v>45875</v>
      </c>
      <c r="K1085" s="25">
        <v>30</v>
      </c>
      <c r="L1085" s="25">
        <v>4.2</v>
      </c>
      <c r="M1085" s="13" t="b">
        <v>0</v>
      </c>
      <c r="O1085" s="25">
        <f t="shared" si="64"/>
        <v>27</v>
      </c>
      <c r="P1085" s="13">
        <f t="shared" si="65"/>
        <v>1722</v>
      </c>
      <c r="Q1085" s="13" t="str">
        <f t="shared" si="66"/>
        <v/>
      </c>
      <c r="R1085" s="13" t="str">
        <f t="shared" si="67"/>
        <v>Diskon</v>
      </c>
    </row>
    <row r="1086" spans="1:18" x14ac:dyDescent="0.25">
      <c r="A1086" s="13" t="s">
        <v>1098</v>
      </c>
      <c r="B1086" s="13" t="s">
        <v>2193</v>
      </c>
      <c r="C1086" s="13" t="s">
        <v>2197</v>
      </c>
      <c r="D1086" s="13" t="s">
        <v>2206</v>
      </c>
      <c r="E1086" s="13" t="s">
        <v>2210</v>
      </c>
      <c r="F1086" s="13" t="s">
        <v>2218</v>
      </c>
      <c r="G1086" s="13">
        <v>142.83000000000001</v>
      </c>
      <c r="H1086" s="44">
        <v>0</v>
      </c>
      <c r="I1086" s="13">
        <v>142.83000000000001</v>
      </c>
      <c r="J1086" s="24">
        <v>45875</v>
      </c>
      <c r="K1086" s="25">
        <v>25</v>
      </c>
      <c r="L1086" s="25">
        <v>3.5</v>
      </c>
      <c r="M1086" s="13" t="b">
        <v>0</v>
      </c>
      <c r="O1086" s="25">
        <f t="shared" si="64"/>
        <v>27</v>
      </c>
      <c r="P1086" s="13">
        <f t="shared" si="65"/>
        <v>0</v>
      </c>
      <c r="Q1086" s="13" t="str">
        <f t="shared" si="66"/>
        <v/>
      </c>
      <c r="R1086" s="13" t="str">
        <f t="shared" si="67"/>
        <v>Non diskon</v>
      </c>
    </row>
    <row r="1087" spans="1:18" x14ac:dyDescent="0.25">
      <c r="A1087" s="13" t="s">
        <v>1099</v>
      </c>
      <c r="B1087" s="13" t="s">
        <v>2193</v>
      </c>
      <c r="C1087" s="13" t="s">
        <v>2196</v>
      </c>
      <c r="D1087" s="13" t="s">
        <v>2206</v>
      </c>
      <c r="F1087" s="13" t="s">
        <v>2223</v>
      </c>
      <c r="G1087" s="13">
        <v>140.16999999999999</v>
      </c>
      <c r="H1087" s="44">
        <v>0</v>
      </c>
      <c r="I1087" s="13">
        <v>140.16999999999999</v>
      </c>
      <c r="J1087" s="24">
        <v>45875</v>
      </c>
      <c r="K1087" s="25">
        <v>43</v>
      </c>
      <c r="L1087" s="25">
        <v>3.1</v>
      </c>
      <c r="M1087" s="13" t="b">
        <v>0</v>
      </c>
      <c r="O1087" s="25">
        <f t="shared" si="64"/>
        <v>27</v>
      </c>
      <c r="P1087" s="13">
        <f t="shared" si="65"/>
        <v>0</v>
      </c>
      <c r="Q1087" s="13" t="str">
        <f t="shared" si="66"/>
        <v/>
      </c>
      <c r="R1087" s="13" t="str">
        <f t="shared" si="67"/>
        <v>Non diskon</v>
      </c>
    </row>
    <row r="1088" spans="1:18" x14ac:dyDescent="0.25">
      <c r="A1088" s="13" t="s">
        <v>1100</v>
      </c>
      <c r="B1088" s="13" t="s">
        <v>2191</v>
      </c>
      <c r="C1088" s="13" t="s">
        <v>2202</v>
      </c>
      <c r="D1088" s="13" t="s">
        <v>2205</v>
      </c>
      <c r="E1088" s="13" t="s">
        <v>2213</v>
      </c>
      <c r="F1088" s="13" t="s">
        <v>2224</v>
      </c>
      <c r="G1088" s="13">
        <v>106.11</v>
      </c>
      <c r="H1088" s="44">
        <v>33.799999999999997</v>
      </c>
      <c r="I1088" s="13">
        <v>70.239999999999995</v>
      </c>
      <c r="J1088" s="24">
        <v>45875</v>
      </c>
      <c r="K1088" s="25">
        <v>15</v>
      </c>
      <c r="L1088" s="25">
        <v>4.5</v>
      </c>
      <c r="M1088" s="13" t="b">
        <v>0</v>
      </c>
      <c r="O1088" s="25">
        <f t="shared" si="64"/>
        <v>27</v>
      </c>
      <c r="P1088" s="13">
        <f t="shared" si="65"/>
        <v>506.99999999999994</v>
      </c>
      <c r="Q1088" s="13" t="str">
        <f t="shared" si="66"/>
        <v/>
      </c>
      <c r="R1088" s="13" t="str">
        <f t="shared" si="67"/>
        <v>Diskon</v>
      </c>
    </row>
    <row r="1089" spans="1:18" x14ac:dyDescent="0.25">
      <c r="A1089" s="13" t="s">
        <v>1101</v>
      </c>
      <c r="B1089" s="13" t="s">
        <v>2195</v>
      </c>
      <c r="C1089" s="13" t="s">
        <v>2200</v>
      </c>
      <c r="D1089" s="13" t="s">
        <v>2207</v>
      </c>
      <c r="E1089" s="13" t="s">
        <v>2212</v>
      </c>
      <c r="F1089" s="13" t="s">
        <v>2215</v>
      </c>
      <c r="G1089" s="13">
        <v>53.23</v>
      </c>
      <c r="H1089" s="44">
        <v>0</v>
      </c>
      <c r="I1089" s="13">
        <v>53.23</v>
      </c>
      <c r="J1089" s="24">
        <v>45875</v>
      </c>
      <c r="K1089" s="25">
        <v>41</v>
      </c>
      <c r="L1089" s="25">
        <v>2.8</v>
      </c>
      <c r="M1089" s="13" t="b">
        <v>1</v>
      </c>
      <c r="N1089" s="13" t="s">
        <v>2225</v>
      </c>
      <c r="O1089" s="25">
        <f t="shared" si="64"/>
        <v>27</v>
      </c>
      <c r="P1089" s="13">
        <f t="shared" si="65"/>
        <v>0</v>
      </c>
      <c r="Q1089" s="13">
        <f t="shared" si="66"/>
        <v>1</v>
      </c>
      <c r="R1089" s="13" t="str">
        <f t="shared" si="67"/>
        <v>Non diskon</v>
      </c>
    </row>
    <row r="1090" spans="1:18" x14ac:dyDescent="0.25">
      <c r="A1090" s="13" t="s">
        <v>1102</v>
      </c>
      <c r="B1090" s="13" t="s">
        <v>2190</v>
      </c>
      <c r="C1090" s="13" t="s">
        <v>2198</v>
      </c>
      <c r="D1090" s="13" t="s">
        <v>2204</v>
      </c>
      <c r="E1090" s="13" t="s">
        <v>2211</v>
      </c>
      <c r="F1090" s="13" t="s">
        <v>2216</v>
      </c>
      <c r="G1090" s="13">
        <v>92.25</v>
      </c>
      <c r="H1090" s="44">
        <v>0</v>
      </c>
      <c r="I1090" s="13">
        <v>92.25</v>
      </c>
      <c r="J1090" s="24">
        <v>45805</v>
      </c>
      <c r="K1090" s="25">
        <v>22</v>
      </c>
      <c r="L1090" s="25">
        <v>3.3</v>
      </c>
      <c r="M1090" s="13" t="b">
        <v>1</v>
      </c>
      <c r="N1090" s="13" t="s">
        <v>2230</v>
      </c>
      <c r="O1090" s="25">
        <f t="shared" si="64"/>
        <v>97</v>
      </c>
      <c r="P1090" s="13">
        <f t="shared" si="65"/>
        <v>0</v>
      </c>
      <c r="Q1090" s="13">
        <f t="shared" si="66"/>
        <v>1</v>
      </c>
      <c r="R1090" s="13" t="str">
        <f t="shared" si="67"/>
        <v>Non diskon</v>
      </c>
    </row>
    <row r="1091" spans="1:18" x14ac:dyDescent="0.25">
      <c r="A1091" s="13" t="s">
        <v>1103</v>
      </c>
      <c r="B1091" s="13" t="s">
        <v>2192</v>
      </c>
      <c r="C1091" s="13" t="s">
        <v>2201</v>
      </c>
      <c r="D1091" s="13" t="s">
        <v>2207</v>
      </c>
      <c r="F1091" s="13" t="s">
        <v>2224</v>
      </c>
      <c r="G1091" s="13">
        <v>39.17</v>
      </c>
      <c r="H1091" s="44">
        <v>0</v>
      </c>
      <c r="I1091" s="13">
        <v>39.17</v>
      </c>
      <c r="J1091" s="24">
        <v>45875</v>
      </c>
      <c r="K1091" s="25">
        <v>4</v>
      </c>
      <c r="L1091" s="25">
        <v>3.5</v>
      </c>
      <c r="M1091" s="13" t="b">
        <v>1</v>
      </c>
      <c r="N1091" s="13" t="s">
        <v>2225</v>
      </c>
      <c r="O1091" s="25">
        <f t="shared" ref="O1091:O1154" si="68">DATE(2025,9,2)-J1091</f>
        <v>27</v>
      </c>
      <c r="P1091" s="13">
        <f t="shared" ref="P1091:P1154" si="69">H1091*K1091</f>
        <v>0</v>
      </c>
      <c r="Q1091" s="13">
        <f t="shared" ref="Q1091:Q1154" si="70">IF(M1091=FALSE,"",1)</f>
        <v>1</v>
      </c>
      <c r="R1091" s="13" t="str">
        <f t="shared" ref="R1091:R1154" si="71">IF(H1091=0,"Non diskon","Diskon")</f>
        <v>Non diskon</v>
      </c>
    </row>
    <row r="1092" spans="1:18" x14ac:dyDescent="0.25">
      <c r="A1092" s="13" t="s">
        <v>1104</v>
      </c>
      <c r="B1092" s="13" t="s">
        <v>2192</v>
      </c>
      <c r="C1092" s="13" t="s">
        <v>2202</v>
      </c>
      <c r="D1092" s="13" t="s">
        <v>2204</v>
      </c>
      <c r="F1092" s="13" t="s">
        <v>2217</v>
      </c>
      <c r="G1092" s="13">
        <v>72.83</v>
      </c>
      <c r="H1092" s="44">
        <v>0</v>
      </c>
      <c r="I1092" s="13">
        <v>72.83</v>
      </c>
      <c r="J1092" s="24">
        <v>45622</v>
      </c>
      <c r="K1092" s="25">
        <v>6</v>
      </c>
      <c r="L1092" s="25">
        <v>2</v>
      </c>
      <c r="M1092" s="13" t="b">
        <v>0</v>
      </c>
      <c r="O1092" s="25">
        <f t="shared" si="68"/>
        <v>280</v>
      </c>
      <c r="P1092" s="13">
        <f t="shared" si="69"/>
        <v>0</v>
      </c>
      <c r="Q1092" s="13" t="str">
        <f t="shared" si="70"/>
        <v/>
      </c>
      <c r="R1092" s="13" t="str">
        <f t="shared" si="71"/>
        <v>Non diskon</v>
      </c>
    </row>
    <row r="1093" spans="1:18" x14ac:dyDescent="0.25">
      <c r="A1093" s="13" t="s">
        <v>1105</v>
      </c>
      <c r="B1093" s="13" t="s">
        <v>2194</v>
      </c>
      <c r="C1093" s="13" t="s">
        <v>2203</v>
      </c>
      <c r="D1093" s="13" t="s">
        <v>2205</v>
      </c>
      <c r="E1093" s="13" t="s">
        <v>2210</v>
      </c>
      <c r="F1093" s="13" t="s">
        <v>2224</v>
      </c>
      <c r="G1093" s="13">
        <v>29.73</v>
      </c>
      <c r="H1093" s="44">
        <v>28.7</v>
      </c>
      <c r="I1093" s="13">
        <v>21.2</v>
      </c>
      <c r="J1093" s="24">
        <v>45875</v>
      </c>
      <c r="K1093" s="25">
        <v>37</v>
      </c>
      <c r="L1093" s="25">
        <v>2.5</v>
      </c>
      <c r="M1093" s="13" t="b">
        <v>0</v>
      </c>
      <c r="O1093" s="25">
        <f t="shared" si="68"/>
        <v>27</v>
      </c>
      <c r="P1093" s="13">
        <f t="shared" si="69"/>
        <v>1061.8999999999999</v>
      </c>
      <c r="Q1093" s="13" t="str">
        <f t="shared" si="70"/>
        <v/>
      </c>
      <c r="R1093" s="13" t="str">
        <f t="shared" si="71"/>
        <v>Diskon</v>
      </c>
    </row>
    <row r="1094" spans="1:18" x14ac:dyDescent="0.25">
      <c r="A1094" s="13" t="s">
        <v>1106</v>
      </c>
      <c r="B1094" s="13" t="s">
        <v>2195</v>
      </c>
      <c r="C1094" s="13" t="s">
        <v>2199</v>
      </c>
      <c r="D1094" s="13" t="s">
        <v>2205</v>
      </c>
      <c r="E1094" s="13" t="s">
        <v>2208</v>
      </c>
      <c r="F1094" s="13" t="s">
        <v>2216</v>
      </c>
      <c r="G1094" s="13">
        <v>144.1</v>
      </c>
      <c r="H1094" s="44">
        <v>0</v>
      </c>
      <c r="I1094" s="13">
        <v>144.1</v>
      </c>
      <c r="J1094" s="24">
        <v>45875</v>
      </c>
      <c r="K1094" s="25">
        <v>36</v>
      </c>
      <c r="L1094" s="25">
        <v>2.5</v>
      </c>
      <c r="M1094" s="13" t="b">
        <v>0</v>
      </c>
      <c r="O1094" s="25">
        <f t="shared" si="68"/>
        <v>27</v>
      </c>
      <c r="P1094" s="13">
        <f t="shared" si="69"/>
        <v>0</v>
      </c>
      <c r="Q1094" s="13" t="str">
        <f t="shared" si="70"/>
        <v/>
      </c>
      <c r="R1094" s="13" t="str">
        <f t="shared" si="71"/>
        <v>Non diskon</v>
      </c>
    </row>
    <row r="1095" spans="1:18" x14ac:dyDescent="0.25">
      <c r="A1095" s="13" t="s">
        <v>1107</v>
      </c>
      <c r="B1095" s="13" t="s">
        <v>2195</v>
      </c>
      <c r="C1095" s="13" t="s">
        <v>2200</v>
      </c>
      <c r="D1095" s="13" t="s">
        <v>2207</v>
      </c>
      <c r="E1095" s="13" t="s">
        <v>2208</v>
      </c>
      <c r="F1095" s="13" t="s">
        <v>2224</v>
      </c>
      <c r="G1095" s="13">
        <v>109.23</v>
      </c>
      <c r="H1095" s="44">
        <v>10.8</v>
      </c>
      <c r="I1095" s="13">
        <v>97.43</v>
      </c>
      <c r="J1095" s="24">
        <v>45875</v>
      </c>
      <c r="K1095" s="25">
        <v>38</v>
      </c>
      <c r="L1095" s="25">
        <v>3.3</v>
      </c>
      <c r="M1095" s="13" t="b">
        <v>0</v>
      </c>
      <c r="O1095" s="25">
        <f t="shared" si="68"/>
        <v>27</v>
      </c>
      <c r="P1095" s="13">
        <f t="shared" si="69"/>
        <v>410.40000000000003</v>
      </c>
      <c r="Q1095" s="13" t="str">
        <f t="shared" si="70"/>
        <v/>
      </c>
      <c r="R1095" s="13" t="str">
        <f t="shared" si="71"/>
        <v>Diskon</v>
      </c>
    </row>
    <row r="1096" spans="1:18" x14ac:dyDescent="0.25">
      <c r="A1096" s="13" t="s">
        <v>1108</v>
      </c>
      <c r="B1096" s="13" t="s">
        <v>2190</v>
      </c>
      <c r="C1096" s="13" t="s">
        <v>2199</v>
      </c>
      <c r="D1096" s="13" t="s">
        <v>2205</v>
      </c>
      <c r="E1096" s="13" t="s">
        <v>2208</v>
      </c>
      <c r="F1096" s="13" t="s">
        <v>2215</v>
      </c>
      <c r="G1096" s="13">
        <v>180.65</v>
      </c>
      <c r="H1096" s="44">
        <v>17.5</v>
      </c>
      <c r="I1096" s="13">
        <v>149.04</v>
      </c>
      <c r="J1096" s="24">
        <v>45875</v>
      </c>
      <c r="K1096" s="25">
        <v>41</v>
      </c>
      <c r="L1096" s="25">
        <v>1.4</v>
      </c>
      <c r="M1096" s="13" t="b">
        <v>0</v>
      </c>
      <c r="O1096" s="25">
        <f t="shared" si="68"/>
        <v>27</v>
      </c>
      <c r="P1096" s="13">
        <f t="shared" si="69"/>
        <v>717.5</v>
      </c>
      <c r="Q1096" s="13" t="str">
        <f t="shared" si="70"/>
        <v/>
      </c>
      <c r="R1096" s="13" t="str">
        <f t="shared" si="71"/>
        <v>Diskon</v>
      </c>
    </row>
    <row r="1097" spans="1:18" x14ac:dyDescent="0.25">
      <c r="A1097" s="13" t="s">
        <v>1109</v>
      </c>
      <c r="B1097" s="13" t="s">
        <v>2190</v>
      </c>
      <c r="C1097" s="13" t="s">
        <v>2198</v>
      </c>
      <c r="D1097" s="13" t="s">
        <v>2204</v>
      </c>
      <c r="E1097" s="13" t="s">
        <v>2213</v>
      </c>
      <c r="F1097" s="13" t="s">
        <v>2220</v>
      </c>
      <c r="G1097" s="13">
        <v>129.24</v>
      </c>
      <c r="H1097" s="44">
        <v>46.2</v>
      </c>
      <c r="I1097" s="13">
        <v>69.53</v>
      </c>
      <c r="J1097" s="24">
        <v>45743</v>
      </c>
      <c r="K1097" s="25">
        <v>28</v>
      </c>
      <c r="L1097" s="25">
        <v>3.2</v>
      </c>
      <c r="M1097" s="13" t="b">
        <v>0</v>
      </c>
      <c r="O1097" s="25">
        <f t="shared" si="68"/>
        <v>159</v>
      </c>
      <c r="P1097" s="13">
        <f t="shared" si="69"/>
        <v>1293.6000000000001</v>
      </c>
      <c r="Q1097" s="13" t="str">
        <f t="shared" si="70"/>
        <v/>
      </c>
      <c r="R1097" s="13" t="str">
        <f t="shared" si="71"/>
        <v>Diskon</v>
      </c>
    </row>
    <row r="1098" spans="1:18" x14ac:dyDescent="0.25">
      <c r="A1098" s="13" t="s">
        <v>1110</v>
      </c>
      <c r="B1098" s="13" t="s">
        <v>2193</v>
      </c>
      <c r="C1098" s="13" t="s">
        <v>2202</v>
      </c>
      <c r="D1098" s="13" t="s">
        <v>2207</v>
      </c>
      <c r="E1098" s="13" t="s">
        <v>2212</v>
      </c>
      <c r="F1098" s="13" t="s">
        <v>2219</v>
      </c>
      <c r="G1098" s="13">
        <v>195.67</v>
      </c>
      <c r="H1098" s="44">
        <v>47.1</v>
      </c>
      <c r="I1098" s="13">
        <v>103.51</v>
      </c>
      <c r="J1098" s="24">
        <v>45875</v>
      </c>
      <c r="K1098" s="25">
        <v>36</v>
      </c>
      <c r="L1098" s="25">
        <v>4</v>
      </c>
      <c r="M1098" s="13" t="b">
        <v>0</v>
      </c>
      <c r="O1098" s="25">
        <f t="shared" si="68"/>
        <v>27</v>
      </c>
      <c r="P1098" s="13">
        <f t="shared" si="69"/>
        <v>1695.6000000000001</v>
      </c>
      <c r="Q1098" s="13" t="str">
        <f t="shared" si="70"/>
        <v/>
      </c>
      <c r="R1098" s="13" t="str">
        <f t="shared" si="71"/>
        <v>Diskon</v>
      </c>
    </row>
    <row r="1099" spans="1:18" x14ac:dyDescent="0.25">
      <c r="A1099" s="13" t="s">
        <v>1111</v>
      </c>
      <c r="B1099" s="13" t="s">
        <v>2192</v>
      </c>
      <c r="C1099" s="13" t="s">
        <v>2198</v>
      </c>
      <c r="D1099" s="13" t="s">
        <v>2205</v>
      </c>
      <c r="F1099" s="13" t="s">
        <v>2222</v>
      </c>
      <c r="G1099" s="13">
        <v>65.64</v>
      </c>
      <c r="H1099" s="44">
        <v>20.7</v>
      </c>
      <c r="I1099" s="13">
        <v>52.05</v>
      </c>
      <c r="J1099" s="24">
        <v>45875</v>
      </c>
      <c r="K1099" s="25">
        <v>20</v>
      </c>
      <c r="L1099" s="25">
        <v>2.6</v>
      </c>
      <c r="M1099" s="13" t="b">
        <v>0</v>
      </c>
      <c r="O1099" s="25">
        <f t="shared" si="68"/>
        <v>27</v>
      </c>
      <c r="P1099" s="13">
        <f t="shared" si="69"/>
        <v>414</v>
      </c>
      <c r="Q1099" s="13" t="str">
        <f t="shared" si="70"/>
        <v/>
      </c>
      <c r="R1099" s="13" t="str">
        <f t="shared" si="71"/>
        <v>Diskon</v>
      </c>
    </row>
    <row r="1100" spans="1:18" x14ac:dyDescent="0.25">
      <c r="A1100" s="13" t="s">
        <v>1112</v>
      </c>
      <c r="B1100" s="13" t="s">
        <v>2194</v>
      </c>
      <c r="C1100" s="13" t="s">
        <v>2200</v>
      </c>
      <c r="D1100" s="13" t="s">
        <v>2204</v>
      </c>
      <c r="E1100" s="13" t="s">
        <v>2212</v>
      </c>
      <c r="F1100" s="13" t="s">
        <v>2223</v>
      </c>
      <c r="G1100" s="13">
        <v>113.18</v>
      </c>
      <c r="H1100" s="44">
        <v>0</v>
      </c>
      <c r="I1100" s="13">
        <v>113.18</v>
      </c>
      <c r="J1100" s="24">
        <v>45749</v>
      </c>
      <c r="K1100" s="25">
        <v>3</v>
      </c>
      <c r="L1100" s="25">
        <v>4.9000000000000004</v>
      </c>
      <c r="M1100" s="13" t="b">
        <v>0</v>
      </c>
      <c r="O1100" s="25">
        <f t="shared" si="68"/>
        <v>153</v>
      </c>
      <c r="P1100" s="13">
        <f t="shared" si="69"/>
        <v>0</v>
      </c>
      <c r="Q1100" s="13" t="str">
        <f t="shared" si="70"/>
        <v/>
      </c>
      <c r="R1100" s="13" t="str">
        <f t="shared" si="71"/>
        <v>Non diskon</v>
      </c>
    </row>
    <row r="1101" spans="1:18" x14ac:dyDescent="0.25">
      <c r="A1101" s="13" t="s">
        <v>1113</v>
      </c>
      <c r="B1101" s="13" t="s">
        <v>2193</v>
      </c>
      <c r="C1101" s="13" t="s">
        <v>2201</v>
      </c>
      <c r="D1101" s="13" t="s">
        <v>2206</v>
      </c>
      <c r="E1101" s="13" t="s">
        <v>2208</v>
      </c>
      <c r="F1101" s="13" t="s">
        <v>2221</v>
      </c>
      <c r="G1101" s="13">
        <v>173.69</v>
      </c>
      <c r="H1101" s="44">
        <v>0</v>
      </c>
      <c r="I1101" s="13">
        <v>173.69</v>
      </c>
      <c r="J1101" s="24">
        <v>45875</v>
      </c>
      <c r="K1101" s="25">
        <v>25</v>
      </c>
      <c r="L1101" s="25">
        <v>3.6</v>
      </c>
      <c r="M1101" s="13" t="b">
        <v>0</v>
      </c>
      <c r="O1101" s="25">
        <f t="shared" si="68"/>
        <v>27</v>
      </c>
      <c r="P1101" s="13">
        <f t="shared" si="69"/>
        <v>0</v>
      </c>
      <c r="Q1101" s="13" t="str">
        <f t="shared" si="70"/>
        <v/>
      </c>
      <c r="R1101" s="13" t="str">
        <f t="shared" si="71"/>
        <v>Non diskon</v>
      </c>
    </row>
    <row r="1102" spans="1:18" x14ac:dyDescent="0.25">
      <c r="A1102" s="13" t="s">
        <v>1114</v>
      </c>
      <c r="B1102" s="13" t="s">
        <v>2190</v>
      </c>
      <c r="C1102" s="13" t="s">
        <v>2196</v>
      </c>
      <c r="D1102" s="13" t="s">
        <v>2206</v>
      </c>
      <c r="E1102" s="13" t="s">
        <v>2210</v>
      </c>
      <c r="F1102" s="13" t="s">
        <v>2218</v>
      </c>
      <c r="G1102" s="13">
        <v>156.54</v>
      </c>
      <c r="H1102" s="44">
        <v>0</v>
      </c>
      <c r="I1102" s="13">
        <v>156.54</v>
      </c>
      <c r="J1102" s="24">
        <v>45875</v>
      </c>
      <c r="K1102" s="25">
        <v>23</v>
      </c>
      <c r="L1102" s="25">
        <v>1.8</v>
      </c>
      <c r="M1102" s="13" t="b">
        <v>0</v>
      </c>
      <c r="O1102" s="25">
        <f t="shared" si="68"/>
        <v>27</v>
      </c>
      <c r="P1102" s="13">
        <f t="shared" si="69"/>
        <v>0</v>
      </c>
      <c r="Q1102" s="13" t="str">
        <f t="shared" si="70"/>
        <v/>
      </c>
      <c r="R1102" s="13" t="str">
        <f t="shared" si="71"/>
        <v>Non diskon</v>
      </c>
    </row>
    <row r="1103" spans="1:18" x14ac:dyDescent="0.25">
      <c r="A1103" s="13" t="s">
        <v>1115</v>
      </c>
      <c r="B1103" s="13" t="s">
        <v>2195</v>
      </c>
      <c r="C1103" s="13" t="s">
        <v>2200</v>
      </c>
      <c r="D1103" s="13" t="s">
        <v>2204</v>
      </c>
      <c r="E1103" s="13" t="s">
        <v>2208</v>
      </c>
      <c r="F1103" s="13" t="s">
        <v>2224</v>
      </c>
      <c r="G1103" s="13">
        <v>103.78</v>
      </c>
      <c r="H1103" s="44">
        <v>39</v>
      </c>
      <c r="I1103" s="13">
        <v>63.31</v>
      </c>
      <c r="J1103" s="24">
        <v>45577</v>
      </c>
      <c r="K1103" s="25">
        <v>5</v>
      </c>
      <c r="L1103" s="25">
        <v>3.1051282051282048</v>
      </c>
      <c r="M1103" s="13" t="b">
        <v>0</v>
      </c>
      <c r="O1103" s="25">
        <f t="shared" si="68"/>
        <v>325</v>
      </c>
      <c r="P1103" s="13">
        <f t="shared" si="69"/>
        <v>195</v>
      </c>
      <c r="Q1103" s="13" t="str">
        <f t="shared" si="70"/>
        <v/>
      </c>
      <c r="R1103" s="13" t="str">
        <f t="shared" si="71"/>
        <v>Diskon</v>
      </c>
    </row>
    <row r="1104" spans="1:18" x14ac:dyDescent="0.25">
      <c r="A1104" s="13" t="s">
        <v>1116</v>
      </c>
      <c r="B1104" s="13" t="s">
        <v>2192</v>
      </c>
      <c r="C1104" s="13" t="s">
        <v>2202</v>
      </c>
      <c r="D1104" s="13" t="s">
        <v>2206</v>
      </c>
      <c r="F1104" s="13" t="s">
        <v>2216</v>
      </c>
      <c r="G1104" s="13">
        <v>79.599999999999994</v>
      </c>
      <c r="H1104" s="44">
        <v>0</v>
      </c>
      <c r="I1104" s="13">
        <v>79.599999999999994</v>
      </c>
      <c r="J1104" s="24">
        <v>45875</v>
      </c>
      <c r="K1104" s="25">
        <v>22</v>
      </c>
      <c r="L1104" s="25">
        <v>3.2720930232558145</v>
      </c>
      <c r="M1104" s="13" t="b">
        <v>0</v>
      </c>
      <c r="O1104" s="25">
        <f t="shared" si="68"/>
        <v>27</v>
      </c>
      <c r="P1104" s="13">
        <f t="shared" si="69"/>
        <v>0</v>
      </c>
      <c r="Q1104" s="13" t="str">
        <f t="shared" si="70"/>
        <v/>
      </c>
      <c r="R1104" s="13" t="str">
        <f t="shared" si="71"/>
        <v>Non diskon</v>
      </c>
    </row>
    <row r="1105" spans="1:18" x14ac:dyDescent="0.25">
      <c r="A1105" s="13" t="s">
        <v>1117</v>
      </c>
      <c r="B1105" s="13" t="s">
        <v>2192</v>
      </c>
      <c r="C1105" s="13" t="s">
        <v>2201</v>
      </c>
      <c r="D1105" s="13" t="s">
        <v>2206</v>
      </c>
      <c r="F1105" s="13" t="s">
        <v>2221</v>
      </c>
      <c r="G1105" s="13">
        <v>34.18</v>
      </c>
      <c r="H1105" s="44">
        <v>18.899999999999999</v>
      </c>
      <c r="I1105" s="13">
        <v>27.72</v>
      </c>
      <c r="J1105" s="24">
        <v>45875</v>
      </c>
      <c r="K1105" s="25">
        <v>50</v>
      </c>
      <c r="L1105" s="25">
        <v>3.6</v>
      </c>
      <c r="M1105" s="13" t="b">
        <v>0</v>
      </c>
      <c r="O1105" s="25">
        <f t="shared" si="68"/>
        <v>27</v>
      </c>
      <c r="P1105" s="13">
        <f t="shared" si="69"/>
        <v>944.99999999999989</v>
      </c>
      <c r="Q1105" s="13" t="str">
        <f t="shared" si="70"/>
        <v/>
      </c>
      <c r="R1105" s="13" t="str">
        <f t="shared" si="71"/>
        <v>Diskon</v>
      </c>
    </row>
    <row r="1106" spans="1:18" x14ac:dyDescent="0.25">
      <c r="A1106" s="13" t="s">
        <v>1118</v>
      </c>
      <c r="B1106" s="13" t="s">
        <v>2194</v>
      </c>
      <c r="C1106" s="13" t="s">
        <v>2202</v>
      </c>
      <c r="D1106" s="13" t="s">
        <v>2205</v>
      </c>
      <c r="E1106" s="13" t="s">
        <v>2211</v>
      </c>
      <c r="F1106" s="13" t="s">
        <v>2219</v>
      </c>
      <c r="G1106" s="13">
        <v>58.44</v>
      </c>
      <c r="H1106" s="44">
        <v>0</v>
      </c>
      <c r="I1106" s="13">
        <v>58.44</v>
      </c>
      <c r="J1106" s="24">
        <v>45875</v>
      </c>
      <c r="K1106" s="25">
        <v>3</v>
      </c>
      <c r="L1106" s="25">
        <v>2.6</v>
      </c>
      <c r="M1106" s="13" t="b">
        <v>1</v>
      </c>
      <c r="N1106" s="13" t="s">
        <v>2230</v>
      </c>
      <c r="O1106" s="25">
        <f t="shared" si="68"/>
        <v>27</v>
      </c>
      <c r="P1106" s="13">
        <f t="shared" si="69"/>
        <v>0</v>
      </c>
      <c r="Q1106" s="13">
        <f t="shared" si="70"/>
        <v>1</v>
      </c>
      <c r="R1106" s="13" t="str">
        <f t="shared" si="71"/>
        <v>Non diskon</v>
      </c>
    </row>
    <row r="1107" spans="1:18" x14ac:dyDescent="0.25">
      <c r="A1107" s="13" t="s">
        <v>1119</v>
      </c>
      <c r="B1107" s="13" t="s">
        <v>2192</v>
      </c>
      <c r="C1107" s="13" t="s">
        <v>2196</v>
      </c>
      <c r="D1107" s="13" t="s">
        <v>2207</v>
      </c>
      <c r="F1107" s="13" t="s">
        <v>2222</v>
      </c>
      <c r="G1107" s="13">
        <v>30.62</v>
      </c>
      <c r="H1107" s="44">
        <v>0</v>
      </c>
      <c r="I1107" s="13">
        <v>30.62</v>
      </c>
      <c r="J1107" s="24">
        <v>45875</v>
      </c>
      <c r="K1107" s="25">
        <v>31</v>
      </c>
      <c r="L1107" s="25">
        <v>3</v>
      </c>
      <c r="M1107" s="13" t="b">
        <v>1</v>
      </c>
      <c r="N1107" s="13" t="s">
        <v>2227</v>
      </c>
      <c r="O1107" s="25">
        <f t="shared" si="68"/>
        <v>27</v>
      </c>
      <c r="P1107" s="13">
        <f t="shared" si="69"/>
        <v>0</v>
      </c>
      <c r="Q1107" s="13">
        <f t="shared" si="70"/>
        <v>1</v>
      </c>
      <c r="R1107" s="13" t="str">
        <f t="shared" si="71"/>
        <v>Non diskon</v>
      </c>
    </row>
    <row r="1108" spans="1:18" x14ac:dyDescent="0.25">
      <c r="A1108" s="13" t="s">
        <v>1120</v>
      </c>
      <c r="B1108" s="13" t="s">
        <v>2190</v>
      </c>
      <c r="C1108" s="13" t="s">
        <v>2197</v>
      </c>
      <c r="D1108" s="13" t="s">
        <v>2206</v>
      </c>
      <c r="E1108" s="13" t="s">
        <v>2211</v>
      </c>
      <c r="F1108" s="13" t="s">
        <v>2223</v>
      </c>
      <c r="G1108" s="13">
        <v>213.94</v>
      </c>
      <c r="H1108" s="44">
        <v>0</v>
      </c>
      <c r="I1108" s="13">
        <v>213.94</v>
      </c>
      <c r="J1108" s="24">
        <v>45875</v>
      </c>
      <c r="K1108" s="25">
        <v>16</v>
      </c>
      <c r="L1108" s="25">
        <v>4.7</v>
      </c>
      <c r="M1108" s="13" t="b">
        <v>0</v>
      </c>
      <c r="O1108" s="25">
        <f t="shared" si="68"/>
        <v>27</v>
      </c>
      <c r="P1108" s="13">
        <f t="shared" si="69"/>
        <v>0</v>
      </c>
      <c r="Q1108" s="13" t="str">
        <f t="shared" si="70"/>
        <v/>
      </c>
      <c r="R1108" s="13" t="str">
        <f t="shared" si="71"/>
        <v>Non diskon</v>
      </c>
    </row>
    <row r="1109" spans="1:18" x14ac:dyDescent="0.25">
      <c r="A1109" s="13" t="s">
        <v>1121</v>
      </c>
      <c r="B1109" s="13" t="s">
        <v>2194</v>
      </c>
      <c r="C1109" s="13" t="s">
        <v>2203</v>
      </c>
      <c r="D1109" s="13" t="s">
        <v>2206</v>
      </c>
      <c r="E1109" s="13" t="s">
        <v>2208</v>
      </c>
      <c r="F1109" s="13" t="s">
        <v>2215</v>
      </c>
      <c r="G1109" s="13">
        <v>29.31</v>
      </c>
      <c r="H1109" s="44">
        <v>0</v>
      </c>
      <c r="I1109" s="13">
        <v>29.31</v>
      </c>
      <c r="J1109" s="24">
        <v>45875</v>
      </c>
      <c r="K1109" s="25">
        <v>25</v>
      </c>
      <c r="L1109" s="25">
        <v>4.5999999999999996</v>
      </c>
      <c r="M1109" s="13" t="b">
        <v>1</v>
      </c>
      <c r="N1109" s="13" t="s">
        <v>2229</v>
      </c>
      <c r="O1109" s="25">
        <f t="shared" si="68"/>
        <v>27</v>
      </c>
      <c r="P1109" s="13">
        <f t="shared" si="69"/>
        <v>0</v>
      </c>
      <c r="Q1109" s="13">
        <f t="shared" si="70"/>
        <v>1</v>
      </c>
      <c r="R1109" s="13" t="str">
        <f t="shared" si="71"/>
        <v>Non diskon</v>
      </c>
    </row>
    <row r="1110" spans="1:18" x14ac:dyDescent="0.25">
      <c r="A1110" s="13" t="s">
        <v>1122</v>
      </c>
      <c r="B1110" s="13" t="s">
        <v>2191</v>
      </c>
      <c r="C1110" s="13" t="s">
        <v>2203</v>
      </c>
      <c r="D1110" s="13" t="s">
        <v>2204</v>
      </c>
      <c r="E1110" s="13" t="s">
        <v>2213</v>
      </c>
      <c r="F1110" s="13" t="s">
        <v>2214</v>
      </c>
      <c r="G1110" s="13">
        <v>49.12</v>
      </c>
      <c r="H1110" s="44">
        <v>0</v>
      </c>
      <c r="I1110" s="13">
        <v>49.12</v>
      </c>
      <c r="J1110" s="24">
        <v>45836</v>
      </c>
      <c r="K1110" s="25">
        <v>47</v>
      </c>
      <c r="L1110" s="25">
        <v>2.6870967741935483</v>
      </c>
      <c r="M1110" s="13" t="b">
        <v>0</v>
      </c>
      <c r="O1110" s="25">
        <f t="shared" si="68"/>
        <v>66</v>
      </c>
      <c r="P1110" s="13">
        <f t="shared" si="69"/>
        <v>0</v>
      </c>
      <c r="Q1110" s="13" t="str">
        <f t="shared" si="70"/>
        <v/>
      </c>
      <c r="R1110" s="13" t="str">
        <f t="shared" si="71"/>
        <v>Non diskon</v>
      </c>
    </row>
    <row r="1111" spans="1:18" x14ac:dyDescent="0.25">
      <c r="A1111" s="13" t="s">
        <v>1123</v>
      </c>
      <c r="B1111" s="13" t="s">
        <v>2194</v>
      </c>
      <c r="C1111" s="13" t="s">
        <v>2198</v>
      </c>
      <c r="D1111" s="13" t="s">
        <v>2206</v>
      </c>
      <c r="F1111" s="13" t="s">
        <v>2223</v>
      </c>
      <c r="G1111" s="13">
        <v>113.23</v>
      </c>
      <c r="H1111" s="44">
        <v>0</v>
      </c>
      <c r="I1111" s="13">
        <v>113.23</v>
      </c>
      <c r="J1111" s="24">
        <v>45875</v>
      </c>
      <c r="K1111" s="25">
        <v>13</v>
      </c>
      <c r="L1111" s="25">
        <v>3.7</v>
      </c>
      <c r="M1111" s="13" t="b">
        <v>0</v>
      </c>
      <c r="O1111" s="25">
        <f t="shared" si="68"/>
        <v>27</v>
      </c>
      <c r="P1111" s="13">
        <f t="shared" si="69"/>
        <v>0</v>
      </c>
      <c r="Q1111" s="13" t="str">
        <f t="shared" si="70"/>
        <v/>
      </c>
      <c r="R1111" s="13" t="str">
        <f t="shared" si="71"/>
        <v>Non diskon</v>
      </c>
    </row>
    <row r="1112" spans="1:18" x14ac:dyDescent="0.25">
      <c r="A1112" s="13" t="s">
        <v>1124</v>
      </c>
      <c r="B1112" s="13" t="s">
        <v>2190</v>
      </c>
      <c r="C1112" s="13" t="s">
        <v>2198</v>
      </c>
      <c r="D1112" s="13" t="s">
        <v>2204</v>
      </c>
      <c r="E1112" s="13" t="s">
        <v>2211</v>
      </c>
      <c r="F1112" s="13" t="s">
        <v>2224</v>
      </c>
      <c r="G1112" s="13">
        <v>103.65</v>
      </c>
      <c r="H1112" s="44">
        <v>0</v>
      </c>
      <c r="I1112" s="13">
        <v>103.65</v>
      </c>
      <c r="J1112" s="24">
        <v>45612</v>
      </c>
      <c r="K1112" s="25">
        <v>4</v>
      </c>
      <c r="L1112" s="25">
        <v>1</v>
      </c>
      <c r="M1112" s="13" t="b">
        <v>0</v>
      </c>
      <c r="O1112" s="25">
        <f t="shared" si="68"/>
        <v>290</v>
      </c>
      <c r="P1112" s="13">
        <f t="shared" si="69"/>
        <v>0</v>
      </c>
      <c r="Q1112" s="13" t="str">
        <f t="shared" si="70"/>
        <v/>
      </c>
      <c r="R1112" s="13" t="str">
        <f t="shared" si="71"/>
        <v>Non diskon</v>
      </c>
    </row>
    <row r="1113" spans="1:18" x14ac:dyDescent="0.25">
      <c r="A1113" s="13" t="s">
        <v>1125</v>
      </c>
      <c r="B1113" s="13" t="s">
        <v>2195</v>
      </c>
      <c r="C1113" s="13" t="s">
        <v>2201</v>
      </c>
      <c r="D1113" s="13" t="s">
        <v>2206</v>
      </c>
      <c r="F1113" s="13" t="s">
        <v>2218</v>
      </c>
      <c r="G1113" s="13">
        <v>71.84</v>
      </c>
      <c r="H1113" s="44">
        <v>49.4</v>
      </c>
      <c r="I1113" s="13">
        <v>36.35</v>
      </c>
      <c r="J1113" s="24">
        <v>45875</v>
      </c>
      <c r="K1113" s="25">
        <v>25</v>
      </c>
      <c r="L1113" s="25">
        <v>3.1874999999999991</v>
      </c>
      <c r="M1113" s="13" t="b">
        <v>0</v>
      </c>
      <c r="O1113" s="25">
        <f t="shared" si="68"/>
        <v>27</v>
      </c>
      <c r="P1113" s="13">
        <f t="shared" si="69"/>
        <v>1235</v>
      </c>
      <c r="Q1113" s="13" t="str">
        <f t="shared" si="70"/>
        <v/>
      </c>
      <c r="R1113" s="13" t="str">
        <f t="shared" si="71"/>
        <v>Diskon</v>
      </c>
    </row>
    <row r="1114" spans="1:18" x14ac:dyDescent="0.25">
      <c r="A1114" s="13" t="s">
        <v>1126</v>
      </c>
      <c r="B1114" s="13" t="s">
        <v>2193</v>
      </c>
      <c r="C1114" s="13" t="s">
        <v>2196</v>
      </c>
      <c r="D1114" s="13" t="s">
        <v>2205</v>
      </c>
      <c r="E1114" s="13" t="s">
        <v>2209</v>
      </c>
      <c r="F1114" s="13" t="s">
        <v>2218</v>
      </c>
      <c r="G1114" s="13">
        <v>128.31</v>
      </c>
      <c r="H1114" s="44">
        <v>0</v>
      </c>
      <c r="I1114" s="13">
        <v>128.31</v>
      </c>
      <c r="J1114" s="24">
        <v>45875</v>
      </c>
      <c r="K1114" s="25">
        <v>36</v>
      </c>
      <c r="L1114" s="25">
        <v>4</v>
      </c>
      <c r="M1114" s="13" t="b">
        <v>1</v>
      </c>
      <c r="N1114" s="13" t="s">
        <v>2229</v>
      </c>
      <c r="O1114" s="25">
        <f t="shared" si="68"/>
        <v>27</v>
      </c>
      <c r="P1114" s="13">
        <f t="shared" si="69"/>
        <v>0</v>
      </c>
      <c r="Q1114" s="13">
        <f t="shared" si="70"/>
        <v>1</v>
      </c>
      <c r="R1114" s="13" t="str">
        <f t="shared" si="71"/>
        <v>Non diskon</v>
      </c>
    </row>
    <row r="1115" spans="1:18" x14ac:dyDescent="0.25">
      <c r="A1115" s="13" t="s">
        <v>1127</v>
      </c>
      <c r="B1115" s="13" t="s">
        <v>2193</v>
      </c>
      <c r="C1115" s="13" t="s">
        <v>2203</v>
      </c>
      <c r="D1115" s="13" t="s">
        <v>2205</v>
      </c>
      <c r="E1115" s="13" t="s">
        <v>2209</v>
      </c>
      <c r="F1115" s="13" t="s">
        <v>2219</v>
      </c>
      <c r="G1115" s="13">
        <v>118.97</v>
      </c>
      <c r="H1115" s="44">
        <v>0</v>
      </c>
      <c r="I1115" s="13">
        <v>118.97</v>
      </c>
      <c r="J1115" s="24">
        <v>45875</v>
      </c>
      <c r="K1115" s="25">
        <v>45</v>
      </c>
      <c r="L1115" s="25">
        <v>3.8</v>
      </c>
      <c r="M1115" s="13" t="b">
        <v>0</v>
      </c>
      <c r="O1115" s="25">
        <f t="shared" si="68"/>
        <v>27</v>
      </c>
      <c r="P1115" s="13">
        <f t="shared" si="69"/>
        <v>0</v>
      </c>
      <c r="Q1115" s="13" t="str">
        <f t="shared" si="70"/>
        <v/>
      </c>
      <c r="R1115" s="13" t="str">
        <f t="shared" si="71"/>
        <v>Non diskon</v>
      </c>
    </row>
    <row r="1116" spans="1:18" x14ac:dyDescent="0.25">
      <c r="A1116" s="13" t="s">
        <v>1128</v>
      </c>
      <c r="B1116" s="13" t="s">
        <v>2194</v>
      </c>
      <c r="C1116" s="13" t="s">
        <v>2196</v>
      </c>
      <c r="D1116" s="13" t="s">
        <v>2205</v>
      </c>
      <c r="E1116" s="13" t="s">
        <v>2210</v>
      </c>
      <c r="F1116" s="13" t="s">
        <v>2214</v>
      </c>
      <c r="G1116" s="13">
        <v>31.98</v>
      </c>
      <c r="H1116" s="44">
        <v>16.5</v>
      </c>
      <c r="I1116" s="13">
        <v>26.7</v>
      </c>
      <c r="J1116" s="24">
        <v>45875</v>
      </c>
      <c r="K1116" s="25">
        <v>48</v>
      </c>
      <c r="L1116" s="25">
        <v>1.8</v>
      </c>
      <c r="M1116" s="13" t="b">
        <v>0</v>
      </c>
      <c r="O1116" s="25">
        <f t="shared" si="68"/>
        <v>27</v>
      </c>
      <c r="P1116" s="13">
        <f t="shared" si="69"/>
        <v>792</v>
      </c>
      <c r="Q1116" s="13" t="str">
        <f t="shared" si="70"/>
        <v/>
      </c>
      <c r="R1116" s="13" t="str">
        <f t="shared" si="71"/>
        <v>Diskon</v>
      </c>
    </row>
    <row r="1117" spans="1:18" x14ac:dyDescent="0.25">
      <c r="A1117" s="13" t="s">
        <v>1129</v>
      </c>
      <c r="B1117" s="13" t="s">
        <v>2191</v>
      </c>
      <c r="C1117" s="13" t="s">
        <v>2198</v>
      </c>
      <c r="D1117" s="13" t="s">
        <v>2205</v>
      </c>
      <c r="E1117" s="13" t="s">
        <v>2211</v>
      </c>
      <c r="F1117" s="13" t="s">
        <v>2223</v>
      </c>
      <c r="G1117" s="13">
        <v>115.89</v>
      </c>
      <c r="H1117" s="44">
        <v>26.8</v>
      </c>
      <c r="I1117" s="13">
        <v>84.83</v>
      </c>
      <c r="J1117" s="24">
        <v>45875</v>
      </c>
      <c r="K1117" s="25">
        <v>26</v>
      </c>
      <c r="L1117" s="25">
        <v>4.5999999999999996</v>
      </c>
      <c r="M1117" s="13" t="b">
        <v>0</v>
      </c>
      <c r="O1117" s="25">
        <f t="shared" si="68"/>
        <v>27</v>
      </c>
      <c r="P1117" s="13">
        <f t="shared" si="69"/>
        <v>696.80000000000007</v>
      </c>
      <c r="Q1117" s="13" t="str">
        <f t="shared" si="70"/>
        <v/>
      </c>
      <c r="R1117" s="13" t="str">
        <f t="shared" si="71"/>
        <v>Diskon</v>
      </c>
    </row>
    <row r="1118" spans="1:18" x14ac:dyDescent="0.25">
      <c r="A1118" s="13" t="s">
        <v>1130</v>
      </c>
      <c r="B1118" s="13" t="s">
        <v>2195</v>
      </c>
      <c r="C1118" s="13" t="s">
        <v>2201</v>
      </c>
      <c r="D1118" s="13" t="s">
        <v>2206</v>
      </c>
      <c r="E1118" s="13" t="s">
        <v>2208</v>
      </c>
      <c r="F1118" s="13" t="s">
        <v>2215</v>
      </c>
      <c r="G1118" s="13">
        <v>140.06</v>
      </c>
      <c r="H1118" s="44">
        <v>0</v>
      </c>
      <c r="I1118" s="13">
        <v>140.06</v>
      </c>
      <c r="J1118" s="24">
        <v>45875</v>
      </c>
      <c r="K1118" s="25">
        <v>37</v>
      </c>
      <c r="L1118" s="25">
        <v>2.2999999999999998</v>
      </c>
      <c r="M1118" s="13" t="b">
        <v>0</v>
      </c>
      <c r="O1118" s="25">
        <f t="shared" si="68"/>
        <v>27</v>
      </c>
      <c r="P1118" s="13">
        <f t="shared" si="69"/>
        <v>0</v>
      </c>
      <c r="Q1118" s="13" t="str">
        <f t="shared" si="70"/>
        <v/>
      </c>
      <c r="R1118" s="13" t="str">
        <f t="shared" si="71"/>
        <v>Non diskon</v>
      </c>
    </row>
    <row r="1119" spans="1:18" x14ac:dyDescent="0.25">
      <c r="A1119" s="13" t="s">
        <v>1131</v>
      </c>
      <c r="B1119" s="13" t="s">
        <v>2193</v>
      </c>
      <c r="C1119" s="13" t="s">
        <v>2199</v>
      </c>
      <c r="D1119" s="13" t="s">
        <v>2206</v>
      </c>
      <c r="E1119" s="13" t="s">
        <v>2212</v>
      </c>
      <c r="F1119" s="13" t="s">
        <v>2215</v>
      </c>
      <c r="G1119" s="13">
        <v>154.82</v>
      </c>
      <c r="H1119" s="44">
        <v>0</v>
      </c>
      <c r="I1119" s="13">
        <v>154.82</v>
      </c>
      <c r="J1119" s="24">
        <v>45875</v>
      </c>
      <c r="K1119" s="25">
        <v>10</v>
      </c>
      <c r="L1119" s="25">
        <v>4.0999999999999996</v>
      </c>
      <c r="M1119" s="13" t="b">
        <v>0</v>
      </c>
      <c r="O1119" s="25">
        <f t="shared" si="68"/>
        <v>27</v>
      </c>
      <c r="P1119" s="13">
        <f t="shared" si="69"/>
        <v>0</v>
      </c>
      <c r="Q1119" s="13" t="str">
        <f t="shared" si="70"/>
        <v/>
      </c>
      <c r="R1119" s="13" t="str">
        <f t="shared" si="71"/>
        <v>Non diskon</v>
      </c>
    </row>
    <row r="1120" spans="1:18" x14ac:dyDescent="0.25">
      <c r="A1120" s="13" t="s">
        <v>1132</v>
      </c>
      <c r="B1120" s="13" t="s">
        <v>2195</v>
      </c>
      <c r="C1120" s="13" t="s">
        <v>2197</v>
      </c>
      <c r="D1120" s="13" t="s">
        <v>2205</v>
      </c>
      <c r="E1120" s="13" t="s">
        <v>2208</v>
      </c>
      <c r="F1120" s="13" t="s">
        <v>2219</v>
      </c>
      <c r="G1120" s="13">
        <v>114.21</v>
      </c>
      <c r="H1120" s="44">
        <v>20.2</v>
      </c>
      <c r="I1120" s="13">
        <v>91.14</v>
      </c>
      <c r="J1120" s="24">
        <v>45875</v>
      </c>
      <c r="K1120" s="25">
        <v>5</v>
      </c>
      <c r="L1120" s="25">
        <v>2</v>
      </c>
      <c r="M1120" s="13" t="b">
        <v>1</v>
      </c>
      <c r="N1120" s="13" t="s">
        <v>2230</v>
      </c>
      <c r="O1120" s="25">
        <f t="shared" si="68"/>
        <v>27</v>
      </c>
      <c r="P1120" s="13">
        <f t="shared" si="69"/>
        <v>101</v>
      </c>
      <c r="Q1120" s="13">
        <f t="shared" si="70"/>
        <v>1</v>
      </c>
      <c r="R1120" s="13" t="str">
        <f t="shared" si="71"/>
        <v>Diskon</v>
      </c>
    </row>
    <row r="1121" spans="1:18" x14ac:dyDescent="0.25">
      <c r="A1121" s="13" t="s">
        <v>1133</v>
      </c>
      <c r="B1121" s="13" t="s">
        <v>2193</v>
      </c>
      <c r="C1121" s="13" t="s">
        <v>2196</v>
      </c>
      <c r="D1121" s="13" t="s">
        <v>2205</v>
      </c>
      <c r="E1121" s="13" t="s">
        <v>2208</v>
      </c>
      <c r="F1121" s="13" t="s">
        <v>2219</v>
      </c>
      <c r="G1121" s="13">
        <v>114.84</v>
      </c>
      <c r="H1121" s="44">
        <v>0</v>
      </c>
      <c r="I1121" s="13">
        <v>114.84</v>
      </c>
      <c r="J1121" s="24">
        <v>45875</v>
      </c>
      <c r="K1121" s="25">
        <v>38</v>
      </c>
      <c r="L1121" s="25">
        <v>2.6</v>
      </c>
      <c r="M1121" s="13" t="b">
        <v>1</v>
      </c>
      <c r="N1121" s="13" t="s">
        <v>2225</v>
      </c>
      <c r="O1121" s="25">
        <f t="shared" si="68"/>
        <v>27</v>
      </c>
      <c r="P1121" s="13">
        <f t="shared" si="69"/>
        <v>0</v>
      </c>
      <c r="Q1121" s="13">
        <f t="shared" si="70"/>
        <v>1</v>
      </c>
      <c r="R1121" s="13" t="str">
        <f t="shared" si="71"/>
        <v>Non diskon</v>
      </c>
    </row>
    <row r="1122" spans="1:18" x14ac:dyDescent="0.25">
      <c r="A1122" s="13" t="s">
        <v>1134</v>
      </c>
      <c r="B1122" s="13" t="s">
        <v>2195</v>
      </c>
      <c r="C1122" s="13" t="s">
        <v>2199</v>
      </c>
      <c r="D1122" s="13" t="s">
        <v>2205</v>
      </c>
      <c r="E1122" s="13" t="s">
        <v>2208</v>
      </c>
      <c r="F1122" s="13" t="s">
        <v>2222</v>
      </c>
      <c r="G1122" s="13">
        <v>131.32</v>
      </c>
      <c r="H1122" s="44">
        <v>6.8</v>
      </c>
      <c r="I1122" s="13">
        <v>122.39</v>
      </c>
      <c r="J1122" s="24">
        <v>45875</v>
      </c>
      <c r="K1122" s="25">
        <v>18</v>
      </c>
      <c r="L1122" s="25">
        <v>2</v>
      </c>
      <c r="M1122" s="13" t="b">
        <v>0</v>
      </c>
      <c r="O1122" s="25">
        <f t="shared" si="68"/>
        <v>27</v>
      </c>
      <c r="P1122" s="13">
        <f t="shared" si="69"/>
        <v>122.39999999999999</v>
      </c>
      <c r="Q1122" s="13" t="str">
        <f t="shared" si="70"/>
        <v/>
      </c>
      <c r="R1122" s="13" t="str">
        <f t="shared" si="71"/>
        <v>Diskon</v>
      </c>
    </row>
    <row r="1123" spans="1:18" x14ac:dyDescent="0.25">
      <c r="A1123" s="13" t="s">
        <v>1135</v>
      </c>
      <c r="B1123" s="13" t="s">
        <v>2191</v>
      </c>
      <c r="C1123" s="13" t="s">
        <v>2199</v>
      </c>
      <c r="D1123" s="13" t="s">
        <v>2206</v>
      </c>
      <c r="E1123" s="13" t="s">
        <v>2210</v>
      </c>
      <c r="F1123" s="13" t="s">
        <v>2215</v>
      </c>
      <c r="G1123" s="13">
        <v>91.41</v>
      </c>
      <c r="H1123" s="44">
        <v>32.1</v>
      </c>
      <c r="I1123" s="13">
        <v>62.07</v>
      </c>
      <c r="J1123" s="24">
        <v>45875</v>
      </c>
      <c r="K1123" s="25">
        <v>49</v>
      </c>
      <c r="L1123" s="25">
        <v>2.2999999999999998</v>
      </c>
      <c r="M1123" s="13" t="b">
        <v>0</v>
      </c>
      <c r="O1123" s="25">
        <f t="shared" si="68"/>
        <v>27</v>
      </c>
      <c r="P1123" s="13">
        <f t="shared" si="69"/>
        <v>1572.9</v>
      </c>
      <c r="Q1123" s="13" t="str">
        <f t="shared" si="70"/>
        <v/>
      </c>
      <c r="R1123" s="13" t="str">
        <f t="shared" si="71"/>
        <v>Diskon</v>
      </c>
    </row>
    <row r="1124" spans="1:18" x14ac:dyDescent="0.25">
      <c r="A1124" s="13" t="s">
        <v>1136</v>
      </c>
      <c r="B1124" s="13" t="s">
        <v>2190</v>
      </c>
      <c r="C1124" s="13" t="s">
        <v>2202</v>
      </c>
      <c r="D1124" s="13" t="s">
        <v>2206</v>
      </c>
      <c r="E1124" s="13" t="s">
        <v>2212</v>
      </c>
      <c r="F1124" s="13" t="s">
        <v>2216</v>
      </c>
      <c r="G1124" s="13">
        <v>202.28</v>
      </c>
      <c r="H1124" s="44">
        <v>0</v>
      </c>
      <c r="I1124" s="13">
        <v>202.28</v>
      </c>
      <c r="J1124" s="24">
        <v>45875</v>
      </c>
      <c r="K1124" s="25">
        <v>4</v>
      </c>
      <c r="L1124" s="25">
        <v>2.9034482758620692</v>
      </c>
      <c r="M1124" s="13" t="b">
        <v>0</v>
      </c>
      <c r="O1124" s="25">
        <f t="shared" si="68"/>
        <v>27</v>
      </c>
      <c r="P1124" s="13">
        <f t="shared" si="69"/>
        <v>0</v>
      </c>
      <c r="Q1124" s="13" t="str">
        <f t="shared" si="70"/>
        <v/>
      </c>
      <c r="R1124" s="13" t="str">
        <f t="shared" si="71"/>
        <v>Non diskon</v>
      </c>
    </row>
    <row r="1125" spans="1:18" x14ac:dyDescent="0.25">
      <c r="A1125" s="13" t="s">
        <v>1137</v>
      </c>
      <c r="B1125" s="13" t="s">
        <v>2194</v>
      </c>
      <c r="C1125" s="13" t="s">
        <v>2203</v>
      </c>
      <c r="D1125" s="13" t="s">
        <v>2206</v>
      </c>
      <c r="E1125" s="13" t="s">
        <v>2213</v>
      </c>
      <c r="F1125" s="13" t="s">
        <v>2214</v>
      </c>
      <c r="G1125" s="13">
        <v>119.63</v>
      </c>
      <c r="H1125" s="44">
        <v>0</v>
      </c>
      <c r="I1125" s="13">
        <v>119.63</v>
      </c>
      <c r="J1125" s="24">
        <v>45875</v>
      </c>
      <c r="K1125" s="25">
        <v>14</v>
      </c>
      <c r="L1125" s="25">
        <v>2.1</v>
      </c>
      <c r="M1125" s="13" t="b">
        <v>0</v>
      </c>
      <c r="O1125" s="25">
        <f t="shared" si="68"/>
        <v>27</v>
      </c>
      <c r="P1125" s="13">
        <f t="shared" si="69"/>
        <v>0</v>
      </c>
      <c r="Q1125" s="13" t="str">
        <f t="shared" si="70"/>
        <v/>
      </c>
      <c r="R1125" s="13" t="str">
        <f t="shared" si="71"/>
        <v>Non diskon</v>
      </c>
    </row>
    <row r="1126" spans="1:18" x14ac:dyDescent="0.25">
      <c r="A1126" s="13" t="s">
        <v>1138</v>
      </c>
      <c r="B1126" s="13" t="s">
        <v>2193</v>
      </c>
      <c r="C1126" s="13" t="s">
        <v>2198</v>
      </c>
      <c r="D1126" s="13" t="s">
        <v>2207</v>
      </c>
      <c r="E1126" s="13" t="s">
        <v>2209</v>
      </c>
      <c r="F1126" s="13" t="s">
        <v>2219</v>
      </c>
      <c r="G1126" s="13">
        <v>167.89</v>
      </c>
      <c r="H1126" s="44">
        <v>0</v>
      </c>
      <c r="I1126" s="13">
        <v>167.89</v>
      </c>
      <c r="J1126" s="24">
        <v>45875</v>
      </c>
      <c r="K1126" s="25">
        <v>12</v>
      </c>
      <c r="L1126" s="25">
        <v>1</v>
      </c>
      <c r="M1126" s="13" t="b">
        <v>0</v>
      </c>
      <c r="O1126" s="25">
        <f t="shared" si="68"/>
        <v>27</v>
      </c>
      <c r="P1126" s="13">
        <f t="shared" si="69"/>
        <v>0</v>
      </c>
      <c r="Q1126" s="13" t="str">
        <f t="shared" si="70"/>
        <v/>
      </c>
      <c r="R1126" s="13" t="str">
        <f t="shared" si="71"/>
        <v>Non diskon</v>
      </c>
    </row>
    <row r="1127" spans="1:18" x14ac:dyDescent="0.25">
      <c r="A1127" s="13" t="s">
        <v>1139</v>
      </c>
      <c r="B1127" s="13" t="s">
        <v>2193</v>
      </c>
      <c r="C1127" s="13" t="s">
        <v>2197</v>
      </c>
      <c r="D1127" s="13" t="s">
        <v>2204</v>
      </c>
      <c r="E1127" s="13" t="s">
        <v>2208</v>
      </c>
      <c r="F1127" s="13" t="s">
        <v>2219</v>
      </c>
      <c r="G1127" s="13">
        <v>100.39</v>
      </c>
      <c r="H1127" s="44">
        <v>0</v>
      </c>
      <c r="I1127" s="13">
        <v>100.39</v>
      </c>
      <c r="J1127" s="24">
        <v>45723</v>
      </c>
      <c r="K1127" s="25">
        <v>24</v>
      </c>
      <c r="L1127" s="25">
        <v>3.2</v>
      </c>
      <c r="M1127" s="13" t="b">
        <v>1</v>
      </c>
      <c r="N1127" s="13" t="s">
        <v>2228</v>
      </c>
      <c r="O1127" s="25">
        <f t="shared" si="68"/>
        <v>179</v>
      </c>
      <c r="P1127" s="13">
        <f t="shared" si="69"/>
        <v>0</v>
      </c>
      <c r="Q1127" s="13">
        <f t="shared" si="70"/>
        <v>1</v>
      </c>
      <c r="R1127" s="13" t="str">
        <f t="shared" si="71"/>
        <v>Non diskon</v>
      </c>
    </row>
    <row r="1128" spans="1:18" x14ac:dyDescent="0.25">
      <c r="A1128" s="13" t="s">
        <v>1140</v>
      </c>
      <c r="B1128" s="13" t="s">
        <v>2195</v>
      </c>
      <c r="C1128" s="13" t="s">
        <v>2202</v>
      </c>
      <c r="D1128" s="13" t="s">
        <v>2207</v>
      </c>
      <c r="E1128" s="13" t="s">
        <v>2209</v>
      </c>
      <c r="F1128" s="13" t="s">
        <v>2218</v>
      </c>
      <c r="G1128" s="13">
        <v>162.41999999999999</v>
      </c>
      <c r="H1128" s="44">
        <v>40.9</v>
      </c>
      <c r="I1128" s="13">
        <v>95.99</v>
      </c>
      <c r="J1128" s="24">
        <v>45875</v>
      </c>
      <c r="K1128" s="25">
        <v>32</v>
      </c>
      <c r="L1128" s="25">
        <v>1</v>
      </c>
      <c r="M1128" s="13" t="b">
        <v>0</v>
      </c>
      <c r="O1128" s="25">
        <f t="shared" si="68"/>
        <v>27</v>
      </c>
      <c r="P1128" s="13">
        <f t="shared" si="69"/>
        <v>1308.8</v>
      </c>
      <c r="Q1128" s="13" t="str">
        <f t="shared" si="70"/>
        <v/>
      </c>
      <c r="R1128" s="13" t="str">
        <f t="shared" si="71"/>
        <v>Diskon</v>
      </c>
    </row>
    <row r="1129" spans="1:18" x14ac:dyDescent="0.25">
      <c r="A1129" s="13" t="s">
        <v>1141</v>
      </c>
      <c r="B1129" s="13" t="s">
        <v>2193</v>
      </c>
      <c r="C1129" s="13" t="s">
        <v>2202</v>
      </c>
      <c r="D1129" s="13" t="s">
        <v>2204</v>
      </c>
      <c r="E1129" s="13" t="s">
        <v>2212</v>
      </c>
      <c r="F1129" s="13" t="s">
        <v>2218</v>
      </c>
      <c r="G1129" s="13">
        <v>65.069999999999993</v>
      </c>
      <c r="H1129" s="44">
        <v>5.0999999999999996</v>
      </c>
      <c r="I1129" s="13">
        <v>61.75</v>
      </c>
      <c r="J1129" s="24">
        <v>45674</v>
      </c>
      <c r="K1129" s="25">
        <v>16</v>
      </c>
      <c r="L1129" s="25">
        <v>4.3</v>
      </c>
      <c r="M1129" s="13" t="b">
        <v>0</v>
      </c>
      <c r="O1129" s="25">
        <f t="shared" si="68"/>
        <v>228</v>
      </c>
      <c r="P1129" s="13">
        <f t="shared" si="69"/>
        <v>81.599999999999994</v>
      </c>
      <c r="Q1129" s="13" t="str">
        <f t="shared" si="70"/>
        <v/>
      </c>
      <c r="R1129" s="13" t="str">
        <f t="shared" si="71"/>
        <v>Diskon</v>
      </c>
    </row>
    <row r="1130" spans="1:18" x14ac:dyDescent="0.25">
      <c r="A1130" s="13" t="s">
        <v>1142</v>
      </c>
      <c r="B1130" s="13" t="s">
        <v>2194</v>
      </c>
      <c r="C1130" s="13" t="s">
        <v>2203</v>
      </c>
      <c r="D1130" s="13" t="s">
        <v>2204</v>
      </c>
      <c r="E1130" s="13" t="s">
        <v>2211</v>
      </c>
      <c r="F1130" s="13" t="s">
        <v>2214</v>
      </c>
      <c r="G1130" s="13">
        <v>78.099999999999994</v>
      </c>
      <c r="H1130" s="44">
        <v>48.7</v>
      </c>
      <c r="I1130" s="13">
        <v>40.07</v>
      </c>
      <c r="J1130" s="24">
        <v>45783</v>
      </c>
      <c r="K1130" s="25">
        <v>0</v>
      </c>
      <c r="L1130" s="25">
        <v>3.1021739130434773</v>
      </c>
      <c r="M1130" s="13" t="b">
        <v>0</v>
      </c>
      <c r="O1130" s="25">
        <f t="shared" si="68"/>
        <v>119</v>
      </c>
      <c r="P1130" s="13">
        <f t="shared" si="69"/>
        <v>0</v>
      </c>
      <c r="Q1130" s="13" t="str">
        <f t="shared" si="70"/>
        <v/>
      </c>
      <c r="R1130" s="13" t="str">
        <f t="shared" si="71"/>
        <v>Diskon</v>
      </c>
    </row>
    <row r="1131" spans="1:18" x14ac:dyDescent="0.25">
      <c r="A1131" s="13" t="s">
        <v>1143</v>
      </c>
      <c r="B1131" s="13" t="s">
        <v>2190</v>
      </c>
      <c r="C1131" s="13" t="s">
        <v>2196</v>
      </c>
      <c r="D1131" s="13" t="s">
        <v>2204</v>
      </c>
      <c r="E1131" s="13" t="s">
        <v>2213</v>
      </c>
      <c r="F1131" s="13" t="s">
        <v>2219</v>
      </c>
      <c r="G1131" s="13">
        <v>115.73</v>
      </c>
      <c r="H1131" s="44">
        <v>59.8</v>
      </c>
      <c r="I1131" s="13">
        <v>46.52</v>
      </c>
      <c r="J1131" s="24">
        <v>45563</v>
      </c>
      <c r="K1131" s="25">
        <v>10</v>
      </c>
      <c r="L1131" s="25">
        <v>4.2</v>
      </c>
      <c r="M1131" s="13" t="b">
        <v>0</v>
      </c>
      <c r="O1131" s="25">
        <f t="shared" si="68"/>
        <v>339</v>
      </c>
      <c r="P1131" s="13">
        <f t="shared" si="69"/>
        <v>598</v>
      </c>
      <c r="Q1131" s="13" t="str">
        <f t="shared" si="70"/>
        <v/>
      </c>
      <c r="R1131" s="13" t="str">
        <f t="shared" si="71"/>
        <v>Diskon</v>
      </c>
    </row>
    <row r="1132" spans="1:18" x14ac:dyDescent="0.25">
      <c r="A1132" s="13" t="s">
        <v>1144</v>
      </c>
      <c r="B1132" s="13" t="s">
        <v>2192</v>
      </c>
      <c r="C1132" s="13" t="s">
        <v>2201</v>
      </c>
      <c r="D1132" s="13" t="s">
        <v>2206</v>
      </c>
      <c r="F1132" s="13" t="s">
        <v>2222</v>
      </c>
      <c r="G1132" s="13">
        <v>21.57</v>
      </c>
      <c r="H1132" s="44">
        <v>11.9</v>
      </c>
      <c r="I1132" s="13">
        <v>19</v>
      </c>
      <c r="J1132" s="24">
        <v>45875</v>
      </c>
      <c r="K1132" s="25">
        <v>37</v>
      </c>
      <c r="L1132" s="25">
        <v>3</v>
      </c>
      <c r="M1132" s="13" t="b">
        <v>1</v>
      </c>
      <c r="N1132" s="13" t="s">
        <v>2229</v>
      </c>
      <c r="O1132" s="25">
        <f t="shared" si="68"/>
        <v>27</v>
      </c>
      <c r="P1132" s="13">
        <f t="shared" si="69"/>
        <v>440.3</v>
      </c>
      <c r="Q1132" s="13">
        <f t="shared" si="70"/>
        <v>1</v>
      </c>
      <c r="R1132" s="13" t="str">
        <f t="shared" si="71"/>
        <v>Diskon</v>
      </c>
    </row>
    <row r="1133" spans="1:18" x14ac:dyDescent="0.25">
      <c r="A1133" s="13" t="s">
        <v>1145</v>
      </c>
      <c r="B1133" s="13" t="s">
        <v>2195</v>
      </c>
      <c r="C1133" s="13" t="s">
        <v>2198</v>
      </c>
      <c r="D1133" s="13" t="s">
        <v>2206</v>
      </c>
      <c r="E1133" s="13" t="s">
        <v>2210</v>
      </c>
      <c r="F1133" s="13" t="s">
        <v>2224</v>
      </c>
      <c r="G1133" s="13">
        <v>75.849999999999994</v>
      </c>
      <c r="H1133" s="44">
        <v>50.3</v>
      </c>
      <c r="I1133" s="13">
        <v>37.700000000000003</v>
      </c>
      <c r="J1133" s="24">
        <v>45875</v>
      </c>
      <c r="K1133" s="25">
        <v>50</v>
      </c>
      <c r="L1133" s="25">
        <v>4.7</v>
      </c>
      <c r="M1133" s="13" t="b">
        <v>1</v>
      </c>
      <c r="N1133" s="13" t="s">
        <v>2228</v>
      </c>
      <c r="O1133" s="25">
        <f t="shared" si="68"/>
        <v>27</v>
      </c>
      <c r="P1133" s="13">
        <f t="shared" si="69"/>
        <v>2515</v>
      </c>
      <c r="Q1133" s="13">
        <f t="shared" si="70"/>
        <v>1</v>
      </c>
      <c r="R1133" s="13" t="str">
        <f t="shared" si="71"/>
        <v>Diskon</v>
      </c>
    </row>
    <row r="1134" spans="1:18" x14ac:dyDescent="0.25">
      <c r="A1134" s="13" t="s">
        <v>1146</v>
      </c>
      <c r="B1134" s="13" t="s">
        <v>2190</v>
      </c>
      <c r="C1134" s="13" t="s">
        <v>2197</v>
      </c>
      <c r="D1134" s="13" t="s">
        <v>2207</v>
      </c>
      <c r="E1134" s="13" t="s">
        <v>2209</v>
      </c>
      <c r="F1134" s="13" t="s">
        <v>2220</v>
      </c>
      <c r="G1134" s="13">
        <v>170.91</v>
      </c>
      <c r="H1134" s="44">
        <v>0</v>
      </c>
      <c r="I1134" s="13">
        <v>170.91</v>
      </c>
      <c r="J1134" s="24">
        <v>45875</v>
      </c>
      <c r="K1134" s="25">
        <v>36</v>
      </c>
      <c r="L1134" s="25">
        <v>1.6</v>
      </c>
      <c r="M1134" s="13" t="b">
        <v>1</v>
      </c>
      <c r="N1134" s="13" t="s">
        <v>2228</v>
      </c>
      <c r="O1134" s="25">
        <f t="shared" si="68"/>
        <v>27</v>
      </c>
      <c r="P1134" s="13">
        <f t="shared" si="69"/>
        <v>0</v>
      </c>
      <c r="Q1134" s="13">
        <f t="shared" si="70"/>
        <v>1</v>
      </c>
      <c r="R1134" s="13" t="str">
        <f t="shared" si="71"/>
        <v>Non diskon</v>
      </c>
    </row>
    <row r="1135" spans="1:18" x14ac:dyDescent="0.25">
      <c r="A1135" s="13" t="s">
        <v>1147</v>
      </c>
      <c r="B1135" s="13" t="s">
        <v>2193</v>
      </c>
      <c r="C1135" s="13" t="s">
        <v>2200</v>
      </c>
      <c r="D1135" s="13" t="s">
        <v>2206</v>
      </c>
      <c r="E1135" s="13" t="s">
        <v>2208</v>
      </c>
      <c r="F1135" s="13" t="s">
        <v>2217</v>
      </c>
      <c r="G1135" s="13">
        <v>94.06</v>
      </c>
      <c r="H1135" s="44">
        <v>22.4</v>
      </c>
      <c r="I1135" s="13">
        <v>72.989999999999995</v>
      </c>
      <c r="J1135" s="24">
        <v>45875</v>
      </c>
      <c r="K1135" s="25">
        <v>0</v>
      </c>
      <c r="L1135" s="25">
        <v>3.3021276595744684</v>
      </c>
      <c r="M1135" s="13" t="b">
        <v>0</v>
      </c>
      <c r="O1135" s="25">
        <f t="shared" si="68"/>
        <v>27</v>
      </c>
      <c r="P1135" s="13">
        <f t="shared" si="69"/>
        <v>0</v>
      </c>
      <c r="Q1135" s="13" t="str">
        <f t="shared" si="70"/>
        <v/>
      </c>
      <c r="R1135" s="13" t="str">
        <f t="shared" si="71"/>
        <v>Diskon</v>
      </c>
    </row>
    <row r="1136" spans="1:18" x14ac:dyDescent="0.25">
      <c r="A1136" s="13" t="s">
        <v>1148</v>
      </c>
      <c r="B1136" s="13" t="s">
        <v>2194</v>
      </c>
      <c r="C1136" s="13" t="s">
        <v>2200</v>
      </c>
      <c r="D1136" s="13" t="s">
        <v>2207</v>
      </c>
      <c r="E1136" s="13" t="s">
        <v>2210</v>
      </c>
      <c r="F1136" s="13" t="s">
        <v>2219</v>
      </c>
      <c r="G1136" s="13">
        <v>84.44</v>
      </c>
      <c r="H1136" s="44">
        <v>0</v>
      </c>
      <c r="I1136" s="13">
        <v>84.44</v>
      </c>
      <c r="J1136" s="24">
        <v>45875</v>
      </c>
      <c r="K1136" s="25">
        <v>2</v>
      </c>
      <c r="L1136" s="25">
        <v>1.1000000000000001</v>
      </c>
      <c r="M1136" s="13" t="b">
        <v>0</v>
      </c>
      <c r="O1136" s="25">
        <f t="shared" si="68"/>
        <v>27</v>
      </c>
      <c r="P1136" s="13">
        <f t="shared" si="69"/>
        <v>0</v>
      </c>
      <c r="Q1136" s="13" t="str">
        <f t="shared" si="70"/>
        <v/>
      </c>
      <c r="R1136" s="13" t="str">
        <f t="shared" si="71"/>
        <v>Non diskon</v>
      </c>
    </row>
    <row r="1137" spans="1:18" x14ac:dyDescent="0.25">
      <c r="A1137" s="13" t="s">
        <v>1149</v>
      </c>
      <c r="B1137" s="13" t="s">
        <v>2190</v>
      </c>
      <c r="C1137" s="13" t="s">
        <v>2196</v>
      </c>
      <c r="D1137" s="13" t="s">
        <v>2207</v>
      </c>
      <c r="E1137" s="13" t="s">
        <v>2212</v>
      </c>
      <c r="F1137" s="13" t="s">
        <v>2215</v>
      </c>
      <c r="G1137" s="13">
        <v>93.11</v>
      </c>
      <c r="H1137" s="44">
        <v>0</v>
      </c>
      <c r="I1137" s="13">
        <v>93.11</v>
      </c>
      <c r="J1137" s="24">
        <v>45875</v>
      </c>
      <c r="K1137" s="25">
        <v>43</v>
      </c>
      <c r="L1137" s="25">
        <v>2.8</v>
      </c>
      <c r="M1137" s="13" t="b">
        <v>0</v>
      </c>
      <c r="O1137" s="25">
        <f t="shared" si="68"/>
        <v>27</v>
      </c>
      <c r="P1137" s="13">
        <f t="shared" si="69"/>
        <v>0</v>
      </c>
      <c r="Q1137" s="13" t="str">
        <f t="shared" si="70"/>
        <v/>
      </c>
      <c r="R1137" s="13" t="str">
        <f t="shared" si="71"/>
        <v>Non diskon</v>
      </c>
    </row>
    <row r="1138" spans="1:18" x14ac:dyDescent="0.25">
      <c r="A1138" s="13" t="s">
        <v>1150</v>
      </c>
      <c r="B1138" s="13" t="s">
        <v>2191</v>
      </c>
      <c r="C1138" s="13" t="s">
        <v>2196</v>
      </c>
      <c r="D1138" s="13" t="s">
        <v>2205</v>
      </c>
      <c r="E1138" s="13" t="s">
        <v>2210</v>
      </c>
      <c r="F1138" s="13" t="s">
        <v>2219</v>
      </c>
      <c r="G1138" s="13">
        <v>84.85</v>
      </c>
      <c r="H1138" s="44">
        <v>8.8000000000000007</v>
      </c>
      <c r="I1138" s="13">
        <v>77.38</v>
      </c>
      <c r="J1138" s="24">
        <v>45875</v>
      </c>
      <c r="K1138" s="25">
        <v>19</v>
      </c>
      <c r="L1138" s="25">
        <v>4.0999999999999996</v>
      </c>
      <c r="M1138" s="13" t="b">
        <v>1</v>
      </c>
      <c r="N1138" s="13" t="s">
        <v>2229</v>
      </c>
      <c r="O1138" s="25">
        <f t="shared" si="68"/>
        <v>27</v>
      </c>
      <c r="P1138" s="13">
        <f t="shared" si="69"/>
        <v>167.20000000000002</v>
      </c>
      <c r="Q1138" s="13">
        <f t="shared" si="70"/>
        <v>1</v>
      </c>
      <c r="R1138" s="13" t="str">
        <f t="shared" si="71"/>
        <v>Diskon</v>
      </c>
    </row>
    <row r="1139" spans="1:18" x14ac:dyDescent="0.25">
      <c r="A1139" s="13" t="s">
        <v>1151</v>
      </c>
      <c r="B1139" s="13" t="s">
        <v>2193</v>
      </c>
      <c r="C1139" s="13" t="s">
        <v>2197</v>
      </c>
      <c r="D1139" s="13" t="s">
        <v>2204</v>
      </c>
      <c r="E1139" s="13" t="s">
        <v>2213</v>
      </c>
      <c r="F1139" s="13" t="s">
        <v>2220</v>
      </c>
      <c r="G1139" s="13">
        <v>138.41</v>
      </c>
      <c r="H1139" s="44">
        <v>0</v>
      </c>
      <c r="I1139" s="13">
        <v>138.41</v>
      </c>
      <c r="J1139" s="24">
        <v>45613</v>
      </c>
      <c r="K1139" s="25">
        <v>40</v>
      </c>
      <c r="L1139" s="25">
        <v>3.1</v>
      </c>
      <c r="M1139" s="13" t="b">
        <v>0</v>
      </c>
      <c r="O1139" s="25">
        <f t="shared" si="68"/>
        <v>289</v>
      </c>
      <c r="P1139" s="13">
        <f t="shared" si="69"/>
        <v>0</v>
      </c>
      <c r="Q1139" s="13" t="str">
        <f t="shared" si="70"/>
        <v/>
      </c>
      <c r="R1139" s="13" t="str">
        <f t="shared" si="71"/>
        <v>Non diskon</v>
      </c>
    </row>
    <row r="1140" spans="1:18" x14ac:dyDescent="0.25">
      <c r="A1140" s="13" t="s">
        <v>1152</v>
      </c>
      <c r="B1140" s="13" t="s">
        <v>2192</v>
      </c>
      <c r="C1140" s="13" t="s">
        <v>2196</v>
      </c>
      <c r="D1140" s="13" t="s">
        <v>2206</v>
      </c>
      <c r="F1140" s="13" t="s">
        <v>2215</v>
      </c>
      <c r="G1140" s="13">
        <v>20.190000000000001</v>
      </c>
      <c r="H1140" s="44">
        <v>21.6</v>
      </c>
      <c r="I1140" s="13">
        <v>15.83</v>
      </c>
      <c r="J1140" s="24">
        <v>45875</v>
      </c>
      <c r="K1140" s="25">
        <v>45</v>
      </c>
      <c r="L1140" s="25">
        <v>4.4000000000000004</v>
      </c>
      <c r="M1140" s="13" t="b">
        <v>1</v>
      </c>
      <c r="N1140" s="13" t="s">
        <v>2229</v>
      </c>
      <c r="O1140" s="25">
        <f t="shared" si="68"/>
        <v>27</v>
      </c>
      <c r="P1140" s="13">
        <f t="shared" si="69"/>
        <v>972.00000000000011</v>
      </c>
      <c r="Q1140" s="13">
        <f t="shared" si="70"/>
        <v>1</v>
      </c>
      <c r="R1140" s="13" t="str">
        <f t="shared" si="71"/>
        <v>Diskon</v>
      </c>
    </row>
    <row r="1141" spans="1:18" x14ac:dyDescent="0.25">
      <c r="A1141" s="13" t="s">
        <v>1153</v>
      </c>
      <c r="B1141" s="13" t="s">
        <v>2195</v>
      </c>
      <c r="C1141" s="13" t="s">
        <v>2198</v>
      </c>
      <c r="D1141" s="13" t="s">
        <v>2206</v>
      </c>
      <c r="E1141" s="13" t="s">
        <v>2213</v>
      </c>
      <c r="F1141" s="13" t="s">
        <v>2218</v>
      </c>
      <c r="G1141" s="13">
        <v>124.17</v>
      </c>
      <c r="H1141" s="44">
        <v>37.6</v>
      </c>
      <c r="I1141" s="13">
        <v>77.48</v>
      </c>
      <c r="J1141" s="24">
        <v>45875</v>
      </c>
      <c r="K1141" s="25">
        <v>24</v>
      </c>
      <c r="L1141" s="25">
        <v>2.2999999999999998</v>
      </c>
      <c r="M1141" s="13" t="b">
        <v>0</v>
      </c>
      <c r="O1141" s="25">
        <f t="shared" si="68"/>
        <v>27</v>
      </c>
      <c r="P1141" s="13">
        <f t="shared" si="69"/>
        <v>902.40000000000009</v>
      </c>
      <c r="Q1141" s="13" t="str">
        <f t="shared" si="70"/>
        <v/>
      </c>
      <c r="R1141" s="13" t="str">
        <f t="shared" si="71"/>
        <v>Diskon</v>
      </c>
    </row>
    <row r="1142" spans="1:18" x14ac:dyDescent="0.25">
      <c r="A1142" s="13" t="s">
        <v>1154</v>
      </c>
      <c r="B1142" s="13" t="s">
        <v>2190</v>
      </c>
      <c r="C1142" s="13" t="s">
        <v>2198</v>
      </c>
      <c r="D1142" s="13" t="s">
        <v>2204</v>
      </c>
      <c r="E1142" s="13" t="s">
        <v>2209</v>
      </c>
      <c r="F1142" s="13" t="s">
        <v>2214</v>
      </c>
      <c r="G1142" s="13">
        <v>133.91999999999999</v>
      </c>
      <c r="H1142" s="44">
        <v>0</v>
      </c>
      <c r="I1142" s="13">
        <v>133.91999999999999</v>
      </c>
      <c r="J1142" s="24">
        <v>45760</v>
      </c>
      <c r="K1142" s="25">
        <v>41</v>
      </c>
      <c r="L1142" s="25">
        <v>2.8</v>
      </c>
      <c r="M1142" s="13" t="b">
        <v>0</v>
      </c>
      <c r="O1142" s="25">
        <f t="shared" si="68"/>
        <v>142</v>
      </c>
      <c r="P1142" s="13">
        <f t="shared" si="69"/>
        <v>0</v>
      </c>
      <c r="Q1142" s="13" t="str">
        <f t="shared" si="70"/>
        <v/>
      </c>
      <c r="R1142" s="13" t="str">
        <f t="shared" si="71"/>
        <v>Non diskon</v>
      </c>
    </row>
    <row r="1143" spans="1:18" x14ac:dyDescent="0.25">
      <c r="A1143" s="13" t="s">
        <v>1155</v>
      </c>
      <c r="B1143" s="13" t="s">
        <v>2192</v>
      </c>
      <c r="C1143" s="13" t="s">
        <v>2198</v>
      </c>
      <c r="D1143" s="13" t="s">
        <v>2204</v>
      </c>
      <c r="F1143" s="13" t="s">
        <v>2218</v>
      </c>
      <c r="G1143" s="13">
        <v>77.78</v>
      </c>
      <c r="H1143" s="44">
        <v>0</v>
      </c>
      <c r="I1143" s="13">
        <v>77.78</v>
      </c>
      <c r="J1143" s="24">
        <v>45845</v>
      </c>
      <c r="K1143" s="25">
        <v>23</v>
      </c>
      <c r="L1143" s="25">
        <v>2.5</v>
      </c>
      <c r="M1143" s="13" t="b">
        <v>1</v>
      </c>
      <c r="N1143" s="13" t="s">
        <v>2226</v>
      </c>
      <c r="O1143" s="25">
        <f t="shared" si="68"/>
        <v>57</v>
      </c>
      <c r="P1143" s="13">
        <f t="shared" si="69"/>
        <v>0</v>
      </c>
      <c r="Q1143" s="13">
        <f t="shared" si="70"/>
        <v>1</v>
      </c>
      <c r="R1143" s="13" t="str">
        <f t="shared" si="71"/>
        <v>Non diskon</v>
      </c>
    </row>
    <row r="1144" spans="1:18" x14ac:dyDescent="0.25">
      <c r="A1144" s="13" t="s">
        <v>1156</v>
      </c>
      <c r="B1144" s="13" t="s">
        <v>2195</v>
      </c>
      <c r="C1144" s="13" t="s">
        <v>2199</v>
      </c>
      <c r="D1144" s="13" t="s">
        <v>2205</v>
      </c>
      <c r="E1144" s="13" t="s">
        <v>2211</v>
      </c>
      <c r="F1144" s="13" t="s">
        <v>2224</v>
      </c>
      <c r="G1144" s="13">
        <v>157.69</v>
      </c>
      <c r="H1144" s="44">
        <v>35.9</v>
      </c>
      <c r="I1144" s="13">
        <v>101.08</v>
      </c>
      <c r="J1144" s="24">
        <v>45875</v>
      </c>
      <c r="K1144" s="25">
        <v>6</v>
      </c>
      <c r="L1144" s="25">
        <v>1</v>
      </c>
      <c r="M1144" s="13" t="b">
        <v>0</v>
      </c>
      <c r="O1144" s="25">
        <f t="shared" si="68"/>
        <v>27</v>
      </c>
      <c r="P1144" s="13">
        <f t="shared" si="69"/>
        <v>215.39999999999998</v>
      </c>
      <c r="Q1144" s="13" t="str">
        <f t="shared" si="70"/>
        <v/>
      </c>
      <c r="R1144" s="13" t="str">
        <f t="shared" si="71"/>
        <v>Diskon</v>
      </c>
    </row>
    <row r="1145" spans="1:18" x14ac:dyDescent="0.25">
      <c r="A1145" s="13" t="s">
        <v>1157</v>
      </c>
      <c r="B1145" s="13" t="s">
        <v>2191</v>
      </c>
      <c r="C1145" s="13" t="s">
        <v>2196</v>
      </c>
      <c r="D1145" s="13" t="s">
        <v>2205</v>
      </c>
      <c r="E1145" s="13" t="s">
        <v>2209</v>
      </c>
      <c r="F1145" s="13" t="s">
        <v>2216</v>
      </c>
      <c r="G1145" s="13">
        <v>99.57</v>
      </c>
      <c r="H1145" s="44">
        <v>0</v>
      </c>
      <c r="I1145" s="13">
        <v>99.57</v>
      </c>
      <c r="J1145" s="24">
        <v>45875</v>
      </c>
      <c r="K1145" s="25">
        <v>17</v>
      </c>
      <c r="L1145" s="25">
        <v>1</v>
      </c>
      <c r="M1145" s="13" t="b">
        <v>0</v>
      </c>
      <c r="O1145" s="25">
        <f t="shared" si="68"/>
        <v>27</v>
      </c>
      <c r="P1145" s="13">
        <f t="shared" si="69"/>
        <v>0</v>
      </c>
      <c r="Q1145" s="13" t="str">
        <f t="shared" si="70"/>
        <v/>
      </c>
      <c r="R1145" s="13" t="str">
        <f t="shared" si="71"/>
        <v>Non diskon</v>
      </c>
    </row>
    <row r="1146" spans="1:18" x14ac:dyDescent="0.25">
      <c r="A1146" s="13" t="s">
        <v>1158</v>
      </c>
      <c r="B1146" s="13" t="s">
        <v>2192</v>
      </c>
      <c r="C1146" s="13" t="s">
        <v>2196</v>
      </c>
      <c r="D1146" s="13" t="s">
        <v>2207</v>
      </c>
      <c r="F1146" s="13" t="s">
        <v>2224</v>
      </c>
      <c r="G1146" s="13">
        <v>43.61</v>
      </c>
      <c r="H1146" s="44">
        <v>33.299999999999997</v>
      </c>
      <c r="I1146" s="13">
        <v>29.09</v>
      </c>
      <c r="J1146" s="24">
        <v>45875</v>
      </c>
      <c r="K1146" s="25">
        <v>47</v>
      </c>
      <c r="L1146" s="25">
        <v>2.5</v>
      </c>
      <c r="M1146" s="13" t="b">
        <v>0</v>
      </c>
      <c r="O1146" s="25">
        <f t="shared" si="68"/>
        <v>27</v>
      </c>
      <c r="P1146" s="13">
        <f t="shared" si="69"/>
        <v>1565.1</v>
      </c>
      <c r="Q1146" s="13" t="str">
        <f t="shared" si="70"/>
        <v/>
      </c>
      <c r="R1146" s="13" t="str">
        <f t="shared" si="71"/>
        <v>Diskon</v>
      </c>
    </row>
    <row r="1147" spans="1:18" x14ac:dyDescent="0.25">
      <c r="A1147" s="13" t="s">
        <v>1159</v>
      </c>
      <c r="B1147" s="13" t="s">
        <v>2190</v>
      </c>
      <c r="C1147" s="13" t="s">
        <v>2202</v>
      </c>
      <c r="D1147" s="13" t="s">
        <v>2205</v>
      </c>
      <c r="E1147" s="13" t="s">
        <v>2213</v>
      </c>
      <c r="F1147" s="13" t="s">
        <v>2224</v>
      </c>
      <c r="G1147" s="13">
        <v>88.87</v>
      </c>
      <c r="H1147" s="44">
        <v>0</v>
      </c>
      <c r="I1147" s="13">
        <v>88.87</v>
      </c>
      <c r="J1147" s="24">
        <v>45875</v>
      </c>
      <c r="K1147" s="25">
        <v>27</v>
      </c>
      <c r="L1147" s="25">
        <v>2.4</v>
      </c>
      <c r="M1147" s="13" t="b">
        <v>0</v>
      </c>
      <c r="O1147" s="25">
        <f t="shared" si="68"/>
        <v>27</v>
      </c>
      <c r="P1147" s="13">
        <f t="shared" si="69"/>
        <v>0</v>
      </c>
      <c r="Q1147" s="13" t="str">
        <f t="shared" si="70"/>
        <v/>
      </c>
      <c r="R1147" s="13" t="str">
        <f t="shared" si="71"/>
        <v>Non diskon</v>
      </c>
    </row>
    <row r="1148" spans="1:18" x14ac:dyDescent="0.25">
      <c r="A1148" s="13" t="s">
        <v>1160</v>
      </c>
      <c r="B1148" s="13" t="s">
        <v>2194</v>
      </c>
      <c r="C1148" s="13" t="s">
        <v>2203</v>
      </c>
      <c r="D1148" s="13" t="s">
        <v>2206</v>
      </c>
      <c r="E1148" s="13" t="s">
        <v>2213</v>
      </c>
      <c r="F1148" s="13" t="s">
        <v>2217</v>
      </c>
      <c r="G1148" s="13">
        <v>112.6</v>
      </c>
      <c r="H1148" s="44">
        <v>19.8</v>
      </c>
      <c r="I1148" s="13">
        <v>90.31</v>
      </c>
      <c r="J1148" s="24">
        <v>45875</v>
      </c>
      <c r="K1148" s="25">
        <v>2</v>
      </c>
      <c r="L1148" s="25">
        <v>1</v>
      </c>
      <c r="M1148" s="13" t="b">
        <v>0</v>
      </c>
      <c r="O1148" s="25">
        <f t="shared" si="68"/>
        <v>27</v>
      </c>
      <c r="P1148" s="13">
        <f t="shared" si="69"/>
        <v>39.6</v>
      </c>
      <c r="Q1148" s="13" t="str">
        <f t="shared" si="70"/>
        <v/>
      </c>
      <c r="R1148" s="13" t="str">
        <f t="shared" si="71"/>
        <v>Diskon</v>
      </c>
    </row>
    <row r="1149" spans="1:18" x14ac:dyDescent="0.25">
      <c r="A1149" s="13" t="s">
        <v>1161</v>
      </c>
      <c r="B1149" s="13" t="s">
        <v>2191</v>
      </c>
      <c r="C1149" s="13" t="s">
        <v>2197</v>
      </c>
      <c r="D1149" s="13" t="s">
        <v>2206</v>
      </c>
      <c r="E1149" s="13" t="s">
        <v>2208</v>
      </c>
      <c r="F1149" s="13" t="s">
        <v>2220</v>
      </c>
      <c r="G1149" s="13">
        <v>33.35</v>
      </c>
      <c r="H1149" s="44">
        <v>0</v>
      </c>
      <c r="I1149" s="13">
        <v>33.35</v>
      </c>
      <c r="J1149" s="24">
        <v>45875</v>
      </c>
      <c r="K1149" s="25">
        <v>29</v>
      </c>
      <c r="L1149" s="25">
        <v>1.2</v>
      </c>
      <c r="M1149" s="13" t="b">
        <v>0</v>
      </c>
      <c r="O1149" s="25">
        <f t="shared" si="68"/>
        <v>27</v>
      </c>
      <c r="P1149" s="13">
        <f t="shared" si="69"/>
        <v>0</v>
      </c>
      <c r="Q1149" s="13" t="str">
        <f t="shared" si="70"/>
        <v/>
      </c>
      <c r="R1149" s="13" t="str">
        <f t="shared" si="71"/>
        <v>Non diskon</v>
      </c>
    </row>
    <row r="1150" spans="1:18" x14ac:dyDescent="0.25">
      <c r="A1150" s="13" t="s">
        <v>1162</v>
      </c>
      <c r="B1150" s="13" t="s">
        <v>2194</v>
      </c>
      <c r="C1150" s="13" t="s">
        <v>2203</v>
      </c>
      <c r="D1150" s="13" t="s">
        <v>2206</v>
      </c>
      <c r="E1150" s="13" t="s">
        <v>2209</v>
      </c>
      <c r="F1150" s="13" t="s">
        <v>2222</v>
      </c>
      <c r="G1150" s="13">
        <v>115.82</v>
      </c>
      <c r="H1150" s="44">
        <v>2.9</v>
      </c>
      <c r="I1150" s="13">
        <v>112.46</v>
      </c>
      <c r="J1150" s="24">
        <v>45875</v>
      </c>
      <c r="K1150" s="25">
        <v>46</v>
      </c>
      <c r="L1150" s="25">
        <v>3.1021739130434773</v>
      </c>
      <c r="M1150" s="13" t="b">
        <v>0</v>
      </c>
      <c r="O1150" s="25">
        <f t="shared" si="68"/>
        <v>27</v>
      </c>
      <c r="P1150" s="13">
        <f t="shared" si="69"/>
        <v>133.4</v>
      </c>
      <c r="Q1150" s="13" t="str">
        <f t="shared" si="70"/>
        <v/>
      </c>
      <c r="R1150" s="13" t="str">
        <f t="shared" si="71"/>
        <v>Diskon</v>
      </c>
    </row>
    <row r="1151" spans="1:18" x14ac:dyDescent="0.25">
      <c r="A1151" s="13" t="s">
        <v>1163</v>
      </c>
      <c r="B1151" s="13" t="s">
        <v>2191</v>
      </c>
      <c r="C1151" s="13" t="s">
        <v>2198</v>
      </c>
      <c r="D1151" s="13" t="s">
        <v>2206</v>
      </c>
      <c r="E1151" s="13" t="s">
        <v>2208</v>
      </c>
      <c r="F1151" s="13" t="s">
        <v>2217</v>
      </c>
      <c r="G1151" s="13">
        <v>107.79</v>
      </c>
      <c r="H1151" s="44">
        <v>3.1</v>
      </c>
      <c r="I1151" s="13">
        <v>104.45</v>
      </c>
      <c r="J1151" s="24">
        <v>45875</v>
      </c>
      <c r="K1151" s="25">
        <v>6</v>
      </c>
      <c r="L1151" s="25">
        <v>2.8</v>
      </c>
      <c r="M1151" s="13" t="b">
        <v>0</v>
      </c>
      <c r="O1151" s="25">
        <f t="shared" si="68"/>
        <v>27</v>
      </c>
      <c r="P1151" s="13">
        <f t="shared" si="69"/>
        <v>18.600000000000001</v>
      </c>
      <c r="Q1151" s="13" t="str">
        <f t="shared" si="70"/>
        <v/>
      </c>
      <c r="R1151" s="13" t="str">
        <f t="shared" si="71"/>
        <v>Diskon</v>
      </c>
    </row>
    <row r="1152" spans="1:18" x14ac:dyDescent="0.25">
      <c r="A1152" s="13" t="s">
        <v>1164</v>
      </c>
      <c r="B1152" s="13" t="s">
        <v>2191</v>
      </c>
      <c r="C1152" s="13" t="s">
        <v>2200</v>
      </c>
      <c r="D1152" s="13" t="s">
        <v>2207</v>
      </c>
      <c r="E1152" s="13" t="s">
        <v>2210</v>
      </c>
      <c r="F1152" s="13" t="s">
        <v>2217</v>
      </c>
      <c r="G1152" s="13">
        <v>53.87</v>
      </c>
      <c r="H1152" s="44">
        <v>0</v>
      </c>
      <c r="I1152" s="13">
        <v>53.87</v>
      </c>
      <c r="J1152" s="24">
        <v>45875</v>
      </c>
      <c r="K1152" s="25">
        <v>50</v>
      </c>
      <c r="L1152" s="25">
        <v>4.2</v>
      </c>
      <c r="M1152" s="13" t="b">
        <v>1</v>
      </c>
      <c r="N1152" s="13" t="s">
        <v>2227</v>
      </c>
      <c r="O1152" s="25">
        <f t="shared" si="68"/>
        <v>27</v>
      </c>
      <c r="P1152" s="13">
        <f t="shared" si="69"/>
        <v>0</v>
      </c>
      <c r="Q1152" s="13">
        <f t="shared" si="70"/>
        <v>1</v>
      </c>
      <c r="R1152" s="13" t="str">
        <f t="shared" si="71"/>
        <v>Non diskon</v>
      </c>
    </row>
    <row r="1153" spans="1:18" x14ac:dyDescent="0.25">
      <c r="A1153" s="13" t="s">
        <v>1165</v>
      </c>
      <c r="B1153" s="13" t="s">
        <v>2191</v>
      </c>
      <c r="C1153" s="13" t="s">
        <v>2202</v>
      </c>
      <c r="D1153" s="13" t="s">
        <v>2204</v>
      </c>
      <c r="E1153" s="13" t="s">
        <v>2212</v>
      </c>
      <c r="F1153" s="13" t="s">
        <v>2220</v>
      </c>
      <c r="G1153" s="13">
        <v>72.5</v>
      </c>
      <c r="H1153" s="44">
        <v>40.799999999999997</v>
      </c>
      <c r="I1153" s="13">
        <v>42.92</v>
      </c>
      <c r="J1153" s="24">
        <v>45656</v>
      </c>
      <c r="K1153" s="25">
        <v>23</v>
      </c>
      <c r="L1153" s="25">
        <v>4.4000000000000004</v>
      </c>
      <c r="M1153" s="13" t="b">
        <v>0</v>
      </c>
      <c r="O1153" s="25">
        <f t="shared" si="68"/>
        <v>246</v>
      </c>
      <c r="P1153" s="13">
        <f t="shared" si="69"/>
        <v>938.4</v>
      </c>
      <c r="Q1153" s="13" t="str">
        <f t="shared" si="70"/>
        <v/>
      </c>
      <c r="R1153" s="13" t="str">
        <f t="shared" si="71"/>
        <v>Diskon</v>
      </c>
    </row>
    <row r="1154" spans="1:18" x14ac:dyDescent="0.25">
      <c r="A1154" s="13" t="s">
        <v>1166</v>
      </c>
      <c r="B1154" s="13" t="s">
        <v>2193</v>
      </c>
      <c r="C1154" s="13" t="s">
        <v>2202</v>
      </c>
      <c r="D1154" s="13" t="s">
        <v>2204</v>
      </c>
      <c r="E1154" s="13" t="s">
        <v>2210</v>
      </c>
      <c r="F1154" s="13" t="s">
        <v>2218</v>
      </c>
      <c r="G1154" s="13">
        <v>152.32</v>
      </c>
      <c r="H1154" s="44">
        <v>0</v>
      </c>
      <c r="I1154" s="13">
        <v>152.32</v>
      </c>
      <c r="J1154" s="24">
        <v>45817</v>
      </c>
      <c r="K1154" s="25">
        <v>15</v>
      </c>
      <c r="L1154" s="25">
        <v>2.9083333333333328</v>
      </c>
      <c r="M1154" s="13" t="b">
        <v>0</v>
      </c>
      <c r="O1154" s="25">
        <f t="shared" si="68"/>
        <v>85</v>
      </c>
      <c r="P1154" s="13">
        <f t="shared" si="69"/>
        <v>0</v>
      </c>
      <c r="Q1154" s="13" t="str">
        <f t="shared" si="70"/>
        <v/>
      </c>
      <c r="R1154" s="13" t="str">
        <f t="shared" si="71"/>
        <v>Non diskon</v>
      </c>
    </row>
    <row r="1155" spans="1:18" x14ac:dyDescent="0.25">
      <c r="A1155" s="13" t="s">
        <v>1167</v>
      </c>
      <c r="B1155" s="13" t="s">
        <v>2195</v>
      </c>
      <c r="C1155" s="13" t="s">
        <v>2200</v>
      </c>
      <c r="D1155" s="13" t="s">
        <v>2205</v>
      </c>
      <c r="E1155" s="13" t="s">
        <v>2213</v>
      </c>
      <c r="F1155" s="13" t="s">
        <v>2214</v>
      </c>
      <c r="G1155" s="13">
        <v>67.63</v>
      </c>
      <c r="H1155" s="44">
        <v>0</v>
      </c>
      <c r="I1155" s="13">
        <v>67.63</v>
      </c>
      <c r="J1155" s="24">
        <v>45875</v>
      </c>
      <c r="K1155" s="25">
        <v>9</v>
      </c>
      <c r="L1155" s="25">
        <v>4.7</v>
      </c>
      <c r="M1155" s="13" t="b">
        <v>0</v>
      </c>
      <c r="O1155" s="25">
        <f t="shared" ref="O1155:O1218" si="72">DATE(2025,9,2)-J1155</f>
        <v>27</v>
      </c>
      <c r="P1155" s="13">
        <f t="shared" ref="P1155:P1218" si="73">H1155*K1155</f>
        <v>0</v>
      </c>
      <c r="Q1155" s="13" t="str">
        <f t="shared" ref="Q1155:Q1218" si="74">IF(M1155=FALSE,"",1)</f>
        <v/>
      </c>
      <c r="R1155" s="13" t="str">
        <f t="shared" ref="R1155:R1218" si="75">IF(H1155=0,"Non diskon","Diskon")</f>
        <v>Non diskon</v>
      </c>
    </row>
    <row r="1156" spans="1:18" x14ac:dyDescent="0.25">
      <c r="A1156" s="13" t="s">
        <v>1168</v>
      </c>
      <c r="B1156" s="13" t="s">
        <v>2190</v>
      </c>
      <c r="C1156" s="13" t="s">
        <v>2197</v>
      </c>
      <c r="D1156" s="13" t="s">
        <v>2207</v>
      </c>
      <c r="E1156" s="13" t="s">
        <v>2212</v>
      </c>
      <c r="F1156" s="13" t="s">
        <v>2223</v>
      </c>
      <c r="G1156" s="13">
        <v>221.94</v>
      </c>
      <c r="H1156" s="44">
        <v>0</v>
      </c>
      <c r="I1156" s="13">
        <v>221.94</v>
      </c>
      <c r="J1156" s="24">
        <v>45875</v>
      </c>
      <c r="K1156" s="25">
        <v>35</v>
      </c>
      <c r="L1156" s="25">
        <v>1.5</v>
      </c>
      <c r="M1156" s="13" t="b">
        <v>0</v>
      </c>
      <c r="O1156" s="25">
        <f t="shared" si="72"/>
        <v>27</v>
      </c>
      <c r="P1156" s="13">
        <f t="shared" si="73"/>
        <v>0</v>
      </c>
      <c r="Q1156" s="13" t="str">
        <f t="shared" si="74"/>
        <v/>
      </c>
      <c r="R1156" s="13" t="str">
        <f t="shared" si="75"/>
        <v>Non diskon</v>
      </c>
    </row>
    <row r="1157" spans="1:18" x14ac:dyDescent="0.25">
      <c r="A1157" s="13" t="s">
        <v>1169</v>
      </c>
      <c r="B1157" s="13" t="s">
        <v>2194</v>
      </c>
      <c r="C1157" s="13" t="s">
        <v>2196</v>
      </c>
      <c r="D1157" s="13" t="s">
        <v>2206</v>
      </c>
      <c r="E1157" s="13" t="s">
        <v>2212</v>
      </c>
      <c r="F1157" s="13" t="s">
        <v>2215</v>
      </c>
      <c r="G1157" s="13">
        <v>118.77</v>
      </c>
      <c r="H1157" s="44">
        <v>8.4</v>
      </c>
      <c r="I1157" s="13">
        <v>108.79</v>
      </c>
      <c r="J1157" s="24">
        <v>45875</v>
      </c>
      <c r="K1157" s="25">
        <v>30</v>
      </c>
      <c r="L1157" s="25">
        <v>4.5999999999999996</v>
      </c>
      <c r="M1157" s="13" t="b">
        <v>1</v>
      </c>
      <c r="N1157" s="13" t="s">
        <v>2230</v>
      </c>
      <c r="O1157" s="25">
        <f t="shared" si="72"/>
        <v>27</v>
      </c>
      <c r="P1157" s="13">
        <f t="shared" si="73"/>
        <v>252</v>
      </c>
      <c r="Q1157" s="13">
        <f t="shared" si="74"/>
        <v>1</v>
      </c>
      <c r="R1157" s="13" t="str">
        <f t="shared" si="75"/>
        <v>Diskon</v>
      </c>
    </row>
    <row r="1158" spans="1:18" x14ac:dyDescent="0.25">
      <c r="A1158" s="13" t="s">
        <v>1170</v>
      </c>
      <c r="B1158" s="13" t="s">
        <v>2191</v>
      </c>
      <c r="C1158" s="13" t="s">
        <v>2203</v>
      </c>
      <c r="D1158" s="13" t="s">
        <v>2206</v>
      </c>
      <c r="E1158" s="13" t="s">
        <v>2212</v>
      </c>
      <c r="F1158" s="13" t="s">
        <v>2220</v>
      </c>
      <c r="G1158" s="13">
        <v>100.17</v>
      </c>
      <c r="H1158" s="44">
        <v>0</v>
      </c>
      <c r="I1158" s="13">
        <v>100.17</v>
      </c>
      <c r="J1158" s="24">
        <v>45875</v>
      </c>
      <c r="K1158" s="25">
        <v>18</v>
      </c>
      <c r="L1158" s="25">
        <v>1.2</v>
      </c>
      <c r="M1158" s="13" t="b">
        <v>0</v>
      </c>
      <c r="O1158" s="25">
        <f t="shared" si="72"/>
        <v>27</v>
      </c>
      <c r="P1158" s="13">
        <f t="shared" si="73"/>
        <v>0</v>
      </c>
      <c r="Q1158" s="13" t="str">
        <f t="shared" si="74"/>
        <v/>
      </c>
      <c r="R1158" s="13" t="str">
        <f t="shared" si="75"/>
        <v>Non diskon</v>
      </c>
    </row>
    <row r="1159" spans="1:18" x14ac:dyDescent="0.25">
      <c r="A1159" s="13" t="s">
        <v>1171</v>
      </c>
      <c r="B1159" s="13" t="s">
        <v>2192</v>
      </c>
      <c r="C1159" s="13" t="s">
        <v>2198</v>
      </c>
      <c r="D1159" s="13" t="s">
        <v>2207</v>
      </c>
      <c r="F1159" s="13" t="s">
        <v>2217</v>
      </c>
      <c r="G1159" s="13">
        <v>18.45</v>
      </c>
      <c r="H1159" s="44">
        <v>0</v>
      </c>
      <c r="I1159" s="13">
        <v>18.45</v>
      </c>
      <c r="J1159" s="24">
        <v>45875</v>
      </c>
      <c r="K1159" s="25">
        <v>39</v>
      </c>
      <c r="L1159" s="25">
        <v>2.2000000000000002</v>
      </c>
      <c r="M1159" s="13" t="b">
        <v>0</v>
      </c>
      <c r="O1159" s="25">
        <f t="shared" si="72"/>
        <v>27</v>
      </c>
      <c r="P1159" s="13">
        <f t="shared" si="73"/>
        <v>0</v>
      </c>
      <c r="Q1159" s="13" t="str">
        <f t="shared" si="74"/>
        <v/>
      </c>
      <c r="R1159" s="13" t="str">
        <f t="shared" si="75"/>
        <v>Non diskon</v>
      </c>
    </row>
    <row r="1160" spans="1:18" x14ac:dyDescent="0.25">
      <c r="A1160" s="13" t="s">
        <v>1172</v>
      </c>
      <c r="B1160" s="13" t="s">
        <v>2192</v>
      </c>
      <c r="C1160" s="13" t="s">
        <v>2202</v>
      </c>
      <c r="D1160" s="13" t="s">
        <v>2207</v>
      </c>
      <c r="F1160" s="13" t="s">
        <v>2223</v>
      </c>
      <c r="G1160" s="13">
        <v>45.56</v>
      </c>
      <c r="H1160" s="44">
        <v>13.5</v>
      </c>
      <c r="I1160" s="13">
        <v>39.409999999999997</v>
      </c>
      <c r="J1160" s="24">
        <v>45875</v>
      </c>
      <c r="K1160" s="25">
        <v>40</v>
      </c>
      <c r="L1160" s="25">
        <v>3.2</v>
      </c>
      <c r="M1160" s="13" t="b">
        <v>0</v>
      </c>
      <c r="O1160" s="25">
        <f t="shared" si="72"/>
        <v>27</v>
      </c>
      <c r="P1160" s="13">
        <f t="shared" si="73"/>
        <v>540</v>
      </c>
      <c r="Q1160" s="13" t="str">
        <f t="shared" si="74"/>
        <v/>
      </c>
      <c r="R1160" s="13" t="str">
        <f t="shared" si="75"/>
        <v>Diskon</v>
      </c>
    </row>
    <row r="1161" spans="1:18" x14ac:dyDescent="0.25">
      <c r="A1161" s="13" t="s">
        <v>1173</v>
      </c>
      <c r="B1161" s="13" t="s">
        <v>2191</v>
      </c>
      <c r="C1161" s="13" t="s">
        <v>2197</v>
      </c>
      <c r="D1161" s="13" t="s">
        <v>2204</v>
      </c>
      <c r="E1161" s="13" t="s">
        <v>2210</v>
      </c>
      <c r="F1161" s="13" t="s">
        <v>2223</v>
      </c>
      <c r="G1161" s="13">
        <v>62.21</v>
      </c>
      <c r="H1161" s="44">
        <v>0</v>
      </c>
      <c r="I1161" s="13">
        <v>62.21</v>
      </c>
      <c r="J1161" s="24">
        <v>45861</v>
      </c>
      <c r="K1161" s="25">
        <v>38</v>
      </c>
      <c r="L1161" s="25">
        <v>2.6</v>
      </c>
      <c r="M1161" s="13" t="b">
        <v>0</v>
      </c>
      <c r="O1161" s="25">
        <f t="shared" si="72"/>
        <v>41</v>
      </c>
      <c r="P1161" s="13">
        <f t="shared" si="73"/>
        <v>0</v>
      </c>
      <c r="Q1161" s="13" t="str">
        <f t="shared" si="74"/>
        <v/>
      </c>
      <c r="R1161" s="13" t="str">
        <f t="shared" si="75"/>
        <v>Non diskon</v>
      </c>
    </row>
    <row r="1162" spans="1:18" x14ac:dyDescent="0.25">
      <c r="A1162" s="13" t="s">
        <v>1174</v>
      </c>
      <c r="B1162" s="13" t="s">
        <v>2192</v>
      </c>
      <c r="C1162" s="13" t="s">
        <v>2203</v>
      </c>
      <c r="D1162" s="13" t="s">
        <v>2205</v>
      </c>
      <c r="F1162" s="13" t="s">
        <v>2219</v>
      </c>
      <c r="G1162" s="13">
        <v>37.020000000000003</v>
      </c>
      <c r="H1162" s="44">
        <v>0</v>
      </c>
      <c r="I1162" s="13">
        <v>37.020000000000003</v>
      </c>
      <c r="J1162" s="24">
        <v>45875</v>
      </c>
      <c r="K1162" s="25">
        <v>12</v>
      </c>
      <c r="L1162" s="25">
        <v>4.3</v>
      </c>
      <c r="M1162" s="13" t="b">
        <v>0</v>
      </c>
      <c r="O1162" s="25">
        <f t="shared" si="72"/>
        <v>27</v>
      </c>
      <c r="P1162" s="13">
        <f t="shared" si="73"/>
        <v>0</v>
      </c>
      <c r="Q1162" s="13" t="str">
        <f t="shared" si="74"/>
        <v/>
      </c>
      <c r="R1162" s="13" t="str">
        <f t="shared" si="75"/>
        <v>Non diskon</v>
      </c>
    </row>
    <row r="1163" spans="1:18" x14ac:dyDescent="0.25">
      <c r="A1163" s="13" t="s">
        <v>1175</v>
      </c>
      <c r="B1163" s="13" t="s">
        <v>2195</v>
      </c>
      <c r="C1163" s="13" t="s">
        <v>2196</v>
      </c>
      <c r="D1163" s="13" t="s">
        <v>2207</v>
      </c>
      <c r="E1163" s="13" t="s">
        <v>2208</v>
      </c>
      <c r="F1163" s="13" t="s">
        <v>2221</v>
      </c>
      <c r="G1163" s="13">
        <v>51.86</v>
      </c>
      <c r="H1163" s="44">
        <v>39</v>
      </c>
      <c r="I1163" s="13">
        <v>31.63</v>
      </c>
      <c r="J1163" s="24">
        <v>45875</v>
      </c>
      <c r="K1163" s="25">
        <v>40</v>
      </c>
      <c r="L1163" s="25">
        <v>2.4</v>
      </c>
      <c r="M1163" s="13" t="b">
        <v>0</v>
      </c>
      <c r="O1163" s="25">
        <f t="shared" si="72"/>
        <v>27</v>
      </c>
      <c r="P1163" s="13">
        <f t="shared" si="73"/>
        <v>1560</v>
      </c>
      <c r="Q1163" s="13" t="str">
        <f t="shared" si="74"/>
        <v/>
      </c>
      <c r="R1163" s="13" t="str">
        <f t="shared" si="75"/>
        <v>Diskon</v>
      </c>
    </row>
    <row r="1164" spans="1:18" x14ac:dyDescent="0.25">
      <c r="A1164" s="13" t="s">
        <v>1176</v>
      </c>
      <c r="B1164" s="13" t="s">
        <v>2195</v>
      </c>
      <c r="C1164" s="13" t="s">
        <v>2196</v>
      </c>
      <c r="D1164" s="13" t="s">
        <v>2204</v>
      </c>
      <c r="E1164" s="13" t="s">
        <v>2212</v>
      </c>
      <c r="F1164" s="13" t="s">
        <v>2223</v>
      </c>
      <c r="G1164" s="13">
        <v>76.239999999999995</v>
      </c>
      <c r="H1164" s="44">
        <v>0</v>
      </c>
      <c r="I1164" s="13">
        <v>76.239999999999995</v>
      </c>
      <c r="J1164" s="24">
        <v>45664</v>
      </c>
      <c r="K1164" s="25">
        <v>14</v>
      </c>
      <c r="L1164" s="25">
        <v>2.8</v>
      </c>
      <c r="M1164" s="13" t="b">
        <v>0</v>
      </c>
      <c r="O1164" s="25">
        <f t="shared" si="72"/>
        <v>238</v>
      </c>
      <c r="P1164" s="13">
        <f t="shared" si="73"/>
        <v>0</v>
      </c>
      <c r="Q1164" s="13" t="str">
        <f t="shared" si="74"/>
        <v/>
      </c>
      <c r="R1164" s="13" t="str">
        <f t="shared" si="75"/>
        <v>Non diskon</v>
      </c>
    </row>
    <row r="1165" spans="1:18" x14ac:dyDescent="0.25">
      <c r="A1165" s="13" t="s">
        <v>1177</v>
      </c>
      <c r="B1165" s="13" t="s">
        <v>2192</v>
      </c>
      <c r="C1165" s="13" t="s">
        <v>2196</v>
      </c>
      <c r="D1165" s="13" t="s">
        <v>2206</v>
      </c>
      <c r="F1165" s="13" t="s">
        <v>2218</v>
      </c>
      <c r="G1165" s="13">
        <v>74.17</v>
      </c>
      <c r="H1165" s="44">
        <v>0</v>
      </c>
      <c r="I1165" s="13">
        <v>74.17</v>
      </c>
      <c r="J1165" s="24">
        <v>45875</v>
      </c>
      <c r="K1165" s="25">
        <v>24</v>
      </c>
      <c r="L1165" s="25">
        <v>1.7</v>
      </c>
      <c r="M1165" s="13" t="b">
        <v>0</v>
      </c>
      <c r="O1165" s="25">
        <f t="shared" si="72"/>
        <v>27</v>
      </c>
      <c r="P1165" s="13">
        <f t="shared" si="73"/>
        <v>0</v>
      </c>
      <c r="Q1165" s="13" t="str">
        <f t="shared" si="74"/>
        <v/>
      </c>
      <c r="R1165" s="13" t="str">
        <f t="shared" si="75"/>
        <v>Non diskon</v>
      </c>
    </row>
    <row r="1166" spans="1:18" x14ac:dyDescent="0.25">
      <c r="A1166" s="13" t="s">
        <v>1178</v>
      </c>
      <c r="B1166" s="13" t="s">
        <v>2194</v>
      </c>
      <c r="C1166" s="13" t="s">
        <v>2203</v>
      </c>
      <c r="D1166" s="13" t="s">
        <v>2204</v>
      </c>
      <c r="E1166" s="13" t="s">
        <v>2209</v>
      </c>
      <c r="F1166" s="13" t="s">
        <v>2221</v>
      </c>
      <c r="G1166" s="13">
        <v>75.989999999999995</v>
      </c>
      <c r="H1166" s="44">
        <v>0</v>
      </c>
      <c r="I1166" s="13">
        <v>75.989999999999995</v>
      </c>
      <c r="J1166" s="24">
        <v>45706</v>
      </c>
      <c r="K1166" s="25">
        <v>19</v>
      </c>
      <c r="L1166" s="25">
        <v>1.7</v>
      </c>
      <c r="M1166" s="13" t="b">
        <v>1</v>
      </c>
      <c r="N1166" s="13" t="s">
        <v>2226</v>
      </c>
      <c r="O1166" s="25">
        <f t="shared" si="72"/>
        <v>196</v>
      </c>
      <c r="P1166" s="13">
        <f t="shared" si="73"/>
        <v>0</v>
      </c>
      <c r="Q1166" s="13">
        <f t="shared" si="74"/>
        <v>1</v>
      </c>
      <c r="R1166" s="13" t="str">
        <f t="shared" si="75"/>
        <v>Non diskon</v>
      </c>
    </row>
    <row r="1167" spans="1:18" x14ac:dyDescent="0.25">
      <c r="A1167" s="13" t="s">
        <v>1179</v>
      </c>
      <c r="B1167" s="13" t="s">
        <v>2194</v>
      </c>
      <c r="C1167" s="13" t="s">
        <v>2200</v>
      </c>
      <c r="D1167" s="13" t="s">
        <v>2205</v>
      </c>
      <c r="E1167" s="13" t="s">
        <v>2212</v>
      </c>
      <c r="F1167" s="13" t="s">
        <v>2222</v>
      </c>
      <c r="G1167" s="13">
        <v>62.33</v>
      </c>
      <c r="H1167" s="44">
        <v>49.4</v>
      </c>
      <c r="I1167" s="13">
        <v>31.54</v>
      </c>
      <c r="J1167" s="24">
        <v>45875</v>
      </c>
      <c r="K1167" s="25">
        <v>46</v>
      </c>
      <c r="L1167" s="25">
        <v>3.5</v>
      </c>
      <c r="M1167" s="13" t="b">
        <v>0</v>
      </c>
      <c r="O1167" s="25">
        <f t="shared" si="72"/>
        <v>27</v>
      </c>
      <c r="P1167" s="13">
        <f t="shared" si="73"/>
        <v>2272.4</v>
      </c>
      <c r="Q1167" s="13" t="str">
        <f t="shared" si="74"/>
        <v/>
      </c>
      <c r="R1167" s="13" t="str">
        <f t="shared" si="75"/>
        <v>Diskon</v>
      </c>
    </row>
    <row r="1168" spans="1:18" x14ac:dyDescent="0.25">
      <c r="A1168" s="13" t="s">
        <v>1180</v>
      </c>
      <c r="B1168" s="13" t="s">
        <v>2194</v>
      </c>
      <c r="C1168" s="13" t="s">
        <v>2199</v>
      </c>
      <c r="D1168" s="13" t="s">
        <v>2205</v>
      </c>
      <c r="E1168" s="13" t="s">
        <v>2211</v>
      </c>
      <c r="F1168" s="13" t="s">
        <v>2214</v>
      </c>
      <c r="G1168" s="13">
        <v>93.59</v>
      </c>
      <c r="H1168" s="44">
        <v>0</v>
      </c>
      <c r="I1168" s="13">
        <v>93.59</v>
      </c>
      <c r="J1168" s="24">
        <v>45875</v>
      </c>
      <c r="K1168" s="25">
        <v>38</v>
      </c>
      <c r="L1168" s="25">
        <v>1.9</v>
      </c>
      <c r="M1168" s="13" t="b">
        <v>0</v>
      </c>
      <c r="O1168" s="25">
        <f t="shared" si="72"/>
        <v>27</v>
      </c>
      <c r="P1168" s="13">
        <f t="shared" si="73"/>
        <v>0</v>
      </c>
      <c r="Q1168" s="13" t="str">
        <f t="shared" si="74"/>
        <v/>
      </c>
      <c r="R1168" s="13" t="str">
        <f t="shared" si="75"/>
        <v>Non diskon</v>
      </c>
    </row>
    <row r="1169" spans="1:18" x14ac:dyDescent="0.25">
      <c r="A1169" s="13" t="s">
        <v>1181</v>
      </c>
      <c r="B1169" s="13" t="s">
        <v>2191</v>
      </c>
      <c r="C1169" s="13" t="s">
        <v>2203</v>
      </c>
      <c r="D1169" s="13" t="s">
        <v>2206</v>
      </c>
      <c r="F1169" s="13" t="s">
        <v>2219</v>
      </c>
      <c r="G1169" s="13">
        <v>72.83</v>
      </c>
      <c r="H1169" s="44">
        <v>35.700000000000003</v>
      </c>
      <c r="I1169" s="13">
        <v>46.83</v>
      </c>
      <c r="J1169" s="24">
        <v>45875</v>
      </c>
      <c r="K1169" s="25">
        <v>11</v>
      </c>
      <c r="L1169" s="25">
        <v>3.1</v>
      </c>
      <c r="M1169" s="13" t="b">
        <v>0</v>
      </c>
      <c r="O1169" s="25">
        <f t="shared" si="72"/>
        <v>27</v>
      </c>
      <c r="P1169" s="13">
        <f t="shared" si="73"/>
        <v>392.70000000000005</v>
      </c>
      <c r="Q1169" s="13" t="str">
        <f t="shared" si="74"/>
        <v/>
      </c>
      <c r="R1169" s="13" t="str">
        <f t="shared" si="75"/>
        <v>Diskon</v>
      </c>
    </row>
    <row r="1170" spans="1:18" x14ac:dyDescent="0.25">
      <c r="A1170" s="13" t="s">
        <v>1182</v>
      </c>
      <c r="B1170" s="13" t="s">
        <v>2190</v>
      </c>
      <c r="C1170" s="13" t="s">
        <v>2197</v>
      </c>
      <c r="D1170" s="13" t="s">
        <v>2205</v>
      </c>
      <c r="E1170" s="13" t="s">
        <v>2211</v>
      </c>
      <c r="F1170" s="13" t="s">
        <v>2218</v>
      </c>
      <c r="G1170" s="13">
        <v>134.59</v>
      </c>
      <c r="H1170" s="44">
        <v>33.6</v>
      </c>
      <c r="I1170" s="13">
        <v>89.37</v>
      </c>
      <c r="J1170" s="24">
        <v>45875</v>
      </c>
      <c r="K1170" s="25">
        <v>42</v>
      </c>
      <c r="L1170" s="25">
        <v>2.9</v>
      </c>
      <c r="M1170" s="13" t="b">
        <v>0</v>
      </c>
      <c r="O1170" s="25">
        <f t="shared" si="72"/>
        <v>27</v>
      </c>
      <c r="P1170" s="13">
        <f t="shared" si="73"/>
        <v>1411.2</v>
      </c>
      <c r="Q1170" s="13" t="str">
        <f t="shared" si="74"/>
        <v/>
      </c>
      <c r="R1170" s="13" t="str">
        <f t="shared" si="75"/>
        <v>Diskon</v>
      </c>
    </row>
    <row r="1171" spans="1:18" x14ac:dyDescent="0.25">
      <c r="A1171" s="13" t="s">
        <v>1183</v>
      </c>
      <c r="B1171" s="13" t="s">
        <v>2194</v>
      </c>
      <c r="C1171" s="13" t="s">
        <v>2196</v>
      </c>
      <c r="D1171" s="13" t="s">
        <v>2204</v>
      </c>
      <c r="F1171" s="13" t="s">
        <v>2221</v>
      </c>
      <c r="G1171" s="13">
        <v>71.599999999999994</v>
      </c>
      <c r="H1171" s="44">
        <v>41.9</v>
      </c>
      <c r="I1171" s="13">
        <v>41.6</v>
      </c>
      <c r="J1171" s="24">
        <v>45759</v>
      </c>
      <c r="K1171" s="25">
        <v>16</v>
      </c>
      <c r="L1171" s="25">
        <v>2.8</v>
      </c>
      <c r="M1171" s="13" t="b">
        <v>0</v>
      </c>
      <c r="O1171" s="25">
        <f t="shared" si="72"/>
        <v>143</v>
      </c>
      <c r="P1171" s="13">
        <f t="shared" si="73"/>
        <v>670.4</v>
      </c>
      <c r="Q1171" s="13" t="str">
        <f t="shared" si="74"/>
        <v/>
      </c>
      <c r="R1171" s="13" t="str">
        <f t="shared" si="75"/>
        <v>Diskon</v>
      </c>
    </row>
    <row r="1172" spans="1:18" x14ac:dyDescent="0.25">
      <c r="A1172" s="13" t="s">
        <v>1184</v>
      </c>
      <c r="B1172" s="13" t="s">
        <v>2193</v>
      </c>
      <c r="C1172" s="13" t="s">
        <v>2201</v>
      </c>
      <c r="D1172" s="13" t="s">
        <v>2207</v>
      </c>
      <c r="E1172" s="13" t="s">
        <v>2208</v>
      </c>
      <c r="F1172" s="13" t="s">
        <v>2214</v>
      </c>
      <c r="G1172" s="13">
        <v>62.35</v>
      </c>
      <c r="H1172" s="44">
        <v>53.5</v>
      </c>
      <c r="I1172" s="13">
        <v>28.99</v>
      </c>
      <c r="J1172" s="24">
        <v>45875</v>
      </c>
      <c r="K1172" s="25">
        <v>1</v>
      </c>
      <c r="L1172" s="25">
        <v>4.0999999999999996</v>
      </c>
      <c r="M1172" s="13" t="b">
        <v>0</v>
      </c>
      <c r="O1172" s="25">
        <f t="shared" si="72"/>
        <v>27</v>
      </c>
      <c r="P1172" s="13">
        <f t="shared" si="73"/>
        <v>53.5</v>
      </c>
      <c r="Q1172" s="13" t="str">
        <f t="shared" si="74"/>
        <v/>
      </c>
      <c r="R1172" s="13" t="str">
        <f t="shared" si="75"/>
        <v>Diskon</v>
      </c>
    </row>
    <row r="1173" spans="1:18" x14ac:dyDescent="0.25">
      <c r="A1173" s="13" t="s">
        <v>1185</v>
      </c>
      <c r="B1173" s="13" t="s">
        <v>2190</v>
      </c>
      <c r="C1173" s="13" t="s">
        <v>2201</v>
      </c>
      <c r="D1173" s="13" t="s">
        <v>2204</v>
      </c>
      <c r="E1173" s="13" t="s">
        <v>2212</v>
      </c>
      <c r="F1173" s="13" t="s">
        <v>2222</v>
      </c>
      <c r="G1173" s="13">
        <v>80.55</v>
      </c>
      <c r="H1173" s="44">
        <v>43.7</v>
      </c>
      <c r="I1173" s="13">
        <v>45.35</v>
      </c>
      <c r="J1173" s="24">
        <v>45586</v>
      </c>
      <c r="K1173" s="25">
        <v>41</v>
      </c>
      <c r="L1173" s="25">
        <v>4.8</v>
      </c>
      <c r="M1173" s="13" t="b">
        <v>1</v>
      </c>
      <c r="N1173" s="13" t="s">
        <v>2229</v>
      </c>
      <c r="O1173" s="25">
        <f t="shared" si="72"/>
        <v>316</v>
      </c>
      <c r="P1173" s="13">
        <f t="shared" si="73"/>
        <v>1791.7</v>
      </c>
      <c r="Q1173" s="13">
        <f t="shared" si="74"/>
        <v>1</v>
      </c>
      <c r="R1173" s="13" t="str">
        <f t="shared" si="75"/>
        <v>Diskon</v>
      </c>
    </row>
    <row r="1174" spans="1:18" x14ac:dyDescent="0.25">
      <c r="A1174" s="13" t="s">
        <v>1186</v>
      </c>
      <c r="B1174" s="13" t="s">
        <v>2193</v>
      </c>
      <c r="C1174" s="13" t="s">
        <v>2198</v>
      </c>
      <c r="D1174" s="13" t="s">
        <v>2205</v>
      </c>
      <c r="E1174" s="13" t="s">
        <v>2213</v>
      </c>
      <c r="F1174" s="13" t="s">
        <v>2221</v>
      </c>
      <c r="G1174" s="13">
        <v>171.48</v>
      </c>
      <c r="H1174" s="44">
        <v>0</v>
      </c>
      <c r="I1174" s="13">
        <v>171.48</v>
      </c>
      <c r="J1174" s="24">
        <v>45875</v>
      </c>
      <c r="K1174" s="25">
        <v>15</v>
      </c>
      <c r="L1174" s="25">
        <v>2.4</v>
      </c>
      <c r="M1174" s="13" t="b">
        <v>0</v>
      </c>
      <c r="O1174" s="25">
        <f t="shared" si="72"/>
        <v>27</v>
      </c>
      <c r="P1174" s="13">
        <f t="shared" si="73"/>
        <v>0</v>
      </c>
      <c r="Q1174" s="13" t="str">
        <f t="shared" si="74"/>
        <v/>
      </c>
      <c r="R1174" s="13" t="str">
        <f t="shared" si="75"/>
        <v>Non diskon</v>
      </c>
    </row>
    <row r="1175" spans="1:18" x14ac:dyDescent="0.25">
      <c r="A1175" s="13" t="s">
        <v>1187</v>
      </c>
      <c r="B1175" s="13" t="s">
        <v>2191</v>
      </c>
      <c r="C1175" s="13" t="s">
        <v>2201</v>
      </c>
      <c r="D1175" s="13" t="s">
        <v>2204</v>
      </c>
      <c r="E1175" s="13" t="s">
        <v>2208</v>
      </c>
      <c r="F1175" s="13" t="s">
        <v>2222</v>
      </c>
      <c r="G1175" s="13">
        <v>30.81</v>
      </c>
      <c r="H1175" s="44">
        <v>15.7</v>
      </c>
      <c r="I1175" s="13">
        <v>25.97</v>
      </c>
      <c r="J1175" s="24">
        <v>45554</v>
      </c>
      <c r="K1175" s="25">
        <v>4</v>
      </c>
      <c r="L1175" s="25">
        <v>2.9846153846153847</v>
      </c>
      <c r="M1175" s="13" t="b">
        <v>0</v>
      </c>
      <c r="O1175" s="25">
        <f t="shared" si="72"/>
        <v>348</v>
      </c>
      <c r="P1175" s="13">
        <f t="shared" si="73"/>
        <v>62.8</v>
      </c>
      <c r="Q1175" s="13" t="str">
        <f t="shared" si="74"/>
        <v/>
      </c>
      <c r="R1175" s="13" t="str">
        <f t="shared" si="75"/>
        <v>Diskon</v>
      </c>
    </row>
    <row r="1176" spans="1:18" x14ac:dyDescent="0.25">
      <c r="A1176" s="13" t="s">
        <v>1188</v>
      </c>
      <c r="B1176" s="13" t="s">
        <v>2195</v>
      </c>
      <c r="C1176" s="13" t="s">
        <v>2200</v>
      </c>
      <c r="D1176" s="13" t="s">
        <v>2207</v>
      </c>
      <c r="E1176" s="13" t="s">
        <v>2209</v>
      </c>
      <c r="F1176" s="13" t="s">
        <v>2219</v>
      </c>
      <c r="G1176" s="13">
        <v>97.14</v>
      </c>
      <c r="H1176" s="44">
        <v>0</v>
      </c>
      <c r="I1176" s="13">
        <v>97.14</v>
      </c>
      <c r="J1176" s="24">
        <v>45875</v>
      </c>
      <c r="K1176" s="25">
        <v>20</v>
      </c>
      <c r="L1176" s="25">
        <v>4.0999999999999996</v>
      </c>
      <c r="M1176" s="13" t="b">
        <v>0</v>
      </c>
      <c r="O1176" s="25">
        <f t="shared" si="72"/>
        <v>27</v>
      </c>
      <c r="P1176" s="13">
        <f t="shared" si="73"/>
        <v>0</v>
      </c>
      <c r="Q1176" s="13" t="str">
        <f t="shared" si="74"/>
        <v/>
      </c>
      <c r="R1176" s="13" t="str">
        <f t="shared" si="75"/>
        <v>Non diskon</v>
      </c>
    </row>
    <row r="1177" spans="1:18" x14ac:dyDescent="0.25">
      <c r="A1177" s="13" t="s">
        <v>1189</v>
      </c>
      <c r="B1177" s="13" t="s">
        <v>2193</v>
      </c>
      <c r="C1177" s="13" t="s">
        <v>2203</v>
      </c>
      <c r="D1177" s="13" t="s">
        <v>2206</v>
      </c>
      <c r="E1177" s="13" t="s">
        <v>2210</v>
      </c>
      <c r="F1177" s="13" t="s">
        <v>2217</v>
      </c>
      <c r="G1177" s="13">
        <v>128.27000000000001</v>
      </c>
      <c r="H1177" s="44">
        <v>0</v>
      </c>
      <c r="I1177" s="13">
        <v>128.27000000000001</v>
      </c>
      <c r="J1177" s="24">
        <v>45875</v>
      </c>
      <c r="K1177" s="25">
        <v>28</v>
      </c>
      <c r="L1177" s="25">
        <v>3.2576923076923077</v>
      </c>
      <c r="M1177" s="13" t="b">
        <v>0</v>
      </c>
      <c r="O1177" s="25">
        <f t="shared" si="72"/>
        <v>27</v>
      </c>
      <c r="P1177" s="13">
        <f t="shared" si="73"/>
        <v>0</v>
      </c>
      <c r="Q1177" s="13" t="str">
        <f t="shared" si="74"/>
        <v/>
      </c>
      <c r="R1177" s="13" t="str">
        <f t="shared" si="75"/>
        <v>Non diskon</v>
      </c>
    </row>
    <row r="1178" spans="1:18" x14ac:dyDescent="0.25">
      <c r="A1178" s="13" t="s">
        <v>1190</v>
      </c>
      <c r="B1178" s="13" t="s">
        <v>2195</v>
      </c>
      <c r="C1178" s="13" t="s">
        <v>2196</v>
      </c>
      <c r="D1178" s="13" t="s">
        <v>2205</v>
      </c>
      <c r="E1178" s="13" t="s">
        <v>2208</v>
      </c>
      <c r="F1178" s="13" t="s">
        <v>2220</v>
      </c>
      <c r="G1178" s="13">
        <v>174.86</v>
      </c>
      <c r="H1178" s="44">
        <v>0</v>
      </c>
      <c r="I1178" s="13">
        <v>174.86</v>
      </c>
      <c r="J1178" s="24">
        <v>45875</v>
      </c>
      <c r="K1178" s="25">
        <v>43</v>
      </c>
      <c r="L1178" s="25">
        <v>4.5999999999999996</v>
      </c>
      <c r="M1178" s="13" t="b">
        <v>0</v>
      </c>
      <c r="O1178" s="25">
        <f t="shared" si="72"/>
        <v>27</v>
      </c>
      <c r="P1178" s="13">
        <f t="shared" si="73"/>
        <v>0</v>
      </c>
      <c r="Q1178" s="13" t="str">
        <f t="shared" si="74"/>
        <v/>
      </c>
      <c r="R1178" s="13" t="str">
        <f t="shared" si="75"/>
        <v>Non diskon</v>
      </c>
    </row>
    <row r="1179" spans="1:18" x14ac:dyDescent="0.25">
      <c r="A1179" s="13" t="s">
        <v>1191</v>
      </c>
      <c r="B1179" s="13" t="s">
        <v>2195</v>
      </c>
      <c r="C1179" s="13" t="s">
        <v>2198</v>
      </c>
      <c r="D1179" s="13" t="s">
        <v>2205</v>
      </c>
      <c r="E1179" s="13" t="s">
        <v>2208</v>
      </c>
      <c r="F1179" s="13" t="s">
        <v>2217</v>
      </c>
      <c r="G1179" s="13">
        <v>100.03</v>
      </c>
      <c r="H1179" s="44">
        <v>0</v>
      </c>
      <c r="I1179" s="13">
        <v>100.03</v>
      </c>
      <c r="J1179" s="24">
        <v>45875</v>
      </c>
      <c r="K1179" s="25">
        <v>36</v>
      </c>
      <c r="L1179" s="25">
        <v>1.9</v>
      </c>
      <c r="M1179" s="13" t="b">
        <v>1</v>
      </c>
      <c r="N1179" s="13" t="s">
        <v>2228</v>
      </c>
      <c r="O1179" s="25">
        <f t="shared" si="72"/>
        <v>27</v>
      </c>
      <c r="P1179" s="13">
        <f t="shared" si="73"/>
        <v>0</v>
      </c>
      <c r="Q1179" s="13">
        <f t="shared" si="74"/>
        <v>1</v>
      </c>
      <c r="R1179" s="13" t="str">
        <f t="shared" si="75"/>
        <v>Non diskon</v>
      </c>
    </row>
    <row r="1180" spans="1:18" x14ac:dyDescent="0.25">
      <c r="A1180" s="13" t="s">
        <v>1192</v>
      </c>
      <c r="B1180" s="13" t="s">
        <v>2195</v>
      </c>
      <c r="C1180" s="13" t="s">
        <v>2196</v>
      </c>
      <c r="D1180" s="13" t="s">
        <v>2205</v>
      </c>
      <c r="E1180" s="13" t="s">
        <v>2210</v>
      </c>
      <c r="F1180" s="13" t="s">
        <v>2223</v>
      </c>
      <c r="G1180" s="13">
        <v>49.89</v>
      </c>
      <c r="H1180" s="44">
        <v>0</v>
      </c>
      <c r="I1180" s="13">
        <v>49.89</v>
      </c>
      <c r="J1180" s="24">
        <v>45875</v>
      </c>
      <c r="K1180" s="25">
        <v>0</v>
      </c>
      <c r="L1180" s="25">
        <v>3.5</v>
      </c>
      <c r="M1180" s="13" t="b">
        <v>1</v>
      </c>
      <c r="N1180" s="13" t="s">
        <v>2230</v>
      </c>
      <c r="O1180" s="25">
        <f t="shared" si="72"/>
        <v>27</v>
      </c>
      <c r="P1180" s="13">
        <f t="shared" si="73"/>
        <v>0</v>
      </c>
      <c r="Q1180" s="13">
        <f t="shared" si="74"/>
        <v>1</v>
      </c>
      <c r="R1180" s="13" t="str">
        <f t="shared" si="75"/>
        <v>Non diskon</v>
      </c>
    </row>
    <row r="1181" spans="1:18" x14ac:dyDescent="0.25">
      <c r="A1181" s="13" t="s">
        <v>1193</v>
      </c>
      <c r="B1181" s="13" t="s">
        <v>2193</v>
      </c>
      <c r="C1181" s="13" t="s">
        <v>2200</v>
      </c>
      <c r="D1181" s="13" t="s">
        <v>2206</v>
      </c>
      <c r="E1181" s="13" t="s">
        <v>2208</v>
      </c>
      <c r="F1181" s="13" t="s">
        <v>2224</v>
      </c>
      <c r="G1181" s="13">
        <v>170.43</v>
      </c>
      <c r="H1181" s="44">
        <v>0</v>
      </c>
      <c r="I1181" s="13">
        <v>170.43</v>
      </c>
      <c r="J1181" s="24">
        <v>45875</v>
      </c>
      <c r="K1181" s="25">
        <v>22</v>
      </c>
      <c r="L1181" s="25">
        <v>3.3021276595744684</v>
      </c>
      <c r="M1181" s="13" t="b">
        <v>0</v>
      </c>
      <c r="O1181" s="25">
        <f t="shared" si="72"/>
        <v>27</v>
      </c>
      <c r="P1181" s="13">
        <f t="shared" si="73"/>
        <v>0</v>
      </c>
      <c r="Q1181" s="13" t="str">
        <f t="shared" si="74"/>
        <v/>
      </c>
      <c r="R1181" s="13" t="str">
        <f t="shared" si="75"/>
        <v>Non diskon</v>
      </c>
    </row>
    <row r="1182" spans="1:18" x14ac:dyDescent="0.25">
      <c r="A1182" s="13" t="s">
        <v>1194</v>
      </c>
      <c r="B1182" s="13" t="s">
        <v>2190</v>
      </c>
      <c r="C1182" s="13" t="s">
        <v>2202</v>
      </c>
      <c r="D1182" s="13" t="s">
        <v>2207</v>
      </c>
      <c r="E1182" s="13" t="s">
        <v>2212</v>
      </c>
      <c r="F1182" s="13" t="s">
        <v>2222</v>
      </c>
      <c r="G1182" s="13">
        <v>186.78</v>
      </c>
      <c r="H1182" s="44">
        <v>0</v>
      </c>
      <c r="I1182" s="13">
        <v>186.78</v>
      </c>
      <c r="J1182" s="24">
        <v>45875</v>
      </c>
      <c r="K1182" s="25">
        <v>22</v>
      </c>
      <c r="L1182" s="25">
        <v>2.9</v>
      </c>
      <c r="M1182" s="13" t="b">
        <v>0</v>
      </c>
      <c r="O1182" s="25">
        <f t="shared" si="72"/>
        <v>27</v>
      </c>
      <c r="P1182" s="13">
        <f t="shared" si="73"/>
        <v>0</v>
      </c>
      <c r="Q1182" s="13" t="str">
        <f t="shared" si="74"/>
        <v/>
      </c>
      <c r="R1182" s="13" t="str">
        <f t="shared" si="75"/>
        <v>Non diskon</v>
      </c>
    </row>
    <row r="1183" spans="1:18" x14ac:dyDescent="0.25">
      <c r="A1183" s="13" t="s">
        <v>1195</v>
      </c>
      <c r="B1183" s="13" t="s">
        <v>2192</v>
      </c>
      <c r="C1183" s="13" t="s">
        <v>2203</v>
      </c>
      <c r="D1183" s="13" t="s">
        <v>2206</v>
      </c>
      <c r="F1183" s="13" t="s">
        <v>2222</v>
      </c>
      <c r="G1183" s="13">
        <v>63.98</v>
      </c>
      <c r="H1183" s="44">
        <v>0</v>
      </c>
      <c r="I1183" s="13">
        <v>63.98</v>
      </c>
      <c r="J1183" s="24">
        <v>45875</v>
      </c>
      <c r="K1183" s="25">
        <v>36</v>
      </c>
      <c r="L1183" s="25">
        <v>1.7</v>
      </c>
      <c r="M1183" s="13" t="b">
        <v>0</v>
      </c>
      <c r="O1183" s="25">
        <f t="shared" si="72"/>
        <v>27</v>
      </c>
      <c r="P1183" s="13">
        <f t="shared" si="73"/>
        <v>0</v>
      </c>
      <c r="Q1183" s="13" t="str">
        <f t="shared" si="74"/>
        <v/>
      </c>
      <c r="R1183" s="13" t="str">
        <f t="shared" si="75"/>
        <v>Non diskon</v>
      </c>
    </row>
    <row r="1184" spans="1:18" x14ac:dyDescent="0.25">
      <c r="A1184" s="13" t="s">
        <v>1196</v>
      </c>
      <c r="B1184" s="13" t="s">
        <v>2190</v>
      </c>
      <c r="C1184" s="13" t="s">
        <v>2203</v>
      </c>
      <c r="D1184" s="13" t="s">
        <v>2206</v>
      </c>
      <c r="E1184" s="13" t="s">
        <v>2212</v>
      </c>
      <c r="F1184" s="13" t="s">
        <v>2222</v>
      </c>
      <c r="G1184" s="13">
        <v>225.64</v>
      </c>
      <c r="H1184" s="44">
        <v>0</v>
      </c>
      <c r="I1184" s="13">
        <v>225.64</v>
      </c>
      <c r="J1184" s="24">
        <v>45875</v>
      </c>
      <c r="K1184" s="25">
        <v>31</v>
      </c>
      <c r="L1184" s="25">
        <v>1.3</v>
      </c>
      <c r="M1184" s="13" t="b">
        <v>0</v>
      </c>
      <c r="O1184" s="25">
        <f t="shared" si="72"/>
        <v>27</v>
      </c>
      <c r="P1184" s="13">
        <f t="shared" si="73"/>
        <v>0</v>
      </c>
      <c r="Q1184" s="13" t="str">
        <f t="shared" si="74"/>
        <v/>
      </c>
      <c r="R1184" s="13" t="str">
        <f t="shared" si="75"/>
        <v>Non diskon</v>
      </c>
    </row>
    <row r="1185" spans="1:18" x14ac:dyDescent="0.25">
      <c r="A1185" s="13" t="s">
        <v>1197</v>
      </c>
      <c r="B1185" s="13" t="s">
        <v>2191</v>
      </c>
      <c r="C1185" s="13" t="s">
        <v>2199</v>
      </c>
      <c r="D1185" s="13" t="s">
        <v>2206</v>
      </c>
      <c r="E1185" s="13" t="s">
        <v>2212</v>
      </c>
      <c r="F1185" s="13" t="s">
        <v>2217</v>
      </c>
      <c r="G1185" s="13">
        <v>115.29</v>
      </c>
      <c r="H1185" s="44">
        <v>13.9</v>
      </c>
      <c r="I1185" s="13">
        <v>99.26</v>
      </c>
      <c r="J1185" s="24">
        <v>45875</v>
      </c>
      <c r="K1185" s="25">
        <v>37</v>
      </c>
      <c r="L1185" s="25">
        <v>2.9742857142857138</v>
      </c>
      <c r="M1185" s="13" t="b">
        <v>0</v>
      </c>
      <c r="O1185" s="25">
        <f t="shared" si="72"/>
        <v>27</v>
      </c>
      <c r="P1185" s="13">
        <f t="shared" si="73"/>
        <v>514.30000000000007</v>
      </c>
      <c r="Q1185" s="13" t="str">
        <f t="shared" si="74"/>
        <v/>
      </c>
      <c r="R1185" s="13" t="str">
        <f t="shared" si="75"/>
        <v>Diskon</v>
      </c>
    </row>
    <row r="1186" spans="1:18" x14ac:dyDescent="0.25">
      <c r="A1186" s="13" t="s">
        <v>1198</v>
      </c>
      <c r="B1186" s="13" t="s">
        <v>2194</v>
      </c>
      <c r="C1186" s="13" t="s">
        <v>2199</v>
      </c>
      <c r="D1186" s="13" t="s">
        <v>2206</v>
      </c>
      <c r="E1186" s="13" t="s">
        <v>2212</v>
      </c>
      <c r="F1186" s="13" t="s">
        <v>2217</v>
      </c>
      <c r="G1186" s="13">
        <v>92.59</v>
      </c>
      <c r="H1186" s="44">
        <v>0</v>
      </c>
      <c r="I1186" s="13">
        <v>92.59</v>
      </c>
      <c r="J1186" s="24">
        <v>45875</v>
      </c>
      <c r="K1186" s="25">
        <v>39</v>
      </c>
      <c r="L1186" s="25">
        <v>2.2999999999999998</v>
      </c>
      <c r="M1186" s="13" t="b">
        <v>0</v>
      </c>
      <c r="O1186" s="25">
        <f t="shared" si="72"/>
        <v>27</v>
      </c>
      <c r="P1186" s="13">
        <f t="shared" si="73"/>
        <v>0</v>
      </c>
      <c r="Q1186" s="13" t="str">
        <f t="shared" si="74"/>
        <v/>
      </c>
      <c r="R1186" s="13" t="str">
        <f t="shared" si="75"/>
        <v>Non diskon</v>
      </c>
    </row>
    <row r="1187" spans="1:18" x14ac:dyDescent="0.25">
      <c r="A1187" s="13" t="s">
        <v>1199</v>
      </c>
      <c r="B1187" s="13" t="s">
        <v>2192</v>
      </c>
      <c r="C1187" s="13" t="s">
        <v>2197</v>
      </c>
      <c r="D1187" s="13" t="s">
        <v>2204</v>
      </c>
      <c r="F1187" s="13" t="s">
        <v>2221</v>
      </c>
      <c r="G1187" s="13">
        <v>67.650000000000006</v>
      </c>
      <c r="H1187" s="44">
        <v>26.2</v>
      </c>
      <c r="I1187" s="13">
        <v>49.93</v>
      </c>
      <c r="J1187" s="24">
        <v>45805</v>
      </c>
      <c r="K1187" s="25">
        <v>23</v>
      </c>
      <c r="L1187" s="25">
        <v>1.7</v>
      </c>
      <c r="M1187" s="13" t="b">
        <v>0</v>
      </c>
      <c r="O1187" s="25">
        <f t="shared" si="72"/>
        <v>97</v>
      </c>
      <c r="P1187" s="13">
        <f t="shared" si="73"/>
        <v>602.6</v>
      </c>
      <c r="Q1187" s="13" t="str">
        <f t="shared" si="74"/>
        <v/>
      </c>
      <c r="R1187" s="13" t="str">
        <f t="shared" si="75"/>
        <v>Diskon</v>
      </c>
    </row>
    <row r="1188" spans="1:18" x14ac:dyDescent="0.25">
      <c r="A1188" s="13" t="s">
        <v>1200</v>
      </c>
      <c r="B1188" s="13" t="s">
        <v>2190</v>
      </c>
      <c r="C1188" s="13" t="s">
        <v>2201</v>
      </c>
      <c r="D1188" s="13" t="s">
        <v>2204</v>
      </c>
      <c r="E1188" s="13" t="s">
        <v>2209</v>
      </c>
      <c r="F1188" s="13" t="s">
        <v>2217</v>
      </c>
      <c r="G1188" s="13">
        <v>128.91999999999999</v>
      </c>
      <c r="H1188" s="44">
        <v>0</v>
      </c>
      <c r="I1188" s="13">
        <v>128.91999999999999</v>
      </c>
      <c r="J1188" s="24">
        <v>45848</v>
      </c>
      <c r="K1188" s="25">
        <v>40</v>
      </c>
      <c r="L1188" s="25">
        <v>1.5</v>
      </c>
      <c r="M1188" s="13" t="b">
        <v>0</v>
      </c>
      <c r="O1188" s="25">
        <f t="shared" si="72"/>
        <v>54</v>
      </c>
      <c r="P1188" s="13">
        <f t="shared" si="73"/>
        <v>0</v>
      </c>
      <c r="Q1188" s="13" t="str">
        <f t="shared" si="74"/>
        <v/>
      </c>
      <c r="R1188" s="13" t="str">
        <f t="shared" si="75"/>
        <v>Non diskon</v>
      </c>
    </row>
    <row r="1189" spans="1:18" x14ac:dyDescent="0.25">
      <c r="A1189" s="13" t="s">
        <v>1201</v>
      </c>
      <c r="B1189" s="13" t="s">
        <v>2192</v>
      </c>
      <c r="C1189" s="13" t="s">
        <v>2198</v>
      </c>
      <c r="D1189" s="13" t="s">
        <v>2206</v>
      </c>
      <c r="F1189" s="13" t="s">
        <v>2214</v>
      </c>
      <c r="G1189" s="13">
        <v>16.510000000000002</v>
      </c>
      <c r="H1189" s="44">
        <v>16.8</v>
      </c>
      <c r="I1189" s="13">
        <v>13.74</v>
      </c>
      <c r="J1189" s="24">
        <v>45875</v>
      </c>
      <c r="K1189" s="25">
        <v>47</v>
      </c>
      <c r="L1189" s="25">
        <v>1.2</v>
      </c>
      <c r="M1189" s="13" t="b">
        <v>0</v>
      </c>
      <c r="O1189" s="25">
        <f t="shared" si="72"/>
        <v>27</v>
      </c>
      <c r="P1189" s="13">
        <f t="shared" si="73"/>
        <v>789.6</v>
      </c>
      <c r="Q1189" s="13" t="str">
        <f t="shared" si="74"/>
        <v/>
      </c>
      <c r="R1189" s="13" t="str">
        <f t="shared" si="75"/>
        <v>Diskon</v>
      </c>
    </row>
    <row r="1190" spans="1:18" x14ac:dyDescent="0.25">
      <c r="A1190" s="13" t="s">
        <v>1202</v>
      </c>
      <c r="B1190" s="13" t="s">
        <v>2193</v>
      </c>
      <c r="C1190" s="13" t="s">
        <v>2198</v>
      </c>
      <c r="D1190" s="13" t="s">
        <v>2205</v>
      </c>
      <c r="F1190" s="13" t="s">
        <v>2218</v>
      </c>
      <c r="G1190" s="13">
        <v>173.66</v>
      </c>
      <c r="H1190" s="44">
        <v>42.7</v>
      </c>
      <c r="I1190" s="13">
        <v>99.51</v>
      </c>
      <c r="J1190" s="24">
        <v>45875</v>
      </c>
      <c r="K1190" s="25">
        <v>1</v>
      </c>
      <c r="L1190" s="25">
        <v>3.1</v>
      </c>
      <c r="M1190" s="13" t="b">
        <v>0</v>
      </c>
      <c r="O1190" s="25">
        <f t="shared" si="72"/>
        <v>27</v>
      </c>
      <c r="P1190" s="13">
        <f t="shared" si="73"/>
        <v>42.7</v>
      </c>
      <c r="Q1190" s="13" t="str">
        <f t="shared" si="74"/>
        <v/>
      </c>
      <c r="R1190" s="13" t="str">
        <f t="shared" si="75"/>
        <v>Diskon</v>
      </c>
    </row>
    <row r="1191" spans="1:18" x14ac:dyDescent="0.25">
      <c r="A1191" s="13" t="s">
        <v>1203</v>
      </c>
      <c r="B1191" s="13" t="s">
        <v>2191</v>
      </c>
      <c r="C1191" s="13" t="s">
        <v>2200</v>
      </c>
      <c r="D1191" s="13" t="s">
        <v>2204</v>
      </c>
      <c r="E1191" s="13" t="s">
        <v>2210</v>
      </c>
      <c r="F1191" s="13" t="s">
        <v>2216</v>
      </c>
      <c r="G1191" s="13">
        <v>71.489999999999995</v>
      </c>
      <c r="H1191" s="44">
        <v>20.9</v>
      </c>
      <c r="I1191" s="13">
        <v>56.55</v>
      </c>
      <c r="J1191" s="24">
        <v>45669</v>
      </c>
      <c r="K1191" s="25">
        <v>33</v>
      </c>
      <c r="L1191" s="25">
        <v>1.3</v>
      </c>
      <c r="M1191" s="13" t="b">
        <v>0</v>
      </c>
      <c r="O1191" s="25">
        <f t="shared" si="72"/>
        <v>233</v>
      </c>
      <c r="P1191" s="13">
        <f t="shared" si="73"/>
        <v>689.69999999999993</v>
      </c>
      <c r="Q1191" s="13" t="str">
        <f t="shared" si="74"/>
        <v/>
      </c>
      <c r="R1191" s="13" t="str">
        <f t="shared" si="75"/>
        <v>Diskon</v>
      </c>
    </row>
    <row r="1192" spans="1:18" x14ac:dyDescent="0.25">
      <c r="A1192" s="13" t="s">
        <v>1204</v>
      </c>
      <c r="B1192" s="13" t="s">
        <v>2190</v>
      </c>
      <c r="C1192" s="13" t="s">
        <v>2197</v>
      </c>
      <c r="D1192" s="13" t="s">
        <v>2206</v>
      </c>
      <c r="E1192" s="13" t="s">
        <v>2211</v>
      </c>
      <c r="F1192" s="13" t="s">
        <v>2218</v>
      </c>
      <c r="G1192" s="13">
        <v>230.81</v>
      </c>
      <c r="H1192" s="44">
        <v>24.3</v>
      </c>
      <c r="I1192" s="13">
        <v>174.72</v>
      </c>
      <c r="J1192" s="24">
        <v>45875</v>
      </c>
      <c r="K1192" s="25">
        <v>26</v>
      </c>
      <c r="L1192" s="25">
        <v>3.15</v>
      </c>
      <c r="M1192" s="13" t="b">
        <v>1</v>
      </c>
      <c r="N1192" s="13" t="s">
        <v>2226</v>
      </c>
      <c r="O1192" s="25">
        <f t="shared" si="72"/>
        <v>27</v>
      </c>
      <c r="P1192" s="13">
        <f t="shared" si="73"/>
        <v>631.80000000000007</v>
      </c>
      <c r="Q1192" s="13">
        <f t="shared" si="74"/>
        <v>1</v>
      </c>
      <c r="R1192" s="13" t="str">
        <f t="shared" si="75"/>
        <v>Diskon</v>
      </c>
    </row>
    <row r="1193" spans="1:18" x14ac:dyDescent="0.25">
      <c r="A1193" s="13" t="s">
        <v>1205</v>
      </c>
      <c r="B1193" s="13" t="s">
        <v>2193</v>
      </c>
      <c r="C1193" s="13" t="s">
        <v>2200</v>
      </c>
      <c r="D1193" s="13" t="s">
        <v>2204</v>
      </c>
      <c r="E1193" s="13" t="s">
        <v>2212</v>
      </c>
      <c r="F1193" s="13" t="s">
        <v>2220</v>
      </c>
      <c r="G1193" s="13">
        <v>101</v>
      </c>
      <c r="H1193" s="44">
        <v>58.6</v>
      </c>
      <c r="I1193" s="13">
        <v>41.81</v>
      </c>
      <c r="J1193" s="24">
        <v>45842</v>
      </c>
      <c r="K1193" s="25">
        <v>44</v>
      </c>
      <c r="L1193" s="25">
        <v>1.2</v>
      </c>
      <c r="M1193" s="13" t="b">
        <v>0</v>
      </c>
      <c r="O1193" s="25">
        <f t="shared" si="72"/>
        <v>60</v>
      </c>
      <c r="P1193" s="13">
        <f t="shared" si="73"/>
        <v>2578.4</v>
      </c>
      <c r="Q1193" s="13" t="str">
        <f t="shared" si="74"/>
        <v/>
      </c>
      <c r="R1193" s="13" t="str">
        <f t="shared" si="75"/>
        <v>Diskon</v>
      </c>
    </row>
    <row r="1194" spans="1:18" x14ac:dyDescent="0.25">
      <c r="A1194" s="13" t="s">
        <v>1206</v>
      </c>
      <c r="B1194" s="13" t="s">
        <v>2190</v>
      </c>
      <c r="C1194" s="13" t="s">
        <v>2199</v>
      </c>
      <c r="D1194" s="13" t="s">
        <v>2205</v>
      </c>
      <c r="E1194" s="13" t="s">
        <v>2211</v>
      </c>
      <c r="F1194" s="13" t="s">
        <v>2224</v>
      </c>
      <c r="G1194" s="13">
        <v>116.37</v>
      </c>
      <c r="H1194" s="44">
        <v>52.6</v>
      </c>
      <c r="I1194" s="13">
        <v>55.16</v>
      </c>
      <c r="J1194" s="24">
        <v>45875</v>
      </c>
      <c r="K1194" s="25">
        <v>43</v>
      </c>
      <c r="L1194" s="25">
        <v>2.4</v>
      </c>
      <c r="M1194" s="13" t="b">
        <v>0</v>
      </c>
      <c r="O1194" s="25">
        <f t="shared" si="72"/>
        <v>27</v>
      </c>
      <c r="P1194" s="13">
        <f t="shared" si="73"/>
        <v>2261.8000000000002</v>
      </c>
      <c r="Q1194" s="13" t="str">
        <f t="shared" si="74"/>
        <v/>
      </c>
      <c r="R1194" s="13" t="str">
        <f t="shared" si="75"/>
        <v>Diskon</v>
      </c>
    </row>
    <row r="1195" spans="1:18" x14ac:dyDescent="0.25">
      <c r="A1195" s="13" t="s">
        <v>1207</v>
      </c>
      <c r="B1195" s="13" t="s">
        <v>2193</v>
      </c>
      <c r="C1195" s="13" t="s">
        <v>2200</v>
      </c>
      <c r="D1195" s="13" t="s">
        <v>2204</v>
      </c>
      <c r="E1195" s="13" t="s">
        <v>2209</v>
      </c>
      <c r="F1195" s="13" t="s">
        <v>2221</v>
      </c>
      <c r="G1195" s="13">
        <v>150.28</v>
      </c>
      <c r="H1195" s="44">
        <v>8.3000000000000007</v>
      </c>
      <c r="I1195" s="13">
        <v>137.81</v>
      </c>
      <c r="J1195" s="24">
        <v>45679</v>
      </c>
      <c r="K1195" s="25">
        <v>48</v>
      </c>
      <c r="L1195" s="25">
        <v>2.9</v>
      </c>
      <c r="M1195" s="13" t="b">
        <v>0</v>
      </c>
      <c r="O1195" s="25">
        <f t="shared" si="72"/>
        <v>223</v>
      </c>
      <c r="P1195" s="13">
        <f t="shared" si="73"/>
        <v>398.40000000000003</v>
      </c>
      <c r="Q1195" s="13" t="str">
        <f t="shared" si="74"/>
        <v/>
      </c>
      <c r="R1195" s="13" t="str">
        <f t="shared" si="75"/>
        <v>Diskon</v>
      </c>
    </row>
    <row r="1196" spans="1:18" x14ac:dyDescent="0.25">
      <c r="A1196" s="13" t="s">
        <v>1208</v>
      </c>
      <c r="B1196" s="13" t="s">
        <v>2190</v>
      </c>
      <c r="C1196" s="13" t="s">
        <v>2196</v>
      </c>
      <c r="D1196" s="13" t="s">
        <v>2205</v>
      </c>
      <c r="E1196" s="13" t="s">
        <v>2208</v>
      </c>
      <c r="F1196" s="13" t="s">
        <v>2218</v>
      </c>
      <c r="G1196" s="13">
        <v>107.81</v>
      </c>
      <c r="H1196" s="44">
        <v>0</v>
      </c>
      <c r="I1196" s="13">
        <v>107.81</v>
      </c>
      <c r="J1196" s="24">
        <v>45875</v>
      </c>
      <c r="K1196" s="25">
        <v>15</v>
      </c>
      <c r="L1196" s="25">
        <v>2.7</v>
      </c>
      <c r="M1196" s="13" t="b">
        <v>0</v>
      </c>
      <c r="O1196" s="25">
        <f t="shared" si="72"/>
        <v>27</v>
      </c>
      <c r="P1196" s="13">
        <f t="shared" si="73"/>
        <v>0</v>
      </c>
      <c r="Q1196" s="13" t="str">
        <f t="shared" si="74"/>
        <v/>
      </c>
      <c r="R1196" s="13" t="str">
        <f t="shared" si="75"/>
        <v>Non diskon</v>
      </c>
    </row>
    <row r="1197" spans="1:18" x14ac:dyDescent="0.25">
      <c r="A1197" s="13" t="s">
        <v>1209</v>
      </c>
      <c r="B1197" s="13" t="s">
        <v>2195</v>
      </c>
      <c r="C1197" s="13" t="s">
        <v>2196</v>
      </c>
      <c r="D1197" s="13" t="s">
        <v>2204</v>
      </c>
      <c r="E1197" s="13" t="s">
        <v>2209</v>
      </c>
      <c r="F1197" s="13" t="s">
        <v>2222</v>
      </c>
      <c r="G1197" s="13">
        <v>61.24</v>
      </c>
      <c r="H1197" s="44">
        <v>0</v>
      </c>
      <c r="I1197" s="13">
        <v>61.24</v>
      </c>
      <c r="J1197" s="24">
        <v>45752</v>
      </c>
      <c r="K1197" s="25">
        <v>3</v>
      </c>
      <c r="L1197" s="25">
        <v>3.0424242424242425</v>
      </c>
      <c r="M1197" s="13" t="b">
        <v>0</v>
      </c>
      <c r="O1197" s="25">
        <f t="shared" si="72"/>
        <v>150</v>
      </c>
      <c r="P1197" s="13">
        <f t="shared" si="73"/>
        <v>0</v>
      </c>
      <c r="Q1197" s="13" t="str">
        <f t="shared" si="74"/>
        <v/>
      </c>
      <c r="R1197" s="13" t="str">
        <f t="shared" si="75"/>
        <v>Non diskon</v>
      </c>
    </row>
    <row r="1198" spans="1:18" x14ac:dyDescent="0.25">
      <c r="A1198" s="13" t="s">
        <v>1210</v>
      </c>
      <c r="B1198" s="13" t="s">
        <v>2192</v>
      </c>
      <c r="C1198" s="13" t="s">
        <v>2196</v>
      </c>
      <c r="D1198" s="13" t="s">
        <v>2205</v>
      </c>
      <c r="F1198" s="13" t="s">
        <v>2220</v>
      </c>
      <c r="G1198" s="13">
        <v>34.04</v>
      </c>
      <c r="H1198" s="44">
        <v>0</v>
      </c>
      <c r="I1198" s="13">
        <v>34.04</v>
      </c>
      <c r="J1198" s="24">
        <v>45875</v>
      </c>
      <c r="K1198" s="25">
        <v>3</v>
      </c>
      <c r="L1198" s="25">
        <v>1.9</v>
      </c>
      <c r="M1198" s="13" t="b">
        <v>0</v>
      </c>
      <c r="O1198" s="25">
        <f t="shared" si="72"/>
        <v>27</v>
      </c>
      <c r="P1198" s="13">
        <f t="shared" si="73"/>
        <v>0</v>
      </c>
      <c r="Q1198" s="13" t="str">
        <f t="shared" si="74"/>
        <v/>
      </c>
      <c r="R1198" s="13" t="str">
        <f t="shared" si="75"/>
        <v>Non diskon</v>
      </c>
    </row>
    <row r="1199" spans="1:18" x14ac:dyDescent="0.25">
      <c r="A1199" s="13" t="s">
        <v>1211</v>
      </c>
      <c r="B1199" s="13" t="s">
        <v>2195</v>
      </c>
      <c r="C1199" s="13" t="s">
        <v>2202</v>
      </c>
      <c r="D1199" s="13" t="s">
        <v>2207</v>
      </c>
      <c r="E1199" s="13" t="s">
        <v>2210</v>
      </c>
      <c r="F1199" s="13" t="s">
        <v>2224</v>
      </c>
      <c r="G1199" s="13">
        <v>168.16</v>
      </c>
      <c r="H1199" s="44">
        <v>45.9</v>
      </c>
      <c r="I1199" s="13">
        <v>90.97</v>
      </c>
      <c r="J1199" s="24">
        <v>45875</v>
      </c>
      <c r="K1199" s="25">
        <v>44</v>
      </c>
      <c r="L1199" s="25">
        <v>1.5</v>
      </c>
      <c r="M1199" s="13" t="b">
        <v>0</v>
      </c>
      <c r="O1199" s="25">
        <f t="shared" si="72"/>
        <v>27</v>
      </c>
      <c r="P1199" s="13">
        <f t="shared" si="73"/>
        <v>2019.6</v>
      </c>
      <c r="Q1199" s="13" t="str">
        <f t="shared" si="74"/>
        <v/>
      </c>
      <c r="R1199" s="13" t="str">
        <f t="shared" si="75"/>
        <v>Diskon</v>
      </c>
    </row>
    <row r="1200" spans="1:18" x14ac:dyDescent="0.25">
      <c r="A1200" s="13" t="s">
        <v>1212</v>
      </c>
      <c r="B1200" s="13" t="s">
        <v>2191</v>
      </c>
      <c r="C1200" s="13" t="s">
        <v>2201</v>
      </c>
      <c r="D1200" s="13" t="s">
        <v>2206</v>
      </c>
      <c r="E1200" s="13" t="s">
        <v>2213</v>
      </c>
      <c r="F1200" s="13" t="s">
        <v>2214</v>
      </c>
      <c r="G1200" s="13">
        <v>74.069999999999993</v>
      </c>
      <c r="H1200" s="44">
        <v>0</v>
      </c>
      <c r="I1200" s="13">
        <v>74.069999999999993</v>
      </c>
      <c r="J1200" s="24">
        <v>45875</v>
      </c>
      <c r="K1200" s="25">
        <v>47</v>
      </c>
      <c r="L1200" s="25">
        <v>1.4</v>
      </c>
      <c r="M1200" s="13" t="b">
        <v>0</v>
      </c>
      <c r="O1200" s="25">
        <f t="shared" si="72"/>
        <v>27</v>
      </c>
      <c r="P1200" s="13">
        <f t="shared" si="73"/>
        <v>0</v>
      </c>
      <c r="Q1200" s="13" t="str">
        <f t="shared" si="74"/>
        <v/>
      </c>
      <c r="R1200" s="13" t="str">
        <f t="shared" si="75"/>
        <v>Non diskon</v>
      </c>
    </row>
    <row r="1201" spans="1:18" x14ac:dyDescent="0.25">
      <c r="A1201" s="13" t="s">
        <v>1213</v>
      </c>
      <c r="B1201" s="13" t="s">
        <v>2191</v>
      </c>
      <c r="C1201" s="13" t="s">
        <v>2203</v>
      </c>
      <c r="D1201" s="13" t="s">
        <v>2205</v>
      </c>
      <c r="E1201" s="13" t="s">
        <v>2211</v>
      </c>
      <c r="F1201" s="13" t="s">
        <v>2224</v>
      </c>
      <c r="G1201" s="13">
        <v>84.75</v>
      </c>
      <c r="H1201" s="44">
        <v>0</v>
      </c>
      <c r="I1201" s="13">
        <v>84.75</v>
      </c>
      <c r="J1201" s="24">
        <v>45875</v>
      </c>
      <c r="K1201" s="25">
        <v>7</v>
      </c>
      <c r="L1201" s="25">
        <v>2.5</v>
      </c>
      <c r="M1201" s="13" t="b">
        <v>0</v>
      </c>
      <c r="O1201" s="25">
        <f t="shared" si="72"/>
        <v>27</v>
      </c>
      <c r="P1201" s="13">
        <f t="shared" si="73"/>
        <v>0</v>
      </c>
      <c r="Q1201" s="13" t="str">
        <f t="shared" si="74"/>
        <v/>
      </c>
      <c r="R1201" s="13" t="str">
        <f t="shared" si="75"/>
        <v>Non diskon</v>
      </c>
    </row>
    <row r="1202" spans="1:18" x14ac:dyDescent="0.25">
      <c r="A1202" s="13" t="s">
        <v>1214</v>
      </c>
      <c r="B1202" s="13" t="s">
        <v>2193</v>
      </c>
      <c r="C1202" s="13" t="s">
        <v>2199</v>
      </c>
      <c r="D1202" s="13" t="s">
        <v>2207</v>
      </c>
      <c r="E1202" s="13" t="s">
        <v>2213</v>
      </c>
      <c r="F1202" s="13" t="s">
        <v>2214</v>
      </c>
      <c r="G1202" s="13">
        <v>187.47</v>
      </c>
      <c r="H1202" s="44">
        <v>9.6</v>
      </c>
      <c r="I1202" s="13">
        <v>169.47</v>
      </c>
      <c r="J1202" s="24">
        <v>45875</v>
      </c>
      <c r="K1202" s="25">
        <v>28</v>
      </c>
      <c r="L1202" s="25">
        <v>4</v>
      </c>
      <c r="M1202" s="13" t="b">
        <v>0</v>
      </c>
      <c r="O1202" s="25">
        <f t="shared" si="72"/>
        <v>27</v>
      </c>
      <c r="P1202" s="13">
        <f t="shared" si="73"/>
        <v>268.8</v>
      </c>
      <c r="Q1202" s="13" t="str">
        <f t="shared" si="74"/>
        <v/>
      </c>
      <c r="R1202" s="13" t="str">
        <f t="shared" si="75"/>
        <v>Diskon</v>
      </c>
    </row>
    <row r="1203" spans="1:18" x14ac:dyDescent="0.25">
      <c r="A1203" s="13" t="s">
        <v>1215</v>
      </c>
      <c r="B1203" s="13" t="s">
        <v>2192</v>
      </c>
      <c r="C1203" s="13" t="s">
        <v>2197</v>
      </c>
      <c r="D1203" s="13" t="s">
        <v>2204</v>
      </c>
      <c r="F1203" s="13" t="s">
        <v>2220</v>
      </c>
      <c r="G1203" s="13">
        <v>45.81</v>
      </c>
      <c r="H1203" s="44">
        <v>14.1</v>
      </c>
      <c r="I1203" s="13">
        <v>39.35</v>
      </c>
      <c r="J1203" s="24">
        <v>45761</v>
      </c>
      <c r="K1203" s="25">
        <v>29</v>
      </c>
      <c r="L1203" s="25">
        <v>3.1288461538461547</v>
      </c>
      <c r="M1203" s="13" t="b">
        <v>0</v>
      </c>
      <c r="O1203" s="25">
        <f t="shared" si="72"/>
        <v>141</v>
      </c>
      <c r="P1203" s="13">
        <f t="shared" si="73"/>
        <v>408.9</v>
      </c>
      <c r="Q1203" s="13" t="str">
        <f t="shared" si="74"/>
        <v/>
      </c>
      <c r="R1203" s="13" t="str">
        <f t="shared" si="75"/>
        <v>Diskon</v>
      </c>
    </row>
    <row r="1204" spans="1:18" x14ac:dyDescent="0.25">
      <c r="A1204" s="13" t="s">
        <v>1216</v>
      </c>
      <c r="B1204" s="13" t="s">
        <v>2190</v>
      </c>
      <c r="C1204" s="13" t="s">
        <v>2198</v>
      </c>
      <c r="D1204" s="13" t="s">
        <v>2206</v>
      </c>
      <c r="E1204" s="13" t="s">
        <v>2208</v>
      </c>
      <c r="F1204" s="13" t="s">
        <v>2224</v>
      </c>
      <c r="G1204" s="13">
        <v>87.09</v>
      </c>
      <c r="H1204" s="44">
        <v>0</v>
      </c>
      <c r="I1204" s="13">
        <v>87.09</v>
      </c>
      <c r="J1204" s="24">
        <v>45875</v>
      </c>
      <c r="K1204" s="25">
        <v>8</v>
      </c>
      <c r="L1204" s="25">
        <v>2.8</v>
      </c>
      <c r="M1204" s="13" t="b">
        <v>0</v>
      </c>
      <c r="O1204" s="25">
        <f t="shared" si="72"/>
        <v>27</v>
      </c>
      <c r="P1204" s="13">
        <f t="shared" si="73"/>
        <v>0</v>
      </c>
      <c r="Q1204" s="13" t="str">
        <f t="shared" si="74"/>
        <v/>
      </c>
      <c r="R1204" s="13" t="str">
        <f t="shared" si="75"/>
        <v>Non diskon</v>
      </c>
    </row>
    <row r="1205" spans="1:18" x14ac:dyDescent="0.25">
      <c r="A1205" s="13" t="s">
        <v>1217</v>
      </c>
      <c r="B1205" s="13" t="s">
        <v>2190</v>
      </c>
      <c r="C1205" s="13" t="s">
        <v>2200</v>
      </c>
      <c r="D1205" s="13" t="s">
        <v>2207</v>
      </c>
      <c r="E1205" s="13" t="s">
        <v>2212</v>
      </c>
      <c r="F1205" s="13" t="s">
        <v>2224</v>
      </c>
      <c r="G1205" s="13">
        <v>232.5</v>
      </c>
      <c r="H1205" s="44">
        <v>56.8</v>
      </c>
      <c r="I1205" s="13">
        <v>100.44</v>
      </c>
      <c r="J1205" s="24">
        <v>45875</v>
      </c>
      <c r="K1205" s="25">
        <v>23</v>
      </c>
      <c r="L1205" s="25">
        <v>2.9</v>
      </c>
      <c r="M1205" s="13" t="b">
        <v>1</v>
      </c>
      <c r="N1205" s="13" t="s">
        <v>2226</v>
      </c>
      <c r="O1205" s="25">
        <f t="shared" si="72"/>
        <v>27</v>
      </c>
      <c r="P1205" s="13">
        <f t="shared" si="73"/>
        <v>1306.3999999999999</v>
      </c>
      <c r="Q1205" s="13">
        <f t="shared" si="74"/>
        <v>1</v>
      </c>
      <c r="R1205" s="13" t="str">
        <f t="shared" si="75"/>
        <v>Diskon</v>
      </c>
    </row>
    <row r="1206" spans="1:18" x14ac:dyDescent="0.25">
      <c r="A1206" s="13" t="s">
        <v>1218</v>
      </c>
      <c r="B1206" s="13" t="s">
        <v>2193</v>
      </c>
      <c r="C1206" s="13" t="s">
        <v>2201</v>
      </c>
      <c r="D1206" s="13" t="s">
        <v>2204</v>
      </c>
      <c r="E1206" s="13" t="s">
        <v>2212</v>
      </c>
      <c r="F1206" s="13" t="s">
        <v>2223</v>
      </c>
      <c r="G1206" s="13">
        <v>184.87</v>
      </c>
      <c r="H1206" s="44">
        <v>0</v>
      </c>
      <c r="I1206" s="13">
        <v>184.87</v>
      </c>
      <c r="J1206" s="24">
        <v>45563</v>
      </c>
      <c r="K1206" s="25">
        <v>32</v>
      </c>
      <c r="L1206" s="25">
        <v>1.8</v>
      </c>
      <c r="M1206" s="13" t="b">
        <v>0</v>
      </c>
      <c r="O1206" s="25">
        <f t="shared" si="72"/>
        <v>339</v>
      </c>
      <c r="P1206" s="13">
        <f t="shared" si="73"/>
        <v>0</v>
      </c>
      <c r="Q1206" s="13" t="str">
        <f t="shared" si="74"/>
        <v/>
      </c>
      <c r="R1206" s="13" t="str">
        <f t="shared" si="75"/>
        <v>Non diskon</v>
      </c>
    </row>
    <row r="1207" spans="1:18" x14ac:dyDescent="0.25">
      <c r="A1207" s="13" t="s">
        <v>1219</v>
      </c>
      <c r="B1207" s="13" t="s">
        <v>2191</v>
      </c>
      <c r="C1207" s="13" t="s">
        <v>2202</v>
      </c>
      <c r="D1207" s="13" t="s">
        <v>2206</v>
      </c>
      <c r="E1207" s="13" t="s">
        <v>2212</v>
      </c>
      <c r="F1207" s="13" t="s">
        <v>2218</v>
      </c>
      <c r="G1207" s="13">
        <v>31.36</v>
      </c>
      <c r="H1207" s="44">
        <v>0</v>
      </c>
      <c r="I1207" s="13">
        <v>31.36</v>
      </c>
      <c r="J1207" s="24">
        <v>45875</v>
      </c>
      <c r="K1207" s="25">
        <v>50</v>
      </c>
      <c r="L1207" s="25">
        <v>3.4</v>
      </c>
      <c r="M1207" s="13" t="b">
        <v>0</v>
      </c>
      <c r="O1207" s="25">
        <f t="shared" si="72"/>
        <v>27</v>
      </c>
      <c r="P1207" s="13">
        <f t="shared" si="73"/>
        <v>0</v>
      </c>
      <c r="Q1207" s="13" t="str">
        <f t="shared" si="74"/>
        <v/>
      </c>
      <c r="R1207" s="13" t="str">
        <f t="shared" si="75"/>
        <v>Non diskon</v>
      </c>
    </row>
    <row r="1208" spans="1:18" x14ac:dyDescent="0.25">
      <c r="A1208" s="13" t="s">
        <v>1220</v>
      </c>
      <c r="B1208" s="13" t="s">
        <v>2192</v>
      </c>
      <c r="C1208" s="13" t="s">
        <v>2200</v>
      </c>
      <c r="D1208" s="13" t="s">
        <v>2205</v>
      </c>
      <c r="F1208" s="13" t="s">
        <v>2222</v>
      </c>
      <c r="G1208" s="13">
        <v>62.26</v>
      </c>
      <c r="H1208" s="44">
        <v>24.6</v>
      </c>
      <c r="I1208" s="13">
        <v>46.94</v>
      </c>
      <c r="J1208" s="24">
        <v>45875</v>
      </c>
      <c r="K1208" s="25">
        <v>33</v>
      </c>
      <c r="L1208" s="25">
        <v>3.5</v>
      </c>
      <c r="M1208" s="13" t="b">
        <v>0</v>
      </c>
      <c r="O1208" s="25">
        <f t="shared" si="72"/>
        <v>27</v>
      </c>
      <c r="P1208" s="13">
        <f t="shared" si="73"/>
        <v>811.80000000000007</v>
      </c>
      <c r="Q1208" s="13" t="str">
        <f t="shared" si="74"/>
        <v/>
      </c>
      <c r="R1208" s="13" t="str">
        <f t="shared" si="75"/>
        <v>Diskon</v>
      </c>
    </row>
    <row r="1209" spans="1:18" x14ac:dyDescent="0.25">
      <c r="A1209" s="13" t="s">
        <v>1221</v>
      </c>
      <c r="B1209" s="13" t="s">
        <v>2192</v>
      </c>
      <c r="C1209" s="13" t="s">
        <v>2199</v>
      </c>
      <c r="D1209" s="13" t="s">
        <v>2207</v>
      </c>
      <c r="F1209" s="13" t="s">
        <v>2222</v>
      </c>
      <c r="G1209" s="13">
        <v>64.819999999999993</v>
      </c>
      <c r="H1209" s="44">
        <v>42.2</v>
      </c>
      <c r="I1209" s="13">
        <v>37.47</v>
      </c>
      <c r="J1209" s="24">
        <v>45875</v>
      </c>
      <c r="K1209" s="25">
        <v>26</v>
      </c>
      <c r="L1209" s="25">
        <v>1.3</v>
      </c>
      <c r="M1209" s="13" t="b">
        <v>0</v>
      </c>
      <c r="O1209" s="25">
        <f t="shared" si="72"/>
        <v>27</v>
      </c>
      <c r="P1209" s="13">
        <f t="shared" si="73"/>
        <v>1097.2</v>
      </c>
      <c r="Q1209" s="13" t="str">
        <f t="shared" si="74"/>
        <v/>
      </c>
      <c r="R1209" s="13" t="str">
        <f t="shared" si="75"/>
        <v>Diskon</v>
      </c>
    </row>
    <row r="1210" spans="1:18" x14ac:dyDescent="0.25">
      <c r="A1210" s="13" t="s">
        <v>1222</v>
      </c>
      <c r="B1210" s="13" t="s">
        <v>2192</v>
      </c>
      <c r="C1210" s="13" t="s">
        <v>2196</v>
      </c>
      <c r="D1210" s="13" t="s">
        <v>2204</v>
      </c>
      <c r="F1210" s="13" t="s">
        <v>2219</v>
      </c>
      <c r="G1210" s="13">
        <v>15.92</v>
      </c>
      <c r="H1210" s="44">
        <v>0</v>
      </c>
      <c r="I1210" s="13">
        <v>15.92</v>
      </c>
      <c r="J1210" s="24">
        <v>45541</v>
      </c>
      <c r="K1210" s="25">
        <v>7</v>
      </c>
      <c r="L1210" s="25">
        <v>4.0999999999999996</v>
      </c>
      <c r="M1210" s="13" t="b">
        <v>0</v>
      </c>
      <c r="O1210" s="25">
        <f t="shared" si="72"/>
        <v>361</v>
      </c>
      <c r="P1210" s="13">
        <f t="shared" si="73"/>
        <v>0</v>
      </c>
      <c r="Q1210" s="13" t="str">
        <f t="shared" si="74"/>
        <v/>
      </c>
      <c r="R1210" s="13" t="str">
        <f t="shared" si="75"/>
        <v>Non diskon</v>
      </c>
    </row>
    <row r="1211" spans="1:18" x14ac:dyDescent="0.25">
      <c r="A1211" s="13" t="s">
        <v>1223</v>
      </c>
      <c r="B1211" s="13" t="s">
        <v>2190</v>
      </c>
      <c r="C1211" s="13" t="s">
        <v>2200</v>
      </c>
      <c r="D1211" s="13" t="s">
        <v>2204</v>
      </c>
      <c r="E1211" s="13" t="s">
        <v>2213</v>
      </c>
      <c r="F1211" s="13" t="s">
        <v>2223</v>
      </c>
      <c r="G1211" s="13">
        <v>180.83</v>
      </c>
      <c r="H1211" s="44">
        <v>0</v>
      </c>
      <c r="I1211" s="13">
        <v>180.83</v>
      </c>
      <c r="J1211" s="24">
        <v>45537</v>
      </c>
      <c r="K1211" s="25">
        <v>20</v>
      </c>
      <c r="L1211" s="25">
        <v>2</v>
      </c>
      <c r="M1211" s="13" t="b">
        <v>0</v>
      </c>
      <c r="O1211" s="25">
        <f t="shared" si="72"/>
        <v>365</v>
      </c>
      <c r="P1211" s="13">
        <f t="shared" si="73"/>
        <v>0</v>
      </c>
      <c r="Q1211" s="13" t="str">
        <f t="shared" si="74"/>
        <v/>
      </c>
      <c r="R1211" s="13" t="str">
        <f t="shared" si="75"/>
        <v>Non diskon</v>
      </c>
    </row>
    <row r="1212" spans="1:18" x14ac:dyDescent="0.25">
      <c r="A1212" s="13" t="s">
        <v>1224</v>
      </c>
      <c r="B1212" s="13" t="s">
        <v>2193</v>
      </c>
      <c r="C1212" s="13" t="s">
        <v>2203</v>
      </c>
      <c r="D1212" s="13" t="s">
        <v>2207</v>
      </c>
      <c r="E1212" s="13" t="s">
        <v>2209</v>
      </c>
      <c r="F1212" s="13" t="s">
        <v>2224</v>
      </c>
      <c r="G1212" s="13">
        <v>73.81</v>
      </c>
      <c r="H1212" s="44">
        <v>0</v>
      </c>
      <c r="I1212" s="13">
        <v>73.81</v>
      </c>
      <c r="J1212" s="24">
        <v>45875</v>
      </c>
      <c r="K1212" s="25">
        <v>44</v>
      </c>
      <c r="L1212" s="25">
        <v>1.3</v>
      </c>
      <c r="M1212" s="13" t="b">
        <v>0</v>
      </c>
      <c r="O1212" s="25">
        <f t="shared" si="72"/>
        <v>27</v>
      </c>
      <c r="P1212" s="13">
        <f t="shared" si="73"/>
        <v>0</v>
      </c>
      <c r="Q1212" s="13" t="str">
        <f t="shared" si="74"/>
        <v/>
      </c>
      <c r="R1212" s="13" t="str">
        <f t="shared" si="75"/>
        <v>Non diskon</v>
      </c>
    </row>
    <row r="1213" spans="1:18" x14ac:dyDescent="0.25">
      <c r="A1213" s="13" t="s">
        <v>1225</v>
      </c>
      <c r="B1213" s="13" t="s">
        <v>2193</v>
      </c>
      <c r="C1213" s="13" t="s">
        <v>2201</v>
      </c>
      <c r="D1213" s="13" t="s">
        <v>2207</v>
      </c>
      <c r="E1213" s="13" t="s">
        <v>2211</v>
      </c>
      <c r="F1213" s="13" t="s">
        <v>2221</v>
      </c>
      <c r="G1213" s="13">
        <v>127.52</v>
      </c>
      <c r="H1213" s="44">
        <v>0</v>
      </c>
      <c r="I1213" s="13">
        <v>127.52</v>
      </c>
      <c r="J1213" s="24">
        <v>45875</v>
      </c>
      <c r="K1213" s="25">
        <v>0</v>
      </c>
      <c r="L1213" s="25">
        <v>3.4</v>
      </c>
      <c r="M1213" s="13" t="b">
        <v>0</v>
      </c>
      <c r="O1213" s="25">
        <f t="shared" si="72"/>
        <v>27</v>
      </c>
      <c r="P1213" s="13">
        <f t="shared" si="73"/>
        <v>0</v>
      </c>
      <c r="Q1213" s="13" t="str">
        <f t="shared" si="74"/>
        <v/>
      </c>
      <c r="R1213" s="13" t="str">
        <f t="shared" si="75"/>
        <v>Non diskon</v>
      </c>
    </row>
    <row r="1214" spans="1:18" x14ac:dyDescent="0.25">
      <c r="A1214" s="13" t="s">
        <v>1226</v>
      </c>
      <c r="B1214" s="13" t="s">
        <v>2194</v>
      </c>
      <c r="C1214" s="13" t="s">
        <v>2200</v>
      </c>
      <c r="D1214" s="13" t="s">
        <v>2206</v>
      </c>
      <c r="F1214" s="13" t="s">
        <v>2224</v>
      </c>
      <c r="G1214" s="13">
        <v>52.08</v>
      </c>
      <c r="H1214" s="44">
        <v>0</v>
      </c>
      <c r="I1214" s="13">
        <v>52.08</v>
      </c>
      <c r="J1214" s="24">
        <v>45875</v>
      </c>
      <c r="K1214" s="25">
        <v>12</v>
      </c>
      <c r="L1214" s="25">
        <v>3.0659090909090896</v>
      </c>
      <c r="M1214" s="13" t="b">
        <v>0</v>
      </c>
      <c r="O1214" s="25">
        <f t="shared" si="72"/>
        <v>27</v>
      </c>
      <c r="P1214" s="13">
        <f t="shared" si="73"/>
        <v>0</v>
      </c>
      <c r="Q1214" s="13" t="str">
        <f t="shared" si="74"/>
        <v/>
      </c>
      <c r="R1214" s="13" t="str">
        <f t="shared" si="75"/>
        <v>Non diskon</v>
      </c>
    </row>
    <row r="1215" spans="1:18" x14ac:dyDescent="0.25">
      <c r="A1215" s="13" t="s">
        <v>1227</v>
      </c>
      <c r="B1215" s="13" t="s">
        <v>2194</v>
      </c>
      <c r="C1215" s="13" t="s">
        <v>2203</v>
      </c>
      <c r="D1215" s="13" t="s">
        <v>2205</v>
      </c>
      <c r="E1215" s="13" t="s">
        <v>2212</v>
      </c>
      <c r="F1215" s="13" t="s">
        <v>2214</v>
      </c>
      <c r="G1215" s="13">
        <v>32.83</v>
      </c>
      <c r="H1215" s="44">
        <v>23</v>
      </c>
      <c r="I1215" s="13">
        <v>25.28</v>
      </c>
      <c r="J1215" s="24">
        <v>45875</v>
      </c>
      <c r="K1215" s="25">
        <v>24</v>
      </c>
      <c r="L1215" s="25">
        <v>1.1000000000000001</v>
      </c>
      <c r="M1215" s="13" t="b">
        <v>0</v>
      </c>
      <c r="O1215" s="25">
        <f t="shared" si="72"/>
        <v>27</v>
      </c>
      <c r="P1215" s="13">
        <f t="shared" si="73"/>
        <v>552</v>
      </c>
      <c r="Q1215" s="13" t="str">
        <f t="shared" si="74"/>
        <v/>
      </c>
      <c r="R1215" s="13" t="str">
        <f t="shared" si="75"/>
        <v>Diskon</v>
      </c>
    </row>
    <row r="1216" spans="1:18" x14ac:dyDescent="0.25">
      <c r="A1216" s="13" t="s">
        <v>1228</v>
      </c>
      <c r="B1216" s="13" t="s">
        <v>2191</v>
      </c>
      <c r="C1216" s="13" t="s">
        <v>2198</v>
      </c>
      <c r="D1216" s="13" t="s">
        <v>2205</v>
      </c>
      <c r="E1216" s="13" t="s">
        <v>2210</v>
      </c>
      <c r="F1216" s="13" t="s">
        <v>2223</v>
      </c>
      <c r="G1216" s="13">
        <v>108.92</v>
      </c>
      <c r="H1216" s="44">
        <v>0</v>
      </c>
      <c r="I1216" s="13">
        <v>108.92</v>
      </c>
      <c r="J1216" s="24">
        <v>45875</v>
      </c>
      <c r="K1216" s="25">
        <v>6</v>
      </c>
      <c r="L1216" s="25">
        <v>1.8</v>
      </c>
      <c r="M1216" s="13" t="b">
        <v>0</v>
      </c>
      <c r="O1216" s="25">
        <f t="shared" si="72"/>
        <v>27</v>
      </c>
      <c r="P1216" s="13">
        <f t="shared" si="73"/>
        <v>0</v>
      </c>
      <c r="Q1216" s="13" t="str">
        <f t="shared" si="74"/>
        <v/>
      </c>
      <c r="R1216" s="13" t="str">
        <f t="shared" si="75"/>
        <v>Non diskon</v>
      </c>
    </row>
    <row r="1217" spans="1:18" x14ac:dyDescent="0.25">
      <c r="A1217" s="13" t="s">
        <v>1229</v>
      </c>
      <c r="B1217" s="13" t="s">
        <v>2193</v>
      </c>
      <c r="C1217" s="13" t="s">
        <v>2203</v>
      </c>
      <c r="D1217" s="13" t="s">
        <v>2205</v>
      </c>
      <c r="F1217" s="13" t="s">
        <v>2222</v>
      </c>
      <c r="G1217" s="13">
        <v>85.83</v>
      </c>
      <c r="H1217" s="44">
        <v>47.5</v>
      </c>
      <c r="I1217" s="13">
        <v>45.06</v>
      </c>
      <c r="J1217" s="24">
        <v>45875</v>
      </c>
      <c r="K1217" s="25">
        <v>8</v>
      </c>
      <c r="L1217" s="25">
        <v>1.1000000000000001</v>
      </c>
      <c r="M1217" s="13" t="b">
        <v>0</v>
      </c>
      <c r="O1217" s="25">
        <f t="shared" si="72"/>
        <v>27</v>
      </c>
      <c r="P1217" s="13">
        <f t="shared" si="73"/>
        <v>380</v>
      </c>
      <c r="Q1217" s="13" t="str">
        <f t="shared" si="74"/>
        <v/>
      </c>
      <c r="R1217" s="13" t="str">
        <f t="shared" si="75"/>
        <v>Diskon</v>
      </c>
    </row>
    <row r="1218" spans="1:18" x14ac:dyDescent="0.25">
      <c r="A1218" s="13" t="s">
        <v>1230</v>
      </c>
      <c r="B1218" s="13" t="s">
        <v>2192</v>
      </c>
      <c r="C1218" s="13" t="s">
        <v>2196</v>
      </c>
      <c r="D1218" s="13" t="s">
        <v>2204</v>
      </c>
      <c r="F1218" s="13" t="s">
        <v>2219</v>
      </c>
      <c r="G1218" s="13">
        <v>62.02</v>
      </c>
      <c r="H1218" s="44">
        <v>0</v>
      </c>
      <c r="I1218" s="13">
        <v>62.02</v>
      </c>
      <c r="J1218" s="24">
        <v>45772</v>
      </c>
      <c r="K1218" s="25">
        <v>3</v>
      </c>
      <c r="L1218" s="25">
        <v>3.7</v>
      </c>
      <c r="M1218" s="13" t="b">
        <v>0</v>
      </c>
      <c r="O1218" s="25">
        <f t="shared" si="72"/>
        <v>130</v>
      </c>
      <c r="P1218" s="13">
        <f t="shared" si="73"/>
        <v>0</v>
      </c>
      <c r="Q1218" s="13" t="str">
        <f t="shared" si="74"/>
        <v/>
      </c>
      <c r="R1218" s="13" t="str">
        <f t="shared" si="75"/>
        <v>Non diskon</v>
      </c>
    </row>
    <row r="1219" spans="1:18" x14ac:dyDescent="0.25">
      <c r="A1219" s="13" t="s">
        <v>1231</v>
      </c>
      <c r="B1219" s="13" t="s">
        <v>2193</v>
      </c>
      <c r="C1219" s="13" t="s">
        <v>2200</v>
      </c>
      <c r="D1219" s="13" t="s">
        <v>2207</v>
      </c>
      <c r="E1219" s="13" t="s">
        <v>2208</v>
      </c>
      <c r="F1219" s="13" t="s">
        <v>2216</v>
      </c>
      <c r="G1219" s="13">
        <v>127.31</v>
      </c>
      <c r="H1219" s="44">
        <v>5.4</v>
      </c>
      <c r="I1219" s="13">
        <v>120.44</v>
      </c>
      <c r="J1219" s="24">
        <v>45875</v>
      </c>
      <c r="K1219" s="25">
        <v>34</v>
      </c>
      <c r="L1219" s="25">
        <v>2.5</v>
      </c>
      <c r="M1219" s="13" t="b">
        <v>0</v>
      </c>
      <c r="O1219" s="25">
        <f t="shared" ref="O1219:O1282" si="76">DATE(2025,9,2)-J1219</f>
        <v>27</v>
      </c>
      <c r="P1219" s="13">
        <f t="shared" ref="P1219:P1282" si="77">H1219*K1219</f>
        <v>183.60000000000002</v>
      </c>
      <c r="Q1219" s="13" t="str">
        <f t="shared" ref="Q1219:Q1282" si="78">IF(M1219=FALSE,"",1)</f>
        <v/>
      </c>
      <c r="R1219" s="13" t="str">
        <f t="shared" ref="R1219:R1282" si="79">IF(H1219=0,"Non diskon","Diskon")</f>
        <v>Diskon</v>
      </c>
    </row>
    <row r="1220" spans="1:18" x14ac:dyDescent="0.25">
      <c r="A1220" s="13" t="s">
        <v>1232</v>
      </c>
      <c r="B1220" s="13" t="s">
        <v>2191</v>
      </c>
      <c r="C1220" s="13" t="s">
        <v>2201</v>
      </c>
      <c r="D1220" s="13" t="s">
        <v>2206</v>
      </c>
      <c r="F1220" s="13" t="s">
        <v>2214</v>
      </c>
      <c r="G1220" s="13">
        <v>35.74</v>
      </c>
      <c r="H1220" s="44">
        <v>0</v>
      </c>
      <c r="I1220" s="13">
        <v>35.74</v>
      </c>
      <c r="J1220" s="24">
        <v>45875</v>
      </c>
      <c r="K1220" s="25">
        <v>33</v>
      </c>
      <c r="L1220" s="25">
        <v>2.9846153846153847</v>
      </c>
      <c r="M1220" s="13" t="b">
        <v>1</v>
      </c>
      <c r="N1220" s="13" t="s">
        <v>2225</v>
      </c>
      <c r="O1220" s="25">
        <f t="shared" si="76"/>
        <v>27</v>
      </c>
      <c r="P1220" s="13">
        <f t="shared" si="77"/>
        <v>0</v>
      </c>
      <c r="Q1220" s="13">
        <f t="shared" si="78"/>
        <v>1</v>
      </c>
      <c r="R1220" s="13" t="str">
        <f t="shared" si="79"/>
        <v>Non diskon</v>
      </c>
    </row>
    <row r="1221" spans="1:18" x14ac:dyDescent="0.25">
      <c r="A1221" s="13" t="s">
        <v>1233</v>
      </c>
      <c r="B1221" s="13" t="s">
        <v>2192</v>
      </c>
      <c r="C1221" s="13" t="s">
        <v>2200</v>
      </c>
      <c r="D1221" s="13" t="s">
        <v>2207</v>
      </c>
      <c r="F1221" s="13" t="s">
        <v>2218</v>
      </c>
      <c r="G1221" s="13">
        <v>69.62</v>
      </c>
      <c r="H1221" s="44">
        <v>27.9</v>
      </c>
      <c r="I1221" s="13">
        <v>50.2</v>
      </c>
      <c r="J1221" s="24">
        <v>45875</v>
      </c>
      <c r="K1221" s="25">
        <v>5</v>
      </c>
      <c r="L1221" s="25">
        <v>1.1000000000000001</v>
      </c>
      <c r="M1221" s="13" t="b">
        <v>0</v>
      </c>
      <c r="O1221" s="25">
        <f t="shared" si="76"/>
        <v>27</v>
      </c>
      <c r="P1221" s="13">
        <f t="shared" si="77"/>
        <v>139.5</v>
      </c>
      <c r="Q1221" s="13" t="str">
        <f t="shared" si="78"/>
        <v/>
      </c>
      <c r="R1221" s="13" t="str">
        <f t="shared" si="79"/>
        <v>Diskon</v>
      </c>
    </row>
    <row r="1222" spans="1:18" x14ac:dyDescent="0.25">
      <c r="A1222" s="13" t="s">
        <v>1234</v>
      </c>
      <c r="B1222" s="13" t="s">
        <v>2191</v>
      </c>
      <c r="C1222" s="13" t="s">
        <v>2196</v>
      </c>
      <c r="D1222" s="13" t="s">
        <v>2205</v>
      </c>
      <c r="E1222" s="13" t="s">
        <v>2211</v>
      </c>
      <c r="F1222" s="13" t="s">
        <v>2216</v>
      </c>
      <c r="G1222" s="13">
        <v>92.01</v>
      </c>
      <c r="H1222" s="44">
        <v>28.8</v>
      </c>
      <c r="I1222" s="13">
        <v>65.510000000000005</v>
      </c>
      <c r="J1222" s="24">
        <v>45875</v>
      </c>
      <c r="K1222" s="25">
        <v>37</v>
      </c>
      <c r="L1222" s="25">
        <v>1.9</v>
      </c>
      <c r="M1222" s="13" t="b">
        <v>0</v>
      </c>
      <c r="O1222" s="25">
        <f t="shared" si="76"/>
        <v>27</v>
      </c>
      <c r="P1222" s="13">
        <f t="shared" si="77"/>
        <v>1065.6000000000001</v>
      </c>
      <c r="Q1222" s="13" t="str">
        <f t="shared" si="78"/>
        <v/>
      </c>
      <c r="R1222" s="13" t="str">
        <f t="shared" si="79"/>
        <v>Diskon</v>
      </c>
    </row>
    <row r="1223" spans="1:18" x14ac:dyDescent="0.25">
      <c r="A1223" s="13" t="s">
        <v>1235</v>
      </c>
      <c r="B1223" s="13" t="s">
        <v>2193</v>
      </c>
      <c r="C1223" s="13" t="s">
        <v>2199</v>
      </c>
      <c r="D1223" s="13" t="s">
        <v>2206</v>
      </c>
      <c r="E1223" s="13" t="s">
        <v>2213</v>
      </c>
      <c r="F1223" s="13" t="s">
        <v>2216</v>
      </c>
      <c r="G1223" s="13">
        <v>110.1</v>
      </c>
      <c r="H1223" s="44">
        <v>0</v>
      </c>
      <c r="I1223" s="13">
        <v>110.1</v>
      </c>
      <c r="J1223" s="24">
        <v>45875</v>
      </c>
      <c r="K1223" s="25">
        <v>13</v>
      </c>
      <c r="L1223" s="25">
        <v>3.6</v>
      </c>
      <c r="M1223" s="13" t="b">
        <v>1</v>
      </c>
      <c r="N1223" s="13" t="s">
        <v>2229</v>
      </c>
      <c r="O1223" s="25">
        <f t="shared" si="76"/>
        <v>27</v>
      </c>
      <c r="P1223" s="13">
        <f t="shared" si="77"/>
        <v>0</v>
      </c>
      <c r="Q1223" s="13">
        <f t="shared" si="78"/>
        <v>1</v>
      </c>
      <c r="R1223" s="13" t="str">
        <f t="shared" si="79"/>
        <v>Non diskon</v>
      </c>
    </row>
    <row r="1224" spans="1:18" x14ac:dyDescent="0.25">
      <c r="A1224" s="13" t="s">
        <v>1236</v>
      </c>
      <c r="B1224" s="13" t="s">
        <v>2194</v>
      </c>
      <c r="C1224" s="13" t="s">
        <v>2196</v>
      </c>
      <c r="D1224" s="13" t="s">
        <v>2206</v>
      </c>
      <c r="E1224" s="13" t="s">
        <v>2211</v>
      </c>
      <c r="F1224" s="13" t="s">
        <v>2214</v>
      </c>
      <c r="G1224" s="13">
        <v>109.05</v>
      </c>
      <c r="H1224" s="44">
        <v>0</v>
      </c>
      <c r="I1224" s="13">
        <v>109.05</v>
      </c>
      <c r="J1224" s="24">
        <v>45875</v>
      </c>
      <c r="K1224" s="25">
        <v>13</v>
      </c>
      <c r="L1224" s="25">
        <v>3.7</v>
      </c>
      <c r="M1224" s="13" t="b">
        <v>0</v>
      </c>
      <c r="O1224" s="25">
        <f t="shared" si="76"/>
        <v>27</v>
      </c>
      <c r="P1224" s="13">
        <f t="shared" si="77"/>
        <v>0</v>
      </c>
      <c r="Q1224" s="13" t="str">
        <f t="shared" si="78"/>
        <v/>
      </c>
      <c r="R1224" s="13" t="str">
        <f t="shared" si="79"/>
        <v>Non diskon</v>
      </c>
    </row>
    <row r="1225" spans="1:18" x14ac:dyDescent="0.25">
      <c r="A1225" s="13" t="s">
        <v>1237</v>
      </c>
      <c r="B1225" s="13" t="s">
        <v>2192</v>
      </c>
      <c r="C1225" s="13" t="s">
        <v>2203</v>
      </c>
      <c r="D1225" s="13" t="s">
        <v>2205</v>
      </c>
      <c r="F1225" s="13" t="s">
        <v>2221</v>
      </c>
      <c r="G1225" s="13">
        <v>67.459999999999994</v>
      </c>
      <c r="H1225" s="44">
        <v>0</v>
      </c>
      <c r="I1225" s="13">
        <v>67.459999999999994</v>
      </c>
      <c r="J1225" s="24">
        <v>45875</v>
      </c>
      <c r="K1225" s="25">
        <v>28</v>
      </c>
      <c r="L1225" s="25">
        <v>1.4</v>
      </c>
      <c r="M1225" s="13" t="b">
        <v>0</v>
      </c>
      <c r="O1225" s="25">
        <f t="shared" si="76"/>
        <v>27</v>
      </c>
      <c r="P1225" s="13">
        <f t="shared" si="77"/>
        <v>0</v>
      </c>
      <c r="Q1225" s="13" t="str">
        <f t="shared" si="78"/>
        <v/>
      </c>
      <c r="R1225" s="13" t="str">
        <f t="shared" si="79"/>
        <v>Non diskon</v>
      </c>
    </row>
    <row r="1226" spans="1:18" x14ac:dyDescent="0.25">
      <c r="A1226" s="13" t="s">
        <v>1238</v>
      </c>
      <c r="B1226" s="13" t="s">
        <v>2193</v>
      </c>
      <c r="C1226" s="13" t="s">
        <v>2201</v>
      </c>
      <c r="D1226" s="13" t="s">
        <v>2205</v>
      </c>
      <c r="E1226" s="13" t="s">
        <v>2213</v>
      </c>
      <c r="F1226" s="13" t="s">
        <v>2217</v>
      </c>
      <c r="G1226" s="13">
        <v>110.11</v>
      </c>
      <c r="H1226" s="44">
        <v>10.199999999999999</v>
      </c>
      <c r="I1226" s="13">
        <v>98.88</v>
      </c>
      <c r="J1226" s="24">
        <v>45875</v>
      </c>
      <c r="K1226" s="25">
        <v>47</v>
      </c>
      <c r="L1226" s="25">
        <v>3.0068965517241386</v>
      </c>
      <c r="M1226" s="13" t="b">
        <v>0</v>
      </c>
      <c r="O1226" s="25">
        <f t="shared" si="76"/>
        <v>27</v>
      </c>
      <c r="P1226" s="13">
        <f t="shared" si="77"/>
        <v>479.4</v>
      </c>
      <c r="Q1226" s="13" t="str">
        <f t="shared" si="78"/>
        <v/>
      </c>
      <c r="R1226" s="13" t="str">
        <f t="shared" si="79"/>
        <v>Diskon</v>
      </c>
    </row>
    <row r="1227" spans="1:18" x14ac:dyDescent="0.25">
      <c r="A1227" s="13" t="s">
        <v>1239</v>
      </c>
      <c r="B1227" s="13" t="s">
        <v>2193</v>
      </c>
      <c r="C1227" s="13" t="s">
        <v>2198</v>
      </c>
      <c r="D1227" s="13" t="s">
        <v>2207</v>
      </c>
      <c r="E1227" s="13" t="s">
        <v>2208</v>
      </c>
      <c r="F1227" s="13" t="s">
        <v>2217</v>
      </c>
      <c r="G1227" s="13">
        <v>162.5</v>
      </c>
      <c r="H1227" s="44">
        <v>0</v>
      </c>
      <c r="I1227" s="13">
        <v>162.5</v>
      </c>
      <c r="J1227" s="24">
        <v>45875</v>
      </c>
      <c r="K1227" s="25">
        <v>45</v>
      </c>
      <c r="L1227" s="25">
        <v>3.1936170212765949</v>
      </c>
      <c r="M1227" s="13" t="b">
        <v>0</v>
      </c>
      <c r="O1227" s="25">
        <f t="shared" si="76"/>
        <v>27</v>
      </c>
      <c r="P1227" s="13">
        <f t="shared" si="77"/>
        <v>0</v>
      </c>
      <c r="Q1227" s="13" t="str">
        <f t="shared" si="78"/>
        <v/>
      </c>
      <c r="R1227" s="13" t="str">
        <f t="shared" si="79"/>
        <v>Non diskon</v>
      </c>
    </row>
    <row r="1228" spans="1:18" x14ac:dyDescent="0.25">
      <c r="A1228" s="13" t="s">
        <v>1240</v>
      </c>
      <c r="B1228" s="13" t="s">
        <v>2192</v>
      </c>
      <c r="C1228" s="13" t="s">
        <v>2197</v>
      </c>
      <c r="D1228" s="13" t="s">
        <v>2207</v>
      </c>
      <c r="F1228" s="13" t="s">
        <v>2216</v>
      </c>
      <c r="G1228" s="13">
        <v>23.8</v>
      </c>
      <c r="H1228" s="44">
        <v>8.3000000000000007</v>
      </c>
      <c r="I1228" s="13">
        <v>21.82</v>
      </c>
      <c r="J1228" s="24">
        <v>45875</v>
      </c>
      <c r="K1228" s="25">
        <v>0</v>
      </c>
      <c r="L1228" s="25">
        <v>3.5</v>
      </c>
      <c r="M1228" s="13" t="b">
        <v>0</v>
      </c>
      <c r="O1228" s="25">
        <f t="shared" si="76"/>
        <v>27</v>
      </c>
      <c r="P1228" s="13">
        <f t="shared" si="77"/>
        <v>0</v>
      </c>
      <c r="Q1228" s="13" t="str">
        <f t="shared" si="78"/>
        <v/>
      </c>
      <c r="R1228" s="13" t="str">
        <f t="shared" si="79"/>
        <v>Diskon</v>
      </c>
    </row>
    <row r="1229" spans="1:18" x14ac:dyDescent="0.25">
      <c r="A1229" s="13" t="s">
        <v>1241</v>
      </c>
      <c r="B1229" s="13" t="s">
        <v>2194</v>
      </c>
      <c r="C1229" s="13" t="s">
        <v>2198</v>
      </c>
      <c r="D1229" s="13" t="s">
        <v>2206</v>
      </c>
      <c r="E1229" s="13" t="s">
        <v>2212</v>
      </c>
      <c r="F1229" s="13" t="s">
        <v>2224</v>
      </c>
      <c r="G1229" s="13">
        <v>115.89</v>
      </c>
      <c r="H1229" s="44">
        <v>0</v>
      </c>
      <c r="I1229" s="13">
        <v>115.89</v>
      </c>
      <c r="J1229" s="24">
        <v>45875</v>
      </c>
      <c r="K1229" s="25">
        <v>34</v>
      </c>
      <c r="L1229" s="25">
        <v>2.9</v>
      </c>
      <c r="M1229" s="13" t="b">
        <v>0</v>
      </c>
      <c r="O1229" s="25">
        <f t="shared" si="76"/>
        <v>27</v>
      </c>
      <c r="P1229" s="13">
        <f t="shared" si="77"/>
        <v>0</v>
      </c>
      <c r="Q1229" s="13" t="str">
        <f t="shared" si="78"/>
        <v/>
      </c>
      <c r="R1229" s="13" t="str">
        <f t="shared" si="79"/>
        <v>Non diskon</v>
      </c>
    </row>
    <row r="1230" spans="1:18" x14ac:dyDescent="0.25">
      <c r="A1230" s="13" t="s">
        <v>1242</v>
      </c>
      <c r="B1230" s="13" t="s">
        <v>2190</v>
      </c>
      <c r="C1230" s="13" t="s">
        <v>2200</v>
      </c>
      <c r="D1230" s="13" t="s">
        <v>2204</v>
      </c>
      <c r="E1230" s="13" t="s">
        <v>2213</v>
      </c>
      <c r="F1230" s="13" t="s">
        <v>2214</v>
      </c>
      <c r="G1230" s="13">
        <v>139.19999999999999</v>
      </c>
      <c r="H1230" s="44">
        <v>42.5</v>
      </c>
      <c r="I1230" s="13">
        <v>80.040000000000006</v>
      </c>
      <c r="J1230" s="24">
        <v>45567</v>
      </c>
      <c r="K1230" s="25">
        <v>27</v>
      </c>
      <c r="L1230" s="25">
        <v>2.9</v>
      </c>
      <c r="M1230" s="13" t="b">
        <v>0</v>
      </c>
      <c r="O1230" s="25">
        <f t="shared" si="76"/>
        <v>335</v>
      </c>
      <c r="P1230" s="13">
        <f t="shared" si="77"/>
        <v>1147.5</v>
      </c>
      <c r="Q1230" s="13" t="str">
        <f t="shared" si="78"/>
        <v/>
      </c>
      <c r="R1230" s="13" t="str">
        <f t="shared" si="79"/>
        <v>Diskon</v>
      </c>
    </row>
    <row r="1231" spans="1:18" x14ac:dyDescent="0.25">
      <c r="A1231" s="13" t="s">
        <v>1243</v>
      </c>
      <c r="B1231" s="13" t="s">
        <v>2195</v>
      </c>
      <c r="C1231" s="13" t="s">
        <v>2203</v>
      </c>
      <c r="D1231" s="13" t="s">
        <v>2206</v>
      </c>
      <c r="E1231" s="13" t="s">
        <v>2210</v>
      </c>
      <c r="F1231" s="13" t="s">
        <v>2222</v>
      </c>
      <c r="G1231" s="13">
        <v>120.42</v>
      </c>
      <c r="H1231" s="44">
        <v>36.700000000000003</v>
      </c>
      <c r="I1231" s="13">
        <v>76.23</v>
      </c>
      <c r="J1231" s="24">
        <v>45875</v>
      </c>
      <c r="K1231" s="25">
        <v>46</v>
      </c>
      <c r="L1231" s="25">
        <v>2.4</v>
      </c>
      <c r="M1231" s="13" t="b">
        <v>0</v>
      </c>
      <c r="O1231" s="25">
        <f t="shared" si="76"/>
        <v>27</v>
      </c>
      <c r="P1231" s="13">
        <f t="shared" si="77"/>
        <v>1688.2</v>
      </c>
      <c r="Q1231" s="13" t="str">
        <f t="shared" si="78"/>
        <v/>
      </c>
      <c r="R1231" s="13" t="str">
        <f t="shared" si="79"/>
        <v>Diskon</v>
      </c>
    </row>
    <row r="1232" spans="1:18" x14ac:dyDescent="0.25">
      <c r="A1232" s="13" t="s">
        <v>1244</v>
      </c>
      <c r="B1232" s="13" t="s">
        <v>2192</v>
      </c>
      <c r="C1232" s="13" t="s">
        <v>2198</v>
      </c>
      <c r="D1232" s="13" t="s">
        <v>2206</v>
      </c>
      <c r="F1232" s="13" t="s">
        <v>2221</v>
      </c>
      <c r="G1232" s="13">
        <v>72.81</v>
      </c>
      <c r="H1232" s="44">
        <v>0</v>
      </c>
      <c r="I1232" s="13">
        <v>72.81</v>
      </c>
      <c r="J1232" s="24">
        <v>45875</v>
      </c>
      <c r="K1232" s="25">
        <v>4</v>
      </c>
      <c r="L1232" s="25">
        <v>4.3</v>
      </c>
      <c r="M1232" s="13" t="b">
        <v>0</v>
      </c>
      <c r="O1232" s="25">
        <f t="shared" si="76"/>
        <v>27</v>
      </c>
      <c r="P1232" s="13">
        <f t="shared" si="77"/>
        <v>0</v>
      </c>
      <c r="Q1232" s="13" t="str">
        <f t="shared" si="78"/>
        <v/>
      </c>
      <c r="R1232" s="13" t="str">
        <f t="shared" si="79"/>
        <v>Non diskon</v>
      </c>
    </row>
    <row r="1233" spans="1:18" x14ac:dyDescent="0.25">
      <c r="A1233" s="13" t="s">
        <v>1245</v>
      </c>
      <c r="B1233" s="13" t="s">
        <v>2192</v>
      </c>
      <c r="C1233" s="13" t="s">
        <v>2196</v>
      </c>
      <c r="D1233" s="13" t="s">
        <v>2204</v>
      </c>
      <c r="F1233" s="13" t="s">
        <v>2224</v>
      </c>
      <c r="G1233" s="13">
        <v>29.75</v>
      </c>
      <c r="H1233" s="44">
        <v>0</v>
      </c>
      <c r="I1233" s="13">
        <v>29.75</v>
      </c>
      <c r="J1233" s="24">
        <v>45695</v>
      </c>
      <c r="K1233" s="25">
        <v>37</v>
      </c>
      <c r="L1233" s="25">
        <v>3.9</v>
      </c>
      <c r="M1233" s="13" t="b">
        <v>0</v>
      </c>
      <c r="O1233" s="25">
        <f t="shared" si="76"/>
        <v>207</v>
      </c>
      <c r="P1233" s="13">
        <f t="shared" si="77"/>
        <v>0</v>
      </c>
      <c r="Q1233" s="13" t="str">
        <f t="shared" si="78"/>
        <v/>
      </c>
      <c r="R1233" s="13" t="str">
        <f t="shared" si="79"/>
        <v>Non diskon</v>
      </c>
    </row>
    <row r="1234" spans="1:18" x14ac:dyDescent="0.25">
      <c r="A1234" s="13" t="s">
        <v>1246</v>
      </c>
      <c r="B1234" s="13" t="s">
        <v>2191</v>
      </c>
      <c r="C1234" s="13" t="s">
        <v>2202</v>
      </c>
      <c r="D1234" s="13" t="s">
        <v>2207</v>
      </c>
      <c r="E1234" s="13" t="s">
        <v>2208</v>
      </c>
      <c r="F1234" s="13" t="s">
        <v>2216</v>
      </c>
      <c r="G1234" s="13">
        <v>33.630000000000003</v>
      </c>
      <c r="H1234" s="44">
        <v>0</v>
      </c>
      <c r="I1234" s="13">
        <v>33.630000000000003</v>
      </c>
      <c r="J1234" s="24">
        <v>45875</v>
      </c>
      <c r="K1234" s="25">
        <v>13</v>
      </c>
      <c r="L1234" s="25">
        <v>4.7</v>
      </c>
      <c r="M1234" s="13" t="b">
        <v>0</v>
      </c>
      <c r="O1234" s="25">
        <f t="shared" si="76"/>
        <v>27</v>
      </c>
      <c r="P1234" s="13">
        <f t="shared" si="77"/>
        <v>0</v>
      </c>
      <c r="Q1234" s="13" t="str">
        <f t="shared" si="78"/>
        <v/>
      </c>
      <c r="R1234" s="13" t="str">
        <f t="shared" si="79"/>
        <v>Non diskon</v>
      </c>
    </row>
    <row r="1235" spans="1:18" x14ac:dyDescent="0.25">
      <c r="A1235" s="13" t="s">
        <v>1247</v>
      </c>
      <c r="B1235" s="13" t="s">
        <v>2190</v>
      </c>
      <c r="C1235" s="13" t="s">
        <v>2198</v>
      </c>
      <c r="D1235" s="13" t="s">
        <v>2206</v>
      </c>
      <c r="E1235" s="13" t="s">
        <v>2210</v>
      </c>
      <c r="F1235" s="13" t="s">
        <v>2224</v>
      </c>
      <c r="G1235" s="13">
        <v>101.93</v>
      </c>
      <c r="H1235" s="44">
        <v>0</v>
      </c>
      <c r="I1235" s="13">
        <v>101.93</v>
      </c>
      <c r="J1235" s="24">
        <v>45875</v>
      </c>
      <c r="K1235" s="25">
        <v>31</v>
      </c>
      <c r="L1235" s="25">
        <v>3.0177777777777774</v>
      </c>
      <c r="M1235" s="13" t="b">
        <v>0</v>
      </c>
      <c r="O1235" s="25">
        <f t="shared" si="76"/>
        <v>27</v>
      </c>
      <c r="P1235" s="13">
        <f t="shared" si="77"/>
        <v>0</v>
      </c>
      <c r="Q1235" s="13" t="str">
        <f t="shared" si="78"/>
        <v/>
      </c>
      <c r="R1235" s="13" t="str">
        <f t="shared" si="79"/>
        <v>Non diskon</v>
      </c>
    </row>
    <row r="1236" spans="1:18" x14ac:dyDescent="0.25">
      <c r="A1236" s="13" t="s">
        <v>1248</v>
      </c>
      <c r="B1236" s="13" t="s">
        <v>2192</v>
      </c>
      <c r="C1236" s="13" t="s">
        <v>2199</v>
      </c>
      <c r="D1236" s="13" t="s">
        <v>2205</v>
      </c>
      <c r="F1236" s="13" t="s">
        <v>2217</v>
      </c>
      <c r="G1236" s="13">
        <v>41.43</v>
      </c>
      <c r="H1236" s="44">
        <v>0</v>
      </c>
      <c r="I1236" s="13">
        <v>41.43</v>
      </c>
      <c r="J1236" s="24">
        <v>45875</v>
      </c>
      <c r="K1236" s="25">
        <v>10</v>
      </c>
      <c r="L1236" s="25">
        <v>2.5131578947368416</v>
      </c>
      <c r="M1236" s="13" t="b">
        <v>0</v>
      </c>
      <c r="O1236" s="25">
        <f t="shared" si="76"/>
        <v>27</v>
      </c>
      <c r="P1236" s="13">
        <f t="shared" si="77"/>
        <v>0</v>
      </c>
      <c r="Q1236" s="13" t="str">
        <f t="shared" si="78"/>
        <v/>
      </c>
      <c r="R1236" s="13" t="str">
        <f t="shared" si="79"/>
        <v>Non diskon</v>
      </c>
    </row>
    <row r="1237" spans="1:18" x14ac:dyDescent="0.25">
      <c r="A1237" s="13" t="s">
        <v>1249</v>
      </c>
      <c r="B1237" s="13" t="s">
        <v>2190</v>
      </c>
      <c r="C1237" s="13" t="s">
        <v>2201</v>
      </c>
      <c r="D1237" s="13" t="s">
        <v>2204</v>
      </c>
      <c r="E1237" s="13" t="s">
        <v>2209</v>
      </c>
      <c r="F1237" s="13" t="s">
        <v>2220</v>
      </c>
      <c r="G1237" s="13">
        <v>126.14</v>
      </c>
      <c r="H1237" s="44">
        <v>0</v>
      </c>
      <c r="I1237" s="13">
        <v>126.14</v>
      </c>
      <c r="J1237" s="24">
        <v>45795</v>
      </c>
      <c r="K1237" s="25">
        <v>24</v>
      </c>
      <c r="L1237" s="25">
        <v>3.6</v>
      </c>
      <c r="M1237" s="13" t="b">
        <v>0</v>
      </c>
      <c r="O1237" s="25">
        <f t="shared" si="76"/>
        <v>107</v>
      </c>
      <c r="P1237" s="13">
        <f t="shared" si="77"/>
        <v>0</v>
      </c>
      <c r="Q1237" s="13" t="str">
        <f t="shared" si="78"/>
        <v/>
      </c>
      <c r="R1237" s="13" t="str">
        <f t="shared" si="79"/>
        <v>Non diskon</v>
      </c>
    </row>
    <row r="1238" spans="1:18" x14ac:dyDescent="0.25">
      <c r="A1238" s="13" t="s">
        <v>1250</v>
      </c>
      <c r="B1238" s="13" t="s">
        <v>2194</v>
      </c>
      <c r="C1238" s="13" t="s">
        <v>2196</v>
      </c>
      <c r="D1238" s="13" t="s">
        <v>2204</v>
      </c>
      <c r="E1238" s="13" t="s">
        <v>2213</v>
      </c>
      <c r="F1238" s="13" t="s">
        <v>2223</v>
      </c>
      <c r="G1238" s="13">
        <v>96.76</v>
      </c>
      <c r="H1238" s="44">
        <v>0</v>
      </c>
      <c r="I1238" s="13">
        <v>96.76</v>
      </c>
      <c r="J1238" s="24">
        <v>45714</v>
      </c>
      <c r="K1238" s="25">
        <v>6</v>
      </c>
      <c r="L1238" s="25">
        <v>2.9210526315789478</v>
      </c>
      <c r="M1238" s="13" t="b">
        <v>0</v>
      </c>
      <c r="O1238" s="25">
        <f t="shared" si="76"/>
        <v>188</v>
      </c>
      <c r="P1238" s="13">
        <f t="shared" si="77"/>
        <v>0</v>
      </c>
      <c r="Q1238" s="13" t="str">
        <f t="shared" si="78"/>
        <v/>
      </c>
      <c r="R1238" s="13" t="str">
        <f t="shared" si="79"/>
        <v>Non diskon</v>
      </c>
    </row>
    <row r="1239" spans="1:18" x14ac:dyDescent="0.25">
      <c r="A1239" s="13" t="s">
        <v>1251</v>
      </c>
      <c r="B1239" s="13" t="s">
        <v>2191</v>
      </c>
      <c r="C1239" s="13" t="s">
        <v>2199</v>
      </c>
      <c r="D1239" s="13" t="s">
        <v>2205</v>
      </c>
      <c r="E1239" s="13" t="s">
        <v>2212</v>
      </c>
      <c r="F1239" s="13" t="s">
        <v>2222</v>
      </c>
      <c r="G1239" s="13">
        <v>114.32</v>
      </c>
      <c r="H1239" s="44">
        <v>0</v>
      </c>
      <c r="I1239" s="13">
        <v>114.32</v>
      </c>
      <c r="J1239" s="24">
        <v>45875</v>
      </c>
      <c r="K1239" s="25">
        <v>27</v>
      </c>
      <c r="L1239" s="25">
        <v>5</v>
      </c>
      <c r="M1239" s="13" t="b">
        <v>0</v>
      </c>
      <c r="O1239" s="25">
        <f t="shared" si="76"/>
        <v>27</v>
      </c>
      <c r="P1239" s="13">
        <f t="shared" si="77"/>
        <v>0</v>
      </c>
      <c r="Q1239" s="13" t="str">
        <f t="shared" si="78"/>
        <v/>
      </c>
      <c r="R1239" s="13" t="str">
        <f t="shared" si="79"/>
        <v>Non diskon</v>
      </c>
    </row>
    <row r="1240" spans="1:18" x14ac:dyDescent="0.25">
      <c r="A1240" s="13" t="s">
        <v>1252</v>
      </c>
      <c r="B1240" s="13" t="s">
        <v>2193</v>
      </c>
      <c r="C1240" s="13" t="s">
        <v>2200</v>
      </c>
      <c r="D1240" s="13" t="s">
        <v>2204</v>
      </c>
      <c r="E1240" s="13" t="s">
        <v>2210</v>
      </c>
      <c r="F1240" s="13" t="s">
        <v>2223</v>
      </c>
      <c r="G1240" s="13">
        <v>102.46</v>
      </c>
      <c r="H1240" s="44">
        <v>0</v>
      </c>
      <c r="I1240" s="13">
        <v>102.46</v>
      </c>
      <c r="J1240" s="24">
        <v>45643</v>
      </c>
      <c r="K1240" s="25">
        <v>20</v>
      </c>
      <c r="L1240" s="25">
        <v>3.7</v>
      </c>
      <c r="M1240" s="13" t="b">
        <v>1</v>
      </c>
      <c r="N1240" s="13" t="s">
        <v>2228</v>
      </c>
      <c r="O1240" s="25">
        <f t="shared" si="76"/>
        <v>259</v>
      </c>
      <c r="P1240" s="13">
        <f t="shared" si="77"/>
        <v>0</v>
      </c>
      <c r="Q1240" s="13">
        <f t="shared" si="78"/>
        <v>1</v>
      </c>
      <c r="R1240" s="13" t="str">
        <f t="shared" si="79"/>
        <v>Non diskon</v>
      </c>
    </row>
    <row r="1241" spans="1:18" x14ac:dyDescent="0.25">
      <c r="A1241" s="13" t="s">
        <v>1253</v>
      </c>
      <c r="B1241" s="13" t="s">
        <v>2194</v>
      </c>
      <c r="C1241" s="13" t="s">
        <v>2197</v>
      </c>
      <c r="D1241" s="13" t="s">
        <v>2207</v>
      </c>
      <c r="E1241" s="13" t="s">
        <v>2209</v>
      </c>
      <c r="F1241" s="13" t="s">
        <v>2215</v>
      </c>
      <c r="G1241" s="13">
        <v>95.7</v>
      </c>
      <c r="H1241" s="44">
        <v>15</v>
      </c>
      <c r="I1241" s="13">
        <v>81.34</v>
      </c>
      <c r="J1241" s="24">
        <v>45875</v>
      </c>
      <c r="K1241" s="25">
        <v>9</v>
      </c>
      <c r="L1241" s="25">
        <v>4.9000000000000004</v>
      </c>
      <c r="M1241" s="13" t="b">
        <v>0</v>
      </c>
      <c r="O1241" s="25">
        <f t="shared" si="76"/>
        <v>27</v>
      </c>
      <c r="P1241" s="13">
        <f t="shared" si="77"/>
        <v>135</v>
      </c>
      <c r="Q1241" s="13" t="str">
        <f t="shared" si="78"/>
        <v/>
      </c>
      <c r="R1241" s="13" t="str">
        <f t="shared" si="79"/>
        <v>Diskon</v>
      </c>
    </row>
    <row r="1242" spans="1:18" x14ac:dyDescent="0.25">
      <c r="A1242" s="13" t="s">
        <v>1254</v>
      </c>
      <c r="B1242" s="13" t="s">
        <v>2194</v>
      </c>
      <c r="C1242" s="13" t="s">
        <v>2200</v>
      </c>
      <c r="D1242" s="13" t="s">
        <v>2205</v>
      </c>
      <c r="E1242" s="13" t="s">
        <v>2213</v>
      </c>
      <c r="F1242" s="13" t="s">
        <v>2219</v>
      </c>
      <c r="G1242" s="13">
        <v>55.49</v>
      </c>
      <c r="H1242" s="44">
        <v>0</v>
      </c>
      <c r="I1242" s="13">
        <v>55.49</v>
      </c>
      <c r="J1242" s="24">
        <v>45875</v>
      </c>
      <c r="K1242" s="25">
        <v>25</v>
      </c>
      <c r="L1242" s="25">
        <v>4.5999999999999996</v>
      </c>
      <c r="M1242" s="13" t="b">
        <v>0</v>
      </c>
      <c r="O1242" s="25">
        <f t="shared" si="76"/>
        <v>27</v>
      </c>
      <c r="P1242" s="13">
        <f t="shared" si="77"/>
        <v>0</v>
      </c>
      <c r="Q1242" s="13" t="str">
        <f t="shared" si="78"/>
        <v/>
      </c>
      <c r="R1242" s="13" t="str">
        <f t="shared" si="79"/>
        <v>Non diskon</v>
      </c>
    </row>
    <row r="1243" spans="1:18" x14ac:dyDescent="0.25">
      <c r="A1243" s="13" t="s">
        <v>1255</v>
      </c>
      <c r="B1243" s="13" t="s">
        <v>2192</v>
      </c>
      <c r="C1243" s="13" t="s">
        <v>2201</v>
      </c>
      <c r="D1243" s="13" t="s">
        <v>2205</v>
      </c>
      <c r="F1243" s="13" t="s">
        <v>2217</v>
      </c>
      <c r="G1243" s="13">
        <v>30.58</v>
      </c>
      <c r="H1243" s="44">
        <v>9.8000000000000007</v>
      </c>
      <c r="I1243" s="13">
        <v>27.58</v>
      </c>
      <c r="J1243" s="24">
        <v>45875</v>
      </c>
      <c r="K1243" s="25">
        <v>34</v>
      </c>
      <c r="L1243" s="25">
        <v>3.4</v>
      </c>
      <c r="M1243" s="13" t="b">
        <v>0</v>
      </c>
      <c r="O1243" s="25">
        <f t="shared" si="76"/>
        <v>27</v>
      </c>
      <c r="P1243" s="13">
        <f t="shared" si="77"/>
        <v>333.20000000000005</v>
      </c>
      <c r="Q1243" s="13" t="str">
        <f t="shared" si="78"/>
        <v/>
      </c>
      <c r="R1243" s="13" t="str">
        <f t="shared" si="79"/>
        <v>Diskon</v>
      </c>
    </row>
    <row r="1244" spans="1:18" x14ac:dyDescent="0.25">
      <c r="A1244" s="13" t="s">
        <v>1256</v>
      </c>
      <c r="B1244" s="13" t="s">
        <v>2194</v>
      </c>
      <c r="C1244" s="13" t="s">
        <v>2199</v>
      </c>
      <c r="D1244" s="13" t="s">
        <v>2206</v>
      </c>
      <c r="E1244" s="13" t="s">
        <v>2210</v>
      </c>
      <c r="F1244" s="13" t="s">
        <v>2214</v>
      </c>
      <c r="G1244" s="13">
        <v>116.58</v>
      </c>
      <c r="H1244" s="44">
        <v>0</v>
      </c>
      <c r="I1244" s="13">
        <v>116.58</v>
      </c>
      <c r="J1244" s="24">
        <v>45875</v>
      </c>
      <c r="K1244" s="25">
        <v>47</v>
      </c>
      <c r="L1244" s="25">
        <v>1.2</v>
      </c>
      <c r="M1244" s="13" t="b">
        <v>0</v>
      </c>
      <c r="O1244" s="25">
        <f t="shared" si="76"/>
        <v>27</v>
      </c>
      <c r="P1244" s="13">
        <f t="shared" si="77"/>
        <v>0</v>
      </c>
      <c r="Q1244" s="13" t="str">
        <f t="shared" si="78"/>
        <v/>
      </c>
      <c r="R1244" s="13" t="str">
        <f t="shared" si="79"/>
        <v>Non diskon</v>
      </c>
    </row>
    <row r="1245" spans="1:18" x14ac:dyDescent="0.25">
      <c r="A1245" s="13" t="s">
        <v>1257</v>
      </c>
      <c r="B1245" s="13" t="s">
        <v>2195</v>
      </c>
      <c r="C1245" s="13" t="s">
        <v>2196</v>
      </c>
      <c r="D1245" s="13" t="s">
        <v>2205</v>
      </c>
      <c r="E1245" s="13" t="s">
        <v>2208</v>
      </c>
      <c r="F1245" s="13" t="s">
        <v>2222</v>
      </c>
      <c r="G1245" s="13">
        <v>79.180000000000007</v>
      </c>
      <c r="H1245" s="44">
        <v>21.1</v>
      </c>
      <c r="I1245" s="13">
        <v>62.47</v>
      </c>
      <c r="J1245" s="24">
        <v>45875</v>
      </c>
      <c r="K1245" s="25">
        <v>36</v>
      </c>
      <c r="L1245" s="25">
        <v>1.5</v>
      </c>
      <c r="M1245" s="13" t="b">
        <v>1</v>
      </c>
      <c r="N1245" s="13" t="s">
        <v>2229</v>
      </c>
      <c r="O1245" s="25">
        <f t="shared" si="76"/>
        <v>27</v>
      </c>
      <c r="P1245" s="13">
        <f t="shared" si="77"/>
        <v>759.6</v>
      </c>
      <c r="Q1245" s="13">
        <f t="shared" si="78"/>
        <v>1</v>
      </c>
      <c r="R1245" s="13" t="str">
        <f t="shared" si="79"/>
        <v>Diskon</v>
      </c>
    </row>
    <row r="1246" spans="1:18" x14ac:dyDescent="0.25">
      <c r="A1246" s="13" t="s">
        <v>1258</v>
      </c>
      <c r="B1246" s="13" t="s">
        <v>2195</v>
      </c>
      <c r="C1246" s="13" t="s">
        <v>2203</v>
      </c>
      <c r="D1246" s="13" t="s">
        <v>2207</v>
      </c>
      <c r="F1246" s="13" t="s">
        <v>2222</v>
      </c>
      <c r="G1246" s="13">
        <v>88.71</v>
      </c>
      <c r="H1246" s="44">
        <v>0</v>
      </c>
      <c r="I1246" s="13">
        <v>88.71</v>
      </c>
      <c r="J1246" s="24">
        <v>45875</v>
      </c>
      <c r="K1246" s="25">
        <v>3</v>
      </c>
      <c r="L1246" s="25">
        <v>3.5</v>
      </c>
      <c r="M1246" s="13" t="b">
        <v>0</v>
      </c>
      <c r="O1246" s="25">
        <f t="shared" si="76"/>
        <v>27</v>
      </c>
      <c r="P1246" s="13">
        <f t="shared" si="77"/>
        <v>0</v>
      </c>
      <c r="Q1246" s="13" t="str">
        <f t="shared" si="78"/>
        <v/>
      </c>
      <c r="R1246" s="13" t="str">
        <f t="shared" si="79"/>
        <v>Non diskon</v>
      </c>
    </row>
    <row r="1247" spans="1:18" x14ac:dyDescent="0.25">
      <c r="A1247" s="13" t="s">
        <v>1259</v>
      </c>
      <c r="B1247" s="13" t="s">
        <v>2195</v>
      </c>
      <c r="C1247" s="13" t="s">
        <v>2198</v>
      </c>
      <c r="D1247" s="13" t="s">
        <v>2204</v>
      </c>
      <c r="E1247" s="13" t="s">
        <v>2211</v>
      </c>
      <c r="F1247" s="13" t="s">
        <v>2223</v>
      </c>
      <c r="G1247" s="13">
        <v>150.58000000000001</v>
      </c>
      <c r="H1247" s="44">
        <v>0</v>
      </c>
      <c r="I1247" s="13">
        <v>150.58000000000001</v>
      </c>
      <c r="J1247" s="24">
        <v>45645</v>
      </c>
      <c r="K1247" s="25">
        <v>38</v>
      </c>
      <c r="L1247" s="25">
        <v>2.1</v>
      </c>
      <c r="M1247" s="13" t="b">
        <v>0</v>
      </c>
      <c r="O1247" s="25">
        <f t="shared" si="76"/>
        <v>257</v>
      </c>
      <c r="P1247" s="13">
        <f t="shared" si="77"/>
        <v>0</v>
      </c>
      <c r="Q1247" s="13" t="str">
        <f t="shared" si="78"/>
        <v/>
      </c>
      <c r="R1247" s="13" t="str">
        <f t="shared" si="79"/>
        <v>Non diskon</v>
      </c>
    </row>
    <row r="1248" spans="1:18" x14ac:dyDescent="0.25">
      <c r="A1248" s="13" t="s">
        <v>1260</v>
      </c>
      <c r="B1248" s="13" t="s">
        <v>2195</v>
      </c>
      <c r="C1248" s="13" t="s">
        <v>2197</v>
      </c>
      <c r="D1248" s="13" t="s">
        <v>2207</v>
      </c>
      <c r="E1248" s="13" t="s">
        <v>2211</v>
      </c>
      <c r="F1248" s="13" t="s">
        <v>2217</v>
      </c>
      <c r="G1248" s="13">
        <v>179.9</v>
      </c>
      <c r="H1248" s="44">
        <v>9.3000000000000007</v>
      </c>
      <c r="I1248" s="13">
        <v>163.16999999999999</v>
      </c>
      <c r="J1248" s="24">
        <v>45875</v>
      </c>
      <c r="K1248" s="25">
        <v>34</v>
      </c>
      <c r="L1248" s="25">
        <v>2.1</v>
      </c>
      <c r="M1248" s="13" t="b">
        <v>0</v>
      </c>
      <c r="O1248" s="25">
        <f t="shared" si="76"/>
        <v>27</v>
      </c>
      <c r="P1248" s="13">
        <f t="shared" si="77"/>
        <v>316.20000000000005</v>
      </c>
      <c r="Q1248" s="13" t="str">
        <f t="shared" si="78"/>
        <v/>
      </c>
      <c r="R1248" s="13" t="str">
        <f t="shared" si="79"/>
        <v>Diskon</v>
      </c>
    </row>
    <row r="1249" spans="1:18" x14ac:dyDescent="0.25">
      <c r="A1249" s="13" t="s">
        <v>1261</v>
      </c>
      <c r="B1249" s="13" t="s">
        <v>2190</v>
      </c>
      <c r="C1249" s="13" t="s">
        <v>2203</v>
      </c>
      <c r="D1249" s="13" t="s">
        <v>2204</v>
      </c>
      <c r="E1249" s="13" t="s">
        <v>2208</v>
      </c>
      <c r="F1249" s="13" t="s">
        <v>2214</v>
      </c>
      <c r="G1249" s="13">
        <v>135.30000000000001</v>
      </c>
      <c r="H1249" s="44">
        <v>0</v>
      </c>
      <c r="I1249" s="13">
        <v>135.30000000000001</v>
      </c>
      <c r="J1249" s="24">
        <v>45704</v>
      </c>
      <c r="K1249" s="25">
        <v>19</v>
      </c>
      <c r="L1249" s="25">
        <v>4.5999999999999996</v>
      </c>
      <c r="M1249" s="13" t="b">
        <v>0</v>
      </c>
      <c r="O1249" s="25">
        <f t="shared" si="76"/>
        <v>198</v>
      </c>
      <c r="P1249" s="13">
        <f t="shared" si="77"/>
        <v>0</v>
      </c>
      <c r="Q1249" s="13" t="str">
        <f t="shared" si="78"/>
        <v/>
      </c>
      <c r="R1249" s="13" t="str">
        <f t="shared" si="79"/>
        <v>Non diskon</v>
      </c>
    </row>
    <row r="1250" spans="1:18" x14ac:dyDescent="0.25">
      <c r="A1250" s="13" t="s">
        <v>1262</v>
      </c>
      <c r="B1250" s="13" t="s">
        <v>2193</v>
      </c>
      <c r="C1250" s="13" t="s">
        <v>2197</v>
      </c>
      <c r="D1250" s="13" t="s">
        <v>2206</v>
      </c>
      <c r="E1250" s="13" t="s">
        <v>2211</v>
      </c>
      <c r="F1250" s="13" t="s">
        <v>2216</v>
      </c>
      <c r="G1250" s="13">
        <v>146.43</v>
      </c>
      <c r="H1250" s="44">
        <v>0</v>
      </c>
      <c r="I1250" s="13">
        <v>146.43</v>
      </c>
      <c r="J1250" s="24">
        <v>45875</v>
      </c>
      <c r="K1250" s="25">
        <v>7</v>
      </c>
      <c r="L1250" s="25">
        <v>2.5</v>
      </c>
      <c r="M1250" s="13" t="b">
        <v>0</v>
      </c>
      <c r="O1250" s="25">
        <f t="shared" si="76"/>
        <v>27</v>
      </c>
      <c r="P1250" s="13">
        <f t="shared" si="77"/>
        <v>0</v>
      </c>
      <c r="Q1250" s="13" t="str">
        <f t="shared" si="78"/>
        <v/>
      </c>
      <c r="R1250" s="13" t="str">
        <f t="shared" si="79"/>
        <v>Non diskon</v>
      </c>
    </row>
    <row r="1251" spans="1:18" x14ac:dyDescent="0.25">
      <c r="A1251" s="13" t="s">
        <v>1263</v>
      </c>
      <c r="B1251" s="13" t="s">
        <v>2190</v>
      </c>
      <c r="C1251" s="13" t="s">
        <v>2203</v>
      </c>
      <c r="D1251" s="13" t="s">
        <v>2205</v>
      </c>
      <c r="E1251" s="13" t="s">
        <v>2213</v>
      </c>
      <c r="F1251" s="13" t="s">
        <v>2220</v>
      </c>
      <c r="G1251" s="13">
        <v>160.27000000000001</v>
      </c>
      <c r="H1251" s="44">
        <v>0</v>
      </c>
      <c r="I1251" s="13">
        <v>160.27000000000001</v>
      </c>
      <c r="J1251" s="24">
        <v>45875</v>
      </c>
      <c r="K1251" s="25">
        <v>11</v>
      </c>
      <c r="L1251" s="25">
        <v>2</v>
      </c>
      <c r="M1251" s="13" t="b">
        <v>0</v>
      </c>
      <c r="O1251" s="25">
        <f t="shared" si="76"/>
        <v>27</v>
      </c>
      <c r="P1251" s="13">
        <f t="shared" si="77"/>
        <v>0</v>
      </c>
      <c r="Q1251" s="13" t="str">
        <f t="shared" si="78"/>
        <v/>
      </c>
      <c r="R1251" s="13" t="str">
        <f t="shared" si="79"/>
        <v>Non diskon</v>
      </c>
    </row>
    <row r="1252" spans="1:18" x14ac:dyDescent="0.25">
      <c r="A1252" s="13" t="s">
        <v>1264</v>
      </c>
      <c r="B1252" s="13" t="s">
        <v>2193</v>
      </c>
      <c r="C1252" s="13" t="s">
        <v>2199</v>
      </c>
      <c r="D1252" s="13" t="s">
        <v>2205</v>
      </c>
      <c r="E1252" s="13" t="s">
        <v>2213</v>
      </c>
      <c r="F1252" s="13" t="s">
        <v>2218</v>
      </c>
      <c r="G1252" s="13">
        <v>169.87</v>
      </c>
      <c r="H1252" s="44">
        <v>8.8000000000000007</v>
      </c>
      <c r="I1252" s="13">
        <v>154.91999999999999</v>
      </c>
      <c r="J1252" s="24">
        <v>45875</v>
      </c>
      <c r="K1252" s="25">
        <v>36</v>
      </c>
      <c r="L1252" s="25">
        <v>2.1</v>
      </c>
      <c r="M1252" s="13" t="b">
        <v>0</v>
      </c>
      <c r="O1252" s="25">
        <f t="shared" si="76"/>
        <v>27</v>
      </c>
      <c r="P1252" s="13">
        <f t="shared" si="77"/>
        <v>316.8</v>
      </c>
      <c r="Q1252" s="13" t="str">
        <f t="shared" si="78"/>
        <v/>
      </c>
      <c r="R1252" s="13" t="str">
        <f t="shared" si="79"/>
        <v>Diskon</v>
      </c>
    </row>
    <row r="1253" spans="1:18" x14ac:dyDescent="0.25">
      <c r="A1253" s="13" t="s">
        <v>1265</v>
      </c>
      <c r="B1253" s="13" t="s">
        <v>2193</v>
      </c>
      <c r="C1253" s="13" t="s">
        <v>2201</v>
      </c>
      <c r="D1253" s="13" t="s">
        <v>2207</v>
      </c>
      <c r="F1253" s="13" t="s">
        <v>2218</v>
      </c>
      <c r="G1253" s="13">
        <v>137.33000000000001</v>
      </c>
      <c r="H1253" s="44">
        <v>0</v>
      </c>
      <c r="I1253" s="13">
        <v>137.33000000000001</v>
      </c>
      <c r="J1253" s="24">
        <v>45875</v>
      </c>
      <c r="K1253" s="25">
        <v>35</v>
      </c>
      <c r="L1253" s="25">
        <v>4.5999999999999996</v>
      </c>
      <c r="M1253" s="13" t="b">
        <v>0</v>
      </c>
      <c r="O1253" s="25">
        <f t="shared" si="76"/>
        <v>27</v>
      </c>
      <c r="P1253" s="13">
        <f t="shared" si="77"/>
        <v>0</v>
      </c>
      <c r="Q1253" s="13" t="str">
        <f t="shared" si="78"/>
        <v/>
      </c>
      <c r="R1253" s="13" t="str">
        <f t="shared" si="79"/>
        <v>Non diskon</v>
      </c>
    </row>
    <row r="1254" spans="1:18" x14ac:dyDescent="0.25">
      <c r="A1254" s="13" t="s">
        <v>1266</v>
      </c>
      <c r="B1254" s="13" t="s">
        <v>2194</v>
      </c>
      <c r="C1254" s="13" t="s">
        <v>2203</v>
      </c>
      <c r="D1254" s="13" t="s">
        <v>2207</v>
      </c>
      <c r="E1254" s="13" t="s">
        <v>2211</v>
      </c>
      <c r="F1254" s="13" t="s">
        <v>2214</v>
      </c>
      <c r="G1254" s="13">
        <v>38.18</v>
      </c>
      <c r="H1254" s="44">
        <v>0</v>
      </c>
      <c r="I1254" s="13">
        <v>38.18</v>
      </c>
      <c r="J1254" s="24">
        <v>45875</v>
      </c>
      <c r="K1254" s="25">
        <v>38</v>
      </c>
      <c r="L1254" s="25">
        <v>3.1021739130434773</v>
      </c>
      <c r="M1254" s="13" t="b">
        <v>0</v>
      </c>
      <c r="O1254" s="25">
        <f t="shared" si="76"/>
        <v>27</v>
      </c>
      <c r="P1254" s="13">
        <f t="shared" si="77"/>
        <v>0</v>
      </c>
      <c r="Q1254" s="13" t="str">
        <f t="shared" si="78"/>
        <v/>
      </c>
      <c r="R1254" s="13" t="str">
        <f t="shared" si="79"/>
        <v>Non diskon</v>
      </c>
    </row>
    <row r="1255" spans="1:18" x14ac:dyDescent="0.25">
      <c r="A1255" s="13" t="s">
        <v>1267</v>
      </c>
      <c r="B1255" s="13" t="s">
        <v>2191</v>
      </c>
      <c r="C1255" s="13" t="s">
        <v>2196</v>
      </c>
      <c r="D1255" s="13" t="s">
        <v>2207</v>
      </c>
      <c r="E1255" s="13" t="s">
        <v>2211</v>
      </c>
      <c r="F1255" s="13" t="s">
        <v>2219</v>
      </c>
      <c r="G1255" s="13">
        <v>40.619999999999997</v>
      </c>
      <c r="H1255" s="44">
        <v>20.100000000000001</v>
      </c>
      <c r="I1255" s="13">
        <v>32.46</v>
      </c>
      <c r="J1255" s="24">
        <v>45875</v>
      </c>
      <c r="K1255" s="25">
        <v>7</v>
      </c>
      <c r="L1255" s="25">
        <v>2.9181818181818175</v>
      </c>
      <c r="M1255" s="13" t="b">
        <v>0</v>
      </c>
      <c r="O1255" s="25">
        <f t="shared" si="76"/>
        <v>27</v>
      </c>
      <c r="P1255" s="13">
        <f t="shared" si="77"/>
        <v>140.70000000000002</v>
      </c>
      <c r="Q1255" s="13" t="str">
        <f t="shared" si="78"/>
        <v/>
      </c>
      <c r="R1255" s="13" t="str">
        <f t="shared" si="79"/>
        <v>Diskon</v>
      </c>
    </row>
    <row r="1256" spans="1:18" x14ac:dyDescent="0.25">
      <c r="A1256" s="13" t="s">
        <v>1268</v>
      </c>
      <c r="B1256" s="13" t="s">
        <v>2194</v>
      </c>
      <c r="C1256" s="13" t="s">
        <v>2200</v>
      </c>
      <c r="D1256" s="13" t="s">
        <v>2205</v>
      </c>
      <c r="E1256" s="13" t="s">
        <v>2212</v>
      </c>
      <c r="F1256" s="13" t="s">
        <v>2216</v>
      </c>
      <c r="G1256" s="13">
        <v>56.4</v>
      </c>
      <c r="H1256" s="44">
        <v>23.3</v>
      </c>
      <c r="I1256" s="13">
        <v>43.26</v>
      </c>
      <c r="J1256" s="24">
        <v>45875</v>
      </c>
      <c r="K1256" s="25">
        <v>35</v>
      </c>
      <c r="L1256" s="25">
        <v>3.0659090909090896</v>
      </c>
      <c r="M1256" s="13" t="b">
        <v>0</v>
      </c>
      <c r="O1256" s="25">
        <f t="shared" si="76"/>
        <v>27</v>
      </c>
      <c r="P1256" s="13">
        <f t="shared" si="77"/>
        <v>815.5</v>
      </c>
      <c r="Q1256" s="13" t="str">
        <f t="shared" si="78"/>
        <v/>
      </c>
      <c r="R1256" s="13" t="str">
        <f t="shared" si="79"/>
        <v>Diskon</v>
      </c>
    </row>
    <row r="1257" spans="1:18" x14ac:dyDescent="0.25">
      <c r="A1257" s="13" t="s">
        <v>1269</v>
      </c>
      <c r="B1257" s="13" t="s">
        <v>2192</v>
      </c>
      <c r="C1257" s="13" t="s">
        <v>2203</v>
      </c>
      <c r="D1257" s="13" t="s">
        <v>2207</v>
      </c>
      <c r="F1257" s="13" t="s">
        <v>2220</v>
      </c>
      <c r="G1257" s="13">
        <v>19.559999999999999</v>
      </c>
      <c r="H1257" s="44">
        <v>0</v>
      </c>
      <c r="I1257" s="13">
        <v>19.559999999999999</v>
      </c>
      <c r="J1257" s="24">
        <v>45875</v>
      </c>
      <c r="K1257" s="25">
        <v>13</v>
      </c>
      <c r="L1257" s="25">
        <v>3.1</v>
      </c>
      <c r="M1257" s="13" t="b">
        <v>0</v>
      </c>
      <c r="O1257" s="25">
        <f t="shared" si="76"/>
        <v>27</v>
      </c>
      <c r="P1257" s="13">
        <f t="shared" si="77"/>
        <v>0</v>
      </c>
      <c r="Q1257" s="13" t="str">
        <f t="shared" si="78"/>
        <v/>
      </c>
      <c r="R1257" s="13" t="str">
        <f t="shared" si="79"/>
        <v>Non diskon</v>
      </c>
    </row>
    <row r="1258" spans="1:18" x14ac:dyDescent="0.25">
      <c r="A1258" s="13" t="s">
        <v>1270</v>
      </c>
      <c r="B1258" s="13" t="s">
        <v>2193</v>
      </c>
      <c r="C1258" s="13" t="s">
        <v>2200</v>
      </c>
      <c r="D1258" s="13" t="s">
        <v>2205</v>
      </c>
      <c r="E1258" s="13" t="s">
        <v>2209</v>
      </c>
      <c r="F1258" s="13" t="s">
        <v>2217</v>
      </c>
      <c r="G1258" s="13">
        <v>155.66</v>
      </c>
      <c r="H1258" s="44">
        <v>0</v>
      </c>
      <c r="I1258" s="13">
        <v>155.66</v>
      </c>
      <c r="J1258" s="24">
        <v>45875</v>
      </c>
      <c r="K1258" s="25">
        <v>3</v>
      </c>
      <c r="L1258" s="25">
        <v>4</v>
      </c>
      <c r="M1258" s="13" t="b">
        <v>0</v>
      </c>
      <c r="O1258" s="25">
        <f t="shared" si="76"/>
        <v>27</v>
      </c>
      <c r="P1258" s="13">
        <f t="shared" si="77"/>
        <v>0</v>
      </c>
      <c r="Q1258" s="13" t="str">
        <f t="shared" si="78"/>
        <v/>
      </c>
      <c r="R1258" s="13" t="str">
        <f t="shared" si="79"/>
        <v>Non diskon</v>
      </c>
    </row>
    <row r="1259" spans="1:18" x14ac:dyDescent="0.25">
      <c r="A1259" s="13" t="s">
        <v>1271</v>
      </c>
      <c r="B1259" s="13" t="s">
        <v>2191</v>
      </c>
      <c r="C1259" s="13" t="s">
        <v>2196</v>
      </c>
      <c r="D1259" s="13" t="s">
        <v>2207</v>
      </c>
      <c r="E1259" s="13" t="s">
        <v>2210</v>
      </c>
      <c r="F1259" s="13" t="s">
        <v>2223</v>
      </c>
      <c r="G1259" s="13">
        <v>106.2</v>
      </c>
      <c r="H1259" s="44">
        <v>0</v>
      </c>
      <c r="I1259" s="13">
        <v>106.2</v>
      </c>
      <c r="J1259" s="24">
        <v>45875</v>
      </c>
      <c r="K1259" s="25">
        <v>10</v>
      </c>
      <c r="L1259" s="25">
        <v>1.1000000000000001</v>
      </c>
      <c r="M1259" s="13" t="b">
        <v>0</v>
      </c>
      <c r="O1259" s="25">
        <f t="shared" si="76"/>
        <v>27</v>
      </c>
      <c r="P1259" s="13">
        <f t="shared" si="77"/>
        <v>0</v>
      </c>
      <c r="Q1259" s="13" t="str">
        <f t="shared" si="78"/>
        <v/>
      </c>
      <c r="R1259" s="13" t="str">
        <f t="shared" si="79"/>
        <v>Non diskon</v>
      </c>
    </row>
    <row r="1260" spans="1:18" x14ac:dyDescent="0.25">
      <c r="A1260" s="13" t="s">
        <v>1272</v>
      </c>
      <c r="B1260" s="13" t="s">
        <v>2190</v>
      </c>
      <c r="C1260" s="13" t="s">
        <v>2201</v>
      </c>
      <c r="D1260" s="13" t="s">
        <v>2206</v>
      </c>
      <c r="E1260" s="13" t="s">
        <v>2211</v>
      </c>
      <c r="F1260" s="13" t="s">
        <v>2222</v>
      </c>
      <c r="G1260" s="13">
        <v>158.31</v>
      </c>
      <c r="H1260" s="44">
        <v>0</v>
      </c>
      <c r="I1260" s="13">
        <v>158.31</v>
      </c>
      <c r="J1260" s="24">
        <v>45875</v>
      </c>
      <c r="K1260" s="25">
        <v>7</v>
      </c>
      <c r="L1260" s="25">
        <v>5</v>
      </c>
      <c r="M1260" s="13" t="b">
        <v>0</v>
      </c>
      <c r="O1260" s="25">
        <f t="shared" si="76"/>
        <v>27</v>
      </c>
      <c r="P1260" s="13">
        <f t="shared" si="77"/>
        <v>0</v>
      </c>
      <c r="Q1260" s="13" t="str">
        <f t="shared" si="78"/>
        <v/>
      </c>
      <c r="R1260" s="13" t="str">
        <f t="shared" si="79"/>
        <v>Non diskon</v>
      </c>
    </row>
    <row r="1261" spans="1:18" x14ac:dyDescent="0.25">
      <c r="A1261" s="13" t="s">
        <v>1273</v>
      </c>
      <c r="B1261" s="13" t="s">
        <v>2195</v>
      </c>
      <c r="C1261" s="13" t="s">
        <v>2199</v>
      </c>
      <c r="D1261" s="13" t="s">
        <v>2204</v>
      </c>
      <c r="E1261" s="13" t="s">
        <v>2208</v>
      </c>
      <c r="F1261" s="13" t="s">
        <v>2215</v>
      </c>
      <c r="G1261" s="13">
        <v>102.3</v>
      </c>
      <c r="H1261" s="44">
        <v>42.2</v>
      </c>
      <c r="I1261" s="13">
        <v>59.13</v>
      </c>
      <c r="J1261" s="24">
        <v>45807</v>
      </c>
      <c r="K1261" s="25">
        <v>43</v>
      </c>
      <c r="L1261" s="25">
        <v>1.3</v>
      </c>
      <c r="M1261" s="13" t="b">
        <v>0</v>
      </c>
      <c r="O1261" s="25">
        <f t="shared" si="76"/>
        <v>95</v>
      </c>
      <c r="P1261" s="13">
        <f t="shared" si="77"/>
        <v>1814.6000000000001</v>
      </c>
      <c r="Q1261" s="13" t="str">
        <f t="shared" si="78"/>
        <v/>
      </c>
      <c r="R1261" s="13" t="str">
        <f t="shared" si="79"/>
        <v>Diskon</v>
      </c>
    </row>
    <row r="1262" spans="1:18" x14ac:dyDescent="0.25">
      <c r="A1262" s="13" t="s">
        <v>1274</v>
      </c>
      <c r="B1262" s="13" t="s">
        <v>2192</v>
      </c>
      <c r="C1262" s="13" t="s">
        <v>2202</v>
      </c>
      <c r="D1262" s="13" t="s">
        <v>2206</v>
      </c>
      <c r="F1262" s="13" t="s">
        <v>2222</v>
      </c>
      <c r="G1262" s="13">
        <v>53.46</v>
      </c>
      <c r="H1262" s="44">
        <v>58</v>
      </c>
      <c r="I1262" s="13">
        <v>22.45</v>
      </c>
      <c r="J1262" s="24">
        <v>45875</v>
      </c>
      <c r="K1262" s="25">
        <v>6</v>
      </c>
      <c r="L1262" s="25">
        <v>4.2</v>
      </c>
      <c r="M1262" s="13" t="b">
        <v>0</v>
      </c>
      <c r="O1262" s="25">
        <f t="shared" si="76"/>
        <v>27</v>
      </c>
      <c r="P1262" s="13">
        <f t="shared" si="77"/>
        <v>348</v>
      </c>
      <c r="Q1262" s="13" t="str">
        <f t="shared" si="78"/>
        <v/>
      </c>
      <c r="R1262" s="13" t="str">
        <f t="shared" si="79"/>
        <v>Diskon</v>
      </c>
    </row>
    <row r="1263" spans="1:18" x14ac:dyDescent="0.25">
      <c r="A1263" s="13" t="s">
        <v>1275</v>
      </c>
      <c r="B1263" s="13" t="s">
        <v>2195</v>
      </c>
      <c r="C1263" s="13" t="s">
        <v>2197</v>
      </c>
      <c r="D1263" s="13" t="s">
        <v>2207</v>
      </c>
      <c r="E1263" s="13" t="s">
        <v>2212</v>
      </c>
      <c r="F1263" s="13" t="s">
        <v>2219</v>
      </c>
      <c r="G1263" s="13">
        <v>101.78</v>
      </c>
      <c r="H1263" s="44">
        <v>22.9</v>
      </c>
      <c r="I1263" s="13">
        <v>78.47</v>
      </c>
      <c r="J1263" s="24">
        <v>45875</v>
      </c>
      <c r="K1263" s="25">
        <v>5</v>
      </c>
      <c r="L1263" s="25">
        <v>1.2</v>
      </c>
      <c r="M1263" s="13" t="b">
        <v>1</v>
      </c>
      <c r="N1263" s="13" t="s">
        <v>2227</v>
      </c>
      <c r="O1263" s="25">
        <f t="shared" si="76"/>
        <v>27</v>
      </c>
      <c r="P1263" s="13">
        <f t="shared" si="77"/>
        <v>114.5</v>
      </c>
      <c r="Q1263" s="13">
        <f t="shared" si="78"/>
        <v>1</v>
      </c>
      <c r="R1263" s="13" t="str">
        <f t="shared" si="79"/>
        <v>Diskon</v>
      </c>
    </row>
    <row r="1264" spans="1:18" x14ac:dyDescent="0.25">
      <c r="A1264" s="13" t="s">
        <v>1276</v>
      </c>
      <c r="B1264" s="13" t="s">
        <v>2190</v>
      </c>
      <c r="C1264" s="13" t="s">
        <v>2198</v>
      </c>
      <c r="D1264" s="13" t="s">
        <v>2207</v>
      </c>
      <c r="E1264" s="13" t="s">
        <v>2213</v>
      </c>
      <c r="F1264" s="13" t="s">
        <v>2218</v>
      </c>
      <c r="G1264" s="13">
        <v>112.28</v>
      </c>
      <c r="H1264" s="44">
        <v>0</v>
      </c>
      <c r="I1264" s="13">
        <v>112.28</v>
      </c>
      <c r="J1264" s="24">
        <v>45875</v>
      </c>
      <c r="K1264" s="25">
        <v>41</v>
      </c>
      <c r="L1264" s="25">
        <v>4.0999999999999996</v>
      </c>
      <c r="M1264" s="13" t="b">
        <v>0</v>
      </c>
      <c r="O1264" s="25">
        <f t="shared" si="76"/>
        <v>27</v>
      </c>
      <c r="P1264" s="13">
        <f t="shared" si="77"/>
        <v>0</v>
      </c>
      <c r="Q1264" s="13" t="str">
        <f t="shared" si="78"/>
        <v/>
      </c>
      <c r="R1264" s="13" t="str">
        <f t="shared" si="79"/>
        <v>Non diskon</v>
      </c>
    </row>
    <row r="1265" spans="1:18" x14ac:dyDescent="0.25">
      <c r="A1265" s="13" t="s">
        <v>1277</v>
      </c>
      <c r="B1265" s="13" t="s">
        <v>2192</v>
      </c>
      <c r="C1265" s="13" t="s">
        <v>2198</v>
      </c>
      <c r="D1265" s="13" t="s">
        <v>2205</v>
      </c>
      <c r="F1265" s="13" t="s">
        <v>2215</v>
      </c>
      <c r="G1265" s="13">
        <v>47.51</v>
      </c>
      <c r="H1265" s="44">
        <v>0</v>
      </c>
      <c r="I1265" s="13">
        <v>47.51</v>
      </c>
      <c r="J1265" s="24">
        <v>45875</v>
      </c>
      <c r="K1265" s="25">
        <v>39</v>
      </c>
      <c r="L1265" s="25">
        <v>4.4000000000000004</v>
      </c>
      <c r="M1265" s="13" t="b">
        <v>0</v>
      </c>
      <c r="O1265" s="25">
        <f t="shared" si="76"/>
        <v>27</v>
      </c>
      <c r="P1265" s="13">
        <f t="shared" si="77"/>
        <v>0</v>
      </c>
      <c r="Q1265" s="13" t="str">
        <f t="shared" si="78"/>
        <v/>
      </c>
      <c r="R1265" s="13" t="str">
        <f t="shared" si="79"/>
        <v>Non diskon</v>
      </c>
    </row>
    <row r="1266" spans="1:18" x14ac:dyDescent="0.25">
      <c r="A1266" s="13" t="s">
        <v>1278</v>
      </c>
      <c r="B1266" s="13" t="s">
        <v>2191</v>
      </c>
      <c r="C1266" s="13" t="s">
        <v>2197</v>
      </c>
      <c r="D1266" s="13" t="s">
        <v>2205</v>
      </c>
      <c r="E1266" s="13" t="s">
        <v>2211</v>
      </c>
      <c r="F1266" s="13" t="s">
        <v>2221</v>
      </c>
      <c r="G1266" s="13">
        <v>80.39</v>
      </c>
      <c r="H1266" s="44">
        <v>0</v>
      </c>
      <c r="I1266" s="13">
        <v>80.39</v>
      </c>
      <c r="J1266" s="24">
        <v>45875</v>
      </c>
      <c r="K1266" s="25">
        <v>24</v>
      </c>
      <c r="L1266" s="25">
        <v>3.34</v>
      </c>
      <c r="M1266" s="13" t="b">
        <v>0</v>
      </c>
      <c r="O1266" s="25">
        <f t="shared" si="76"/>
        <v>27</v>
      </c>
      <c r="P1266" s="13">
        <f t="shared" si="77"/>
        <v>0</v>
      </c>
      <c r="Q1266" s="13" t="str">
        <f t="shared" si="78"/>
        <v/>
      </c>
      <c r="R1266" s="13" t="str">
        <f t="shared" si="79"/>
        <v>Non diskon</v>
      </c>
    </row>
    <row r="1267" spans="1:18" x14ac:dyDescent="0.25">
      <c r="A1267" s="13" t="s">
        <v>1279</v>
      </c>
      <c r="B1267" s="13" t="s">
        <v>2194</v>
      </c>
      <c r="C1267" s="13" t="s">
        <v>2199</v>
      </c>
      <c r="D1267" s="13" t="s">
        <v>2205</v>
      </c>
      <c r="E1267" s="13" t="s">
        <v>2209</v>
      </c>
      <c r="F1267" s="13" t="s">
        <v>2214</v>
      </c>
      <c r="G1267" s="13">
        <v>64.75</v>
      </c>
      <c r="H1267" s="44">
        <v>26.4</v>
      </c>
      <c r="I1267" s="13">
        <v>47.66</v>
      </c>
      <c r="J1267" s="24">
        <v>45875</v>
      </c>
      <c r="K1267" s="25">
        <v>7</v>
      </c>
      <c r="L1267" s="25">
        <v>2.9</v>
      </c>
      <c r="M1267" s="13" t="b">
        <v>1</v>
      </c>
      <c r="N1267" s="13" t="s">
        <v>2230</v>
      </c>
      <c r="O1267" s="25">
        <f t="shared" si="76"/>
        <v>27</v>
      </c>
      <c r="P1267" s="13">
        <f t="shared" si="77"/>
        <v>184.79999999999998</v>
      </c>
      <c r="Q1267" s="13">
        <f t="shared" si="78"/>
        <v>1</v>
      </c>
      <c r="R1267" s="13" t="str">
        <f t="shared" si="79"/>
        <v>Diskon</v>
      </c>
    </row>
    <row r="1268" spans="1:18" x14ac:dyDescent="0.25">
      <c r="A1268" s="13" t="s">
        <v>1280</v>
      </c>
      <c r="B1268" s="13" t="s">
        <v>2190</v>
      </c>
      <c r="C1268" s="13" t="s">
        <v>2196</v>
      </c>
      <c r="D1268" s="13" t="s">
        <v>2205</v>
      </c>
      <c r="E1268" s="13" t="s">
        <v>2209</v>
      </c>
      <c r="F1268" s="13" t="s">
        <v>2214</v>
      </c>
      <c r="G1268" s="13">
        <v>129.86000000000001</v>
      </c>
      <c r="H1268" s="44">
        <v>0</v>
      </c>
      <c r="I1268" s="13">
        <v>129.86000000000001</v>
      </c>
      <c r="J1268" s="24">
        <v>45875</v>
      </c>
      <c r="K1268" s="25">
        <v>41</v>
      </c>
      <c r="L1268" s="25">
        <v>1.7</v>
      </c>
      <c r="M1268" s="13" t="b">
        <v>0</v>
      </c>
      <c r="O1268" s="25">
        <f t="shared" si="76"/>
        <v>27</v>
      </c>
      <c r="P1268" s="13">
        <f t="shared" si="77"/>
        <v>0</v>
      </c>
      <c r="Q1268" s="13" t="str">
        <f t="shared" si="78"/>
        <v/>
      </c>
      <c r="R1268" s="13" t="str">
        <f t="shared" si="79"/>
        <v>Non diskon</v>
      </c>
    </row>
    <row r="1269" spans="1:18" x14ac:dyDescent="0.25">
      <c r="A1269" s="13" t="s">
        <v>1281</v>
      </c>
      <c r="B1269" s="13" t="s">
        <v>2194</v>
      </c>
      <c r="C1269" s="13" t="s">
        <v>2198</v>
      </c>
      <c r="D1269" s="13" t="s">
        <v>2204</v>
      </c>
      <c r="E1269" s="13" t="s">
        <v>2209</v>
      </c>
      <c r="F1269" s="13" t="s">
        <v>2220</v>
      </c>
      <c r="G1269" s="13">
        <v>32.74</v>
      </c>
      <c r="H1269" s="44">
        <v>0</v>
      </c>
      <c r="I1269" s="13">
        <v>32.74</v>
      </c>
      <c r="J1269" s="24">
        <v>45516</v>
      </c>
      <c r="K1269" s="25">
        <v>23</v>
      </c>
      <c r="L1269" s="25">
        <v>4</v>
      </c>
      <c r="M1269" s="13" t="b">
        <v>1</v>
      </c>
      <c r="N1269" s="13" t="s">
        <v>2227</v>
      </c>
      <c r="O1269" s="25">
        <f t="shared" si="76"/>
        <v>386</v>
      </c>
      <c r="P1269" s="13">
        <f t="shared" si="77"/>
        <v>0</v>
      </c>
      <c r="Q1269" s="13">
        <f t="shared" si="78"/>
        <v>1</v>
      </c>
      <c r="R1269" s="13" t="str">
        <f t="shared" si="79"/>
        <v>Non diskon</v>
      </c>
    </row>
    <row r="1270" spans="1:18" x14ac:dyDescent="0.25">
      <c r="A1270" s="13" t="s">
        <v>1282</v>
      </c>
      <c r="B1270" s="13" t="s">
        <v>2194</v>
      </c>
      <c r="C1270" s="13" t="s">
        <v>2197</v>
      </c>
      <c r="D1270" s="13" t="s">
        <v>2204</v>
      </c>
      <c r="E1270" s="13" t="s">
        <v>2209</v>
      </c>
      <c r="F1270" s="13" t="s">
        <v>2219</v>
      </c>
      <c r="G1270" s="13">
        <v>79.27</v>
      </c>
      <c r="H1270" s="44">
        <v>0</v>
      </c>
      <c r="I1270" s="13">
        <v>79.27</v>
      </c>
      <c r="J1270" s="24">
        <v>45788</v>
      </c>
      <c r="K1270" s="25">
        <v>13</v>
      </c>
      <c r="L1270" s="25">
        <v>3.5</v>
      </c>
      <c r="M1270" s="13" t="b">
        <v>0</v>
      </c>
      <c r="O1270" s="25">
        <f t="shared" si="76"/>
        <v>114</v>
      </c>
      <c r="P1270" s="13">
        <f t="shared" si="77"/>
        <v>0</v>
      </c>
      <c r="Q1270" s="13" t="str">
        <f t="shared" si="78"/>
        <v/>
      </c>
      <c r="R1270" s="13" t="str">
        <f t="shared" si="79"/>
        <v>Non diskon</v>
      </c>
    </row>
    <row r="1271" spans="1:18" x14ac:dyDescent="0.25">
      <c r="A1271" s="13" t="s">
        <v>1283</v>
      </c>
      <c r="B1271" s="13" t="s">
        <v>2191</v>
      </c>
      <c r="C1271" s="13" t="s">
        <v>2203</v>
      </c>
      <c r="D1271" s="13" t="s">
        <v>2204</v>
      </c>
      <c r="E1271" s="13" t="s">
        <v>2210</v>
      </c>
      <c r="F1271" s="13" t="s">
        <v>2221</v>
      </c>
      <c r="G1271" s="13">
        <v>119.38</v>
      </c>
      <c r="H1271" s="44">
        <v>0</v>
      </c>
      <c r="I1271" s="13">
        <v>119.38</v>
      </c>
      <c r="J1271" s="24">
        <v>45708</v>
      </c>
      <c r="K1271" s="25">
        <v>18</v>
      </c>
      <c r="L1271" s="25">
        <v>4.4000000000000004</v>
      </c>
      <c r="M1271" s="13" t="b">
        <v>0</v>
      </c>
      <c r="O1271" s="25">
        <f t="shared" si="76"/>
        <v>194</v>
      </c>
      <c r="P1271" s="13">
        <f t="shared" si="77"/>
        <v>0</v>
      </c>
      <c r="Q1271" s="13" t="str">
        <f t="shared" si="78"/>
        <v/>
      </c>
      <c r="R1271" s="13" t="str">
        <f t="shared" si="79"/>
        <v>Non diskon</v>
      </c>
    </row>
    <row r="1272" spans="1:18" x14ac:dyDescent="0.25">
      <c r="A1272" s="13" t="s">
        <v>1284</v>
      </c>
      <c r="B1272" s="13" t="s">
        <v>2195</v>
      </c>
      <c r="C1272" s="13" t="s">
        <v>2200</v>
      </c>
      <c r="D1272" s="13" t="s">
        <v>2205</v>
      </c>
      <c r="E1272" s="13" t="s">
        <v>2210</v>
      </c>
      <c r="F1272" s="13" t="s">
        <v>2217</v>
      </c>
      <c r="G1272" s="13">
        <v>66.17</v>
      </c>
      <c r="H1272" s="44">
        <v>0</v>
      </c>
      <c r="I1272" s="13">
        <v>66.17</v>
      </c>
      <c r="J1272" s="24">
        <v>45875</v>
      </c>
      <c r="K1272" s="25">
        <v>1</v>
      </c>
      <c r="L1272" s="25">
        <v>3.1051282051282048</v>
      </c>
      <c r="M1272" s="13" t="b">
        <v>0</v>
      </c>
      <c r="O1272" s="25">
        <f t="shared" si="76"/>
        <v>27</v>
      </c>
      <c r="P1272" s="13">
        <f t="shared" si="77"/>
        <v>0</v>
      </c>
      <c r="Q1272" s="13" t="str">
        <f t="shared" si="78"/>
        <v/>
      </c>
      <c r="R1272" s="13" t="str">
        <f t="shared" si="79"/>
        <v>Non diskon</v>
      </c>
    </row>
    <row r="1273" spans="1:18" x14ac:dyDescent="0.25">
      <c r="A1273" s="13" t="s">
        <v>1285</v>
      </c>
      <c r="B1273" s="13" t="s">
        <v>2192</v>
      </c>
      <c r="C1273" s="13" t="s">
        <v>2200</v>
      </c>
      <c r="D1273" s="13" t="s">
        <v>2206</v>
      </c>
      <c r="F1273" s="13" t="s">
        <v>2223</v>
      </c>
      <c r="G1273" s="13">
        <v>68.3</v>
      </c>
      <c r="H1273" s="44">
        <v>8</v>
      </c>
      <c r="I1273" s="13">
        <v>62.84</v>
      </c>
      <c r="J1273" s="24">
        <v>45875</v>
      </c>
      <c r="K1273" s="25">
        <v>18</v>
      </c>
      <c r="L1273" s="25">
        <v>3.1</v>
      </c>
      <c r="M1273" s="13" t="b">
        <v>0</v>
      </c>
      <c r="O1273" s="25">
        <f t="shared" si="76"/>
        <v>27</v>
      </c>
      <c r="P1273" s="13">
        <f t="shared" si="77"/>
        <v>144</v>
      </c>
      <c r="Q1273" s="13" t="str">
        <f t="shared" si="78"/>
        <v/>
      </c>
      <c r="R1273" s="13" t="str">
        <f t="shared" si="79"/>
        <v>Diskon</v>
      </c>
    </row>
    <row r="1274" spans="1:18" x14ac:dyDescent="0.25">
      <c r="A1274" s="13" t="s">
        <v>1286</v>
      </c>
      <c r="B1274" s="13" t="s">
        <v>2190</v>
      </c>
      <c r="C1274" s="13" t="s">
        <v>2199</v>
      </c>
      <c r="D1274" s="13" t="s">
        <v>2206</v>
      </c>
      <c r="E1274" s="13" t="s">
        <v>2209</v>
      </c>
      <c r="F1274" s="13" t="s">
        <v>2223</v>
      </c>
      <c r="G1274" s="13">
        <v>209.66</v>
      </c>
      <c r="H1274" s="44">
        <v>0</v>
      </c>
      <c r="I1274" s="13">
        <v>209.66</v>
      </c>
      <c r="J1274" s="24">
        <v>45875</v>
      </c>
      <c r="K1274" s="25">
        <v>30</v>
      </c>
      <c r="L1274" s="25">
        <v>2.1</v>
      </c>
      <c r="M1274" s="13" t="b">
        <v>0</v>
      </c>
      <c r="O1274" s="25">
        <f t="shared" si="76"/>
        <v>27</v>
      </c>
      <c r="P1274" s="13">
        <f t="shared" si="77"/>
        <v>0</v>
      </c>
      <c r="Q1274" s="13" t="str">
        <f t="shared" si="78"/>
        <v/>
      </c>
      <c r="R1274" s="13" t="str">
        <f t="shared" si="79"/>
        <v>Non diskon</v>
      </c>
    </row>
    <row r="1275" spans="1:18" x14ac:dyDescent="0.25">
      <c r="A1275" s="13" t="s">
        <v>1287</v>
      </c>
      <c r="B1275" s="13" t="s">
        <v>2193</v>
      </c>
      <c r="C1275" s="13" t="s">
        <v>2197</v>
      </c>
      <c r="D1275" s="13" t="s">
        <v>2207</v>
      </c>
      <c r="E1275" s="13" t="s">
        <v>2212</v>
      </c>
      <c r="F1275" s="13" t="s">
        <v>2219</v>
      </c>
      <c r="G1275" s="13">
        <v>154.82</v>
      </c>
      <c r="H1275" s="44">
        <v>0</v>
      </c>
      <c r="I1275" s="13">
        <v>154.82</v>
      </c>
      <c r="J1275" s="24">
        <v>45875</v>
      </c>
      <c r="K1275" s="25">
        <v>31</v>
      </c>
      <c r="L1275" s="25">
        <v>2.8205128205128198</v>
      </c>
      <c r="M1275" s="13" t="b">
        <v>0</v>
      </c>
      <c r="O1275" s="25">
        <f t="shared" si="76"/>
        <v>27</v>
      </c>
      <c r="P1275" s="13">
        <f t="shared" si="77"/>
        <v>0</v>
      </c>
      <c r="Q1275" s="13" t="str">
        <f t="shared" si="78"/>
        <v/>
      </c>
      <c r="R1275" s="13" t="str">
        <f t="shared" si="79"/>
        <v>Non diskon</v>
      </c>
    </row>
    <row r="1276" spans="1:18" x14ac:dyDescent="0.25">
      <c r="A1276" s="13" t="s">
        <v>1288</v>
      </c>
      <c r="B1276" s="13" t="s">
        <v>2194</v>
      </c>
      <c r="C1276" s="13" t="s">
        <v>2200</v>
      </c>
      <c r="D1276" s="13" t="s">
        <v>2205</v>
      </c>
      <c r="E1276" s="13" t="s">
        <v>2210</v>
      </c>
      <c r="F1276" s="13" t="s">
        <v>2218</v>
      </c>
      <c r="G1276" s="13">
        <v>37.53</v>
      </c>
      <c r="H1276" s="44">
        <v>0</v>
      </c>
      <c r="I1276" s="13">
        <v>37.53</v>
      </c>
      <c r="J1276" s="24">
        <v>45875</v>
      </c>
      <c r="K1276" s="25">
        <v>8</v>
      </c>
      <c r="L1276" s="25">
        <v>3</v>
      </c>
      <c r="M1276" s="13" t="b">
        <v>1</v>
      </c>
      <c r="N1276" s="13" t="s">
        <v>2229</v>
      </c>
      <c r="O1276" s="25">
        <f t="shared" si="76"/>
        <v>27</v>
      </c>
      <c r="P1276" s="13">
        <f t="shared" si="77"/>
        <v>0</v>
      </c>
      <c r="Q1276" s="13">
        <f t="shared" si="78"/>
        <v>1</v>
      </c>
      <c r="R1276" s="13" t="str">
        <f t="shared" si="79"/>
        <v>Non diskon</v>
      </c>
    </row>
    <row r="1277" spans="1:18" x14ac:dyDescent="0.25">
      <c r="A1277" s="13" t="s">
        <v>1289</v>
      </c>
      <c r="B1277" s="13" t="s">
        <v>2193</v>
      </c>
      <c r="C1277" s="13" t="s">
        <v>2196</v>
      </c>
      <c r="D1277" s="13" t="s">
        <v>2207</v>
      </c>
      <c r="E1277" s="13" t="s">
        <v>2212</v>
      </c>
      <c r="F1277" s="13" t="s">
        <v>2216</v>
      </c>
      <c r="G1277" s="13">
        <v>140.28</v>
      </c>
      <c r="H1277" s="44">
        <v>0</v>
      </c>
      <c r="I1277" s="13">
        <v>140.28</v>
      </c>
      <c r="J1277" s="24">
        <v>45875</v>
      </c>
      <c r="K1277" s="25">
        <v>10</v>
      </c>
      <c r="L1277" s="25">
        <v>1.9</v>
      </c>
      <c r="M1277" s="13" t="b">
        <v>0</v>
      </c>
      <c r="O1277" s="25">
        <f t="shared" si="76"/>
        <v>27</v>
      </c>
      <c r="P1277" s="13">
        <f t="shared" si="77"/>
        <v>0</v>
      </c>
      <c r="Q1277" s="13" t="str">
        <f t="shared" si="78"/>
        <v/>
      </c>
      <c r="R1277" s="13" t="str">
        <f t="shared" si="79"/>
        <v>Non diskon</v>
      </c>
    </row>
    <row r="1278" spans="1:18" x14ac:dyDescent="0.25">
      <c r="A1278" s="13" t="s">
        <v>1290</v>
      </c>
      <c r="B1278" s="13" t="s">
        <v>2193</v>
      </c>
      <c r="C1278" s="13" t="s">
        <v>2197</v>
      </c>
      <c r="D1278" s="13" t="s">
        <v>2207</v>
      </c>
      <c r="E1278" s="13" t="s">
        <v>2212</v>
      </c>
      <c r="F1278" s="13" t="s">
        <v>2217</v>
      </c>
      <c r="G1278" s="13">
        <v>171.07</v>
      </c>
      <c r="H1278" s="44">
        <v>0</v>
      </c>
      <c r="I1278" s="13">
        <v>171.07</v>
      </c>
      <c r="J1278" s="24">
        <v>45875</v>
      </c>
      <c r="K1278" s="25">
        <v>25</v>
      </c>
      <c r="L1278" s="25">
        <v>3</v>
      </c>
      <c r="M1278" s="13" t="b">
        <v>0</v>
      </c>
      <c r="O1278" s="25">
        <f t="shared" si="76"/>
        <v>27</v>
      </c>
      <c r="P1278" s="13">
        <f t="shared" si="77"/>
        <v>0</v>
      </c>
      <c r="Q1278" s="13" t="str">
        <f t="shared" si="78"/>
        <v/>
      </c>
      <c r="R1278" s="13" t="str">
        <f t="shared" si="79"/>
        <v>Non diskon</v>
      </c>
    </row>
    <row r="1279" spans="1:18" x14ac:dyDescent="0.25">
      <c r="A1279" s="13" t="s">
        <v>1291</v>
      </c>
      <c r="B1279" s="13" t="s">
        <v>2191</v>
      </c>
      <c r="C1279" s="13" t="s">
        <v>2196</v>
      </c>
      <c r="D1279" s="13" t="s">
        <v>2207</v>
      </c>
      <c r="E1279" s="13" t="s">
        <v>2213</v>
      </c>
      <c r="F1279" s="13" t="s">
        <v>2223</v>
      </c>
      <c r="G1279" s="13">
        <v>77.87</v>
      </c>
      <c r="H1279" s="44">
        <v>0</v>
      </c>
      <c r="I1279" s="13">
        <v>77.87</v>
      </c>
      <c r="J1279" s="24">
        <v>45875</v>
      </c>
      <c r="K1279" s="25">
        <v>4</v>
      </c>
      <c r="L1279" s="25">
        <v>2.7</v>
      </c>
      <c r="M1279" s="13" t="b">
        <v>0</v>
      </c>
      <c r="O1279" s="25">
        <f t="shared" si="76"/>
        <v>27</v>
      </c>
      <c r="P1279" s="13">
        <f t="shared" si="77"/>
        <v>0</v>
      </c>
      <c r="Q1279" s="13" t="str">
        <f t="shared" si="78"/>
        <v/>
      </c>
      <c r="R1279" s="13" t="str">
        <f t="shared" si="79"/>
        <v>Non diskon</v>
      </c>
    </row>
    <row r="1280" spans="1:18" x14ac:dyDescent="0.25">
      <c r="A1280" s="13" t="s">
        <v>1292</v>
      </c>
      <c r="B1280" s="13" t="s">
        <v>2191</v>
      </c>
      <c r="C1280" s="13" t="s">
        <v>2200</v>
      </c>
      <c r="D1280" s="13" t="s">
        <v>2204</v>
      </c>
      <c r="E1280" s="13" t="s">
        <v>2208</v>
      </c>
      <c r="F1280" s="13" t="s">
        <v>2222</v>
      </c>
      <c r="G1280" s="13">
        <v>80.540000000000006</v>
      </c>
      <c r="H1280" s="44">
        <v>0</v>
      </c>
      <c r="I1280" s="13">
        <v>80.540000000000006</v>
      </c>
      <c r="J1280" s="24">
        <v>45636</v>
      </c>
      <c r="K1280" s="25">
        <v>50</v>
      </c>
      <c r="L1280" s="25">
        <v>2.1</v>
      </c>
      <c r="M1280" s="13" t="b">
        <v>0</v>
      </c>
      <c r="O1280" s="25">
        <f t="shared" si="76"/>
        <v>266</v>
      </c>
      <c r="P1280" s="13">
        <f t="shared" si="77"/>
        <v>0</v>
      </c>
      <c r="Q1280" s="13" t="str">
        <f t="shared" si="78"/>
        <v/>
      </c>
      <c r="R1280" s="13" t="str">
        <f t="shared" si="79"/>
        <v>Non diskon</v>
      </c>
    </row>
    <row r="1281" spans="1:18" x14ac:dyDescent="0.25">
      <c r="A1281" s="13" t="s">
        <v>1293</v>
      </c>
      <c r="B1281" s="13" t="s">
        <v>2194</v>
      </c>
      <c r="C1281" s="13" t="s">
        <v>2197</v>
      </c>
      <c r="D1281" s="13" t="s">
        <v>2207</v>
      </c>
      <c r="E1281" s="13" t="s">
        <v>2210</v>
      </c>
      <c r="F1281" s="13" t="s">
        <v>2217</v>
      </c>
      <c r="G1281" s="13">
        <v>48.68</v>
      </c>
      <c r="H1281" s="44">
        <v>41.7</v>
      </c>
      <c r="I1281" s="13">
        <v>28.38</v>
      </c>
      <c r="J1281" s="24">
        <v>45875</v>
      </c>
      <c r="K1281" s="25">
        <v>20</v>
      </c>
      <c r="L1281" s="25">
        <v>1.3</v>
      </c>
      <c r="M1281" s="13" t="b">
        <v>1</v>
      </c>
      <c r="N1281" s="13" t="s">
        <v>2227</v>
      </c>
      <c r="O1281" s="25">
        <f t="shared" si="76"/>
        <v>27</v>
      </c>
      <c r="P1281" s="13">
        <f t="shared" si="77"/>
        <v>834</v>
      </c>
      <c r="Q1281" s="13">
        <f t="shared" si="78"/>
        <v>1</v>
      </c>
      <c r="R1281" s="13" t="str">
        <f t="shared" si="79"/>
        <v>Diskon</v>
      </c>
    </row>
    <row r="1282" spans="1:18" x14ac:dyDescent="0.25">
      <c r="A1282" s="13" t="s">
        <v>1294</v>
      </c>
      <c r="B1282" s="13" t="s">
        <v>2193</v>
      </c>
      <c r="C1282" s="13" t="s">
        <v>2201</v>
      </c>
      <c r="D1282" s="13" t="s">
        <v>2205</v>
      </c>
      <c r="E1282" s="13" t="s">
        <v>2212</v>
      </c>
      <c r="F1282" s="13" t="s">
        <v>2223</v>
      </c>
      <c r="G1282" s="13">
        <v>137.83000000000001</v>
      </c>
      <c r="H1282" s="44">
        <v>0</v>
      </c>
      <c r="I1282" s="13">
        <v>137.83000000000001</v>
      </c>
      <c r="J1282" s="24">
        <v>45875</v>
      </c>
      <c r="K1282" s="25">
        <v>32</v>
      </c>
      <c r="L1282" s="25">
        <v>3.4</v>
      </c>
      <c r="M1282" s="13" t="b">
        <v>1</v>
      </c>
      <c r="N1282" s="13" t="s">
        <v>2229</v>
      </c>
      <c r="O1282" s="25">
        <f t="shared" si="76"/>
        <v>27</v>
      </c>
      <c r="P1282" s="13">
        <f t="shared" si="77"/>
        <v>0</v>
      </c>
      <c r="Q1282" s="13">
        <f t="shared" si="78"/>
        <v>1</v>
      </c>
      <c r="R1282" s="13" t="str">
        <f t="shared" si="79"/>
        <v>Non diskon</v>
      </c>
    </row>
    <row r="1283" spans="1:18" x14ac:dyDescent="0.25">
      <c r="A1283" s="13" t="s">
        <v>1295</v>
      </c>
      <c r="B1283" s="13" t="s">
        <v>2194</v>
      </c>
      <c r="C1283" s="13" t="s">
        <v>2196</v>
      </c>
      <c r="D1283" s="13" t="s">
        <v>2206</v>
      </c>
      <c r="E1283" s="13" t="s">
        <v>2211</v>
      </c>
      <c r="F1283" s="13" t="s">
        <v>2224</v>
      </c>
      <c r="G1283" s="13">
        <v>96.88</v>
      </c>
      <c r="H1283" s="44">
        <v>44.8</v>
      </c>
      <c r="I1283" s="13">
        <v>53.48</v>
      </c>
      <c r="J1283" s="24">
        <v>45875</v>
      </c>
      <c r="K1283" s="25">
        <v>15</v>
      </c>
      <c r="L1283" s="25">
        <v>1.3</v>
      </c>
      <c r="M1283" s="13" t="b">
        <v>0</v>
      </c>
      <c r="O1283" s="25">
        <f t="shared" ref="O1283:O1346" si="80">DATE(2025,9,2)-J1283</f>
        <v>27</v>
      </c>
      <c r="P1283" s="13">
        <f t="shared" ref="P1283:P1346" si="81">H1283*K1283</f>
        <v>672</v>
      </c>
      <c r="Q1283" s="13" t="str">
        <f t="shared" ref="Q1283:Q1346" si="82">IF(M1283=FALSE,"",1)</f>
        <v/>
      </c>
      <c r="R1283" s="13" t="str">
        <f t="shared" ref="R1283:R1346" si="83">IF(H1283=0,"Non diskon","Diskon")</f>
        <v>Diskon</v>
      </c>
    </row>
    <row r="1284" spans="1:18" x14ac:dyDescent="0.25">
      <c r="A1284" s="13" t="s">
        <v>1296</v>
      </c>
      <c r="B1284" s="13" t="s">
        <v>2191</v>
      </c>
      <c r="C1284" s="13" t="s">
        <v>2200</v>
      </c>
      <c r="D1284" s="13" t="s">
        <v>2204</v>
      </c>
      <c r="E1284" s="13" t="s">
        <v>2208</v>
      </c>
      <c r="F1284" s="13" t="s">
        <v>2219</v>
      </c>
      <c r="G1284" s="13">
        <v>46.44</v>
      </c>
      <c r="H1284" s="44">
        <v>36.799999999999997</v>
      </c>
      <c r="I1284" s="13">
        <v>29.35</v>
      </c>
      <c r="J1284" s="24">
        <v>45727</v>
      </c>
      <c r="K1284" s="25">
        <v>19</v>
      </c>
      <c r="L1284" s="25">
        <v>1.9</v>
      </c>
      <c r="M1284" s="13" t="b">
        <v>0</v>
      </c>
      <c r="O1284" s="25">
        <f t="shared" si="80"/>
        <v>175</v>
      </c>
      <c r="P1284" s="13">
        <f t="shared" si="81"/>
        <v>699.19999999999993</v>
      </c>
      <c r="Q1284" s="13" t="str">
        <f t="shared" si="82"/>
        <v/>
      </c>
      <c r="R1284" s="13" t="str">
        <f t="shared" si="83"/>
        <v>Diskon</v>
      </c>
    </row>
    <row r="1285" spans="1:18" x14ac:dyDescent="0.25">
      <c r="A1285" s="13" t="s">
        <v>1297</v>
      </c>
      <c r="B1285" s="13" t="s">
        <v>2194</v>
      </c>
      <c r="C1285" s="13" t="s">
        <v>2202</v>
      </c>
      <c r="D1285" s="13" t="s">
        <v>2205</v>
      </c>
      <c r="E1285" s="13" t="s">
        <v>2209</v>
      </c>
      <c r="F1285" s="13" t="s">
        <v>2224</v>
      </c>
      <c r="G1285" s="13">
        <v>86.4</v>
      </c>
      <c r="H1285" s="44">
        <v>0</v>
      </c>
      <c r="I1285" s="13">
        <v>86.4</v>
      </c>
      <c r="J1285" s="24">
        <v>45875</v>
      </c>
      <c r="K1285" s="25">
        <v>26</v>
      </c>
      <c r="L1285" s="25">
        <v>3.7</v>
      </c>
      <c r="M1285" s="13" t="b">
        <v>0</v>
      </c>
      <c r="O1285" s="25">
        <f t="shared" si="80"/>
        <v>27</v>
      </c>
      <c r="P1285" s="13">
        <f t="shared" si="81"/>
        <v>0</v>
      </c>
      <c r="Q1285" s="13" t="str">
        <f t="shared" si="82"/>
        <v/>
      </c>
      <c r="R1285" s="13" t="str">
        <f t="shared" si="83"/>
        <v>Non diskon</v>
      </c>
    </row>
    <row r="1286" spans="1:18" x14ac:dyDescent="0.25">
      <c r="A1286" s="13" t="s">
        <v>1298</v>
      </c>
      <c r="B1286" s="13" t="s">
        <v>2194</v>
      </c>
      <c r="C1286" s="13" t="s">
        <v>2199</v>
      </c>
      <c r="D1286" s="13" t="s">
        <v>2206</v>
      </c>
      <c r="E1286" s="13" t="s">
        <v>2211</v>
      </c>
      <c r="F1286" s="13" t="s">
        <v>2220</v>
      </c>
      <c r="G1286" s="13">
        <v>113.83</v>
      </c>
      <c r="H1286" s="44">
        <v>51.6</v>
      </c>
      <c r="I1286" s="13">
        <v>55.09</v>
      </c>
      <c r="J1286" s="24">
        <v>45875</v>
      </c>
      <c r="K1286" s="25">
        <v>12</v>
      </c>
      <c r="L1286" s="25">
        <v>2.9</v>
      </c>
      <c r="M1286" s="13" t="b">
        <v>0</v>
      </c>
      <c r="O1286" s="25">
        <f t="shared" si="80"/>
        <v>27</v>
      </c>
      <c r="P1286" s="13">
        <f t="shared" si="81"/>
        <v>619.20000000000005</v>
      </c>
      <c r="Q1286" s="13" t="str">
        <f t="shared" si="82"/>
        <v/>
      </c>
      <c r="R1286" s="13" t="str">
        <f t="shared" si="83"/>
        <v>Diskon</v>
      </c>
    </row>
    <row r="1287" spans="1:18" x14ac:dyDescent="0.25">
      <c r="A1287" s="13" t="s">
        <v>1299</v>
      </c>
      <c r="B1287" s="13" t="s">
        <v>2194</v>
      </c>
      <c r="C1287" s="13" t="s">
        <v>2196</v>
      </c>
      <c r="D1287" s="13" t="s">
        <v>2207</v>
      </c>
      <c r="E1287" s="13" t="s">
        <v>2212</v>
      </c>
      <c r="F1287" s="13" t="s">
        <v>2223</v>
      </c>
      <c r="G1287" s="13">
        <v>64.680000000000007</v>
      </c>
      <c r="H1287" s="44">
        <v>42.9</v>
      </c>
      <c r="I1287" s="13">
        <v>36.93</v>
      </c>
      <c r="J1287" s="24">
        <v>45875</v>
      </c>
      <c r="K1287" s="25">
        <v>36</v>
      </c>
      <c r="L1287" s="25">
        <v>2.9210526315789478</v>
      </c>
      <c r="M1287" s="13" t="b">
        <v>0</v>
      </c>
      <c r="O1287" s="25">
        <f t="shared" si="80"/>
        <v>27</v>
      </c>
      <c r="P1287" s="13">
        <f t="shared" si="81"/>
        <v>1544.3999999999999</v>
      </c>
      <c r="Q1287" s="13" t="str">
        <f t="shared" si="82"/>
        <v/>
      </c>
      <c r="R1287" s="13" t="str">
        <f t="shared" si="83"/>
        <v>Diskon</v>
      </c>
    </row>
    <row r="1288" spans="1:18" x14ac:dyDescent="0.25">
      <c r="A1288" s="13" t="s">
        <v>1300</v>
      </c>
      <c r="B1288" s="13" t="s">
        <v>2193</v>
      </c>
      <c r="C1288" s="13" t="s">
        <v>2203</v>
      </c>
      <c r="D1288" s="13" t="s">
        <v>2206</v>
      </c>
      <c r="F1288" s="13" t="s">
        <v>2221</v>
      </c>
      <c r="G1288" s="13">
        <v>123.23</v>
      </c>
      <c r="H1288" s="44">
        <v>0</v>
      </c>
      <c r="I1288" s="13">
        <v>123.23</v>
      </c>
      <c r="J1288" s="24">
        <v>45875</v>
      </c>
      <c r="K1288" s="25">
        <v>40</v>
      </c>
      <c r="L1288" s="25">
        <v>4.3</v>
      </c>
      <c r="M1288" s="13" t="b">
        <v>0</v>
      </c>
      <c r="O1288" s="25">
        <f t="shared" si="80"/>
        <v>27</v>
      </c>
      <c r="P1288" s="13">
        <f t="shared" si="81"/>
        <v>0</v>
      </c>
      <c r="Q1288" s="13" t="str">
        <f t="shared" si="82"/>
        <v/>
      </c>
      <c r="R1288" s="13" t="str">
        <f t="shared" si="83"/>
        <v>Non diskon</v>
      </c>
    </row>
    <row r="1289" spans="1:18" x14ac:dyDescent="0.25">
      <c r="A1289" s="13" t="s">
        <v>1301</v>
      </c>
      <c r="B1289" s="13" t="s">
        <v>2192</v>
      </c>
      <c r="C1289" s="13" t="s">
        <v>2201</v>
      </c>
      <c r="D1289" s="13" t="s">
        <v>2205</v>
      </c>
      <c r="F1289" s="13" t="s">
        <v>2214</v>
      </c>
      <c r="G1289" s="13">
        <v>69.69</v>
      </c>
      <c r="H1289" s="44">
        <v>0</v>
      </c>
      <c r="I1289" s="13">
        <v>69.69</v>
      </c>
      <c r="J1289" s="24">
        <v>45875</v>
      </c>
      <c r="K1289" s="25">
        <v>35</v>
      </c>
      <c r="L1289" s="25">
        <v>3</v>
      </c>
      <c r="M1289" s="13" t="b">
        <v>0</v>
      </c>
      <c r="O1289" s="25">
        <f t="shared" si="80"/>
        <v>27</v>
      </c>
      <c r="P1289" s="13">
        <f t="shared" si="81"/>
        <v>0</v>
      </c>
      <c r="Q1289" s="13" t="str">
        <f t="shared" si="82"/>
        <v/>
      </c>
      <c r="R1289" s="13" t="str">
        <f t="shared" si="83"/>
        <v>Non diskon</v>
      </c>
    </row>
    <row r="1290" spans="1:18" x14ac:dyDescent="0.25">
      <c r="A1290" s="13" t="s">
        <v>1302</v>
      </c>
      <c r="B1290" s="13" t="s">
        <v>2192</v>
      </c>
      <c r="C1290" s="13" t="s">
        <v>2198</v>
      </c>
      <c r="D1290" s="13" t="s">
        <v>2205</v>
      </c>
      <c r="F1290" s="13" t="s">
        <v>2220</v>
      </c>
      <c r="G1290" s="13">
        <v>46.15</v>
      </c>
      <c r="H1290" s="44">
        <v>24.4</v>
      </c>
      <c r="I1290" s="13">
        <v>34.89</v>
      </c>
      <c r="J1290" s="24">
        <v>45875</v>
      </c>
      <c r="K1290" s="25">
        <v>31</v>
      </c>
      <c r="L1290" s="25">
        <v>4.4000000000000004</v>
      </c>
      <c r="M1290" s="13" t="b">
        <v>1</v>
      </c>
      <c r="N1290" s="13" t="s">
        <v>2226</v>
      </c>
      <c r="O1290" s="25">
        <f t="shared" si="80"/>
        <v>27</v>
      </c>
      <c r="P1290" s="13">
        <f t="shared" si="81"/>
        <v>756.4</v>
      </c>
      <c r="Q1290" s="13">
        <f t="shared" si="82"/>
        <v>1</v>
      </c>
      <c r="R1290" s="13" t="str">
        <f t="shared" si="83"/>
        <v>Diskon</v>
      </c>
    </row>
    <row r="1291" spans="1:18" x14ac:dyDescent="0.25">
      <c r="A1291" s="13" t="s">
        <v>1303</v>
      </c>
      <c r="B1291" s="13" t="s">
        <v>2190</v>
      </c>
      <c r="C1291" s="13" t="s">
        <v>2200</v>
      </c>
      <c r="D1291" s="13" t="s">
        <v>2207</v>
      </c>
      <c r="E1291" s="13" t="s">
        <v>2212</v>
      </c>
      <c r="F1291" s="13" t="s">
        <v>2222</v>
      </c>
      <c r="G1291" s="13">
        <v>229.8</v>
      </c>
      <c r="H1291" s="44">
        <v>0</v>
      </c>
      <c r="I1291" s="13">
        <v>229.8</v>
      </c>
      <c r="J1291" s="24">
        <v>45875</v>
      </c>
      <c r="K1291" s="25">
        <v>46</v>
      </c>
      <c r="L1291" s="25">
        <v>3.6</v>
      </c>
      <c r="M1291" s="13" t="b">
        <v>0</v>
      </c>
      <c r="O1291" s="25">
        <f t="shared" si="80"/>
        <v>27</v>
      </c>
      <c r="P1291" s="13">
        <f t="shared" si="81"/>
        <v>0</v>
      </c>
      <c r="Q1291" s="13" t="str">
        <f t="shared" si="82"/>
        <v/>
      </c>
      <c r="R1291" s="13" t="str">
        <f t="shared" si="83"/>
        <v>Non diskon</v>
      </c>
    </row>
    <row r="1292" spans="1:18" x14ac:dyDescent="0.25">
      <c r="A1292" s="13" t="s">
        <v>1304</v>
      </c>
      <c r="B1292" s="13" t="s">
        <v>2190</v>
      </c>
      <c r="C1292" s="13" t="s">
        <v>2197</v>
      </c>
      <c r="D1292" s="13" t="s">
        <v>2206</v>
      </c>
      <c r="E1292" s="13" t="s">
        <v>2212</v>
      </c>
      <c r="F1292" s="13" t="s">
        <v>2223</v>
      </c>
      <c r="G1292" s="13">
        <v>179.44</v>
      </c>
      <c r="H1292" s="44">
        <v>19.600000000000001</v>
      </c>
      <c r="I1292" s="13">
        <v>144.27000000000001</v>
      </c>
      <c r="J1292" s="24">
        <v>45875</v>
      </c>
      <c r="K1292" s="25">
        <v>42</v>
      </c>
      <c r="L1292" s="25">
        <v>3</v>
      </c>
      <c r="M1292" s="13" t="b">
        <v>0</v>
      </c>
      <c r="O1292" s="25">
        <f t="shared" si="80"/>
        <v>27</v>
      </c>
      <c r="P1292" s="13">
        <f t="shared" si="81"/>
        <v>823.2</v>
      </c>
      <c r="Q1292" s="13" t="str">
        <f t="shared" si="82"/>
        <v/>
      </c>
      <c r="R1292" s="13" t="str">
        <f t="shared" si="83"/>
        <v>Diskon</v>
      </c>
    </row>
    <row r="1293" spans="1:18" x14ac:dyDescent="0.25">
      <c r="A1293" s="13" t="s">
        <v>1305</v>
      </c>
      <c r="B1293" s="13" t="s">
        <v>2193</v>
      </c>
      <c r="C1293" s="13" t="s">
        <v>2198</v>
      </c>
      <c r="D1293" s="13" t="s">
        <v>2206</v>
      </c>
      <c r="E1293" s="13" t="s">
        <v>2209</v>
      </c>
      <c r="F1293" s="13" t="s">
        <v>2220</v>
      </c>
      <c r="G1293" s="13">
        <v>80.959999999999994</v>
      </c>
      <c r="H1293" s="44">
        <v>56.3</v>
      </c>
      <c r="I1293" s="13">
        <v>35.380000000000003</v>
      </c>
      <c r="J1293" s="24">
        <v>45875</v>
      </c>
      <c r="K1293" s="25">
        <v>41</v>
      </c>
      <c r="L1293" s="25">
        <v>2.2000000000000002</v>
      </c>
      <c r="M1293" s="13" t="b">
        <v>1</v>
      </c>
      <c r="N1293" s="13" t="s">
        <v>2229</v>
      </c>
      <c r="O1293" s="25">
        <f t="shared" si="80"/>
        <v>27</v>
      </c>
      <c r="P1293" s="13">
        <f t="shared" si="81"/>
        <v>2308.2999999999997</v>
      </c>
      <c r="Q1293" s="13">
        <f t="shared" si="82"/>
        <v>1</v>
      </c>
      <c r="R1293" s="13" t="str">
        <f t="shared" si="83"/>
        <v>Diskon</v>
      </c>
    </row>
    <row r="1294" spans="1:18" x14ac:dyDescent="0.25">
      <c r="A1294" s="13" t="s">
        <v>1306</v>
      </c>
      <c r="B1294" s="13" t="s">
        <v>2194</v>
      </c>
      <c r="C1294" s="13" t="s">
        <v>2197</v>
      </c>
      <c r="D1294" s="13" t="s">
        <v>2206</v>
      </c>
      <c r="E1294" s="13" t="s">
        <v>2209</v>
      </c>
      <c r="F1294" s="13" t="s">
        <v>2220</v>
      </c>
      <c r="G1294" s="13">
        <v>62.3</v>
      </c>
      <c r="H1294" s="44">
        <v>19.2</v>
      </c>
      <c r="I1294" s="13">
        <v>50.34</v>
      </c>
      <c r="J1294" s="24">
        <v>45875</v>
      </c>
      <c r="K1294" s="25">
        <v>9</v>
      </c>
      <c r="L1294" s="25">
        <v>2.5</v>
      </c>
      <c r="M1294" s="13" t="b">
        <v>0</v>
      </c>
      <c r="O1294" s="25">
        <f t="shared" si="80"/>
        <v>27</v>
      </c>
      <c r="P1294" s="13">
        <f t="shared" si="81"/>
        <v>172.79999999999998</v>
      </c>
      <c r="Q1294" s="13" t="str">
        <f t="shared" si="82"/>
        <v/>
      </c>
      <c r="R1294" s="13" t="str">
        <f t="shared" si="83"/>
        <v>Diskon</v>
      </c>
    </row>
    <row r="1295" spans="1:18" x14ac:dyDescent="0.25">
      <c r="A1295" s="13" t="s">
        <v>1307</v>
      </c>
      <c r="B1295" s="13" t="s">
        <v>2192</v>
      </c>
      <c r="C1295" s="13" t="s">
        <v>2197</v>
      </c>
      <c r="D1295" s="13" t="s">
        <v>2206</v>
      </c>
      <c r="F1295" s="13" t="s">
        <v>2221</v>
      </c>
      <c r="G1295" s="13">
        <v>58.83</v>
      </c>
      <c r="H1295" s="44">
        <v>12.5</v>
      </c>
      <c r="I1295" s="13">
        <v>51.48</v>
      </c>
      <c r="J1295" s="24">
        <v>45875</v>
      </c>
      <c r="K1295" s="25">
        <v>3</v>
      </c>
      <c r="L1295" s="25">
        <v>1.5</v>
      </c>
      <c r="M1295" s="13" t="b">
        <v>0</v>
      </c>
      <c r="O1295" s="25">
        <f t="shared" si="80"/>
        <v>27</v>
      </c>
      <c r="P1295" s="13">
        <f t="shared" si="81"/>
        <v>37.5</v>
      </c>
      <c r="Q1295" s="13" t="str">
        <f t="shared" si="82"/>
        <v/>
      </c>
      <c r="R1295" s="13" t="str">
        <f t="shared" si="83"/>
        <v>Diskon</v>
      </c>
    </row>
    <row r="1296" spans="1:18" x14ac:dyDescent="0.25">
      <c r="A1296" s="13" t="s">
        <v>1308</v>
      </c>
      <c r="B1296" s="13" t="s">
        <v>2191</v>
      </c>
      <c r="C1296" s="13" t="s">
        <v>2200</v>
      </c>
      <c r="D1296" s="13" t="s">
        <v>2207</v>
      </c>
      <c r="E1296" s="13" t="s">
        <v>2211</v>
      </c>
      <c r="F1296" s="13" t="s">
        <v>2222</v>
      </c>
      <c r="G1296" s="13">
        <v>119.04</v>
      </c>
      <c r="H1296" s="44">
        <v>1.7</v>
      </c>
      <c r="I1296" s="13">
        <v>117.02</v>
      </c>
      <c r="J1296" s="24">
        <v>45875</v>
      </c>
      <c r="K1296" s="25">
        <v>34</v>
      </c>
      <c r="L1296" s="25">
        <v>4.0999999999999996</v>
      </c>
      <c r="M1296" s="13" t="b">
        <v>0</v>
      </c>
      <c r="O1296" s="25">
        <f t="shared" si="80"/>
        <v>27</v>
      </c>
      <c r="P1296" s="13">
        <f t="shared" si="81"/>
        <v>57.8</v>
      </c>
      <c r="Q1296" s="13" t="str">
        <f t="shared" si="82"/>
        <v/>
      </c>
      <c r="R1296" s="13" t="str">
        <f t="shared" si="83"/>
        <v>Diskon</v>
      </c>
    </row>
    <row r="1297" spans="1:18" x14ac:dyDescent="0.25">
      <c r="A1297" s="13" t="s">
        <v>1309</v>
      </c>
      <c r="B1297" s="13" t="s">
        <v>2190</v>
      </c>
      <c r="C1297" s="13" t="s">
        <v>2196</v>
      </c>
      <c r="D1297" s="13" t="s">
        <v>2207</v>
      </c>
      <c r="E1297" s="13" t="s">
        <v>2210</v>
      </c>
      <c r="F1297" s="13" t="s">
        <v>2222</v>
      </c>
      <c r="G1297" s="13">
        <v>80.540000000000006</v>
      </c>
      <c r="H1297" s="44">
        <v>0</v>
      </c>
      <c r="I1297" s="13">
        <v>80.540000000000006</v>
      </c>
      <c r="J1297" s="24">
        <v>45875</v>
      </c>
      <c r="K1297" s="25">
        <v>3</v>
      </c>
      <c r="L1297" s="25">
        <v>1.8</v>
      </c>
      <c r="M1297" s="13" t="b">
        <v>1</v>
      </c>
      <c r="N1297" s="13" t="s">
        <v>2226</v>
      </c>
      <c r="O1297" s="25">
        <f t="shared" si="80"/>
        <v>27</v>
      </c>
      <c r="P1297" s="13">
        <f t="shared" si="81"/>
        <v>0</v>
      </c>
      <c r="Q1297" s="13">
        <f t="shared" si="82"/>
        <v>1</v>
      </c>
      <c r="R1297" s="13" t="str">
        <f t="shared" si="83"/>
        <v>Non diskon</v>
      </c>
    </row>
    <row r="1298" spans="1:18" x14ac:dyDescent="0.25">
      <c r="A1298" s="13" t="s">
        <v>1310</v>
      </c>
      <c r="B1298" s="13" t="s">
        <v>2194</v>
      </c>
      <c r="C1298" s="13" t="s">
        <v>2198</v>
      </c>
      <c r="D1298" s="13" t="s">
        <v>2205</v>
      </c>
      <c r="E1298" s="13" t="s">
        <v>2212</v>
      </c>
      <c r="F1298" s="13" t="s">
        <v>2216</v>
      </c>
      <c r="G1298" s="13">
        <v>47.32</v>
      </c>
      <c r="H1298" s="44">
        <v>25.7</v>
      </c>
      <c r="I1298" s="13">
        <v>35.159999999999997</v>
      </c>
      <c r="J1298" s="24">
        <v>45875</v>
      </c>
      <c r="K1298" s="25">
        <v>2</v>
      </c>
      <c r="L1298" s="25">
        <v>3.2</v>
      </c>
      <c r="M1298" s="13" t="b">
        <v>0</v>
      </c>
      <c r="O1298" s="25">
        <f t="shared" si="80"/>
        <v>27</v>
      </c>
      <c r="P1298" s="13">
        <f t="shared" si="81"/>
        <v>51.4</v>
      </c>
      <c r="Q1298" s="13" t="str">
        <f t="shared" si="82"/>
        <v/>
      </c>
      <c r="R1298" s="13" t="str">
        <f t="shared" si="83"/>
        <v>Diskon</v>
      </c>
    </row>
    <row r="1299" spans="1:18" x14ac:dyDescent="0.25">
      <c r="A1299" s="13" t="s">
        <v>1311</v>
      </c>
      <c r="B1299" s="13" t="s">
        <v>2193</v>
      </c>
      <c r="C1299" s="13" t="s">
        <v>2202</v>
      </c>
      <c r="D1299" s="13" t="s">
        <v>2205</v>
      </c>
      <c r="E1299" s="13" t="s">
        <v>2208</v>
      </c>
      <c r="F1299" s="13" t="s">
        <v>2215</v>
      </c>
      <c r="G1299" s="13">
        <v>104.57</v>
      </c>
      <c r="H1299" s="44">
        <v>27.4</v>
      </c>
      <c r="I1299" s="13">
        <v>75.92</v>
      </c>
      <c r="J1299" s="24">
        <v>45875</v>
      </c>
      <c r="K1299" s="25">
        <v>7</v>
      </c>
      <c r="L1299" s="25">
        <v>1</v>
      </c>
      <c r="M1299" s="13" t="b">
        <v>1</v>
      </c>
      <c r="N1299" s="13" t="s">
        <v>2228</v>
      </c>
      <c r="O1299" s="25">
        <f t="shared" si="80"/>
        <v>27</v>
      </c>
      <c r="P1299" s="13">
        <f t="shared" si="81"/>
        <v>191.79999999999998</v>
      </c>
      <c r="Q1299" s="13">
        <f t="shared" si="82"/>
        <v>1</v>
      </c>
      <c r="R1299" s="13" t="str">
        <f t="shared" si="83"/>
        <v>Diskon</v>
      </c>
    </row>
    <row r="1300" spans="1:18" x14ac:dyDescent="0.25">
      <c r="A1300" s="13" t="s">
        <v>1312</v>
      </c>
      <c r="B1300" s="13" t="s">
        <v>2192</v>
      </c>
      <c r="C1300" s="13" t="s">
        <v>2196</v>
      </c>
      <c r="D1300" s="13" t="s">
        <v>2205</v>
      </c>
      <c r="F1300" s="13" t="s">
        <v>2219</v>
      </c>
      <c r="G1300" s="13">
        <v>38.369999999999997</v>
      </c>
      <c r="H1300" s="44">
        <v>23.3</v>
      </c>
      <c r="I1300" s="13">
        <v>29.43</v>
      </c>
      <c r="J1300" s="24">
        <v>45875</v>
      </c>
      <c r="K1300" s="25">
        <v>22</v>
      </c>
      <c r="L1300" s="25">
        <v>1.4</v>
      </c>
      <c r="M1300" s="13" t="b">
        <v>0</v>
      </c>
      <c r="O1300" s="25">
        <f t="shared" si="80"/>
        <v>27</v>
      </c>
      <c r="P1300" s="13">
        <f t="shared" si="81"/>
        <v>512.6</v>
      </c>
      <c r="Q1300" s="13" t="str">
        <f t="shared" si="82"/>
        <v/>
      </c>
      <c r="R1300" s="13" t="str">
        <f t="shared" si="83"/>
        <v>Diskon</v>
      </c>
    </row>
    <row r="1301" spans="1:18" x14ac:dyDescent="0.25">
      <c r="A1301" s="13" t="s">
        <v>1313</v>
      </c>
      <c r="B1301" s="13" t="s">
        <v>2190</v>
      </c>
      <c r="C1301" s="13" t="s">
        <v>2200</v>
      </c>
      <c r="D1301" s="13" t="s">
        <v>2205</v>
      </c>
      <c r="F1301" s="13" t="s">
        <v>2214</v>
      </c>
      <c r="G1301" s="13">
        <v>86.3</v>
      </c>
      <c r="H1301" s="44">
        <v>0</v>
      </c>
      <c r="I1301" s="13">
        <v>86.3</v>
      </c>
      <c r="J1301" s="24">
        <v>45875</v>
      </c>
      <c r="K1301" s="25">
        <v>33</v>
      </c>
      <c r="L1301" s="25">
        <v>3.9</v>
      </c>
      <c r="M1301" s="13" t="b">
        <v>0</v>
      </c>
      <c r="O1301" s="25">
        <f t="shared" si="80"/>
        <v>27</v>
      </c>
      <c r="P1301" s="13">
        <f t="shared" si="81"/>
        <v>0</v>
      </c>
      <c r="Q1301" s="13" t="str">
        <f t="shared" si="82"/>
        <v/>
      </c>
      <c r="R1301" s="13" t="str">
        <f t="shared" si="83"/>
        <v>Non diskon</v>
      </c>
    </row>
    <row r="1302" spans="1:18" x14ac:dyDescent="0.25">
      <c r="A1302" s="13" t="s">
        <v>1314</v>
      </c>
      <c r="B1302" s="13" t="s">
        <v>2192</v>
      </c>
      <c r="C1302" s="13" t="s">
        <v>2199</v>
      </c>
      <c r="D1302" s="13" t="s">
        <v>2205</v>
      </c>
      <c r="F1302" s="13" t="s">
        <v>2223</v>
      </c>
      <c r="G1302" s="13">
        <v>64.89</v>
      </c>
      <c r="H1302" s="44">
        <v>4.2</v>
      </c>
      <c r="I1302" s="13">
        <v>62.16</v>
      </c>
      <c r="J1302" s="24">
        <v>45875</v>
      </c>
      <c r="K1302" s="25">
        <v>40</v>
      </c>
      <c r="L1302" s="25">
        <v>1.4</v>
      </c>
      <c r="M1302" s="13" t="b">
        <v>0</v>
      </c>
      <c r="O1302" s="25">
        <f t="shared" si="80"/>
        <v>27</v>
      </c>
      <c r="P1302" s="13">
        <f t="shared" si="81"/>
        <v>168</v>
      </c>
      <c r="Q1302" s="13" t="str">
        <f t="shared" si="82"/>
        <v/>
      </c>
      <c r="R1302" s="13" t="str">
        <f t="shared" si="83"/>
        <v>Diskon</v>
      </c>
    </row>
    <row r="1303" spans="1:18" x14ac:dyDescent="0.25">
      <c r="A1303" s="13" t="s">
        <v>1315</v>
      </c>
      <c r="B1303" s="13" t="s">
        <v>2192</v>
      </c>
      <c r="C1303" s="13" t="s">
        <v>2199</v>
      </c>
      <c r="D1303" s="13" t="s">
        <v>2206</v>
      </c>
      <c r="F1303" s="13" t="s">
        <v>2222</v>
      </c>
      <c r="G1303" s="13">
        <v>53.64</v>
      </c>
      <c r="H1303" s="44">
        <v>0</v>
      </c>
      <c r="I1303" s="13">
        <v>53.64</v>
      </c>
      <c r="J1303" s="24">
        <v>45875</v>
      </c>
      <c r="K1303" s="25">
        <v>18</v>
      </c>
      <c r="L1303" s="25">
        <v>2.2999999999999998</v>
      </c>
      <c r="M1303" s="13" t="b">
        <v>0</v>
      </c>
      <c r="O1303" s="25">
        <f t="shared" si="80"/>
        <v>27</v>
      </c>
      <c r="P1303" s="13">
        <f t="shared" si="81"/>
        <v>0</v>
      </c>
      <c r="Q1303" s="13" t="str">
        <f t="shared" si="82"/>
        <v/>
      </c>
      <c r="R1303" s="13" t="str">
        <f t="shared" si="83"/>
        <v>Non diskon</v>
      </c>
    </row>
    <row r="1304" spans="1:18" x14ac:dyDescent="0.25">
      <c r="A1304" s="13" t="s">
        <v>1316</v>
      </c>
      <c r="B1304" s="13" t="s">
        <v>2195</v>
      </c>
      <c r="C1304" s="13" t="s">
        <v>2199</v>
      </c>
      <c r="D1304" s="13" t="s">
        <v>2207</v>
      </c>
      <c r="E1304" s="13" t="s">
        <v>2211</v>
      </c>
      <c r="F1304" s="13" t="s">
        <v>2215</v>
      </c>
      <c r="G1304" s="13">
        <v>113.81</v>
      </c>
      <c r="H1304" s="44">
        <v>9.1999999999999993</v>
      </c>
      <c r="I1304" s="13">
        <v>103.34</v>
      </c>
      <c r="J1304" s="24">
        <v>45875</v>
      </c>
      <c r="K1304" s="25">
        <v>11</v>
      </c>
      <c r="L1304" s="25">
        <v>2.4</v>
      </c>
      <c r="M1304" s="13" t="b">
        <v>0</v>
      </c>
      <c r="O1304" s="25">
        <f t="shared" si="80"/>
        <v>27</v>
      </c>
      <c r="P1304" s="13">
        <f t="shared" si="81"/>
        <v>101.19999999999999</v>
      </c>
      <c r="Q1304" s="13" t="str">
        <f t="shared" si="82"/>
        <v/>
      </c>
      <c r="R1304" s="13" t="str">
        <f t="shared" si="83"/>
        <v>Diskon</v>
      </c>
    </row>
    <row r="1305" spans="1:18" x14ac:dyDescent="0.25">
      <c r="A1305" s="13" t="s">
        <v>1317</v>
      </c>
      <c r="B1305" s="13" t="s">
        <v>2191</v>
      </c>
      <c r="C1305" s="13" t="s">
        <v>2201</v>
      </c>
      <c r="D1305" s="13" t="s">
        <v>2207</v>
      </c>
      <c r="E1305" s="13" t="s">
        <v>2211</v>
      </c>
      <c r="F1305" s="13" t="s">
        <v>2221</v>
      </c>
      <c r="G1305" s="13">
        <v>40.119999999999997</v>
      </c>
      <c r="H1305" s="44">
        <v>27.7</v>
      </c>
      <c r="I1305" s="13">
        <v>29.01</v>
      </c>
      <c r="J1305" s="24">
        <v>45875</v>
      </c>
      <c r="K1305" s="25">
        <v>29</v>
      </c>
      <c r="L1305" s="25">
        <v>1.7</v>
      </c>
      <c r="M1305" s="13" t="b">
        <v>1</v>
      </c>
      <c r="N1305" s="13" t="s">
        <v>2226</v>
      </c>
      <c r="O1305" s="25">
        <f t="shared" si="80"/>
        <v>27</v>
      </c>
      <c r="P1305" s="13">
        <f t="shared" si="81"/>
        <v>803.3</v>
      </c>
      <c r="Q1305" s="13">
        <f t="shared" si="82"/>
        <v>1</v>
      </c>
      <c r="R1305" s="13" t="str">
        <f t="shared" si="83"/>
        <v>Diskon</v>
      </c>
    </row>
    <row r="1306" spans="1:18" x14ac:dyDescent="0.25">
      <c r="A1306" s="13" t="s">
        <v>1318</v>
      </c>
      <c r="B1306" s="13" t="s">
        <v>2191</v>
      </c>
      <c r="C1306" s="13" t="s">
        <v>2202</v>
      </c>
      <c r="D1306" s="13" t="s">
        <v>2205</v>
      </c>
      <c r="E1306" s="13" t="s">
        <v>2213</v>
      </c>
      <c r="F1306" s="13" t="s">
        <v>2216</v>
      </c>
      <c r="G1306" s="13">
        <v>49.64</v>
      </c>
      <c r="H1306" s="44">
        <v>30.9</v>
      </c>
      <c r="I1306" s="13">
        <v>34.299999999999997</v>
      </c>
      <c r="J1306" s="24">
        <v>45875</v>
      </c>
      <c r="K1306" s="25">
        <v>21</v>
      </c>
      <c r="L1306" s="25">
        <v>2</v>
      </c>
      <c r="M1306" s="13" t="b">
        <v>0</v>
      </c>
      <c r="O1306" s="25">
        <f t="shared" si="80"/>
        <v>27</v>
      </c>
      <c r="P1306" s="13">
        <f t="shared" si="81"/>
        <v>648.9</v>
      </c>
      <c r="Q1306" s="13" t="str">
        <f t="shared" si="82"/>
        <v/>
      </c>
      <c r="R1306" s="13" t="str">
        <f t="shared" si="83"/>
        <v>Diskon</v>
      </c>
    </row>
    <row r="1307" spans="1:18" x14ac:dyDescent="0.25">
      <c r="A1307" s="13" t="s">
        <v>1319</v>
      </c>
      <c r="B1307" s="13" t="s">
        <v>2194</v>
      </c>
      <c r="C1307" s="13" t="s">
        <v>2203</v>
      </c>
      <c r="D1307" s="13" t="s">
        <v>2207</v>
      </c>
      <c r="E1307" s="13" t="s">
        <v>2209</v>
      </c>
      <c r="F1307" s="13" t="s">
        <v>2224</v>
      </c>
      <c r="G1307" s="13">
        <v>117.64</v>
      </c>
      <c r="H1307" s="44">
        <v>54.2</v>
      </c>
      <c r="I1307" s="13">
        <v>53.88</v>
      </c>
      <c r="J1307" s="24">
        <v>45875</v>
      </c>
      <c r="K1307" s="25">
        <v>25</v>
      </c>
      <c r="L1307" s="25">
        <v>4.5999999999999996</v>
      </c>
      <c r="M1307" s="13" t="b">
        <v>1</v>
      </c>
      <c r="N1307" s="13" t="s">
        <v>2230</v>
      </c>
      <c r="O1307" s="25">
        <f t="shared" si="80"/>
        <v>27</v>
      </c>
      <c r="P1307" s="13">
        <f t="shared" si="81"/>
        <v>1355</v>
      </c>
      <c r="Q1307" s="13">
        <f t="shared" si="82"/>
        <v>1</v>
      </c>
      <c r="R1307" s="13" t="str">
        <f t="shared" si="83"/>
        <v>Diskon</v>
      </c>
    </row>
    <row r="1308" spans="1:18" x14ac:dyDescent="0.25">
      <c r="A1308" s="13" t="s">
        <v>1320</v>
      </c>
      <c r="B1308" s="13" t="s">
        <v>2192</v>
      </c>
      <c r="C1308" s="13" t="s">
        <v>2199</v>
      </c>
      <c r="D1308" s="13" t="s">
        <v>2207</v>
      </c>
      <c r="F1308" s="13" t="s">
        <v>2214</v>
      </c>
      <c r="G1308" s="13">
        <v>69.78</v>
      </c>
      <c r="H1308" s="44">
        <v>3.7</v>
      </c>
      <c r="I1308" s="13">
        <v>67.2</v>
      </c>
      <c r="J1308" s="24">
        <v>45875</v>
      </c>
      <c r="K1308" s="25">
        <v>14</v>
      </c>
      <c r="L1308" s="25">
        <v>3.2</v>
      </c>
      <c r="M1308" s="13" t="b">
        <v>0</v>
      </c>
      <c r="O1308" s="25">
        <f t="shared" si="80"/>
        <v>27</v>
      </c>
      <c r="P1308" s="13">
        <f t="shared" si="81"/>
        <v>51.800000000000004</v>
      </c>
      <c r="Q1308" s="13" t="str">
        <f t="shared" si="82"/>
        <v/>
      </c>
      <c r="R1308" s="13" t="str">
        <f t="shared" si="83"/>
        <v>Diskon</v>
      </c>
    </row>
    <row r="1309" spans="1:18" x14ac:dyDescent="0.25">
      <c r="A1309" s="13" t="s">
        <v>1321</v>
      </c>
      <c r="B1309" s="13" t="s">
        <v>2192</v>
      </c>
      <c r="C1309" s="13" t="s">
        <v>2203</v>
      </c>
      <c r="D1309" s="13" t="s">
        <v>2204</v>
      </c>
      <c r="F1309" s="13" t="s">
        <v>2217</v>
      </c>
      <c r="G1309" s="13">
        <v>29.91</v>
      </c>
      <c r="H1309" s="44">
        <v>18.399999999999999</v>
      </c>
      <c r="I1309" s="13">
        <v>24.41</v>
      </c>
      <c r="J1309" s="24">
        <v>45719</v>
      </c>
      <c r="K1309" s="25">
        <v>10</v>
      </c>
      <c r="L1309" s="25">
        <v>4.9000000000000004</v>
      </c>
      <c r="M1309" s="13" t="b">
        <v>0</v>
      </c>
      <c r="O1309" s="25">
        <f t="shared" si="80"/>
        <v>183</v>
      </c>
      <c r="P1309" s="13">
        <f t="shared" si="81"/>
        <v>184</v>
      </c>
      <c r="Q1309" s="13" t="str">
        <f t="shared" si="82"/>
        <v/>
      </c>
      <c r="R1309" s="13" t="str">
        <f t="shared" si="83"/>
        <v>Diskon</v>
      </c>
    </row>
    <row r="1310" spans="1:18" x14ac:dyDescent="0.25">
      <c r="A1310" s="13" t="s">
        <v>1322</v>
      </c>
      <c r="B1310" s="13" t="s">
        <v>2193</v>
      </c>
      <c r="C1310" s="13" t="s">
        <v>2200</v>
      </c>
      <c r="D1310" s="13" t="s">
        <v>2206</v>
      </c>
      <c r="E1310" s="13" t="s">
        <v>2208</v>
      </c>
      <c r="F1310" s="13" t="s">
        <v>2216</v>
      </c>
      <c r="G1310" s="13">
        <v>187.11</v>
      </c>
      <c r="H1310" s="44">
        <v>43.3</v>
      </c>
      <c r="I1310" s="13">
        <v>106.09</v>
      </c>
      <c r="J1310" s="24">
        <v>45875</v>
      </c>
      <c r="K1310" s="25">
        <v>26</v>
      </c>
      <c r="L1310" s="25">
        <v>3</v>
      </c>
      <c r="M1310" s="13" t="b">
        <v>0</v>
      </c>
      <c r="O1310" s="25">
        <f t="shared" si="80"/>
        <v>27</v>
      </c>
      <c r="P1310" s="13">
        <f t="shared" si="81"/>
        <v>1125.8</v>
      </c>
      <c r="Q1310" s="13" t="str">
        <f t="shared" si="82"/>
        <v/>
      </c>
      <c r="R1310" s="13" t="str">
        <f t="shared" si="83"/>
        <v>Diskon</v>
      </c>
    </row>
    <row r="1311" spans="1:18" x14ac:dyDescent="0.25">
      <c r="A1311" s="13" t="s">
        <v>1323</v>
      </c>
      <c r="B1311" s="13" t="s">
        <v>2192</v>
      </c>
      <c r="C1311" s="13" t="s">
        <v>2201</v>
      </c>
      <c r="D1311" s="13" t="s">
        <v>2207</v>
      </c>
      <c r="F1311" s="13" t="s">
        <v>2221</v>
      </c>
      <c r="G1311" s="13">
        <v>40.04</v>
      </c>
      <c r="H1311" s="44">
        <v>15.8</v>
      </c>
      <c r="I1311" s="13">
        <v>33.71</v>
      </c>
      <c r="J1311" s="24">
        <v>45875</v>
      </c>
      <c r="K1311" s="25">
        <v>31</v>
      </c>
      <c r="L1311" s="25">
        <v>1.8</v>
      </c>
      <c r="M1311" s="13" t="b">
        <v>0</v>
      </c>
      <c r="O1311" s="25">
        <f t="shared" si="80"/>
        <v>27</v>
      </c>
      <c r="P1311" s="13">
        <f t="shared" si="81"/>
        <v>489.8</v>
      </c>
      <c r="Q1311" s="13" t="str">
        <f t="shared" si="82"/>
        <v/>
      </c>
      <c r="R1311" s="13" t="str">
        <f t="shared" si="83"/>
        <v>Diskon</v>
      </c>
    </row>
    <row r="1312" spans="1:18" x14ac:dyDescent="0.25">
      <c r="A1312" s="13" t="s">
        <v>1324</v>
      </c>
      <c r="B1312" s="13" t="s">
        <v>2195</v>
      </c>
      <c r="C1312" s="13" t="s">
        <v>2199</v>
      </c>
      <c r="D1312" s="13" t="s">
        <v>2204</v>
      </c>
      <c r="E1312" s="13" t="s">
        <v>2212</v>
      </c>
      <c r="F1312" s="13" t="s">
        <v>2221</v>
      </c>
      <c r="G1312" s="13">
        <v>113.44</v>
      </c>
      <c r="H1312" s="44">
        <v>23.4</v>
      </c>
      <c r="I1312" s="13">
        <v>86.9</v>
      </c>
      <c r="J1312" s="24">
        <v>45723</v>
      </c>
      <c r="K1312" s="25">
        <v>1</v>
      </c>
      <c r="L1312" s="25">
        <v>2.8372093023255811</v>
      </c>
      <c r="M1312" s="13" t="b">
        <v>0</v>
      </c>
      <c r="O1312" s="25">
        <f t="shared" si="80"/>
        <v>179</v>
      </c>
      <c r="P1312" s="13">
        <f t="shared" si="81"/>
        <v>23.4</v>
      </c>
      <c r="Q1312" s="13" t="str">
        <f t="shared" si="82"/>
        <v/>
      </c>
      <c r="R1312" s="13" t="str">
        <f t="shared" si="83"/>
        <v>Diskon</v>
      </c>
    </row>
    <row r="1313" spans="1:18" x14ac:dyDescent="0.25">
      <c r="A1313" s="13" t="s">
        <v>1325</v>
      </c>
      <c r="B1313" s="13" t="s">
        <v>2194</v>
      </c>
      <c r="C1313" s="13" t="s">
        <v>2196</v>
      </c>
      <c r="D1313" s="13" t="s">
        <v>2204</v>
      </c>
      <c r="E1313" s="13" t="s">
        <v>2210</v>
      </c>
      <c r="F1313" s="13" t="s">
        <v>2218</v>
      </c>
      <c r="G1313" s="13">
        <v>119.84</v>
      </c>
      <c r="H1313" s="44">
        <v>0</v>
      </c>
      <c r="I1313" s="13">
        <v>119.84</v>
      </c>
      <c r="J1313" s="24">
        <v>45562</v>
      </c>
      <c r="K1313" s="25">
        <v>47</v>
      </c>
      <c r="L1313" s="25">
        <v>1.4</v>
      </c>
      <c r="M1313" s="13" t="b">
        <v>0</v>
      </c>
      <c r="O1313" s="25">
        <f t="shared" si="80"/>
        <v>340</v>
      </c>
      <c r="P1313" s="13">
        <f t="shared" si="81"/>
        <v>0</v>
      </c>
      <c r="Q1313" s="13" t="str">
        <f t="shared" si="82"/>
        <v/>
      </c>
      <c r="R1313" s="13" t="str">
        <f t="shared" si="83"/>
        <v>Non diskon</v>
      </c>
    </row>
    <row r="1314" spans="1:18" x14ac:dyDescent="0.25">
      <c r="A1314" s="13" t="s">
        <v>1326</v>
      </c>
      <c r="B1314" s="13" t="s">
        <v>2193</v>
      </c>
      <c r="C1314" s="13" t="s">
        <v>2197</v>
      </c>
      <c r="D1314" s="13" t="s">
        <v>2206</v>
      </c>
      <c r="E1314" s="13" t="s">
        <v>2211</v>
      </c>
      <c r="F1314" s="13" t="s">
        <v>2224</v>
      </c>
      <c r="G1314" s="13">
        <v>167.27</v>
      </c>
      <c r="H1314" s="44">
        <v>0</v>
      </c>
      <c r="I1314" s="13">
        <v>167.27</v>
      </c>
      <c r="J1314" s="24">
        <v>45875</v>
      </c>
      <c r="K1314" s="25">
        <v>9</v>
      </c>
      <c r="L1314" s="25">
        <v>4</v>
      </c>
      <c r="M1314" s="13" t="b">
        <v>0</v>
      </c>
      <c r="O1314" s="25">
        <f t="shared" si="80"/>
        <v>27</v>
      </c>
      <c r="P1314" s="13">
        <f t="shared" si="81"/>
        <v>0</v>
      </c>
      <c r="Q1314" s="13" t="str">
        <f t="shared" si="82"/>
        <v/>
      </c>
      <c r="R1314" s="13" t="str">
        <f t="shared" si="83"/>
        <v>Non diskon</v>
      </c>
    </row>
    <row r="1315" spans="1:18" x14ac:dyDescent="0.25">
      <c r="A1315" s="13" t="s">
        <v>1327</v>
      </c>
      <c r="B1315" s="13" t="s">
        <v>2195</v>
      </c>
      <c r="C1315" s="13" t="s">
        <v>2198</v>
      </c>
      <c r="D1315" s="13" t="s">
        <v>2204</v>
      </c>
      <c r="E1315" s="13" t="s">
        <v>2208</v>
      </c>
      <c r="F1315" s="13" t="s">
        <v>2219</v>
      </c>
      <c r="G1315" s="13">
        <v>148</v>
      </c>
      <c r="H1315" s="44">
        <v>1.1000000000000001</v>
      </c>
      <c r="I1315" s="13">
        <v>146.37</v>
      </c>
      <c r="J1315" s="24">
        <v>45711</v>
      </c>
      <c r="K1315" s="25">
        <v>43</v>
      </c>
      <c r="L1315" s="25">
        <v>2</v>
      </c>
      <c r="M1315" s="13" t="b">
        <v>0</v>
      </c>
      <c r="O1315" s="25">
        <f t="shared" si="80"/>
        <v>191</v>
      </c>
      <c r="P1315" s="13">
        <f t="shared" si="81"/>
        <v>47.300000000000004</v>
      </c>
      <c r="Q1315" s="13" t="str">
        <f t="shared" si="82"/>
        <v/>
      </c>
      <c r="R1315" s="13" t="str">
        <f t="shared" si="83"/>
        <v>Diskon</v>
      </c>
    </row>
    <row r="1316" spans="1:18" x14ac:dyDescent="0.25">
      <c r="A1316" s="13" t="s">
        <v>1328</v>
      </c>
      <c r="B1316" s="13" t="s">
        <v>2194</v>
      </c>
      <c r="C1316" s="13" t="s">
        <v>2200</v>
      </c>
      <c r="D1316" s="13" t="s">
        <v>2205</v>
      </c>
      <c r="E1316" s="13" t="s">
        <v>2211</v>
      </c>
      <c r="F1316" s="13" t="s">
        <v>2214</v>
      </c>
      <c r="G1316" s="13">
        <v>65.34</v>
      </c>
      <c r="H1316" s="44">
        <v>49.8</v>
      </c>
      <c r="I1316" s="13">
        <v>32.799999999999997</v>
      </c>
      <c r="J1316" s="24">
        <v>45875</v>
      </c>
      <c r="K1316" s="25">
        <v>9</v>
      </c>
      <c r="L1316" s="25">
        <v>3.0659090909090896</v>
      </c>
      <c r="M1316" s="13" t="b">
        <v>0</v>
      </c>
      <c r="O1316" s="25">
        <f t="shared" si="80"/>
        <v>27</v>
      </c>
      <c r="P1316" s="13">
        <f t="shared" si="81"/>
        <v>448.2</v>
      </c>
      <c r="Q1316" s="13" t="str">
        <f t="shared" si="82"/>
        <v/>
      </c>
      <c r="R1316" s="13" t="str">
        <f t="shared" si="83"/>
        <v>Diskon</v>
      </c>
    </row>
    <row r="1317" spans="1:18" x14ac:dyDescent="0.25">
      <c r="A1317" s="13" t="s">
        <v>1329</v>
      </c>
      <c r="B1317" s="13" t="s">
        <v>2193</v>
      </c>
      <c r="C1317" s="13" t="s">
        <v>2198</v>
      </c>
      <c r="D1317" s="13" t="s">
        <v>2204</v>
      </c>
      <c r="E1317" s="13" t="s">
        <v>2213</v>
      </c>
      <c r="F1317" s="13" t="s">
        <v>2220</v>
      </c>
      <c r="G1317" s="13">
        <v>84.57</v>
      </c>
      <c r="H1317" s="44">
        <v>5.4</v>
      </c>
      <c r="I1317" s="13">
        <v>80</v>
      </c>
      <c r="J1317" s="24">
        <v>45855</v>
      </c>
      <c r="K1317" s="25">
        <v>33</v>
      </c>
      <c r="L1317" s="25">
        <v>3.1936170212765949</v>
      </c>
      <c r="M1317" s="13" t="b">
        <v>0</v>
      </c>
      <c r="O1317" s="25">
        <f t="shared" si="80"/>
        <v>47</v>
      </c>
      <c r="P1317" s="13">
        <f t="shared" si="81"/>
        <v>178.20000000000002</v>
      </c>
      <c r="Q1317" s="13" t="str">
        <f t="shared" si="82"/>
        <v/>
      </c>
      <c r="R1317" s="13" t="str">
        <f t="shared" si="83"/>
        <v>Diskon</v>
      </c>
    </row>
    <row r="1318" spans="1:18" x14ac:dyDescent="0.25">
      <c r="A1318" s="13" t="s">
        <v>1330</v>
      </c>
      <c r="B1318" s="13" t="s">
        <v>2194</v>
      </c>
      <c r="C1318" s="13" t="s">
        <v>2202</v>
      </c>
      <c r="D1318" s="13" t="s">
        <v>2207</v>
      </c>
      <c r="E1318" s="13" t="s">
        <v>2212</v>
      </c>
      <c r="F1318" s="13" t="s">
        <v>2218</v>
      </c>
      <c r="G1318" s="13">
        <v>52.6</v>
      </c>
      <c r="H1318" s="44">
        <v>0</v>
      </c>
      <c r="I1318" s="13">
        <v>52.6</v>
      </c>
      <c r="J1318" s="24">
        <v>45875</v>
      </c>
      <c r="K1318" s="25">
        <v>35</v>
      </c>
      <c r="L1318" s="25">
        <v>1.2</v>
      </c>
      <c r="M1318" s="13" t="b">
        <v>1</v>
      </c>
      <c r="N1318" s="13" t="s">
        <v>2225</v>
      </c>
      <c r="O1318" s="25">
        <f t="shared" si="80"/>
        <v>27</v>
      </c>
      <c r="P1318" s="13">
        <f t="shared" si="81"/>
        <v>0</v>
      </c>
      <c r="Q1318" s="13">
        <f t="shared" si="82"/>
        <v>1</v>
      </c>
      <c r="R1318" s="13" t="str">
        <f t="shared" si="83"/>
        <v>Non diskon</v>
      </c>
    </row>
    <row r="1319" spans="1:18" x14ac:dyDescent="0.25">
      <c r="A1319" s="13" t="s">
        <v>1331</v>
      </c>
      <c r="B1319" s="13" t="s">
        <v>2193</v>
      </c>
      <c r="C1319" s="13" t="s">
        <v>2197</v>
      </c>
      <c r="D1319" s="13" t="s">
        <v>2207</v>
      </c>
      <c r="E1319" s="13" t="s">
        <v>2209</v>
      </c>
      <c r="F1319" s="13" t="s">
        <v>2220</v>
      </c>
      <c r="G1319" s="13">
        <v>106.37</v>
      </c>
      <c r="H1319" s="44">
        <v>0</v>
      </c>
      <c r="I1319" s="13">
        <v>106.37</v>
      </c>
      <c r="J1319" s="24">
        <v>45875</v>
      </c>
      <c r="K1319" s="25">
        <v>30</v>
      </c>
      <c r="L1319" s="25">
        <v>1.1000000000000001</v>
      </c>
      <c r="M1319" s="13" t="b">
        <v>0</v>
      </c>
      <c r="O1319" s="25">
        <f t="shared" si="80"/>
        <v>27</v>
      </c>
      <c r="P1319" s="13">
        <f t="shared" si="81"/>
        <v>0</v>
      </c>
      <c r="Q1319" s="13" t="str">
        <f t="shared" si="82"/>
        <v/>
      </c>
      <c r="R1319" s="13" t="str">
        <f t="shared" si="83"/>
        <v>Non diskon</v>
      </c>
    </row>
    <row r="1320" spans="1:18" x14ac:dyDescent="0.25">
      <c r="A1320" s="13" t="s">
        <v>1332</v>
      </c>
      <c r="B1320" s="13" t="s">
        <v>2191</v>
      </c>
      <c r="C1320" s="13" t="s">
        <v>2202</v>
      </c>
      <c r="D1320" s="13" t="s">
        <v>2207</v>
      </c>
      <c r="E1320" s="13" t="s">
        <v>2211</v>
      </c>
      <c r="F1320" s="13" t="s">
        <v>2216</v>
      </c>
      <c r="G1320" s="13">
        <v>96.77</v>
      </c>
      <c r="H1320" s="44">
        <v>40.4</v>
      </c>
      <c r="I1320" s="13">
        <v>57.67</v>
      </c>
      <c r="J1320" s="24">
        <v>45875</v>
      </c>
      <c r="K1320" s="25">
        <v>31</v>
      </c>
      <c r="L1320" s="25">
        <v>4.5</v>
      </c>
      <c r="M1320" s="13" t="b">
        <v>0</v>
      </c>
      <c r="O1320" s="25">
        <f t="shared" si="80"/>
        <v>27</v>
      </c>
      <c r="P1320" s="13">
        <f t="shared" si="81"/>
        <v>1252.3999999999999</v>
      </c>
      <c r="Q1320" s="13" t="str">
        <f t="shared" si="82"/>
        <v/>
      </c>
      <c r="R1320" s="13" t="str">
        <f t="shared" si="83"/>
        <v>Diskon</v>
      </c>
    </row>
    <row r="1321" spans="1:18" x14ac:dyDescent="0.25">
      <c r="A1321" s="13" t="s">
        <v>1333</v>
      </c>
      <c r="B1321" s="13" t="s">
        <v>2190</v>
      </c>
      <c r="C1321" s="13" t="s">
        <v>2198</v>
      </c>
      <c r="D1321" s="13" t="s">
        <v>2204</v>
      </c>
      <c r="E1321" s="13" t="s">
        <v>2209</v>
      </c>
      <c r="F1321" s="13" t="s">
        <v>2224</v>
      </c>
      <c r="G1321" s="13">
        <v>99.02</v>
      </c>
      <c r="H1321" s="44">
        <v>0</v>
      </c>
      <c r="I1321" s="13">
        <v>99.02</v>
      </c>
      <c r="J1321" s="24">
        <v>45581</v>
      </c>
      <c r="K1321" s="25">
        <v>21</v>
      </c>
      <c r="L1321" s="25">
        <v>1.2</v>
      </c>
      <c r="M1321" s="13" t="b">
        <v>0</v>
      </c>
      <c r="O1321" s="25">
        <f t="shared" si="80"/>
        <v>321</v>
      </c>
      <c r="P1321" s="13">
        <f t="shared" si="81"/>
        <v>0</v>
      </c>
      <c r="Q1321" s="13" t="str">
        <f t="shared" si="82"/>
        <v/>
      </c>
      <c r="R1321" s="13" t="str">
        <f t="shared" si="83"/>
        <v>Non diskon</v>
      </c>
    </row>
    <row r="1322" spans="1:18" x14ac:dyDescent="0.25">
      <c r="A1322" s="13" t="s">
        <v>1334</v>
      </c>
      <c r="B1322" s="13" t="s">
        <v>2192</v>
      </c>
      <c r="C1322" s="13" t="s">
        <v>2196</v>
      </c>
      <c r="D1322" s="13" t="s">
        <v>2204</v>
      </c>
      <c r="F1322" s="13" t="s">
        <v>2223</v>
      </c>
      <c r="G1322" s="13">
        <v>68.89</v>
      </c>
      <c r="H1322" s="44">
        <v>36.9</v>
      </c>
      <c r="I1322" s="13">
        <v>43.47</v>
      </c>
      <c r="J1322" s="24">
        <v>45631</v>
      </c>
      <c r="K1322" s="25">
        <v>9</v>
      </c>
      <c r="L1322" s="25">
        <v>1.8</v>
      </c>
      <c r="M1322" s="13" t="b">
        <v>0</v>
      </c>
      <c r="O1322" s="25">
        <f t="shared" si="80"/>
        <v>271</v>
      </c>
      <c r="P1322" s="13">
        <f t="shared" si="81"/>
        <v>332.09999999999997</v>
      </c>
      <c r="Q1322" s="13" t="str">
        <f t="shared" si="82"/>
        <v/>
      </c>
      <c r="R1322" s="13" t="str">
        <f t="shared" si="83"/>
        <v>Diskon</v>
      </c>
    </row>
    <row r="1323" spans="1:18" x14ac:dyDescent="0.25">
      <c r="A1323" s="13" t="s">
        <v>1335</v>
      </c>
      <c r="B1323" s="13" t="s">
        <v>2195</v>
      </c>
      <c r="C1323" s="13" t="s">
        <v>2200</v>
      </c>
      <c r="D1323" s="13" t="s">
        <v>2204</v>
      </c>
      <c r="E1323" s="13" t="s">
        <v>2210</v>
      </c>
      <c r="F1323" s="13" t="s">
        <v>2215</v>
      </c>
      <c r="G1323" s="13">
        <v>63.91</v>
      </c>
      <c r="H1323" s="44">
        <v>3.5</v>
      </c>
      <c r="I1323" s="13">
        <v>61.67</v>
      </c>
      <c r="J1323" s="24">
        <v>45796</v>
      </c>
      <c r="K1323" s="25">
        <v>14</v>
      </c>
      <c r="L1323" s="25">
        <v>2.1</v>
      </c>
      <c r="M1323" s="13" t="b">
        <v>0</v>
      </c>
      <c r="O1323" s="25">
        <f t="shared" si="80"/>
        <v>106</v>
      </c>
      <c r="P1323" s="13">
        <f t="shared" si="81"/>
        <v>49</v>
      </c>
      <c r="Q1323" s="13" t="str">
        <f t="shared" si="82"/>
        <v/>
      </c>
      <c r="R1323" s="13" t="str">
        <f t="shared" si="83"/>
        <v>Diskon</v>
      </c>
    </row>
    <row r="1324" spans="1:18" x14ac:dyDescent="0.25">
      <c r="A1324" s="13" t="s">
        <v>1336</v>
      </c>
      <c r="B1324" s="13" t="s">
        <v>2193</v>
      </c>
      <c r="C1324" s="13" t="s">
        <v>2199</v>
      </c>
      <c r="D1324" s="13" t="s">
        <v>2206</v>
      </c>
      <c r="E1324" s="13" t="s">
        <v>2210</v>
      </c>
      <c r="F1324" s="13" t="s">
        <v>2222</v>
      </c>
      <c r="G1324" s="13">
        <v>116.38</v>
      </c>
      <c r="H1324" s="44">
        <v>11.4</v>
      </c>
      <c r="I1324" s="13">
        <v>103.11</v>
      </c>
      <c r="J1324" s="24">
        <v>45875</v>
      </c>
      <c r="K1324" s="25">
        <v>15</v>
      </c>
      <c r="L1324" s="25">
        <v>2.9804347826086954</v>
      </c>
      <c r="M1324" s="13" t="b">
        <v>0</v>
      </c>
      <c r="O1324" s="25">
        <f t="shared" si="80"/>
        <v>27</v>
      </c>
      <c r="P1324" s="13">
        <f t="shared" si="81"/>
        <v>171</v>
      </c>
      <c r="Q1324" s="13" t="str">
        <f t="shared" si="82"/>
        <v/>
      </c>
      <c r="R1324" s="13" t="str">
        <f t="shared" si="83"/>
        <v>Diskon</v>
      </c>
    </row>
    <row r="1325" spans="1:18" x14ac:dyDescent="0.25">
      <c r="A1325" s="13" t="s">
        <v>1337</v>
      </c>
      <c r="B1325" s="13" t="s">
        <v>2194</v>
      </c>
      <c r="C1325" s="13" t="s">
        <v>2197</v>
      </c>
      <c r="D1325" s="13" t="s">
        <v>2206</v>
      </c>
      <c r="E1325" s="13" t="s">
        <v>2212</v>
      </c>
      <c r="F1325" s="13" t="s">
        <v>2220</v>
      </c>
      <c r="G1325" s="13">
        <v>71.739999999999995</v>
      </c>
      <c r="H1325" s="44">
        <v>0</v>
      </c>
      <c r="I1325" s="13">
        <v>71.739999999999995</v>
      </c>
      <c r="J1325" s="24">
        <v>45875</v>
      </c>
      <c r="K1325" s="25">
        <v>16</v>
      </c>
      <c r="L1325" s="25">
        <v>3.0846153846153843</v>
      </c>
      <c r="M1325" s="13" t="b">
        <v>0</v>
      </c>
      <c r="O1325" s="25">
        <f t="shared" si="80"/>
        <v>27</v>
      </c>
      <c r="P1325" s="13">
        <f t="shared" si="81"/>
        <v>0</v>
      </c>
      <c r="Q1325" s="13" t="str">
        <f t="shared" si="82"/>
        <v/>
      </c>
      <c r="R1325" s="13" t="str">
        <f t="shared" si="83"/>
        <v>Non diskon</v>
      </c>
    </row>
    <row r="1326" spans="1:18" x14ac:dyDescent="0.25">
      <c r="A1326" s="13" t="s">
        <v>1338</v>
      </c>
      <c r="B1326" s="13" t="s">
        <v>2194</v>
      </c>
      <c r="C1326" s="13" t="s">
        <v>2203</v>
      </c>
      <c r="D1326" s="13" t="s">
        <v>2205</v>
      </c>
      <c r="E1326" s="13" t="s">
        <v>2213</v>
      </c>
      <c r="F1326" s="13" t="s">
        <v>2221</v>
      </c>
      <c r="G1326" s="13">
        <v>91.11</v>
      </c>
      <c r="H1326" s="44">
        <v>0</v>
      </c>
      <c r="I1326" s="13">
        <v>91.11</v>
      </c>
      <c r="J1326" s="24">
        <v>45875</v>
      </c>
      <c r="K1326" s="25">
        <v>38</v>
      </c>
      <c r="L1326" s="25">
        <v>3.3</v>
      </c>
      <c r="M1326" s="13" t="b">
        <v>0</v>
      </c>
      <c r="O1326" s="25">
        <f t="shared" si="80"/>
        <v>27</v>
      </c>
      <c r="P1326" s="13">
        <f t="shared" si="81"/>
        <v>0</v>
      </c>
      <c r="Q1326" s="13" t="str">
        <f t="shared" si="82"/>
        <v/>
      </c>
      <c r="R1326" s="13" t="str">
        <f t="shared" si="83"/>
        <v>Non diskon</v>
      </c>
    </row>
    <row r="1327" spans="1:18" x14ac:dyDescent="0.25">
      <c r="A1327" s="13" t="s">
        <v>1339</v>
      </c>
      <c r="B1327" s="13" t="s">
        <v>2192</v>
      </c>
      <c r="C1327" s="13" t="s">
        <v>2196</v>
      </c>
      <c r="D1327" s="13" t="s">
        <v>2207</v>
      </c>
      <c r="F1327" s="13" t="s">
        <v>2217</v>
      </c>
      <c r="G1327" s="13">
        <v>46.07</v>
      </c>
      <c r="H1327" s="44">
        <v>0</v>
      </c>
      <c r="I1327" s="13">
        <v>46.07</v>
      </c>
      <c r="J1327" s="24">
        <v>45875</v>
      </c>
      <c r="K1327" s="25">
        <v>25</v>
      </c>
      <c r="L1327" s="25">
        <v>2.5</v>
      </c>
      <c r="M1327" s="13" t="b">
        <v>0</v>
      </c>
      <c r="O1327" s="25">
        <f t="shared" si="80"/>
        <v>27</v>
      </c>
      <c r="P1327" s="13">
        <f t="shared" si="81"/>
        <v>0</v>
      </c>
      <c r="Q1327" s="13" t="str">
        <f t="shared" si="82"/>
        <v/>
      </c>
      <c r="R1327" s="13" t="str">
        <f t="shared" si="83"/>
        <v>Non diskon</v>
      </c>
    </row>
    <row r="1328" spans="1:18" x14ac:dyDescent="0.25">
      <c r="A1328" s="13" t="s">
        <v>1340</v>
      </c>
      <c r="B1328" s="13" t="s">
        <v>2195</v>
      </c>
      <c r="C1328" s="13" t="s">
        <v>2199</v>
      </c>
      <c r="D1328" s="13" t="s">
        <v>2206</v>
      </c>
      <c r="E1328" s="13" t="s">
        <v>2210</v>
      </c>
      <c r="F1328" s="13" t="s">
        <v>2220</v>
      </c>
      <c r="G1328" s="13">
        <v>156.27000000000001</v>
      </c>
      <c r="H1328" s="44">
        <v>0</v>
      </c>
      <c r="I1328" s="13">
        <v>156.27000000000001</v>
      </c>
      <c r="J1328" s="24">
        <v>45875</v>
      </c>
      <c r="K1328" s="25">
        <v>43</v>
      </c>
      <c r="L1328" s="25">
        <v>2.8372093023255811</v>
      </c>
      <c r="M1328" s="13" t="b">
        <v>0</v>
      </c>
      <c r="O1328" s="25">
        <f t="shared" si="80"/>
        <v>27</v>
      </c>
      <c r="P1328" s="13">
        <f t="shared" si="81"/>
        <v>0</v>
      </c>
      <c r="Q1328" s="13" t="str">
        <f t="shared" si="82"/>
        <v/>
      </c>
      <c r="R1328" s="13" t="str">
        <f t="shared" si="83"/>
        <v>Non diskon</v>
      </c>
    </row>
    <row r="1329" spans="1:18" x14ac:dyDescent="0.25">
      <c r="A1329" s="13" t="s">
        <v>1341</v>
      </c>
      <c r="B1329" s="13" t="s">
        <v>2191</v>
      </c>
      <c r="C1329" s="13" t="s">
        <v>2199</v>
      </c>
      <c r="D1329" s="13" t="s">
        <v>2206</v>
      </c>
      <c r="E1329" s="13" t="s">
        <v>2212</v>
      </c>
      <c r="F1329" s="13" t="s">
        <v>2215</v>
      </c>
      <c r="G1329" s="13">
        <v>56.35</v>
      </c>
      <c r="H1329" s="44">
        <v>0</v>
      </c>
      <c r="I1329" s="13">
        <v>56.35</v>
      </c>
      <c r="J1329" s="24">
        <v>45875</v>
      </c>
      <c r="K1329" s="25">
        <v>31</v>
      </c>
      <c r="L1329" s="25">
        <v>1.5</v>
      </c>
      <c r="M1329" s="13" t="b">
        <v>0</v>
      </c>
      <c r="O1329" s="25">
        <f t="shared" si="80"/>
        <v>27</v>
      </c>
      <c r="P1329" s="13">
        <f t="shared" si="81"/>
        <v>0</v>
      </c>
      <c r="Q1329" s="13" t="str">
        <f t="shared" si="82"/>
        <v/>
      </c>
      <c r="R1329" s="13" t="str">
        <f t="shared" si="83"/>
        <v>Non diskon</v>
      </c>
    </row>
    <row r="1330" spans="1:18" x14ac:dyDescent="0.25">
      <c r="A1330" s="13" t="s">
        <v>1342</v>
      </c>
      <c r="B1330" s="13" t="s">
        <v>2194</v>
      </c>
      <c r="C1330" s="13" t="s">
        <v>2196</v>
      </c>
      <c r="D1330" s="13" t="s">
        <v>2205</v>
      </c>
      <c r="E1330" s="13" t="s">
        <v>2212</v>
      </c>
      <c r="F1330" s="13" t="s">
        <v>2223</v>
      </c>
      <c r="G1330" s="13">
        <v>118.21</v>
      </c>
      <c r="H1330" s="44">
        <v>23.1</v>
      </c>
      <c r="I1330" s="13">
        <v>90.9</v>
      </c>
      <c r="J1330" s="24">
        <v>45875</v>
      </c>
      <c r="K1330" s="25">
        <v>15</v>
      </c>
      <c r="L1330" s="25">
        <v>5</v>
      </c>
      <c r="M1330" s="13" t="b">
        <v>0</v>
      </c>
      <c r="O1330" s="25">
        <f t="shared" si="80"/>
        <v>27</v>
      </c>
      <c r="P1330" s="13">
        <f t="shared" si="81"/>
        <v>346.5</v>
      </c>
      <c r="Q1330" s="13" t="str">
        <f t="shared" si="82"/>
        <v/>
      </c>
      <c r="R1330" s="13" t="str">
        <f t="shared" si="83"/>
        <v>Diskon</v>
      </c>
    </row>
    <row r="1331" spans="1:18" x14ac:dyDescent="0.25">
      <c r="A1331" s="13" t="s">
        <v>1343</v>
      </c>
      <c r="B1331" s="13" t="s">
        <v>2191</v>
      </c>
      <c r="C1331" s="13" t="s">
        <v>2202</v>
      </c>
      <c r="D1331" s="13" t="s">
        <v>2206</v>
      </c>
      <c r="E1331" s="13" t="s">
        <v>2212</v>
      </c>
      <c r="F1331" s="13" t="s">
        <v>2221</v>
      </c>
      <c r="G1331" s="13">
        <v>25.86</v>
      </c>
      <c r="H1331" s="44">
        <v>0</v>
      </c>
      <c r="I1331" s="13">
        <v>25.86</v>
      </c>
      <c r="J1331" s="24">
        <v>45875</v>
      </c>
      <c r="K1331" s="25">
        <v>46</v>
      </c>
      <c r="L1331" s="25">
        <v>1.5</v>
      </c>
      <c r="M1331" s="13" t="b">
        <v>0</v>
      </c>
      <c r="O1331" s="25">
        <f t="shared" si="80"/>
        <v>27</v>
      </c>
      <c r="P1331" s="13">
        <f t="shared" si="81"/>
        <v>0</v>
      </c>
      <c r="Q1331" s="13" t="str">
        <f t="shared" si="82"/>
        <v/>
      </c>
      <c r="R1331" s="13" t="str">
        <f t="shared" si="83"/>
        <v>Non diskon</v>
      </c>
    </row>
    <row r="1332" spans="1:18" x14ac:dyDescent="0.25">
      <c r="A1332" s="13" t="s">
        <v>1344</v>
      </c>
      <c r="B1332" s="13" t="s">
        <v>2191</v>
      </c>
      <c r="C1332" s="13" t="s">
        <v>2200</v>
      </c>
      <c r="D1332" s="13" t="s">
        <v>2206</v>
      </c>
      <c r="E1332" s="13" t="s">
        <v>2210</v>
      </c>
      <c r="F1332" s="13" t="s">
        <v>2220</v>
      </c>
      <c r="G1332" s="13">
        <v>91.67</v>
      </c>
      <c r="H1332" s="44">
        <v>23.7</v>
      </c>
      <c r="I1332" s="13">
        <v>69.94</v>
      </c>
      <c r="J1332" s="24">
        <v>45875</v>
      </c>
      <c r="K1332" s="25">
        <v>3</v>
      </c>
      <c r="L1332" s="25">
        <v>3.7</v>
      </c>
      <c r="M1332" s="13" t="b">
        <v>0</v>
      </c>
      <c r="O1332" s="25">
        <f t="shared" si="80"/>
        <v>27</v>
      </c>
      <c r="P1332" s="13">
        <f t="shared" si="81"/>
        <v>71.099999999999994</v>
      </c>
      <c r="Q1332" s="13" t="str">
        <f t="shared" si="82"/>
        <v/>
      </c>
      <c r="R1332" s="13" t="str">
        <f t="shared" si="83"/>
        <v>Diskon</v>
      </c>
    </row>
    <row r="1333" spans="1:18" x14ac:dyDescent="0.25">
      <c r="A1333" s="13" t="s">
        <v>1345</v>
      </c>
      <c r="B1333" s="13" t="s">
        <v>2194</v>
      </c>
      <c r="C1333" s="13" t="s">
        <v>2197</v>
      </c>
      <c r="D1333" s="13" t="s">
        <v>2206</v>
      </c>
      <c r="E1333" s="13" t="s">
        <v>2209</v>
      </c>
      <c r="F1333" s="13" t="s">
        <v>2219</v>
      </c>
      <c r="G1333" s="13">
        <v>25.29</v>
      </c>
      <c r="H1333" s="44">
        <v>7.9</v>
      </c>
      <c r="I1333" s="13">
        <v>23.29</v>
      </c>
      <c r="J1333" s="24">
        <v>45875</v>
      </c>
      <c r="K1333" s="25">
        <v>39</v>
      </c>
      <c r="L1333" s="25">
        <v>1.7</v>
      </c>
      <c r="M1333" s="13" t="b">
        <v>0</v>
      </c>
      <c r="O1333" s="25">
        <f t="shared" si="80"/>
        <v>27</v>
      </c>
      <c r="P1333" s="13">
        <f t="shared" si="81"/>
        <v>308.10000000000002</v>
      </c>
      <c r="Q1333" s="13" t="str">
        <f t="shared" si="82"/>
        <v/>
      </c>
      <c r="R1333" s="13" t="str">
        <f t="shared" si="83"/>
        <v>Diskon</v>
      </c>
    </row>
    <row r="1334" spans="1:18" x14ac:dyDescent="0.25">
      <c r="A1334" s="13" t="s">
        <v>1346</v>
      </c>
      <c r="B1334" s="13" t="s">
        <v>2192</v>
      </c>
      <c r="C1334" s="13" t="s">
        <v>2200</v>
      </c>
      <c r="D1334" s="13" t="s">
        <v>2205</v>
      </c>
      <c r="F1334" s="13" t="s">
        <v>2222</v>
      </c>
      <c r="G1334" s="13">
        <v>51.61</v>
      </c>
      <c r="H1334" s="44">
        <v>32.200000000000003</v>
      </c>
      <c r="I1334" s="13">
        <v>34.99</v>
      </c>
      <c r="J1334" s="24">
        <v>45875</v>
      </c>
      <c r="K1334" s="25">
        <v>34</v>
      </c>
      <c r="L1334" s="25">
        <v>4.8</v>
      </c>
      <c r="M1334" s="13" t="b">
        <v>0</v>
      </c>
      <c r="O1334" s="25">
        <f t="shared" si="80"/>
        <v>27</v>
      </c>
      <c r="P1334" s="13">
        <f t="shared" si="81"/>
        <v>1094.8000000000002</v>
      </c>
      <c r="Q1334" s="13" t="str">
        <f t="shared" si="82"/>
        <v/>
      </c>
      <c r="R1334" s="13" t="str">
        <f t="shared" si="83"/>
        <v>Diskon</v>
      </c>
    </row>
    <row r="1335" spans="1:18" x14ac:dyDescent="0.25">
      <c r="A1335" s="13" t="s">
        <v>1347</v>
      </c>
      <c r="B1335" s="13" t="s">
        <v>2190</v>
      </c>
      <c r="C1335" s="13" t="s">
        <v>2198</v>
      </c>
      <c r="D1335" s="13" t="s">
        <v>2207</v>
      </c>
      <c r="E1335" s="13" t="s">
        <v>2208</v>
      </c>
      <c r="F1335" s="13" t="s">
        <v>2216</v>
      </c>
      <c r="G1335" s="13">
        <v>143.61000000000001</v>
      </c>
      <c r="H1335" s="44">
        <v>24.6</v>
      </c>
      <c r="I1335" s="13">
        <v>108.28</v>
      </c>
      <c r="J1335" s="24">
        <v>45875</v>
      </c>
      <c r="K1335" s="25">
        <v>50</v>
      </c>
      <c r="L1335" s="25">
        <v>4.0999999999999996</v>
      </c>
      <c r="M1335" s="13" t="b">
        <v>0</v>
      </c>
      <c r="O1335" s="25">
        <f t="shared" si="80"/>
        <v>27</v>
      </c>
      <c r="P1335" s="13">
        <f t="shared" si="81"/>
        <v>1230</v>
      </c>
      <c r="Q1335" s="13" t="str">
        <f t="shared" si="82"/>
        <v/>
      </c>
      <c r="R1335" s="13" t="str">
        <f t="shared" si="83"/>
        <v>Diskon</v>
      </c>
    </row>
    <row r="1336" spans="1:18" x14ac:dyDescent="0.25">
      <c r="A1336" s="13" t="s">
        <v>1348</v>
      </c>
      <c r="B1336" s="13" t="s">
        <v>2194</v>
      </c>
      <c r="C1336" s="13" t="s">
        <v>2202</v>
      </c>
      <c r="D1336" s="13" t="s">
        <v>2207</v>
      </c>
      <c r="E1336" s="13" t="s">
        <v>2209</v>
      </c>
      <c r="F1336" s="13" t="s">
        <v>2214</v>
      </c>
      <c r="G1336" s="13">
        <v>45.48</v>
      </c>
      <c r="H1336" s="44">
        <v>0</v>
      </c>
      <c r="I1336" s="13">
        <v>45.48</v>
      </c>
      <c r="J1336" s="24">
        <v>45875</v>
      </c>
      <c r="K1336" s="25">
        <v>29</v>
      </c>
      <c r="L1336" s="25">
        <v>2.2999999999999998</v>
      </c>
      <c r="M1336" s="13" t="b">
        <v>0</v>
      </c>
      <c r="O1336" s="25">
        <f t="shared" si="80"/>
        <v>27</v>
      </c>
      <c r="P1336" s="13">
        <f t="shared" si="81"/>
        <v>0</v>
      </c>
      <c r="Q1336" s="13" t="str">
        <f t="shared" si="82"/>
        <v/>
      </c>
      <c r="R1336" s="13" t="str">
        <f t="shared" si="83"/>
        <v>Non diskon</v>
      </c>
    </row>
    <row r="1337" spans="1:18" x14ac:dyDescent="0.25">
      <c r="A1337" s="13" t="s">
        <v>1349</v>
      </c>
      <c r="B1337" s="13" t="s">
        <v>2193</v>
      </c>
      <c r="C1337" s="13" t="s">
        <v>2196</v>
      </c>
      <c r="D1337" s="13" t="s">
        <v>2207</v>
      </c>
      <c r="F1337" s="13" t="s">
        <v>2217</v>
      </c>
      <c r="G1337" s="13">
        <v>177.79</v>
      </c>
      <c r="H1337" s="44">
        <v>10.7</v>
      </c>
      <c r="I1337" s="13">
        <v>158.77000000000001</v>
      </c>
      <c r="J1337" s="24">
        <v>45875</v>
      </c>
      <c r="K1337" s="25">
        <v>37</v>
      </c>
      <c r="L1337" s="25">
        <v>2.9153846153846157</v>
      </c>
      <c r="M1337" s="13" t="b">
        <v>0</v>
      </c>
      <c r="O1337" s="25">
        <f t="shared" si="80"/>
        <v>27</v>
      </c>
      <c r="P1337" s="13">
        <f t="shared" si="81"/>
        <v>395.9</v>
      </c>
      <c r="Q1337" s="13" t="str">
        <f t="shared" si="82"/>
        <v/>
      </c>
      <c r="R1337" s="13" t="str">
        <f t="shared" si="83"/>
        <v>Diskon</v>
      </c>
    </row>
    <row r="1338" spans="1:18" x14ac:dyDescent="0.25">
      <c r="A1338" s="13" t="s">
        <v>1350</v>
      </c>
      <c r="B1338" s="13" t="s">
        <v>2190</v>
      </c>
      <c r="C1338" s="13" t="s">
        <v>2202</v>
      </c>
      <c r="D1338" s="13" t="s">
        <v>2206</v>
      </c>
      <c r="E1338" s="13" t="s">
        <v>2212</v>
      </c>
      <c r="F1338" s="13" t="s">
        <v>2223</v>
      </c>
      <c r="G1338" s="13">
        <v>145.1</v>
      </c>
      <c r="H1338" s="44">
        <v>34.200000000000003</v>
      </c>
      <c r="I1338" s="13">
        <v>95.48</v>
      </c>
      <c r="J1338" s="24">
        <v>45875</v>
      </c>
      <c r="K1338" s="25">
        <v>14</v>
      </c>
      <c r="L1338" s="25">
        <v>2.9034482758620692</v>
      </c>
      <c r="M1338" s="13" t="b">
        <v>0</v>
      </c>
      <c r="O1338" s="25">
        <f t="shared" si="80"/>
        <v>27</v>
      </c>
      <c r="P1338" s="13">
        <f t="shared" si="81"/>
        <v>478.80000000000007</v>
      </c>
      <c r="Q1338" s="13" t="str">
        <f t="shared" si="82"/>
        <v/>
      </c>
      <c r="R1338" s="13" t="str">
        <f t="shared" si="83"/>
        <v>Diskon</v>
      </c>
    </row>
    <row r="1339" spans="1:18" x14ac:dyDescent="0.25">
      <c r="A1339" s="13" t="s">
        <v>1351</v>
      </c>
      <c r="B1339" s="13" t="s">
        <v>2193</v>
      </c>
      <c r="C1339" s="13" t="s">
        <v>2201</v>
      </c>
      <c r="D1339" s="13" t="s">
        <v>2207</v>
      </c>
      <c r="E1339" s="13" t="s">
        <v>2211</v>
      </c>
      <c r="F1339" s="13" t="s">
        <v>2222</v>
      </c>
      <c r="G1339" s="13">
        <v>190.78</v>
      </c>
      <c r="H1339" s="44">
        <v>0</v>
      </c>
      <c r="I1339" s="13">
        <v>190.78</v>
      </c>
      <c r="J1339" s="24">
        <v>45875</v>
      </c>
      <c r="K1339" s="25">
        <v>39</v>
      </c>
      <c r="L1339" s="25">
        <v>3.7</v>
      </c>
      <c r="M1339" s="13" t="b">
        <v>0</v>
      </c>
      <c r="O1339" s="25">
        <f t="shared" si="80"/>
        <v>27</v>
      </c>
      <c r="P1339" s="13">
        <f t="shared" si="81"/>
        <v>0</v>
      </c>
      <c r="Q1339" s="13" t="str">
        <f t="shared" si="82"/>
        <v/>
      </c>
      <c r="R1339" s="13" t="str">
        <f t="shared" si="83"/>
        <v>Non diskon</v>
      </c>
    </row>
    <row r="1340" spans="1:18" x14ac:dyDescent="0.25">
      <c r="A1340" s="13" t="s">
        <v>1352</v>
      </c>
      <c r="B1340" s="13" t="s">
        <v>2192</v>
      </c>
      <c r="C1340" s="13" t="s">
        <v>2203</v>
      </c>
      <c r="D1340" s="13" t="s">
        <v>2206</v>
      </c>
      <c r="F1340" s="13" t="s">
        <v>2219</v>
      </c>
      <c r="G1340" s="13">
        <v>44.73</v>
      </c>
      <c r="H1340" s="44">
        <v>0</v>
      </c>
      <c r="I1340" s="13">
        <v>44.73</v>
      </c>
      <c r="J1340" s="24">
        <v>45875</v>
      </c>
      <c r="K1340" s="25">
        <v>25</v>
      </c>
      <c r="L1340" s="25">
        <v>1.1000000000000001</v>
      </c>
      <c r="M1340" s="13" t="b">
        <v>0</v>
      </c>
      <c r="O1340" s="25">
        <f t="shared" si="80"/>
        <v>27</v>
      </c>
      <c r="P1340" s="13">
        <f t="shared" si="81"/>
        <v>0</v>
      </c>
      <c r="Q1340" s="13" t="str">
        <f t="shared" si="82"/>
        <v/>
      </c>
      <c r="R1340" s="13" t="str">
        <f t="shared" si="83"/>
        <v>Non diskon</v>
      </c>
    </row>
    <row r="1341" spans="1:18" x14ac:dyDescent="0.25">
      <c r="A1341" s="13" t="s">
        <v>1353</v>
      </c>
      <c r="B1341" s="13" t="s">
        <v>2193</v>
      </c>
      <c r="C1341" s="13" t="s">
        <v>2198</v>
      </c>
      <c r="D1341" s="13" t="s">
        <v>2205</v>
      </c>
      <c r="E1341" s="13" t="s">
        <v>2211</v>
      </c>
      <c r="F1341" s="13" t="s">
        <v>2217</v>
      </c>
      <c r="G1341" s="13">
        <v>65.48</v>
      </c>
      <c r="H1341" s="44">
        <v>0</v>
      </c>
      <c r="I1341" s="13">
        <v>65.48</v>
      </c>
      <c r="J1341" s="24">
        <v>45875</v>
      </c>
      <c r="K1341" s="25">
        <v>7</v>
      </c>
      <c r="L1341" s="25">
        <v>4.5999999999999996</v>
      </c>
      <c r="M1341" s="13" t="b">
        <v>0</v>
      </c>
      <c r="O1341" s="25">
        <f t="shared" si="80"/>
        <v>27</v>
      </c>
      <c r="P1341" s="13">
        <f t="shared" si="81"/>
        <v>0</v>
      </c>
      <c r="Q1341" s="13" t="str">
        <f t="shared" si="82"/>
        <v/>
      </c>
      <c r="R1341" s="13" t="str">
        <f t="shared" si="83"/>
        <v>Non diskon</v>
      </c>
    </row>
    <row r="1342" spans="1:18" x14ac:dyDescent="0.25">
      <c r="A1342" s="13" t="s">
        <v>1354</v>
      </c>
      <c r="B1342" s="13" t="s">
        <v>2193</v>
      </c>
      <c r="C1342" s="13" t="s">
        <v>2202</v>
      </c>
      <c r="D1342" s="13" t="s">
        <v>2204</v>
      </c>
      <c r="E1342" s="13" t="s">
        <v>2212</v>
      </c>
      <c r="F1342" s="13" t="s">
        <v>2223</v>
      </c>
      <c r="G1342" s="13">
        <v>86.1</v>
      </c>
      <c r="H1342" s="44">
        <v>0</v>
      </c>
      <c r="I1342" s="13">
        <v>86.1</v>
      </c>
      <c r="J1342" s="24">
        <v>45653</v>
      </c>
      <c r="K1342" s="25">
        <v>4</v>
      </c>
      <c r="L1342" s="25">
        <v>2.4</v>
      </c>
      <c r="M1342" s="13" t="b">
        <v>0</v>
      </c>
      <c r="O1342" s="25">
        <f t="shared" si="80"/>
        <v>249</v>
      </c>
      <c r="P1342" s="13">
        <f t="shared" si="81"/>
        <v>0</v>
      </c>
      <c r="Q1342" s="13" t="str">
        <f t="shared" si="82"/>
        <v/>
      </c>
      <c r="R1342" s="13" t="str">
        <f t="shared" si="83"/>
        <v>Non diskon</v>
      </c>
    </row>
    <row r="1343" spans="1:18" x14ac:dyDescent="0.25">
      <c r="A1343" s="13" t="s">
        <v>1355</v>
      </c>
      <c r="B1343" s="13" t="s">
        <v>2194</v>
      </c>
      <c r="C1343" s="13" t="s">
        <v>2197</v>
      </c>
      <c r="D1343" s="13" t="s">
        <v>2205</v>
      </c>
      <c r="E1343" s="13" t="s">
        <v>2212</v>
      </c>
      <c r="F1343" s="13" t="s">
        <v>2220</v>
      </c>
      <c r="G1343" s="13">
        <v>100.14</v>
      </c>
      <c r="H1343" s="44">
        <v>0</v>
      </c>
      <c r="I1343" s="13">
        <v>100.14</v>
      </c>
      <c r="J1343" s="24">
        <v>45875</v>
      </c>
      <c r="K1343" s="25">
        <v>48</v>
      </c>
      <c r="L1343" s="25">
        <v>4.2</v>
      </c>
      <c r="M1343" s="13" t="b">
        <v>0</v>
      </c>
      <c r="O1343" s="25">
        <f t="shared" si="80"/>
        <v>27</v>
      </c>
      <c r="P1343" s="13">
        <f t="shared" si="81"/>
        <v>0</v>
      </c>
      <c r="Q1343" s="13" t="str">
        <f t="shared" si="82"/>
        <v/>
      </c>
      <c r="R1343" s="13" t="str">
        <f t="shared" si="83"/>
        <v>Non diskon</v>
      </c>
    </row>
    <row r="1344" spans="1:18" x14ac:dyDescent="0.25">
      <c r="A1344" s="13" t="s">
        <v>1356</v>
      </c>
      <c r="B1344" s="13" t="s">
        <v>2190</v>
      </c>
      <c r="C1344" s="13" t="s">
        <v>2198</v>
      </c>
      <c r="D1344" s="13" t="s">
        <v>2205</v>
      </c>
      <c r="F1344" s="13" t="s">
        <v>2214</v>
      </c>
      <c r="G1344" s="13">
        <v>203.4</v>
      </c>
      <c r="H1344" s="44">
        <v>0</v>
      </c>
      <c r="I1344" s="13">
        <v>203.4</v>
      </c>
      <c r="J1344" s="24">
        <v>45875</v>
      </c>
      <c r="K1344" s="25">
        <v>18</v>
      </c>
      <c r="L1344" s="25">
        <v>1.8</v>
      </c>
      <c r="M1344" s="13" t="b">
        <v>0</v>
      </c>
      <c r="O1344" s="25">
        <f t="shared" si="80"/>
        <v>27</v>
      </c>
      <c r="P1344" s="13">
        <f t="shared" si="81"/>
        <v>0</v>
      </c>
      <c r="Q1344" s="13" t="str">
        <f t="shared" si="82"/>
        <v/>
      </c>
      <c r="R1344" s="13" t="str">
        <f t="shared" si="83"/>
        <v>Non diskon</v>
      </c>
    </row>
    <row r="1345" spans="1:18" x14ac:dyDescent="0.25">
      <c r="A1345" s="13" t="s">
        <v>1357</v>
      </c>
      <c r="B1345" s="13" t="s">
        <v>2191</v>
      </c>
      <c r="C1345" s="13" t="s">
        <v>2202</v>
      </c>
      <c r="D1345" s="13" t="s">
        <v>2205</v>
      </c>
      <c r="E1345" s="13" t="s">
        <v>2212</v>
      </c>
      <c r="F1345" s="13" t="s">
        <v>2217</v>
      </c>
      <c r="G1345" s="13">
        <v>95.22</v>
      </c>
      <c r="H1345" s="44">
        <v>24.4</v>
      </c>
      <c r="I1345" s="13">
        <v>71.989999999999995</v>
      </c>
      <c r="J1345" s="24">
        <v>45875</v>
      </c>
      <c r="K1345" s="25">
        <v>26</v>
      </c>
      <c r="L1345" s="25">
        <v>2.2999999999999998</v>
      </c>
      <c r="M1345" s="13" t="b">
        <v>0</v>
      </c>
      <c r="O1345" s="25">
        <f t="shared" si="80"/>
        <v>27</v>
      </c>
      <c r="P1345" s="13">
        <f t="shared" si="81"/>
        <v>634.4</v>
      </c>
      <c r="Q1345" s="13" t="str">
        <f t="shared" si="82"/>
        <v/>
      </c>
      <c r="R1345" s="13" t="str">
        <f t="shared" si="83"/>
        <v>Diskon</v>
      </c>
    </row>
    <row r="1346" spans="1:18" x14ac:dyDescent="0.25">
      <c r="A1346" s="13" t="s">
        <v>1358</v>
      </c>
      <c r="B1346" s="13" t="s">
        <v>2195</v>
      </c>
      <c r="C1346" s="13" t="s">
        <v>2200</v>
      </c>
      <c r="D1346" s="13" t="s">
        <v>2206</v>
      </c>
      <c r="E1346" s="13" t="s">
        <v>2208</v>
      </c>
      <c r="F1346" s="13" t="s">
        <v>2214</v>
      </c>
      <c r="G1346" s="13">
        <v>173.88</v>
      </c>
      <c r="H1346" s="44">
        <v>31.6</v>
      </c>
      <c r="I1346" s="13">
        <v>118.93</v>
      </c>
      <c r="J1346" s="24">
        <v>45875</v>
      </c>
      <c r="K1346" s="25">
        <v>5</v>
      </c>
      <c r="L1346" s="25">
        <v>3.2</v>
      </c>
      <c r="M1346" s="13" t="b">
        <v>0</v>
      </c>
      <c r="O1346" s="25">
        <f t="shared" si="80"/>
        <v>27</v>
      </c>
      <c r="P1346" s="13">
        <f t="shared" si="81"/>
        <v>158</v>
      </c>
      <c r="Q1346" s="13" t="str">
        <f t="shared" si="82"/>
        <v/>
      </c>
      <c r="R1346" s="13" t="str">
        <f t="shared" si="83"/>
        <v>Diskon</v>
      </c>
    </row>
    <row r="1347" spans="1:18" x14ac:dyDescent="0.25">
      <c r="A1347" s="13" t="s">
        <v>1359</v>
      </c>
      <c r="B1347" s="13" t="s">
        <v>2195</v>
      </c>
      <c r="C1347" s="13" t="s">
        <v>2200</v>
      </c>
      <c r="D1347" s="13" t="s">
        <v>2205</v>
      </c>
      <c r="E1347" s="13" t="s">
        <v>2209</v>
      </c>
      <c r="F1347" s="13" t="s">
        <v>2221</v>
      </c>
      <c r="G1347" s="13">
        <v>160.05000000000001</v>
      </c>
      <c r="H1347" s="44">
        <v>0</v>
      </c>
      <c r="I1347" s="13">
        <v>160.05000000000001</v>
      </c>
      <c r="J1347" s="24">
        <v>45875</v>
      </c>
      <c r="K1347" s="25">
        <v>23</v>
      </c>
      <c r="L1347" s="25">
        <v>4</v>
      </c>
      <c r="M1347" s="13" t="b">
        <v>0</v>
      </c>
      <c r="O1347" s="25">
        <f t="shared" ref="O1347:O1410" si="84">DATE(2025,9,2)-J1347</f>
        <v>27</v>
      </c>
      <c r="P1347" s="13">
        <f t="shared" ref="P1347:P1410" si="85">H1347*K1347</f>
        <v>0</v>
      </c>
      <c r="Q1347" s="13" t="str">
        <f t="shared" ref="Q1347:Q1410" si="86">IF(M1347=FALSE,"",1)</f>
        <v/>
      </c>
      <c r="R1347" s="13" t="str">
        <f t="shared" ref="R1347:R1410" si="87">IF(H1347=0,"Non diskon","Diskon")</f>
        <v>Non diskon</v>
      </c>
    </row>
    <row r="1348" spans="1:18" x14ac:dyDescent="0.25">
      <c r="A1348" s="13" t="s">
        <v>1360</v>
      </c>
      <c r="B1348" s="13" t="s">
        <v>2191</v>
      </c>
      <c r="C1348" s="13" t="s">
        <v>2203</v>
      </c>
      <c r="D1348" s="13" t="s">
        <v>2205</v>
      </c>
      <c r="E1348" s="13" t="s">
        <v>2212</v>
      </c>
      <c r="F1348" s="13" t="s">
        <v>2219</v>
      </c>
      <c r="G1348" s="13">
        <v>59.53</v>
      </c>
      <c r="H1348" s="44">
        <v>0</v>
      </c>
      <c r="I1348" s="13">
        <v>59.53</v>
      </c>
      <c r="J1348" s="24">
        <v>45875</v>
      </c>
      <c r="K1348" s="25">
        <v>28</v>
      </c>
      <c r="L1348" s="25">
        <v>1.5</v>
      </c>
      <c r="M1348" s="13" t="b">
        <v>0</v>
      </c>
      <c r="O1348" s="25">
        <f t="shared" si="84"/>
        <v>27</v>
      </c>
      <c r="P1348" s="13">
        <f t="shared" si="85"/>
        <v>0</v>
      </c>
      <c r="Q1348" s="13" t="str">
        <f t="shared" si="86"/>
        <v/>
      </c>
      <c r="R1348" s="13" t="str">
        <f t="shared" si="87"/>
        <v>Non diskon</v>
      </c>
    </row>
    <row r="1349" spans="1:18" x14ac:dyDescent="0.25">
      <c r="A1349" s="13" t="s">
        <v>1361</v>
      </c>
      <c r="B1349" s="13" t="s">
        <v>2195</v>
      </c>
      <c r="C1349" s="13" t="s">
        <v>2199</v>
      </c>
      <c r="D1349" s="13" t="s">
        <v>2206</v>
      </c>
      <c r="E1349" s="13" t="s">
        <v>2212</v>
      </c>
      <c r="F1349" s="13" t="s">
        <v>2219</v>
      </c>
      <c r="G1349" s="13">
        <v>155.32</v>
      </c>
      <c r="H1349" s="44">
        <v>0</v>
      </c>
      <c r="I1349" s="13">
        <v>155.32</v>
      </c>
      <c r="J1349" s="24">
        <v>45875</v>
      </c>
      <c r="K1349" s="25">
        <v>19</v>
      </c>
      <c r="L1349" s="25">
        <v>4.0999999999999996</v>
      </c>
      <c r="M1349" s="13" t="b">
        <v>0</v>
      </c>
      <c r="O1349" s="25">
        <f t="shared" si="84"/>
        <v>27</v>
      </c>
      <c r="P1349" s="13">
        <f t="shared" si="85"/>
        <v>0</v>
      </c>
      <c r="Q1349" s="13" t="str">
        <f t="shared" si="86"/>
        <v/>
      </c>
      <c r="R1349" s="13" t="str">
        <f t="shared" si="87"/>
        <v>Non diskon</v>
      </c>
    </row>
    <row r="1350" spans="1:18" x14ac:dyDescent="0.25">
      <c r="A1350" s="13" t="s">
        <v>1362</v>
      </c>
      <c r="B1350" s="13" t="s">
        <v>2194</v>
      </c>
      <c r="C1350" s="13" t="s">
        <v>2203</v>
      </c>
      <c r="D1350" s="13" t="s">
        <v>2204</v>
      </c>
      <c r="E1350" s="13" t="s">
        <v>2208</v>
      </c>
      <c r="F1350" s="13" t="s">
        <v>2216</v>
      </c>
      <c r="G1350" s="13">
        <v>29.65</v>
      </c>
      <c r="H1350" s="44">
        <v>41</v>
      </c>
      <c r="I1350" s="13">
        <v>17.489999999999998</v>
      </c>
      <c r="J1350" s="24">
        <v>45530</v>
      </c>
      <c r="K1350" s="25">
        <v>21</v>
      </c>
      <c r="L1350" s="25">
        <v>4.5</v>
      </c>
      <c r="M1350" s="13" t="b">
        <v>1</v>
      </c>
      <c r="N1350" s="13" t="s">
        <v>2228</v>
      </c>
      <c r="O1350" s="25">
        <f t="shared" si="84"/>
        <v>372</v>
      </c>
      <c r="P1350" s="13">
        <f t="shared" si="85"/>
        <v>861</v>
      </c>
      <c r="Q1350" s="13">
        <f t="shared" si="86"/>
        <v>1</v>
      </c>
      <c r="R1350" s="13" t="str">
        <f t="shared" si="87"/>
        <v>Diskon</v>
      </c>
    </row>
    <row r="1351" spans="1:18" x14ac:dyDescent="0.25">
      <c r="A1351" s="13" t="s">
        <v>1363</v>
      </c>
      <c r="B1351" s="13" t="s">
        <v>2190</v>
      </c>
      <c r="C1351" s="13" t="s">
        <v>2199</v>
      </c>
      <c r="D1351" s="13" t="s">
        <v>2205</v>
      </c>
      <c r="E1351" s="13" t="s">
        <v>2211</v>
      </c>
      <c r="F1351" s="13" t="s">
        <v>2224</v>
      </c>
      <c r="G1351" s="13">
        <v>237.53</v>
      </c>
      <c r="H1351" s="44">
        <v>23.2</v>
      </c>
      <c r="I1351" s="13">
        <v>182.42</v>
      </c>
      <c r="J1351" s="24">
        <v>45875</v>
      </c>
      <c r="K1351" s="25">
        <v>23</v>
      </c>
      <c r="L1351" s="25">
        <v>2.2000000000000002</v>
      </c>
      <c r="M1351" s="13" t="b">
        <v>0</v>
      </c>
      <c r="O1351" s="25">
        <f t="shared" si="84"/>
        <v>27</v>
      </c>
      <c r="P1351" s="13">
        <f t="shared" si="85"/>
        <v>533.6</v>
      </c>
      <c r="Q1351" s="13" t="str">
        <f t="shared" si="86"/>
        <v/>
      </c>
      <c r="R1351" s="13" t="str">
        <f t="shared" si="87"/>
        <v>Diskon</v>
      </c>
    </row>
    <row r="1352" spans="1:18" x14ac:dyDescent="0.25">
      <c r="A1352" s="13" t="s">
        <v>1364</v>
      </c>
      <c r="B1352" s="13" t="s">
        <v>2190</v>
      </c>
      <c r="C1352" s="13" t="s">
        <v>2201</v>
      </c>
      <c r="D1352" s="13" t="s">
        <v>2207</v>
      </c>
      <c r="E1352" s="13" t="s">
        <v>2213</v>
      </c>
      <c r="F1352" s="13" t="s">
        <v>2215</v>
      </c>
      <c r="G1352" s="13">
        <v>81.67</v>
      </c>
      <c r="H1352" s="44">
        <v>0</v>
      </c>
      <c r="I1352" s="13">
        <v>81.67</v>
      </c>
      <c r="J1352" s="24">
        <v>45875</v>
      </c>
      <c r="K1352" s="25">
        <v>34</v>
      </c>
      <c r="L1352" s="25">
        <v>3.1</v>
      </c>
      <c r="M1352" s="13" t="b">
        <v>1</v>
      </c>
      <c r="N1352" s="13" t="s">
        <v>2227</v>
      </c>
      <c r="O1352" s="25">
        <f t="shared" si="84"/>
        <v>27</v>
      </c>
      <c r="P1352" s="13">
        <f t="shared" si="85"/>
        <v>0</v>
      </c>
      <c r="Q1352" s="13">
        <f t="shared" si="86"/>
        <v>1</v>
      </c>
      <c r="R1352" s="13" t="str">
        <f t="shared" si="87"/>
        <v>Non diskon</v>
      </c>
    </row>
    <row r="1353" spans="1:18" x14ac:dyDescent="0.25">
      <c r="A1353" s="13" t="s">
        <v>1365</v>
      </c>
      <c r="B1353" s="13" t="s">
        <v>2194</v>
      </c>
      <c r="C1353" s="13" t="s">
        <v>2198</v>
      </c>
      <c r="D1353" s="13" t="s">
        <v>2204</v>
      </c>
      <c r="E1353" s="13" t="s">
        <v>2213</v>
      </c>
      <c r="F1353" s="13" t="s">
        <v>2221</v>
      </c>
      <c r="G1353" s="13">
        <v>37.07</v>
      </c>
      <c r="H1353" s="44">
        <v>0</v>
      </c>
      <c r="I1353" s="13">
        <v>37.07</v>
      </c>
      <c r="J1353" s="24">
        <v>45778</v>
      </c>
      <c r="K1353" s="25">
        <v>13</v>
      </c>
      <c r="L1353" s="25">
        <v>3.0384615384615379</v>
      </c>
      <c r="M1353" s="13" t="b">
        <v>0</v>
      </c>
      <c r="O1353" s="25">
        <f t="shared" si="84"/>
        <v>124</v>
      </c>
      <c r="P1353" s="13">
        <f t="shared" si="85"/>
        <v>0</v>
      </c>
      <c r="Q1353" s="13" t="str">
        <f t="shared" si="86"/>
        <v/>
      </c>
      <c r="R1353" s="13" t="str">
        <f t="shared" si="87"/>
        <v>Non diskon</v>
      </c>
    </row>
    <row r="1354" spans="1:18" x14ac:dyDescent="0.25">
      <c r="A1354" s="13" t="s">
        <v>1366</v>
      </c>
      <c r="B1354" s="13" t="s">
        <v>2191</v>
      </c>
      <c r="C1354" s="13" t="s">
        <v>2197</v>
      </c>
      <c r="D1354" s="13" t="s">
        <v>2206</v>
      </c>
      <c r="E1354" s="13" t="s">
        <v>2211</v>
      </c>
      <c r="F1354" s="13" t="s">
        <v>2223</v>
      </c>
      <c r="G1354" s="13">
        <v>80.97</v>
      </c>
      <c r="H1354" s="44">
        <v>0</v>
      </c>
      <c r="I1354" s="13">
        <v>80.97</v>
      </c>
      <c r="J1354" s="24">
        <v>45875</v>
      </c>
      <c r="K1354" s="25">
        <v>13</v>
      </c>
      <c r="L1354" s="25">
        <v>3.34</v>
      </c>
      <c r="M1354" s="13" t="b">
        <v>0</v>
      </c>
      <c r="O1354" s="25">
        <f t="shared" si="84"/>
        <v>27</v>
      </c>
      <c r="P1354" s="13">
        <f t="shared" si="85"/>
        <v>0</v>
      </c>
      <c r="Q1354" s="13" t="str">
        <f t="shared" si="86"/>
        <v/>
      </c>
      <c r="R1354" s="13" t="str">
        <f t="shared" si="87"/>
        <v>Non diskon</v>
      </c>
    </row>
    <row r="1355" spans="1:18" x14ac:dyDescent="0.25">
      <c r="A1355" s="13" t="s">
        <v>1367</v>
      </c>
      <c r="B1355" s="13" t="s">
        <v>2192</v>
      </c>
      <c r="C1355" s="13" t="s">
        <v>2196</v>
      </c>
      <c r="D1355" s="13" t="s">
        <v>2204</v>
      </c>
      <c r="F1355" s="13" t="s">
        <v>2218</v>
      </c>
      <c r="G1355" s="13">
        <v>77.680000000000007</v>
      </c>
      <c r="H1355" s="44">
        <v>29.9</v>
      </c>
      <c r="I1355" s="13">
        <v>54.45</v>
      </c>
      <c r="J1355" s="24">
        <v>45862</v>
      </c>
      <c r="K1355" s="25">
        <v>33</v>
      </c>
      <c r="L1355" s="25">
        <v>4</v>
      </c>
      <c r="M1355" s="13" t="b">
        <v>1</v>
      </c>
      <c r="N1355" s="13" t="s">
        <v>2227</v>
      </c>
      <c r="O1355" s="25">
        <f t="shared" si="84"/>
        <v>40</v>
      </c>
      <c r="P1355" s="13">
        <f t="shared" si="85"/>
        <v>986.69999999999993</v>
      </c>
      <c r="Q1355" s="13">
        <f t="shared" si="86"/>
        <v>1</v>
      </c>
      <c r="R1355" s="13" t="str">
        <f t="shared" si="87"/>
        <v>Diskon</v>
      </c>
    </row>
    <row r="1356" spans="1:18" x14ac:dyDescent="0.25">
      <c r="A1356" s="13" t="s">
        <v>1368</v>
      </c>
      <c r="B1356" s="13" t="s">
        <v>2191</v>
      </c>
      <c r="C1356" s="13" t="s">
        <v>2198</v>
      </c>
      <c r="D1356" s="13" t="s">
        <v>2207</v>
      </c>
      <c r="E1356" s="13" t="s">
        <v>2211</v>
      </c>
      <c r="F1356" s="13" t="s">
        <v>2220</v>
      </c>
      <c r="G1356" s="13">
        <v>117.58</v>
      </c>
      <c r="H1356" s="44">
        <v>1</v>
      </c>
      <c r="I1356" s="13">
        <v>116.4</v>
      </c>
      <c r="J1356" s="24">
        <v>45875</v>
      </c>
      <c r="K1356" s="25">
        <v>27</v>
      </c>
      <c r="L1356" s="25">
        <v>3.3</v>
      </c>
      <c r="M1356" s="13" t="b">
        <v>0</v>
      </c>
      <c r="O1356" s="25">
        <f t="shared" si="84"/>
        <v>27</v>
      </c>
      <c r="P1356" s="13">
        <f t="shared" si="85"/>
        <v>27</v>
      </c>
      <c r="Q1356" s="13" t="str">
        <f t="shared" si="86"/>
        <v/>
      </c>
      <c r="R1356" s="13" t="str">
        <f t="shared" si="87"/>
        <v>Diskon</v>
      </c>
    </row>
    <row r="1357" spans="1:18" x14ac:dyDescent="0.25">
      <c r="A1357" s="13" t="s">
        <v>1369</v>
      </c>
      <c r="B1357" s="13" t="s">
        <v>2190</v>
      </c>
      <c r="C1357" s="13" t="s">
        <v>2199</v>
      </c>
      <c r="D1357" s="13" t="s">
        <v>2206</v>
      </c>
      <c r="E1357" s="13" t="s">
        <v>2208</v>
      </c>
      <c r="F1357" s="13" t="s">
        <v>2219</v>
      </c>
      <c r="G1357" s="13">
        <v>130.09</v>
      </c>
      <c r="H1357" s="44">
        <v>28.3</v>
      </c>
      <c r="I1357" s="13">
        <v>93.27</v>
      </c>
      <c r="J1357" s="24">
        <v>45875</v>
      </c>
      <c r="K1357" s="25">
        <v>41</v>
      </c>
      <c r="L1357" s="25">
        <v>2.2999999999999998</v>
      </c>
      <c r="M1357" s="13" t="b">
        <v>0</v>
      </c>
      <c r="O1357" s="25">
        <f t="shared" si="84"/>
        <v>27</v>
      </c>
      <c r="P1357" s="13">
        <f t="shared" si="85"/>
        <v>1160.3</v>
      </c>
      <c r="Q1357" s="13" t="str">
        <f t="shared" si="86"/>
        <v/>
      </c>
      <c r="R1357" s="13" t="str">
        <f t="shared" si="87"/>
        <v>Diskon</v>
      </c>
    </row>
    <row r="1358" spans="1:18" x14ac:dyDescent="0.25">
      <c r="A1358" s="13" t="s">
        <v>1370</v>
      </c>
      <c r="B1358" s="13" t="s">
        <v>2191</v>
      </c>
      <c r="C1358" s="13" t="s">
        <v>2197</v>
      </c>
      <c r="D1358" s="13" t="s">
        <v>2206</v>
      </c>
      <c r="E1358" s="13" t="s">
        <v>2212</v>
      </c>
      <c r="F1358" s="13" t="s">
        <v>2223</v>
      </c>
      <c r="G1358" s="13">
        <v>63.69</v>
      </c>
      <c r="H1358" s="44">
        <v>0</v>
      </c>
      <c r="I1358" s="13">
        <v>63.69</v>
      </c>
      <c r="J1358" s="24">
        <v>45875</v>
      </c>
      <c r="K1358" s="25">
        <v>11</v>
      </c>
      <c r="L1358" s="25">
        <v>3</v>
      </c>
      <c r="M1358" s="13" t="b">
        <v>0</v>
      </c>
      <c r="O1358" s="25">
        <f t="shared" si="84"/>
        <v>27</v>
      </c>
      <c r="P1358" s="13">
        <f t="shared" si="85"/>
        <v>0</v>
      </c>
      <c r="Q1358" s="13" t="str">
        <f t="shared" si="86"/>
        <v/>
      </c>
      <c r="R1358" s="13" t="str">
        <f t="shared" si="87"/>
        <v>Non diskon</v>
      </c>
    </row>
    <row r="1359" spans="1:18" x14ac:dyDescent="0.25">
      <c r="A1359" s="13" t="s">
        <v>1371</v>
      </c>
      <c r="B1359" s="13" t="s">
        <v>2190</v>
      </c>
      <c r="C1359" s="13" t="s">
        <v>2198</v>
      </c>
      <c r="D1359" s="13" t="s">
        <v>2204</v>
      </c>
      <c r="E1359" s="13" t="s">
        <v>2208</v>
      </c>
      <c r="F1359" s="13" t="s">
        <v>2214</v>
      </c>
      <c r="G1359" s="13">
        <v>135.02000000000001</v>
      </c>
      <c r="H1359" s="44">
        <v>0</v>
      </c>
      <c r="I1359" s="13">
        <v>135.02000000000001</v>
      </c>
      <c r="J1359" s="24">
        <v>45868</v>
      </c>
      <c r="K1359" s="25">
        <v>25</v>
      </c>
      <c r="L1359" s="25">
        <v>3.4</v>
      </c>
      <c r="M1359" s="13" t="b">
        <v>1</v>
      </c>
      <c r="N1359" s="13" t="s">
        <v>2229</v>
      </c>
      <c r="O1359" s="25">
        <f t="shared" si="84"/>
        <v>34</v>
      </c>
      <c r="P1359" s="13">
        <f t="shared" si="85"/>
        <v>0</v>
      </c>
      <c r="Q1359" s="13">
        <f t="shared" si="86"/>
        <v>1</v>
      </c>
      <c r="R1359" s="13" t="str">
        <f t="shared" si="87"/>
        <v>Non diskon</v>
      </c>
    </row>
    <row r="1360" spans="1:18" x14ac:dyDescent="0.25">
      <c r="A1360" s="13" t="s">
        <v>1372</v>
      </c>
      <c r="B1360" s="13" t="s">
        <v>2192</v>
      </c>
      <c r="C1360" s="13" t="s">
        <v>2200</v>
      </c>
      <c r="D1360" s="13" t="s">
        <v>2205</v>
      </c>
      <c r="F1360" s="13" t="s">
        <v>2221</v>
      </c>
      <c r="G1360" s="13">
        <v>45.37</v>
      </c>
      <c r="H1360" s="44">
        <v>0</v>
      </c>
      <c r="I1360" s="13">
        <v>45.37</v>
      </c>
      <c r="J1360" s="24">
        <v>45875</v>
      </c>
      <c r="K1360" s="25">
        <v>19</v>
      </c>
      <c r="L1360" s="25">
        <v>1.1000000000000001</v>
      </c>
      <c r="M1360" s="13" t="b">
        <v>0</v>
      </c>
      <c r="O1360" s="25">
        <f t="shared" si="84"/>
        <v>27</v>
      </c>
      <c r="P1360" s="13">
        <f t="shared" si="85"/>
        <v>0</v>
      </c>
      <c r="Q1360" s="13" t="str">
        <f t="shared" si="86"/>
        <v/>
      </c>
      <c r="R1360" s="13" t="str">
        <f t="shared" si="87"/>
        <v>Non diskon</v>
      </c>
    </row>
    <row r="1361" spans="1:18" x14ac:dyDescent="0.25">
      <c r="A1361" s="13" t="s">
        <v>1373</v>
      </c>
      <c r="B1361" s="13" t="s">
        <v>2194</v>
      </c>
      <c r="C1361" s="13" t="s">
        <v>2196</v>
      </c>
      <c r="D1361" s="13" t="s">
        <v>2205</v>
      </c>
      <c r="E1361" s="13" t="s">
        <v>2208</v>
      </c>
      <c r="F1361" s="13" t="s">
        <v>2224</v>
      </c>
      <c r="G1361" s="13">
        <v>51.17</v>
      </c>
      <c r="H1361" s="44">
        <v>8</v>
      </c>
      <c r="I1361" s="13">
        <v>47.08</v>
      </c>
      <c r="J1361" s="24">
        <v>45875</v>
      </c>
      <c r="K1361" s="25">
        <v>7</v>
      </c>
      <c r="L1361" s="25">
        <v>2.9210526315789478</v>
      </c>
      <c r="M1361" s="13" t="b">
        <v>0</v>
      </c>
      <c r="O1361" s="25">
        <f t="shared" si="84"/>
        <v>27</v>
      </c>
      <c r="P1361" s="13">
        <f t="shared" si="85"/>
        <v>56</v>
      </c>
      <c r="Q1361" s="13" t="str">
        <f t="shared" si="86"/>
        <v/>
      </c>
      <c r="R1361" s="13" t="str">
        <f t="shared" si="87"/>
        <v>Diskon</v>
      </c>
    </row>
    <row r="1362" spans="1:18" x14ac:dyDescent="0.25">
      <c r="A1362" s="13" t="s">
        <v>1374</v>
      </c>
      <c r="B1362" s="13" t="s">
        <v>2195</v>
      </c>
      <c r="C1362" s="13" t="s">
        <v>2203</v>
      </c>
      <c r="D1362" s="13" t="s">
        <v>2207</v>
      </c>
      <c r="E1362" s="13" t="s">
        <v>2211</v>
      </c>
      <c r="F1362" s="13" t="s">
        <v>2224</v>
      </c>
      <c r="G1362" s="13">
        <v>49.34</v>
      </c>
      <c r="H1362" s="44">
        <v>5.5</v>
      </c>
      <c r="I1362" s="13">
        <v>46.63</v>
      </c>
      <c r="J1362" s="24">
        <v>45875</v>
      </c>
      <c r="K1362" s="25">
        <v>10</v>
      </c>
      <c r="L1362" s="25">
        <v>4.3</v>
      </c>
      <c r="M1362" s="13" t="b">
        <v>0</v>
      </c>
      <c r="O1362" s="25">
        <f t="shared" si="84"/>
        <v>27</v>
      </c>
      <c r="P1362" s="13">
        <f t="shared" si="85"/>
        <v>55</v>
      </c>
      <c r="Q1362" s="13" t="str">
        <f t="shared" si="86"/>
        <v/>
      </c>
      <c r="R1362" s="13" t="str">
        <f t="shared" si="87"/>
        <v>Diskon</v>
      </c>
    </row>
    <row r="1363" spans="1:18" x14ac:dyDescent="0.25">
      <c r="A1363" s="13" t="s">
        <v>1375</v>
      </c>
      <c r="B1363" s="13" t="s">
        <v>2193</v>
      </c>
      <c r="C1363" s="13" t="s">
        <v>2197</v>
      </c>
      <c r="D1363" s="13" t="s">
        <v>2204</v>
      </c>
      <c r="E1363" s="13" t="s">
        <v>2210</v>
      </c>
      <c r="F1363" s="13" t="s">
        <v>2220</v>
      </c>
      <c r="G1363" s="13">
        <v>119.78</v>
      </c>
      <c r="H1363" s="44">
        <v>0</v>
      </c>
      <c r="I1363" s="13">
        <v>119.78</v>
      </c>
      <c r="J1363" s="24">
        <v>45818</v>
      </c>
      <c r="K1363" s="25">
        <v>40</v>
      </c>
      <c r="L1363" s="25">
        <v>2.8205128205128198</v>
      </c>
      <c r="M1363" s="13" t="b">
        <v>0</v>
      </c>
      <c r="O1363" s="25">
        <f t="shared" si="84"/>
        <v>84</v>
      </c>
      <c r="P1363" s="13">
        <f t="shared" si="85"/>
        <v>0</v>
      </c>
      <c r="Q1363" s="13" t="str">
        <f t="shared" si="86"/>
        <v/>
      </c>
      <c r="R1363" s="13" t="str">
        <f t="shared" si="87"/>
        <v>Non diskon</v>
      </c>
    </row>
    <row r="1364" spans="1:18" x14ac:dyDescent="0.25">
      <c r="A1364" s="13" t="s">
        <v>1376</v>
      </c>
      <c r="B1364" s="13" t="s">
        <v>2191</v>
      </c>
      <c r="C1364" s="13" t="s">
        <v>2198</v>
      </c>
      <c r="D1364" s="13" t="s">
        <v>2204</v>
      </c>
      <c r="E1364" s="13" t="s">
        <v>2210</v>
      </c>
      <c r="F1364" s="13" t="s">
        <v>2218</v>
      </c>
      <c r="G1364" s="13">
        <v>77.3</v>
      </c>
      <c r="H1364" s="44">
        <v>35.1</v>
      </c>
      <c r="I1364" s="13">
        <v>50.17</v>
      </c>
      <c r="J1364" s="24">
        <v>45864</v>
      </c>
      <c r="K1364" s="25">
        <v>16</v>
      </c>
      <c r="L1364" s="25">
        <v>2.953125</v>
      </c>
      <c r="M1364" s="13" t="b">
        <v>0</v>
      </c>
      <c r="O1364" s="25">
        <f t="shared" si="84"/>
        <v>38</v>
      </c>
      <c r="P1364" s="13">
        <f t="shared" si="85"/>
        <v>561.6</v>
      </c>
      <c r="Q1364" s="13" t="str">
        <f t="shared" si="86"/>
        <v/>
      </c>
      <c r="R1364" s="13" t="str">
        <f t="shared" si="87"/>
        <v>Diskon</v>
      </c>
    </row>
    <row r="1365" spans="1:18" x14ac:dyDescent="0.25">
      <c r="A1365" s="13" t="s">
        <v>1377</v>
      </c>
      <c r="B1365" s="13" t="s">
        <v>2191</v>
      </c>
      <c r="C1365" s="13" t="s">
        <v>2202</v>
      </c>
      <c r="D1365" s="13" t="s">
        <v>2206</v>
      </c>
      <c r="E1365" s="13" t="s">
        <v>2212</v>
      </c>
      <c r="F1365" s="13" t="s">
        <v>2214</v>
      </c>
      <c r="G1365" s="13">
        <v>72.69</v>
      </c>
      <c r="H1365" s="44">
        <v>0</v>
      </c>
      <c r="I1365" s="13">
        <v>72.69</v>
      </c>
      <c r="J1365" s="24">
        <v>45875</v>
      </c>
      <c r="K1365" s="25">
        <v>6</v>
      </c>
      <c r="L1365" s="25">
        <v>2.9074999999999998</v>
      </c>
      <c r="M1365" s="13" t="b">
        <v>0</v>
      </c>
      <c r="O1365" s="25">
        <f t="shared" si="84"/>
        <v>27</v>
      </c>
      <c r="P1365" s="13">
        <f t="shared" si="85"/>
        <v>0</v>
      </c>
      <c r="Q1365" s="13" t="str">
        <f t="shared" si="86"/>
        <v/>
      </c>
      <c r="R1365" s="13" t="str">
        <f t="shared" si="87"/>
        <v>Non diskon</v>
      </c>
    </row>
    <row r="1366" spans="1:18" x14ac:dyDescent="0.25">
      <c r="A1366" s="13" t="s">
        <v>1378</v>
      </c>
      <c r="B1366" s="13" t="s">
        <v>2193</v>
      </c>
      <c r="C1366" s="13" t="s">
        <v>2202</v>
      </c>
      <c r="D1366" s="13" t="s">
        <v>2206</v>
      </c>
      <c r="E1366" s="13" t="s">
        <v>2208</v>
      </c>
      <c r="F1366" s="13" t="s">
        <v>2224</v>
      </c>
      <c r="G1366" s="13">
        <v>117.57</v>
      </c>
      <c r="H1366" s="44">
        <v>0</v>
      </c>
      <c r="I1366" s="13">
        <v>117.57</v>
      </c>
      <c r="J1366" s="24">
        <v>45875</v>
      </c>
      <c r="K1366" s="25">
        <v>30</v>
      </c>
      <c r="L1366" s="25">
        <v>4.8</v>
      </c>
      <c r="M1366" s="13" t="b">
        <v>0</v>
      </c>
      <c r="O1366" s="25">
        <f t="shared" si="84"/>
        <v>27</v>
      </c>
      <c r="P1366" s="13">
        <f t="shared" si="85"/>
        <v>0</v>
      </c>
      <c r="Q1366" s="13" t="str">
        <f t="shared" si="86"/>
        <v/>
      </c>
      <c r="R1366" s="13" t="str">
        <f t="shared" si="87"/>
        <v>Non diskon</v>
      </c>
    </row>
    <row r="1367" spans="1:18" x14ac:dyDescent="0.25">
      <c r="A1367" s="13" t="s">
        <v>1379</v>
      </c>
      <c r="B1367" s="13" t="s">
        <v>2190</v>
      </c>
      <c r="C1367" s="13" t="s">
        <v>2203</v>
      </c>
      <c r="D1367" s="13" t="s">
        <v>2204</v>
      </c>
      <c r="E1367" s="13" t="s">
        <v>2210</v>
      </c>
      <c r="F1367" s="13" t="s">
        <v>2220</v>
      </c>
      <c r="G1367" s="13">
        <v>161.25</v>
      </c>
      <c r="H1367" s="44">
        <v>48.4</v>
      </c>
      <c r="I1367" s="13">
        <v>83.2</v>
      </c>
      <c r="J1367" s="24">
        <v>45607</v>
      </c>
      <c r="K1367" s="25">
        <v>32</v>
      </c>
      <c r="L1367" s="25">
        <v>2.9718749999999998</v>
      </c>
      <c r="M1367" s="13" t="b">
        <v>0</v>
      </c>
      <c r="O1367" s="25">
        <f t="shared" si="84"/>
        <v>295</v>
      </c>
      <c r="P1367" s="13">
        <f t="shared" si="85"/>
        <v>1548.8</v>
      </c>
      <c r="Q1367" s="13" t="str">
        <f t="shared" si="86"/>
        <v/>
      </c>
      <c r="R1367" s="13" t="str">
        <f t="shared" si="87"/>
        <v>Diskon</v>
      </c>
    </row>
    <row r="1368" spans="1:18" x14ac:dyDescent="0.25">
      <c r="A1368" s="13" t="s">
        <v>1380</v>
      </c>
      <c r="B1368" s="13" t="s">
        <v>2193</v>
      </c>
      <c r="C1368" s="13" t="s">
        <v>2201</v>
      </c>
      <c r="D1368" s="13" t="s">
        <v>2206</v>
      </c>
      <c r="E1368" s="13" t="s">
        <v>2210</v>
      </c>
      <c r="F1368" s="13" t="s">
        <v>2223</v>
      </c>
      <c r="G1368" s="13">
        <v>158.01</v>
      </c>
      <c r="H1368" s="44">
        <v>0</v>
      </c>
      <c r="I1368" s="13">
        <v>158.01</v>
      </c>
      <c r="J1368" s="24">
        <v>45875</v>
      </c>
      <c r="K1368" s="25">
        <v>19</v>
      </c>
      <c r="L1368" s="25">
        <v>2.6</v>
      </c>
      <c r="M1368" s="13" t="b">
        <v>0</v>
      </c>
      <c r="O1368" s="25">
        <f t="shared" si="84"/>
        <v>27</v>
      </c>
      <c r="P1368" s="13">
        <f t="shared" si="85"/>
        <v>0</v>
      </c>
      <c r="Q1368" s="13" t="str">
        <f t="shared" si="86"/>
        <v/>
      </c>
      <c r="R1368" s="13" t="str">
        <f t="shared" si="87"/>
        <v>Non diskon</v>
      </c>
    </row>
    <row r="1369" spans="1:18" x14ac:dyDescent="0.25">
      <c r="A1369" s="13" t="s">
        <v>1381</v>
      </c>
      <c r="B1369" s="13" t="s">
        <v>2191</v>
      </c>
      <c r="C1369" s="13" t="s">
        <v>2201</v>
      </c>
      <c r="D1369" s="13" t="s">
        <v>2207</v>
      </c>
      <c r="E1369" s="13" t="s">
        <v>2209</v>
      </c>
      <c r="F1369" s="13" t="s">
        <v>2219</v>
      </c>
      <c r="G1369" s="13">
        <v>60.92</v>
      </c>
      <c r="H1369" s="44">
        <v>0</v>
      </c>
      <c r="I1369" s="13">
        <v>60.92</v>
      </c>
      <c r="J1369" s="24">
        <v>45875</v>
      </c>
      <c r="K1369" s="25">
        <v>25</v>
      </c>
      <c r="L1369" s="25">
        <v>2.9846153846153847</v>
      </c>
      <c r="M1369" s="13" t="b">
        <v>1</v>
      </c>
      <c r="N1369" s="13" t="s">
        <v>2228</v>
      </c>
      <c r="O1369" s="25">
        <f t="shared" si="84"/>
        <v>27</v>
      </c>
      <c r="P1369" s="13">
        <f t="shared" si="85"/>
        <v>0</v>
      </c>
      <c r="Q1369" s="13">
        <f t="shared" si="86"/>
        <v>1</v>
      </c>
      <c r="R1369" s="13" t="str">
        <f t="shared" si="87"/>
        <v>Non diskon</v>
      </c>
    </row>
    <row r="1370" spans="1:18" x14ac:dyDescent="0.25">
      <c r="A1370" s="13" t="s">
        <v>1382</v>
      </c>
      <c r="B1370" s="13" t="s">
        <v>2193</v>
      </c>
      <c r="C1370" s="13" t="s">
        <v>2200</v>
      </c>
      <c r="D1370" s="13" t="s">
        <v>2207</v>
      </c>
      <c r="E1370" s="13" t="s">
        <v>2208</v>
      </c>
      <c r="F1370" s="13" t="s">
        <v>2218</v>
      </c>
      <c r="G1370" s="13">
        <v>122.03</v>
      </c>
      <c r="H1370" s="44">
        <v>25.2</v>
      </c>
      <c r="I1370" s="13">
        <v>91.28</v>
      </c>
      <c r="J1370" s="24">
        <v>45875</v>
      </c>
      <c r="K1370" s="25">
        <v>21</v>
      </c>
      <c r="L1370" s="25">
        <v>4.7</v>
      </c>
      <c r="M1370" s="13" t="b">
        <v>0</v>
      </c>
      <c r="O1370" s="25">
        <f t="shared" si="84"/>
        <v>27</v>
      </c>
      <c r="P1370" s="13">
        <f t="shared" si="85"/>
        <v>529.19999999999993</v>
      </c>
      <c r="Q1370" s="13" t="str">
        <f t="shared" si="86"/>
        <v/>
      </c>
      <c r="R1370" s="13" t="str">
        <f t="shared" si="87"/>
        <v>Diskon</v>
      </c>
    </row>
    <row r="1371" spans="1:18" x14ac:dyDescent="0.25">
      <c r="A1371" s="13" t="s">
        <v>1383</v>
      </c>
      <c r="B1371" s="13" t="s">
        <v>2193</v>
      </c>
      <c r="C1371" s="13" t="s">
        <v>2199</v>
      </c>
      <c r="D1371" s="13" t="s">
        <v>2204</v>
      </c>
      <c r="E1371" s="13" t="s">
        <v>2210</v>
      </c>
      <c r="F1371" s="13" t="s">
        <v>2224</v>
      </c>
      <c r="G1371" s="13">
        <v>109.15</v>
      </c>
      <c r="H1371" s="44">
        <v>0</v>
      </c>
      <c r="I1371" s="13">
        <v>109.15</v>
      </c>
      <c r="J1371" s="24">
        <v>45607</v>
      </c>
      <c r="K1371" s="25">
        <v>11</v>
      </c>
      <c r="L1371" s="25">
        <v>2.9804347826086954</v>
      </c>
      <c r="M1371" s="13" t="b">
        <v>0</v>
      </c>
      <c r="O1371" s="25">
        <f t="shared" si="84"/>
        <v>295</v>
      </c>
      <c r="P1371" s="13">
        <f t="shared" si="85"/>
        <v>0</v>
      </c>
      <c r="Q1371" s="13" t="str">
        <f t="shared" si="86"/>
        <v/>
      </c>
      <c r="R1371" s="13" t="str">
        <f t="shared" si="87"/>
        <v>Non diskon</v>
      </c>
    </row>
    <row r="1372" spans="1:18" x14ac:dyDescent="0.25">
      <c r="A1372" s="13" t="s">
        <v>1384</v>
      </c>
      <c r="B1372" s="13" t="s">
        <v>2194</v>
      </c>
      <c r="C1372" s="13" t="s">
        <v>2201</v>
      </c>
      <c r="D1372" s="13" t="s">
        <v>2206</v>
      </c>
      <c r="E1372" s="13" t="s">
        <v>2213</v>
      </c>
      <c r="F1372" s="13" t="s">
        <v>2221</v>
      </c>
      <c r="G1372" s="13">
        <v>60.97</v>
      </c>
      <c r="H1372" s="44">
        <v>0</v>
      </c>
      <c r="I1372" s="13">
        <v>60.97</v>
      </c>
      <c r="J1372" s="24">
        <v>45875</v>
      </c>
      <c r="K1372" s="25">
        <v>29</v>
      </c>
      <c r="L1372" s="25">
        <v>4.5</v>
      </c>
      <c r="M1372" s="13" t="b">
        <v>0</v>
      </c>
      <c r="O1372" s="25">
        <f t="shared" si="84"/>
        <v>27</v>
      </c>
      <c r="P1372" s="13">
        <f t="shared" si="85"/>
        <v>0</v>
      </c>
      <c r="Q1372" s="13" t="str">
        <f t="shared" si="86"/>
        <v/>
      </c>
      <c r="R1372" s="13" t="str">
        <f t="shared" si="87"/>
        <v>Non diskon</v>
      </c>
    </row>
    <row r="1373" spans="1:18" x14ac:dyDescent="0.25">
      <c r="A1373" s="13" t="s">
        <v>1385</v>
      </c>
      <c r="B1373" s="13" t="s">
        <v>2192</v>
      </c>
      <c r="C1373" s="13" t="s">
        <v>2197</v>
      </c>
      <c r="D1373" s="13" t="s">
        <v>2207</v>
      </c>
      <c r="F1373" s="13" t="s">
        <v>2215</v>
      </c>
      <c r="G1373" s="13">
        <v>64.87</v>
      </c>
      <c r="H1373" s="44">
        <v>35.299999999999997</v>
      </c>
      <c r="I1373" s="13">
        <v>41.97</v>
      </c>
      <c r="J1373" s="24">
        <v>45875</v>
      </c>
      <c r="K1373" s="25">
        <v>12</v>
      </c>
      <c r="L1373" s="25">
        <v>4.2</v>
      </c>
      <c r="M1373" s="13" t="b">
        <v>1</v>
      </c>
      <c r="N1373" s="13" t="s">
        <v>2226</v>
      </c>
      <c r="O1373" s="25">
        <f t="shared" si="84"/>
        <v>27</v>
      </c>
      <c r="P1373" s="13">
        <f t="shared" si="85"/>
        <v>423.59999999999997</v>
      </c>
      <c r="Q1373" s="13">
        <f t="shared" si="86"/>
        <v>1</v>
      </c>
      <c r="R1373" s="13" t="str">
        <f t="shared" si="87"/>
        <v>Diskon</v>
      </c>
    </row>
    <row r="1374" spans="1:18" x14ac:dyDescent="0.25">
      <c r="A1374" s="13" t="s">
        <v>1386</v>
      </c>
      <c r="B1374" s="13" t="s">
        <v>2193</v>
      </c>
      <c r="C1374" s="13" t="s">
        <v>2199</v>
      </c>
      <c r="D1374" s="13" t="s">
        <v>2206</v>
      </c>
      <c r="E1374" s="13" t="s">
        <v>2210</v>
      </c>
      <c r="F1374" s="13" t="s">
        <v>2215</v>
      </c>
      <c r="G1374" s="13">
        <v>151.35</v>
      </c>
      <c r="H1374" s="44">
        <v>0</v>
      </c>
      <c r="I1374" s="13">
        <v>151.35</v>
      </c>
      <c r="J1374" s="24">
        <v>45875</v>
      </c>
      <c r="K1374" s="25">
        <v>18</v>
      </c>
      <c r="L1374" s="25">
        <v>2.9804347826086954</v>
      </c>
      <c r="M1374" s="13" t="b">
        <v>0</v>
      </c>
      <c r="O1374" s="25">
        <f t="shared" si="84"/>
        <v>27</v>
      </c>
      <c r="P1374" s="13">
        <f t="shared" si="85"/>
        <v>0</v>
      </c>
      <c r="Q1374" s="13" t="str">
        <f t="shared" si="86"/>
        <v/>
      </c>
      <c r="R1374" s="13" t="str">
        <f t="shared" si="87"/>
        <v>Non diskon</v>
      </c>
    </row>
    <row r="1375" spans="1:18" x14ac:dyDescent="0.25">
      <c r="A1375" s="13" t="s">
        <v>1387</v>
      </c>
      <c r="B1375" s="13" t="s">
        <v>2192</v>
      </c>
      <c r="C1375" s="13" t="s">
        <v>2202</v>
      </c>
      <c r="D1375" s="13" t="s">
        <v>2205</v>
      </c>
      <c r="F1375" s="13" t="s">
        <v>2219</v>
      </c>
      <c r="G1375" s="13">
        <v>72.900000000000006</v>
      </c>
      <c r="H1375" s="44">
        <v>44</v>
      </c>
      <c r="I1375" s="13">
        <v>40.82</v>
      </c>
      <c r="J1375" s="24">
        <v>45875</v>
      </c>
      <c r="K1375" s="25">
        <v>25</v>
      </c>
      <c r="L1375" s="25">
        <v>3</v>
      </c>
      <c r="M1375" s="13" t="b">
        <v>0</v>
      </c>
      <c r="O1375" s="25">
        <f t="shared" si="84"/>
        <v>27</v>
      </c>
      <c r="P1375" s="13">
        <f t="shared" si="85"/>
        <v>1100</v>
      </c>
      <c r="Q1375" s="13" t="str">
        <f t="shared" si="86"/>
        <v/>
      </c>
      <c r="R1375" s="13" t="str">
        <f t="shared" si="87"/>
        <v>Diskon</v>
      </c>
    </row>
    <row r="1376" spans="1:18" x14ac:dyDescent="0.25">
      <c r="A1376" s="13" t="s">
        <v>1388</v>
      </c>
      <c r="B1376" s="13" t="s">
        <v>2192</v>
      </c>
      <c r="C1376" s="13" t="s">
        <v>2202</v>
      </c>
      <c r="D1376" s="13" t="s">
        <v>2205</v>
      </c>
      <c r="F1376" s="13" t="s">
        <v>2223</v>
      </c>
      <c r="G1376" s="13">
        <v>79.48</v>
      </c>
      <c r="H1376" s="44">
        <v>0</v>
      </c>
      <c r="I1376" s="13">
        <v>79.48</v>
      </c>
      <c r="J1376" s="24">
        <v>45875</v>
      </c>
      <c r="K1376" s="25">
        <v>2</v>
      </c>
      <c r="L1376" s="25">
        <v>3.3</v>
      </c>
      <c r="M1376" s="13" t="b">
        <v>0</v>
      </c>
      <c r="O1376" s="25">
        <f t="shared" si="84"/>
        <v>27</v>
      </c>
      <c r="P1376" s="13">
        <f t="shared" si="85"/>
        <v>0</v>
      </c>
      <c r="Q1376" s="13" t="str">
        <f t="shared" si="86"/>
        <v/>
      </c>
      <c r="R1376" s="13" t="str">
        <f t="shared" si="87"/>
        <v>Non diskon</v>
      </c>
    </row>
    <row r="1377" spans="1:18" x14ac:dyDescent="0.25">
      <c r="A1377" s="13" t="s">
        <v>1389</v>
      </c>
      <c r="B1377" s="13" t="s">
        <v>2193</v>
      </c>
      <c r="C1377" s="13" t="s">
        <v>2199</v>
      </c>
      <c r="D1377" s="13" t="s">
        <v>2206</v>
      </c>
      <c r="E1377" s="13" t="s">
        <v>2213</v>
      </c>
      <c r="F1377" s="13" t="s">
        <v>2221</v>
      </c>
      <c r="G1377" s="13">
        <v>122.77</v>
      </c>
      <c r="H1377" s="44">
        <v>59.8</v>
      </c>
      <c r="I1377" s="13">
        <v>49.35</v>
      </c>
      <c r="J1377" s="24">
        <v>45875</v>
      </c>
      <c r="K1377" s="25">
        <v>33</v>
      </c>
      <c r="L1377" s="25">
        <v>4</v>
      </c>
      <c r="M1377" s="13" t="b">
        <v>0</v>
      </c>
      <c r="O1377" s="25">
        <f t="shared" si="84"/>
        <v>27</v>
      </c>
      <c r="P1377" s="13">
        <f t="shared" si="85"/>
        <v>1973.3999999999999</v>
      </c>
      <c r="Q1377" s="13" t="str">
        <f t="shared" si="86"/>
        <v/>
      </c>
      <c r="R1377" s="13" t="str">
        <f t="shared" si="87"/>
        <v>Diskon</v>
      </c>
    </row>
    <row r="1378" spans="1:18" x14ac:dyDescent="0.25">
      <c r="A1378" s="13" t="s">
        <v>1390</v>
      </c>
      <c r="B1378" s="13" t="s">
        <v>2194</v>
      </c>
      <c r="C1378" s="13" t="s">
        <v>2203</v>
      </c>
      <c r="D1378" s="13" t="s">
        <v>2207</v>
      </c>
      <c r="E1378" s="13" t="s">
        <v>2208</v>
      </c>
      <c r="F1378" s="13" t="s">
        <v>2216</v>
      </c>
      <c r="G1378" s="13">
        <v>79.61</v>
      </c>
      <c r="H1378" s="44">
        <v>0</v>
      </c>
      <c r="I1378" s="13">
        <v>79.61</v>
      </c>
      <c r="J1378" s="24">
        <v>45875</v>
      </c>
      <c r="K1378" s="25">
        <v>29</v>
      </c>
      <c r="L1378" s="25">
        <v>3.7</v>
      </c>
      <c r="M1378" s="13" t="b">
        <v>0</v>
      </c>
      <c r="O1378" s="25">
        <f t="shared" si="84"/>
        <v>27</v>
      </c>
      <c r="P1378" s="13">
        <f t="shared" si="85"/>
        <v>0</v>
      </c>
      <c r="Q1378" s="13" t="str">
        <f t="shared" si="86"/>
        <v/>
      </c>
      <c r="R1378" s="13" t="str">
        <f t="shared" si="87"/>
        <v>Non diskon</v>
      </c>
    </row>
    <row r="1379" spans="1:18" x14ac:dyDescent="0.25">
      <c r="A1379" s="13" t="s">
        <v>1391</v>
      </c>
      <c r="B1379" s="13" t="s">
        <v>2194</v>
      </c>
      <c r="C1379" s="13" t="s">
        <v>2197</v>
      </c>
      <c r="D1379" s="13" t="s">
        <v>2205</v>
      </c>
      <c r="E1379" s="13" t="s">
        <v>2209</v>
      </c>
      <c r="F1379" s="13" t="s">
        <v>2217</v>
      </c>
      <c r="G1379" s="13">
        <v>60.13</v>
      </c>
      <c r="H1379" s="44">
        <v>0</v>
      </c>
      <c r="I1379" s="13">
        <v>60.13</v>
      </c>
      <c r="J1379" s="24">
        <v>45875</v>
      </c>
      <c r="K1379" s="25">
        <v>27</v>
      </c>
      <c r="L1379" s="25">
        <v>3.0846153846153843</v>
      </c>
      <c r="M1379" s="13" t="b">
        <v>0</v>
      </c>
      <c r="O1379" s="25">
        <f t="shared" si="84"/>
        <v>27</v>
      </c>
      <c r="P1379" s="13">
        <f t="shared" si="85"/>
        <v>0</v>
      </c>
      <c r="Q1379" s="13" t="str">
        <f t="shared" si="86"/>
        <v/>
      </c>
      <c r="R1379" s="13" t="str">
        <f t="shared" si="87"/>
        <v>Non diskon</v>
      </c>
    </row>
    <row r="1380" spans="1:18" x14ac:dyDescent="0.25">
      <c r="A1380" s="13" t="s">
        <v>1392</v>
      </c>
      <c r="B1380" s="13" t="s">
        <v>2192</v>
      </c>
      <c r="C1380" s="13" t="s">
        <v>2202</v>
      </c>
      <c r="D1380" s="13" t="s">
        <v>2205</v>
      </c>
      <c r="F1380" s="13" t="s">
        <v>2218</v>
      </c>
      <c r="G1380" s="13">
        <v>72.260000000000005</v>
      </c>
      <c r="H1380" s="44">
        <v>41</v>
      </c>
      <c r="I1380" s="13">
        <v>42.63</v>
      </c>
      <c r="J1380" s="24">
        <v>45875</v>
      </c>
      <c r="K1380" s="25">
        <v>43</v>
      </c>
      <c r="L1380" s="25">
        <v>3.5</v>
      </c>
      <c r="M1380" s="13" t="b">
        <v>0</v>
      </c>
      <c r="O1380" s="25">
        <f t="shared" si="84"/>
        <v>27</v>
      </c>
      <c r="P1380" s="13">
        <f t="shared" si="85"/>
        <v>1763</v>
      </c>
      <c r="Q1380" s="13" t="str">
        <f t="shared" si="86"/>
        <v/>
      </c>
      <c r="R1380" s="13" t="str">
        <f t="shared" si="87"/>
        <v>Diskon</v>
      </c>
    </row>
    <row r="1381" spans="1:18" x14ac:dyDescent="0.25">
      <c r="A1381" s="13" t="s">
        <v>1393</v>
      </c>
      <c r="B1381" s="13" t="s">
        <v>2194</v>
      </c>
      <c r="C1381" s="13" t="s">
        <v>2199</v>
      </c>
      <c r="D1381" s="13" t="s">
        <v>2207</v>
      </c>
      <c r="E1381" s="13" t="s">
        <v>2208</v>
      </c>
      <c r="F1381" s="13" t="s">
        <v>2220</v>
      </c>
      <c r="G1381" s="13">
        <v>66.38</v>
      </c>
      <c r="H1381" s="44">
        <v>17</v>
      </c>
      <c r="I1381" s="13">
        <v>55.1</v>
      </c>
      <c r="J1381" s="24">
        <v>45875</v>
      </c>
      <c r="K1381" s="25">
        <v>24</v>
      </c>
      <c r="L1381" s="25">
        <v>4.9000000000000004</v>
      </c>
      <c r="M1381" s="13" t="b">
        <v>1</v>
      </c>
      <c r="N1381" s="13" t="s">
        <v>2226</v>
      </c>
      <c r="O1381" s="25">
        <f t="shared" si="84"/>
        <v>27</v>
      </c>
      <c r="P1381" s="13">
        <f t="shared" si="85"/>
        <v>408</v>
      </c>
      <c r="Q1381" s="13">
        <f t="shared" si="86"/>
        <v>1</v>
      </c>
      <c r="R1381" s="13" t="str">
        <f t="shared" si="87"/>
        <v>Diskon</v>
      </c>
    </row>
    <row r="1382" spans="1:18" x14ac:dyDescent="0.25">
      <c r="A1382" s="13" t="s">
        <v>1394</v>
      </c>
      <c r="B1382" s="13" t="s">
        <v>2190</v>
      </c>
      <c r="C1382" s="13" t="s">
        <v>2201</v>
      </c>
      <c r="D1382" s="13" t="s">
        <v>2204</v>
      </c>
      <c r="E1382" s="13" t="s">
        <v>2212</v>
      </c>
      <c r="F1382" s="13" t="s">
        <v>2221</v>
      </c>
      <c r="G1382" s="13">
        <v>100.27</v>
      </c>
      <c r="H1382" s="44">
        <v>0</v>
      </c>
      <c r="I1382" s="13">
        <v>100.27</v>
      </c>
      <c r="J1382" s="24">
        <v>45719</v>
      </c>
      <c r="K1382" s="25">
        <v>37</v>
      </c>
      <c r="L1382" s="25">
        <v>3.1</v>
      </c>
      <c r="M1382" s="13" t="b">
        <v>0</v>
      </c>
      <c r="O1382" s="25">
        <f t="shared" si="84"/>
        <v>183</v>
      </c>
      <c r="P1382" s="13">
        <f t="shared" si="85"/>
        <v>0</v>
      </c>
      <c r="Q1382" s="13" t="str">
        <f t="shared" si="86"/>
        <v/>
      </c>
      <c r="R1382" s="13" t="str">
        <f t="shared" si="87"/>
        <v>Non diskon</v>
      </c>
    </row>
    <row r="1383" spans="1:18" x14ac:dyDescent="0.25">
      <c r="A1383" s="13" t="s">
        <v>1395</v>
      </c>
      <c r="B1383" s="13" t="s">
        <v>2195</v>
      </c>
      <c r="C1383" s="13" t="s">
        <v>2196</v>
      </c>
      <c r="D1383" s="13" t="s">
        <v>2207</v>
      </c>
      <c r="E1383" s="13" t="s">
        <v>2210</v>
      </c>
      <c r="F1383" s="13" t="s">
        <v>2221</v>
      </c>
      <c r="G1383" s="13">
        <v>116.09</v>
      </c>
      <c r="H1383" s="44">
        <v>52.8</v>
      </c>
      <c r="I1383" s="13">
        <v>54.79</v>
      </c>
      <c r="J1383" s="24">
        <v>45875</v>
      </c>
      <c r="K1383" s="25">
        <v>22</v>
      </c>
      <c r="L1383" s="25">
        <v>3.0424242424242425</v>
      </c>
      <c r="M1383" s="13" t="b">
        <v>0</v>
      </c>
      <c r="O1383" s="25">
        <f t="shared" si="84"/>
        <v>27</v>
      </c>
      <c r="P1383" s="13">
        <f t="shared" si="85"/>
        <v>1161.5999999999999</v>
      </c>
      <c r="Q1383" s="13" t="str">
        <f t="shared" si="86"/>
        <v/>
      </c>
      <c r="R1383" s="13" t="str">
        <f t="shared" si="87"/>
        <v>Diskon</v>
      </c>
    </row>
    <row r="1384" spans="1:18" x14ac:dyDescent="0.25">
      <c r="A1384" s="13" t="s">
        <v>1396</v>
      </c>
      <c r="B1384" s="13" t="s">
        <v>2190</v>
      </c>
      <c r="C1384" s="13" t="s">
        <v>2199</v>
      </c>
      <c r="D1384" s="13" t="s">
        <v>2206</v>
      </c>
      <c r="E1384" s="13" t="s">
        <v>2210</v>
      </c>
      <c r="F1384" s="13" t="s">
        <v>2217</v>
      </c>
      <c r="G1384" s="13">
        <v>80.709999999999994</v>
      </c>
      <c r="H1384" s="44">
        <v>0.9</v>
      </c>
      <c r="I1384" s="13">
        <v>79.98</v>
      </c>
      <c r="J1384" s="24">
        <v>45875</v>
      </c>
      <c r="K1384" s="25">
        <v>11</v>
      </c>
      <c r="L1384" s="25">
        <v>1.1000000000000001</v>
      </c>
      <c r="M1384" s="13" t="b">
        <v>0</v>
      </c>
      <c r="O1384" s="25">
        <f t="shared" si="84"/>
        <v>27</v>
      </c>
      <c r="P1384" s="13">
        <f t="shared" si="85"/>
        <v>9.9</v>
      </c>
      <c r="Q1384" s="13" t="str">
        <f t="shared" si="86"/>
        <v/>
      </c>
      <c r="R1384" s="13" t="str">
        <f t="shared" si="87"/>
        <v>Diskon</v>
      </c>
    </row>
    <row r="1385" spans="1:18" x14ac:dyDescent="0.25">
      <c r="A1385" s="13" t="s">
        <v>1397</v>
      </c>
      <c r="B1385" s="13" t="s">
        <v>2195</v>
      </c>
      <c r="C1385" s="13" t="s">
        <v>2198</v>
      </c>
      <c r="D1385" s="13" t="s">
        <v>2207</v>
      </c>
      <c r="E1385" s="13" t="s">
        <v>2213</v>
      </c>
      <c r="F1385" s="13" t="s">
        <v>2219</v>
      </c>
      <c r="G1385" s="13">
        <v>175.11</v>
      </c>
      <c r="H1385" s="44">
        <v>0</v>
      </c>
      <c r="I1385" s="13">
        <v>175.11</v>
      </c>
      <c r="J1385" s="24">
        <v>45875</v>
      </c>
      <c r="K1385" s="25">
        <v>39</v>
      </c>
      <c r="L1385" s="25">
        <v>2.9</v>
      </c>
      <c r="M1385" s="13" t="b">
        <v>0</v>
      </c>
      <c r="O1385" s="25">
        <f t="shared" si="84"/>
        <v>27</v>
      </c>
      <c r="P1385" s="13">
        <f t="shared" si="85"/>
        <v>0</v>
      </c>
      <c r="Q1385" s="13" t="str">
        <f t="shared" si="86"/>
        <v/>
      </c>
      <c r="R1385" s="13" t="str">
        <f t="shared" si="87"/>
        <v>Non diskon</v>
      </c>
    </row>
    <row r="1386" spans="1:18" x14ac:dyDescent="0.25">
      <c r="A1386" s="13" t="s">
        <v>1398</v>
      </c>
      <c r="B1386" s="13" t="s">
        <v>2195</v>
      </c>
      <c r="C1386" s="13" t="s">
        <v>2199</v>
      </c>
      <c r="D1386" s="13" t="s">
        <v>2206</v>
      </c>
      <c r="E1386" s="13" t="s">
        <v>2212</v>
      </c>
      <c r="F1386" s="13" t="s">
        <v>2224</v>
      </c>
      <c r="G1386" s="13">
        <v>122.35</v>
      </c>
      <c r="H1386" s="44">
        <v>37</v>
      </c>
      <c r="I1386" s="13">
        <v>77.08</v>
      </c>
      <c r="J1386" s="24">
        <v>45875</v>
      </c>
      <c r="K1386" s="25">
        <v>25</v>
      </c>
      <c r="L1386" s="25">
        <v>2.8372093023255811</v>
      </c>
      <c r="M1386" s="13" t="b">
        <v>0</v>
      </c>
      <c r="O1386" s="25">
        <f t="shared" si="84"/>
        <v>27</v>
      </c>
      <c r="P1386" s="13">
        <f t="shared" si="85"/>
        <v>925</v>
      </c>
      <c r="Q1386" s="13" t="str">
        <f t="shared" si="86"/>
        <v/>
      </c>
      <c r="R1386" s="13" t="str">
        <f t="shared" si="87"/>
        <v>Diskon</v>
      </c>
    </row>
    <row r="1387" spans="1:18" x14ac:dyDescent="0.25">
      <c r="A1387" s="13" t="s">
        <v>1399</v>
      </c>
      <c r="B1387" s="13" t="s">
        <v>2193</v>
      </c>
      <c r="C1387" s="13" t="s">
        <v>2197</v>
      </c>
      <c r="D1387" s="13" t="s">
        <v>2205</v>
      </c>
      <c r="E1387" s="13" t="s">
        <v>2210</v>
      </c>
      <c r="F1387" s="13" t="s">
        <v>2219</v>
      </c>
      <c r="G1387" s="13">
        <v>127.99</v>
      </c>
      <c r="H1387" s="44">
        <v>0</v>
      </c>
      <c r="I1387" s="13">
        <v>127.99</v>
      </c>
      <c r="J1387" s="24">
        <v>45875</v>
      </c>
      <c r="K1387" s="25">
        <v>14</v>
      </c>
      <c r="L1387" s="25">
        <v>2.7</v>
      </c>
      <c r="M1387" s="13" t="b">
        <v>0</v>
      </c>
      <c r="O1387" s="25">
        <f t="shared" si="84"/>
        <v>27</v>
      </c>
      <c r="P1387" s="13">
        <f t="shared" si="85"/>
        <v>0</v>
      </c>
      <c r="Q1387" s="13" t="str">
        <f t="shared" si="86"/>
        <v/>
      </c>
      <c r="R1387" s="13" t="str">
        <f t="shared" si="87"/>
        <v>Non diskon</v>
      </c>
    </row>
    <row r="1388" spans="1:18" x14ac:dyDescent="0.25">
      <c r="A1388" s="13" t="s">
        <v>1400</v>
      </c>
      <c r="B1388" s="13" t="s">
        <v>2194</v>
      </c>
      <c r="C1388" s="13" t="s">
        <v>2196</v>
      </c>
      <c r="D1388" s="13" t="s">
        <v>2207</v>
      </c>
      <c r="E1388" s="13" t="s">
        <v>2210</v>
      </c>
      <c r="F1388" s="13" t="s">
        <v>2224</v>
      </c>
      <c r="G1388" s="13">
        <v>101.07</v>
      </c>
      <c r="H1388" s="44">
        <v>4.5999999999999996</v>
      </c>
      <c r="I1388" s="13">
        <v>96.42</v>
      </c>
      <c r="J1388" s="24">
        <v>45875</v>
      </c>
      <c r="K1388" s="25">
        <v>19</v>
      </c>
      <c r="L1388" s="25">
        <v>4.7</v>
      </c>
      <c r="M1388" s="13" t="b">
        <v>0</v>
      </c>
      <c r="O1388" s="25">
        <f t="shared" si="84"/>
        <v>27</v>
      </c>
      <c r="P1388" s="13">
        <f t="shared" si="85"/>
        <v>87.399999999999991</v>
      </c>
      <c r="Q1388" s="13" t="str">
        <f t="shared" si="86"/>
        <v/>
      </c>
      <c r="R1388" s="13" t="str">
        <f t="shared" si="87"/>
        <v>Diskon</v>
      </c>
    </row>
    <row r="1389" spans="1:18" x14ac:dyDescent="0.25">
      <c r="A1389" s="13" t="s">
        <v>1401</v>
      </c>
      <c r="B1389" s="13" t="s">
        <v>2194</v>
      </c>
      <c r="C1389" s="13" t="s">
        <v>2203</v>
      </c>
      <c r="D1389" s="13" t="s">
        <v>2205</v>
      </c>
      <c r="E1389" s="13" t="s">
        <v>2209</v>
      </c>
      <c r="F1389" s="13" t="s">
        <v>2224</v>
      </c>
      <c r="G1389" s="13">
        <v>41.83</v>
      </c>
      <c r="H1389" s="44">
        <v>44.1</v>
      </c>
      <c r="I1389" s="13">
        <v>23.38</v>
      </c>
      <c r="J1389" s="24">
        <v>45875</v>
      </c>
      <c r="K1389" s="25">
        <v>6</v>
      </c>
      <c r="L1389" s="25">
        <v>2.4</v>
      </c>
      <c r="M1389" s="13" t="b">
        <v>0</v>
      </c>
      <c r="O1389" s="25">
        <f t="shared" si="84"/>
        <v>27</v>
      </c>
      <c r="P1389" s="13">
        <f t="shared" si="85"/>
        <v>264.60000000000002</v>
      </c>
      <c r="Q1389" s="13" t="str">
        <f t="shared" si="86"/>
        <v/>
      </c>
      <c r="R1389" s="13" t="str">
        <f t="shared" si="87"/>
        <v>Diskon</v>
      </c>
    </row>
    <row r="1390" spans="1:18" x14ac:dyDescent="0.25">
      <c r="A1390" s="13" t="s">
        <v>1402</v>
      </c>
      <c r="B1390" s="13" t="s">
        <v>2193</v>
      </c>
      <c r="C1390" s="13" t="s">
        <v>2200</v>
      </c>
      <c r="D1390" s="13" t="s">
        <v>2204</v>
      </c>
      <c r="E1390" s="13" t="s">
        <v>2213</v>
      </c>
      <c r="F1390" s="13" t="s">
        <v>2220</v>
      </c>
      <c r="G1390" s="13">
        <v>147.52000000000001</v>
      </c>
      <c r="H1390" s="44">
        <v>0</v>
      </c>
      <c r="I1390" s="13">
        <v>147.52000000000001</v>
      </c>
      <c r="J1390" s="24">
        <v>45665</v>
      </c>
      <c r="K1390" s="25">
        <v>41</v>
      </c>
      <c r="L1390" s="25">
        <v>4</v>
      </c>
      <c r="M1390" s="13" t="b">
        <v>0</v>
      </c>
      <c r="O1390" s="25">
        <f t="shared" si="84"/>
        <v>237</v>
      </c>
      <c r="P1390" s="13">
        <f t="shared" si="85"/>
        <v>0</v>
      </c>
      <c r="Q1390" s="13" t="str">
        <f t="shared" si="86"/>
        <v/>
      </c>
      <c r="R1390" s="13" t="str">
        <f t="shared" si="87"/>
        <v>Non diskon</v>
      </c>
    </row>
    <row r="1391" spans="1:18" x14ac:dyDescent="0.25">
      <c r="A1391" s="13" t="s">
        <v>1403</v>
      </c>
      <c r="B1391" s="13" t="s">
        <v>2191</v>
      </c>
      <c r="C1391" s="13" t="s">
        <v>2198</v>
      </c>
      <c r="D1391" s="13" t="s">
        <v>2206</v>
      </c>
      <c r="E1391" s="13" t="s">
        <v>2210</v>
      </c>
      <c r="F1391" s="13" t="s">
        <v>2218</v>
      </c>
      <c r="G1391" s="13">
        <v>85.94</v>
      </c>
      <c r="H1391" s="44">
        <v>0</v>
      </c>
      <c r="I1391" s="13">
        <v>85.94</v>
      </c>
      <c r="J1391" s="24">
        <v>45875</v>
      </c>
      <c r="K1391" s="25">
        <v>49</v>
      </c>
      <c r="L1391" s="25">
        <v>1.5</v>
      </c>
      <c r="M1391" s="13" t="b">
        <v>0</v>
      </c>
      <c r="O1391" s="25">
        <f t="shared" si="84"/>
        <v>27</v>
      </c>
      <c r="P1391" s="13">
        <f t="shared" si="85"/>
        <v>0</v>
      </c>
      <c r="Q1391" s="13" t="str">
        <f t="shared" si="86"/>
        <v/>
      </c>
      <c r="R1391" s="13" t="str">
        <f t="shared" si="87"/>
        <v>Non diskon</v>
      </c>
    </row>
    <row r="1392" spans="1:18" x14ac:dyDescent="0.25">
      <c r="A1392" s="13" t="s">
        <v>1404</v>
      </c>
      <c r="B1392" s="13" t="s">
        <v>2195</v>
      </c>
      <c r="C1392" s="13" t="s">
        <v>2202</v>
      </c>
      <c r="D1392" s="13" t="s">
        <v>2205</v>
      </c>
      <c r="E1392" s="13" t="s">
        <v>2211</v>
      </c>
      <c r="F1392" s="13" t="s">
        <v>2220</v>
      </c>
      <c r="G1392" s="13">
        <v>115.61</v>
      </c>
      <c r="H1392" s="44">
        <v>0</v>
      </c>
      <c r="I1392" s="13">
        <v>115.61</v>
      </c>
      <c r="J1392" s="24">
        <v>45875</v>
      </c>
      <c r="K1392" s="25">
        <v>35</v>
      </c>
      <c r="L1392" s="25">
        <v>1.8</v>
      </c>
      <c r="M1392" s="13" t="b">
        <v>0</v>
      </c>
      <c r="O1392" s="25">
        <f t="shared" si="84"/>
        <v>27</v>
      </c>
      <c r="P1392" s="13">
        <f t="shared" si="85"/>
        <v>0</v>
      </c>
      <c r="Q1392" s="13" t="str">
        <f t="shared" si="86"/>
        <v/>
      </c>
      <c r="R1392" s="13" t="str">
        <f t="shared" si="87"/>
        <v>Non diskon</v>
      </c>
    </row>
    <row r="1393" spans="1:18" x14ac:dyDescent="0.25">
      <c r="A1393" s="13" t="s">
        <v>1405</v>
      </c>
      <c r="B1393" s="13" t="s">
        <v>2190</v>
      </c>
      <c r="C1393" s="13" t="s">
        <v>2201</v>
      </c>
      <c r="D1393" s="13" t="s">
        <v>2205</v>
      </c>
      <c r="E1393" s="13" t="s">
        <v>2212</v>
      </c>
      <c r="F1393" s="13" t="s">
        <v>2215</v>
      </c>
      <c r="G1393" s="13">
        <v>90.58</v>
      </c>
      <c r="H1393" s="44">
        <v>0</v>
      </c>
      <c r="I1393" s="13">
        <v>90.58</v>
      </c>
      <c r="J1393" s="24">
        <v>45875</v>
      </c>
      <c r="K1393" s="25">
        <v>1</v>
      </c>
      <c r="L1393" s="25">
        <v>1</v>
      </c>
      <c r="M1393" s="13" t="b">
        <v>0</v>
      </c>
      <c r="O1393" s="25">
        <f t="shared" si="84"/>
        <v>27</v>
      </c>
      <c r="P1393" s="13">
        <f t="shared" si="85"/>
        <v>0</v>
      </c>
      <c r="Q1393" s="13" t="str">
        <f t="shared" si="86"/>
        <v/>
      </c>
      <c r="R1393" s="13" t="str">
        <f t="shared" si="87"/>
        <v>Non diskon</v>
      </c>
    </row>
    <row r="1394" spans="1:18" x14ac:dyDescent="0.25">
      <c r="A1394" s="13" t="s">
        <v>1406</v>
      </c>
      <c r="B1394" s="13" t="s">
        <v>2191</v>
      </c>
      <c r="C1394" s="13" t="s">
        <v>2202</v>
      </c>
      <c r="D1394" s="13" t="s">
        <v>2204</v>
      </c>
      <c r="E1394" s="13" t="s">
        <v>2210</v>
      </c>
      <c r="F1394" s="13" t="s">
        <v>2214</v>
      </c>
      <c r="G1394" s="13">
        <v>64.84</v>
      </c>
      <c r="H1394" s="44">
        <v>0</v>
      </c>
      <c r="I1394" s="13">
        <v>64.84</v>
      </c>
      <c r="J1394" s="24">
        <v>45591</v>
      </c>
      <c r="K1394" s="25">
        <v>25</v>
      </c>
      <c r="L1394" s="25">
        <v>3.9</v>
      </c>
      <c r="M1394" s="13" t="b">
        <v>0</v>
      </c>
      <c r="O1394" s="25">
        <f t="shared" si="84"/>
        <v>311</v>
      </c>
      <c r="P1394" s="13">
        <f t="shared" si="85"/>
        <v>0</v>
      </c>
      <c r="Q1394" s="13" t="str">
        <f t="shared" si="86"/>
        <v/>
      </c>
      <c r="R1394" s="13" t="str">
        <f t="shared" si="87"/>
        <v>Non diskon</v>
      </c>
    </row>
    <row r="1395" spans="1:18" x14ac:dyDescent="0.25">
      <c r="A1395" s="13" t="s">
        <v>1407</v>
      </c>
      <c r="B1395" s="13" t="s">
        <v>2194</v>
      </c>
      <c r="C1395" s="13" t="s">
        <v>2198</v>
      </c>
      <c r="D1395" s="13" t="s">
        <v>2207</v>
      </c>
      <c r="E1395" s="13" t="s">
        <v>2212</v>
      </c>
      <c r="F1395" s="13" t="s">
        <v>2216</v>
      </c>
      <c r="G1395" s="13">
        <v>37.270000000000003</v>
      </c>
      <c r="H1395" s="44">
        <v>0</v>
      </c>
      <c r="I1395" s="13">
        <v>37.270000000000003</v>
      </c>
      <c r="J1395" s="24">
        <v>45875</v>
      </c>
      <c r="K1395" s="25">
        <v>27</v>
      </c>
      <c r="L1395" s="25">
        <v>2.8</v>
      </c>
      <c r="M1395" s="13" t="b">
        <v>1</v>
      </c>
      <c r="N1395" s="13" t="s">
        <v>2229</v>
      </c>
      <c r="O1395" s="25">
        <f t="shared" si="84"/>
        <v>27</v>
      </c>
      <c r="P1395" s="13">
        <f t="shared" si="85"/>
        <v>0</v>
      </c>
      <c r="Q1395" s="13">
        <f t="shared" si="86"/>
        <v>1</v>
      </c>
      <c r="R1395" s="13" t="str">
        <f t="shared" si="87"/>
        <v>Non diskon</v>
      </c>
    </row>
    <row r="1396" spans="1:18" x14ac:dyDescent="0.25">
      <c r="A1396" s="13" t="s">
        <v>1408</v>
      </c>
      <c r="B1396" s="13" t="s">
        <v>2191</v>
      </c>
      <c r="C1396" s="13" t="s">
        <v>2202</v>
      </c>
      <c r="D1396" s="13" t="s">
        <v>2207</v>
      </c>
      <c r="E1396" s="13" t="s">
        <v>2208</v>
      </c>
      <c r="F1396" s="13" t="s">
        <v>2219</v>
      </c>
      <c r="G1396" s="13">
        <v>90.48</v>
      </c>
      <c r="H1396" s="44">
        <v>55.2</v>
      </c>
      <c r="I1396" s="13">
        <v>40.54</v>
      </c>
      <c r="J1396" s="24">
        <v>45875</v>
      </c>
      <c r="K1396" s="25">
        <v>26</v>
      </c>
      <c r="L1396" s="25">
        <v>3</v>
      </c>
      <c r="M1396" s="13" t="b">
        <v>0</v>
      </c>
      <c r="O1396" s="25">
        <f t="shared" si="84"/>
        <v>27</v>
      </c>
      <c r="P1396" s="13">
        <f t="shared" si="85"/>
        <v>1435.2</v>
      </c>
      <c r="Q1396" s="13" t="str">
        <f t="shared" si="86"/>
        <v/>
      </c>
      <c r="R1396" s="13" t="str">
        <f t="shared" si="87"/>
        <v>Diskon</v>
      </c>
    </row>
    <row r="1397" spans="1:18" x14ac:dyDescent="0.25">
      <c r="A1397" s="13" t="s">
        <v>1409</v>
      </c>
      <c r="B1397" s="13" t="s">
        <v>2193</v>
      </c>
      <c r="C1397" s="13" t="s">
        <v>2202</v>
      </c>
      <c r="D1397" s="13" t="s">
        <v>2207</v>
      </c>
      <c r="E1397" s="13" t="s">
        <v>2210</v>
      </c>
      <c r="F1397" s="13" t="s">
        <v>2220</v>
      </c>
      <c r="G1397" s="13">
        <v>159.62</v>
      </c>
      <c r="H1397" s="44">
        <v>58.4</v>
      </c>
      <c r="I1397" s="13">
        <v>66.400000000000006</v>
      </c>
      <c r="J1397" s="24">
        <v>45875</v>
      </c>
      <c r="K1397" s="25">
        <v>45</v>
      </c>
      <c r="L1397" s="25">
        <v>1.1000000000000001</v>
      </c>
      <c r="M1397" s="13" t="b">
        <v>0</v>
      </c>
      <c r="O1397" s="25">
        <f t="shared" si="84"/>
        <v>27</v>
      </c>
      <c r="P1397" s="13">
        <f t="shared" si="85"/>
        <v>2628</v>
      </c>
      <c r="Q1397" s="13" t="str">
        <f t="shared" si="86"/>
        <v/>
      </c>
      <c r="R1397" s="13" t="str">
        <f t="shared" si="87"/>
        <v>Diskon</v>
      </c>
    </row>
    <row r="1398" spans="1:18" x14ac:dyDescent="0.25">
      <c r="A1398" s="13" t="s">
        <v>1410</v>
      </c>
      <c r="B1398" s="13" t="s">
        <v>2193</v>
      </c>
      <c r="C1398" s="13" t="s">
        <v>2201</v>
      </c>
      <c r="D1398" s="13" t="s">
        <v>2207</v>
      </c>
      <c r="E1398" s="13" t="s">
        <v>2209</v>
      </c>
      <c r="F1398" s="13" t="s">
        <v>2218</v>
      </c>
      <c r="G1398" s="13">
        <v>81.459999999999994</v>
      </c>
      <c r="H1398" s="44">
        <v>58.8</v>
      </c>
      <c r="I1398" s="13">
        <v>33.56</v>
      </c>
      <c r="J1398" s="24">
        <v>45875</v>
      </c>
      <c r="K1398" s="25">
        <v>37</v>
      </c>
      <c r="L1398" s="25">
        <v>4.5999999999999996</v>
      </c>
      <c r="M1398" s="13" t="b">
        <v>0</v>
      </c>
      <c r="O1398" s="25">
        <f t="shared" si="84"/>
        <v>27</v>
      </c>
      <c r="P1398" s="13">
        <f t="shared" si="85"/>
        <v>2175.6</v>
      </c>
      <c r="Q1398" s="13" t="str">
        <f t="shared" si="86"/>
        <v/>
      </c>
      <c r="R1398" s="13" t="str">
        <f t="shared" si="87"/>
        <v>Diskon</v>
      </c>
    </row>
    <row r="1399" spans="1:18" x14ac:dyDescent="0.25">
      <c r="A1399" s="13" t="s">
        <v>1411</v>
      </c>
      <c r="B1399" s="13" t="s">
        <v>2193</v>
      </c>
      <c r="C1399" s="13" t="s">
        <v>2203</v>
      </c>
      <c r="D1399" s="13" t="s">
        <v>2205</v>
      </c>
      <c r="E1399" s="13" t="s">
        <v>2212</v>
      </c>
      <c r="F1399" s="13" t="s">
        <v>2217</v>
      </c>
      <c r="G1399" s="13">
        <v>93.63</v>
      </c>
      <c r="H1399" s="44">
        <v>0</v>
      </c>
      <c r="I1399" s="13">
        <v>93.63</v>
      </c>
      <c r="J1399" s="24">
        <v>45875</v>
      </c>
      <c r="K1399" s="25">
        <v>47</v>
      </c>
      <c r="L1399" s="25">
        <v>4.0999999999999996</v>
      </c>
      <c r="M1399" s="13" t="b">
        <v>0</v>
      </c>
      <c r="O1399" s="25">
        <f t="shared" si="84"/>
        <v>27</v>
      </c>
      <c r="P1399" s="13">
        <f t="shared" si="85"/>
        <v>0</v>
      </c>
      <c r="Q1399" s="13" t="str">
        <f t="shared" si="86"/>
        <v/>
      </c>
      <c r="R1399" s="13" t="str">
        <f t="shared" si="87"/>
        <v>Non diskon</v>
      </c>
    </row>
    <row r="1400" spans="1:18" x14ac:dyDescent="0.25">
      <c r="A1400" s="13" t="s">
        <v>1412</v>
      </c>
      <c r="B1400" s="13" t="s">
        <v>2191</v>
      </c>
      <c r="C1400" s="13" t="s">
        <v>2201</v>
      </c>
      <c r="D1400" s="13" t="s">
        <v>2207</v>
      </c>
      <c r="E1400" s="13" t="s">
        <v>2213</v>
      </c>
      <c r="F1400" s="13" t="s">
        <v>2224</v>
      </c>
      <c r="G1400" s="13">
        <v>95.55</v>
      </c>
      <c r="H1400" s="44">
        <v>0</v>
      </c>
      <c r="I1400" s="13">
        <v>95.55</v>
      </c>
      <c r="J1400" s="24">
        <v>45875</v>
      </c>
      <c r="K1400" s="25">
        <v>25</v>
      </c>
      <c r="L1400" s="25">
        <v>4.7</v>
      </c>
      <c r="M1400" s="13" t="b">
        <v>0</v>
      </c>
      <c r="O1400" s="25">
        <f t="shared" si="84"/>
        <v>27</v>
      </c>
      <c r="P1400" s="13">
        <f t="shared" si="85"/>
        <v>0</v>
      </c>
      <c r="Q1400" s="13" t="str">
        <f t="shared" si="86"/>
        <v/>
      </c>
      <c r="R1400" s="13" t="str">
        <f t="shared" si="87"/>
        <v>Non diskon</v>
      </c>
    </row>
    <row r="1401" spans="1:18" x14ac:dyDescent="0.25">
      <c r="A1401" s="13" t="s">
        <v>1413</v>
      </c>
      <c r="B1401" s="13" t="s">
        <v>2190</v>
      </c>
      <c r="C1401" s="13" t="s">
        <v>2196</v>
      </c>
      <c r="D1401" s="13" t="s">
        <v>2205</v>
      </c>
      <c r="E1401" s="13" t="s">
        <v>2213</v>
      </c>
      <c r="F1401" s="13" t="s">
        <v>2217</v>
      </c>
      <c r="G1401" s="13">
        <v>146.44999999999999</v>
      </c>
      <c r="H1401" s="44">
        <v>0</v>
      </c>
      <c r="I1401" s="13">
        <v>146.44999999999999</v>
      </c>
      <c r="J1401" s="24">
        <v>45875</v>
      </c>
      <c r="K1401" s="25">
        <v>45</v>
      </c>
      <c r="L1401" s="25">
        <v>3.4</v>
      </c>
      <c r="M1401" s="13" t="b">
        <v>0</v>
      </c>
      <c r="O1401" s="25">
        <f t="shared" si="84"/>
        <v>27</v>
      </c>
      <c r="P1401" s="13">
        <f t="shared" si="85"/>
        <v>0</v>
      </c>
      <c r="Q1401" s="13" t="str">
        <f t="shared" si="86"/>
        <v/>
      </c>
      <c r="R1401" s="13" t="str">
        <f t="shared" si="87"/>
        <v>Non diskon</v>
      </c>
    </row>
    <row r="1402" spans="1:18" x14ac:dyDescent="0.25">
      <c r="A1402" s="13" t="s">
        <v>1414</v>
      </c>
      <c r="B1402" s="13" t="s">
        <v>2193</v>
      </c>
      <c r="C1402" s="13" t="s">
        <v>2198</v>
      </c>
      <c r="D1402" s="13" t="s">
        <v>2204</v>
      </c>
      <c r="E1402" s="13" t="s">
        <v>2213</v>
      </c>
      <c r="F1402" s="13" t="s">
        <v>2219</v>
      </c>
      <c r="G1402" s="13">
        <v>96.9</v>
      </c>
      <c r="H1402" s="44">
        <v>0</v>
      </c>
      <c r="I1402" s="13">
        <v>96.9</v>
      </c>
      <c r="J1402" s="24">
        <v>45691</v>
      </c>
      <c r="K1402" s="25">
        <v>24</v>
      </c>
      <c r="L1402" s="25">
        <v>4.3</v>
      </c>
      <c r="M1402" s="13" t="b">
        <v>0</v>
      </c>
      <c r="O1402" s="25">
        <f t="shared" si="84"/>
        <v>211</v>
      </c>
      <c r="P1402" s="13">
        <f t="shared" si="85"/>
        <v>0</v>
      </c>
      <c r="Q1402" s="13" t="str">
        <f t="shared" si="86"/>
        <v/>
      </c>
      <c r="R1402" s="13" t="str">
        <f t="shared" si="87"/>
        <v>Non diskon</v>
      </c>
    </row>
    <row r="1403" spans="1:18" x14ac:dyDescent="0.25">
      <c r="A1403" s="13" t="s">
        <v>1415</v>
      </c>
      <c r="B1403" s="13" t="s">
        <v>2191</v>
      </c>
      <c r="C1403" s="13" t="s">
        <v>2198</v>
      </c>
      <c r="D1403" s="13" t="s">
        <v>2206</v>
      </c>
      <c r="E1403" s="13" t="s">
        <v>2211</v>
      </c>
      <c r="F1403" s="13" t="s">
        <v>2224</v>
      </c>
      <c r="G1403" s="13">
        <v>71.83</v>
      </c>
      <c r="H1403" s="44">
        <v>0</v>
      </c>
      <c r="I1403" s="13">
        <v>71.83</v>
      </c>
      <c r="J1403" s="24">
        <v>45875</v>
      </c>
      <c r="K1403" s="25">
        <v>46</v>
      </c>
      <c r="L1403" s="25">
        <v>4.5</v>
      </c>
      <c r="M1403" s="13" t="b">
        <v>0</v>
      </c>
      <c r="O1403" s="25">
        <f t="shared" si="84"/>
        <v>27</v>
      </c>
      <c r="P1403" s="13">
        <f t="shared" si="85"/>
        <v>0</v>
      </c>
      <c r="Q1403" s="13" t="str">
        <f t="shared" si="86"/>
        <v/>
      </c>
      <c r="R1403" s="13" t="str">
        <f t="shared" si="87"/>
        <v>Non diskon</v>
      </c>
    </row>
    <row r="1404" spans="1:18" x14ac:dyDescent="0.25">
      <c r="A1404" s="13" t="s">
        <v>1416</v>
      </c>
      <c r="B1404" s="13" t="s">
        <v>2191</v>
      </c>
      <c r="C1404" s="13" t="s">
        <v>2200</v>
      </c>
      <c r="D1404" s="13" t="s">
        <v>2207</v>
      </c>
      <c r="E1404" s="13" t="s">
        <v>2209</v>
      </c>
      <c r="F1404" s="13" t="s">
        <v>2222</v>
      </c>
      <c r="G1404" s="13">
        <v>29.17</v>
      </c>
      <c r="H1404" s="44">
        <v>0</v>
      </c>
      <c r="I1404" s="13">
        <v>29.17</v>
      </c>
      <c r="J1404" s="24">
        <v>45875</v>
      </c>
      <c r="K1404" s="25">
        <v>17</v>
      </c>
      <c r="L1404" s="25">
        <v>1.6</v>
      </c>
      <c r="M1404" s="13" t="b">
        <v>0</v>
      </c>
      <c r="O1404" s="25">
        <f t="shared" si="84"/>
        <v>27</v>
      </c>
      <c r="P1404" s="13">
        <f t="shared" si="85"/>
        <v>0</v>
      </c>
      <c r="Q1404" s="13" t="str">
        <f t="shared" si="86"/>
        <v/>
      </c>
      <c r="R1404" s="13" t="str">
        <f t="shared" si="87"/>
        <v>Non diskon</v>
      </c>
    </row>
    <row r="1405" spans="1:18" x14ac:dyDescent="0.25">
      <c r="A1405" s="13" t="s">
        <v>1417</v>
      </c>
      <c r="B1405" s="13" t="s">
        <v>2191</v>
      </c>
      <c r="C1405" s="13" t="s">
        <v>2200</v>
      </c>
      <c r="D1405" s="13" t="s">
        <v>2204</v>
      </c>
      <c r="E1405" s="13" t="s">
        <v>2210</v>
      </c>
      <c r="F1405" s="13" t="s">
        <v>2220</v>
      </c>
      <c r="G1405" s="13">
        <v>31.3</v>
      </c>
      <c r="H1405" s="44">
        <v>43.6</v>
      </c>
      <c r="I1405" s="13">
        <v>17.649999999999999</v>
      </c>
      <c r="J1405" s="24">
        <v>45722</v>
      </c>
      <c r="K1405" s="25">
        <v>21</v>
      </c>
      <c r="L1405" s="25">
        <v>4.4000000000000004</v>
      </c>
      <c r="M1405" s="13" t="b">
        <v>0</v>
      </c>
      <c r="O1405" s="25">
        <f t="shared" si="84"/>
        <v>180</v>
      </c>
      <c r="P1405" s="13">
        <f t="shared" si="85"/>
        <v>915.6</v>
      </c>
      <c r="Q1405" s="13" t="str">
        <f t="shared" si="86"/>
        <v/>
      </c>
      <c r="R1405" s="13" t="str">
        <f t="shared" si="87"/>
        <v>Diskon</v>
      </c>
    </row>
    <row r="1406" spans="1:18" x14ac:dyDescent="0.25">
      <c r="A1406" s="13" t="s">
        <v>1418</v>
      </c>
      <c r="B1406" s="13" t="s">
        <v>2192</v>
      </c>
      <c r="C1406" s="13" t="s">
        <v>2196</v>
      </c>
      <c r="D1406" s="13" t="s">
        <v>2206</v>
      </c>
      <c r="F1406" s="13" t="s">
        <v>2220</v>
      </c>
      <c r="G1406" s="13">
        <v>73.569999999999993</v>
      </c>
      <c r="H1406" s="44">
        <v>0</v>
      </c>
      <c r="I1406" s="13">
        <v>73.569999999999993</v>
      </c>
      <c r="J1406" s="24">
        <v>45875</v>
      </c>
      <c r="K1406" s="25">
        <v>22</v>
      </c>
      <c r="L1406" s="25">
        <v>1.1000000000000001</v>
      </c>
      <c r="M1406" s="13" t="b">
        <v>0</v>
      </c>
      <c r="O1406" s="25">
        <f t="shared" si="84"/>
        <v>27</v>
      </c>
      <c r="P1406" s="13">
        <f t="shared" si="85"/>
        <v>0</v>
      </c>
      <c r="Q1406" s="13" t="str">
        <f t="shared" si="86"/>
        <v/>
      </c>
      <c r="R1406" s="13" t="str">
        <f t="shared" si="87"/>
        <v>Non diskon</v>
      </c>
    </row>
    <row r="1407" spans="1:18" x14ac:dyDescent="0.25">
      <c r="A1407" s="13" t="s">
        <v>1419</v>
      </c>
      <c r="B1407" s="13" t="s">
        <v>2193</v>
      </c>
      <c r="C1407" s="13" t="s">
        <v>2199</v>
      </c>
      <c r="D1407" s="13" t="s">
        <v>2207</v>
      </c>
      <c r="F1407" s="13" t="s">
        <v>2215</v>
      </c>
      <c r="G1407" s="13">
        <v>75.95</v>
      </c>
      <c r="H1407" s="44">
        <v>0</v>
      </c>
      <c r="I1407" s="13">
        <v>75.95</v>
      </c>
      <c r="J1407" s="24">
        <v>45875</v>
      </c>
      <c r="K1407" s="25">
        <v>14</v>
      </c>
      <c r="L1407" s="25">
        <v>2.9804347826086954</v>
      </c>
      <c r="M1407" s="13" t="b">
        <v>0</v>
      </c>
      <c r="O1407" s="25">
        <f t="shared" si="84"/>
        <v>27</v>
      </c>
      <c r="P1407" s="13">
        <f t="shared" si="85"/>
        <v>0</v>
      </c>
      <c r="Q1407" s="13" t="str">
        <f t="shared" si="86"/>
        <v/>
      </c>
      <c r="R1407" s="13" t="str">
        <f t="shared" si="87"/>
        <v>Non diskon</v>
      </c>
    </row>
    <row r="1408" spans="1:18" x14ac:dyDescent="0.25">
      <c r="A1408" s="13" t="s">
        <v>1420</v>
      </c>
      <c r="B1408" s="13" t="s">
        <v>2192</v>
      </c>
      <c r="C1408" s="13" t="s">
        <v>2200</v>
      </c>
      <c r="D1408" s="13" t="s">
        <v>2204</v>
      </c>
      <c r="F1408" s="13" t="s">
        <v>2220</v>
      </c>
      <c r="G1408" s="13">
        <v>79.040000000000006</v>
      </c>
      <c r="H1408" s="44">
        <v>0</v>
      </c>
      <c r="I1408" s="13">
        <v>79.040000000000006</v>
      </c>
      <c r="J1408" s="24">
        <v>45568</v>
      </c>
      <c r="K1408" s="25">
        <v>28</v>
      </c>
      <c r="L1408" s="25">
        <v>4.7</v>
      </c>
      <c r="M1408" s="13" t="b">
        <v>0</v>
      </c>
      <c r="O1408" s="25">
        <f t="shared" si="84"/>
        <v>334</v>
      </c>
      <c r="P1408" s="13">
        <f t="shared" si="85"/>
        <v>0</v>
      </c>
      <c r="Q1408" s="13" t="str">
        <f t="shared" si="86"/>
        <v/>
      </c>
      <c r="R1408" s="13" t="str">
        <f t="shared" si="87"/>
        <v>Non diskon</v>
      </c>
    </row>
    <row r="1409" spans="1:18" x14ac:dyDescent="0.25">
      <c r="A1409" s="13" t="s">
        <v>1421</v>
      </c>
      <c r="B1409" s="13" t="s">
        <v>2191</v>
      </c>
      <c r="C1409" s="13" t="s">
        <v>2199</v>
      </c>
      <c r="D1409" s="13" t="s">
        <v>2206</v>
      </c>
      <c r="E1409" s="13" t="s">
        <v>2209</v>
      </c>
      <c r="F1409" s="13" t="s">
        <v>2217</v>
      </c>
      <c r="G1409" s="13">
        <v>26.85</v>
      </c>
      <c r="H1409" s="44">
        <v>0</v>
      </c>
      <c r="I1409" s="13">
        <v>26.85</v>
      </c>
      <c r="J1409" s="24">
        <v>45875</v>
      </c>
      <c r="K1409" s="25">
        <v>26</v>
      </c>
      <c r="L1409" s="25">
        <v>2.9742857142857138</v>
      </c>
      <c r="M1409" s="13" t="b">
        <v>0</v>
      </c>
      <c r="O1409" s="25">
        <f t="shared" si="84"/>
        <v>27</v>
      </c>
      <c r="P1409" s="13">
        <f t="shared" si="85"/>
        <v>0</v>
      </c>
      <c r="Q1409" s="13" t="str">
        <f t="shared" si="86"/>
        <v/>
      </c>
      <c r="R1409" s="13" t="str">
        <f t="shared" si="87"/>
        <v>Non diskon</v>
      </c>
    </row>
    <row r="1410" spans="1:18" x14ac:dyDescent="0.25">
      <c r="A1410" s="13" t="s">
        <v>1422</v>
      </c>
      <c r="B1410" s="13" t="s">
        <v>2195</v>
      </c>
      <c r="C1410" s="13" t="s">
        <v>2201</v>
      </c>
      <c r="D1410" s="13" t="s">
        <v>2204</v>
      </c>
      <c r="E1410" s="13" t="s">
        <v>2209</v>
      </c>
      <c r="F1410" s="13" t="s">
        <v>2218</v>
      </c>
      <c r="G1410" s="13">
        <v>126.21</v>
      </c>
      <c r="H1410" s="44">
        <v>29.2</v>
      </c>
      <c r="I1410" s="13">
        <v>89.36</v>
      </c>
      <c r="J1410" s="24">
        <v>45519</v>
      </c>
      <c r="K1410" s="25">
        <v>25</v>
      </c>
      <c r="L1410" s="25">
        <v>1.1000000000000001</v>
      </c>
      <c r="M1410" s="13" t="b">
        <v>0</v>
      </c>
      <c r="O1410" s="25">
        <f t="shared" si="84"/>
        <v>383</v>
      </c>
      <c r="P1410" s="13">
        <f t="shared" si="85"/>
        <v>730</v>
      </c>
      <c r="Q1410" s="13" t="str">
        <f t="shared" si="86"/>
        <v/>
      </c>
      <c r="R1410" s="13" t="str">
        <f t="shared" si="87"/>
        <v>Diskon</v>
      </c>
    </row>
    <row r="1411" spans="1:18" x14ac:dyDescent="0.25">
      <c r="A1411" s="13" t="s">
        <v>1423</v>
      </c>
      <c r="B1411" s="13" t="s">
        <v>2193</v>
      </c>
      <c r="C1411" s="13" t="s">
        <v>2199</v>
      </c>
      <c r="D1411" s="13" t="s">
        <v>2206</v>
      </c>
      <c r="E1411" s="13" t="s">
        <v>2210</v>
      </c>
      <c r="F1411" s="13" t="s">
        <v>2222</v>
      </c>
      <c r="G1411" s="13">
        <v>71.459999999999994</v>
      </c>
      <c r="H1411" s="44">
        <v>0</v>
      </c>
      <c r="I1411" s="13">
        <v>71.459999999999994</v>
      </c>
      <c r="J1411" s="24">
        <v>45875</v>
      </c>
      <c r="K1411" s="25">
        <v>2</v>
      </c>
      <c r="L1411" s="25">
        <v>3.1</v>
      </c>
      <c r="M1411" s="13" t="b">
        <v>0</v>
      </c>
      <c r="O1411" s="25">
        <f t="shared" ref="O1411:O1474" si="88">DATE(2025,9,2)-J1411</f>
        <v>27</v>
      </c>
      <c r="P1411" s="13">
        <f t="shared" ref="P1411:P1474" si="89">H1411*K1411</f>
        <v>0</v>
      </c>
      <c r="Q1411" s="13" t="str">
        <f t="shared" ref="Q1411:Q1474" si="90">IF(M1411=FALSE,"",1)</f>
        <v/>
      </c>
      <c r="R1411" s="13" t="str">
        <f t="shared" ref="R1411:R1474" si="91">IF(H1411=0,"Non diskon","Diskon")</f>
        <v>Non diskon</v>
      </c>
    </row>
    <row r="1412" spans="1:18" x14ac:dyDescent="0.25">
      <c r="A1412" s="13" t="s">
        <v>1424</v>
      </c>
      <c r="B1412" s="13" t="s">
        <v>2195</v>
      </c>
      <c r="C1412" s="13" t="s">
        <v>2199</v>
      </c>
      <c r="D1412" s="13" t="s">
        <v>2205</v>
      </c>
      <c r="E1412" s="13" t="s">
        <v>2213</v>
      </c>
      <c r="F1412" s="13" t="s">
        <v>2221</v>
      </c>
      <c r="G1412" s="13">
        <v>65.069999999999993</v>
      </c>
      <c r="H1412" s="44">
        <v>14.8</v>
      </c>
      <c r="I1412" s="13">
        <v>55.44</v>
      </c>
      <c r="J1412" s="24">
        <v>45875</v>
      </c>
      <c r="K1412" s="25">
        <v>21</v>
      </c>
      <c r="L1412" s="25">
        <v>2.8372093023255811</v>
      </c>
      <c r="M1412" s="13" t="b">
        <v>0</v>
      </c>
      <c r="O1412" s="25">
        <f t="shared" si="88"/>
        <v>27</v>
      </c>
      <c r="P1412" s="13">
        <f t="shared" si="89"/>
        <v>310.8</v>
      </c>
      <c r="Q1412" s="13" t="str">
        <f t="shared" si="90"/>
        <v/>
      </c>
      <c r="R1412" s="13" t="str">
        <f t="shared" si="91"/>
        <v>Diskon</v>
      </c>
    </row>
    <row r="1413" spans="1:18" x14ac:dyDescent="0.25">
      <c r="A1413" s="13" t="s">
        <v>1425</v>
      </c>
      <c r="B1413" s="13" t="s">
        <v>2194</v>
      </c>
      <c r="C1413" s="13" t="s">
        <v>2199</v>
      </c>
      <c r="D1413" s="13" t="s">
        <v>2206</v>
      </c>
      <c r="E1413" s="13" t="s">
        <v>2208</v>
      </c>
      <c r="F1413" s="13" t="s">
        <v>2215</v>
      </c>
      <c r="G1413" s="13">
        <v>28.11</v>
      </c>
      <c r="H1413" s="44">
        <v>20.9</v>
      </c>
      <c r="I1413" s="13">
        <v>22.24</v>
      </c>
      <c r="J1413" s="24">
        <v>45875</v>
      </c>
      <c r="K1413" s="25">
        <v>6</v>
      </c>
      <c r="L1413" s="25">
        <v>2.2999999999999998</v>
      </c>
      <c r="M1413" s="13" t="b">
        <v>0</v>
      </c>
      <c r="O1413" s="25">
        <f t="shared" si="88"/>
        <v>27</v>
      </c>
      <c r="P1413" s="13">
        <f t="shared" si="89"/>
        <v>125.39999999999999</v>
      </c>
      <c r="Q1413" s="13" t="str">
        <f t="shared" si="90"/>
        <v/>
      </c>
      <c r="R1413" s="13" t="str">
        <f t="shared" si="91"/>
        <v>Diskon</v>
      </c>
    </row>
    <row r="1414" spans="1:18" x14ac:dyDescent="0.25">
      <c r="A1414" s="13" t="s">
        <v>1426</v>
      </c>
      <c r="B1414" s="13" t="s">
        <v>2191</v>
      </c>
      <c r="C1414" s="13" t="s">
        <v>2200</v>
      </c>
      <c r="D1414" s="13" t="s">
        <v>2204</v>
      </c>
      <c r="E1414" s="13" t="s">
        <v>2209</v>
      </c>
      <c r="F1414" s="13" t="s">
        <v>2220</v>
      </c>
      <c r="G1414" s="13">
        <v>29.12</v>
      </c>
      <c r="H1414" s="44">
        <v>0</v>
      </c>
      <c r="I1414" s="13">
        <v>29.12</v>
      </c>
      <c r="J1414" s="24">
        <v>45741</v>
      </c>
      <c r="K1414" s="25">
        <v>14</v>
      </c>
      <c r="L1414" s="25">
        <v>2.7</v>
      </c>
      <c r="M1414" s="13" t="b">
        <v>0</v>
      </c>
      <c r="O1414" s="25">
        <f t="shared" si="88"/>
        <v>161</v>
      </c>
      <c r="P1414" s="13">
        <f t="shared" si="89"/>
        <v>0</v>
      </c>
      <c r="Q1414" s="13" t="str">
        <f t="shared" si="90"/>
        <v/>
      </c>
      <c r="R1414" s="13" t="str">
        <f t="shared" si="91"/>
        <v>Non diskon</v>
      </c>
    </row>
    <row r="1415" spans="1:18" x14ac:dyDescent="0.25">
      <c r="A1415" s="13" t="s">
        <v>1427</v>
      </c>
      <c r="B1415" s="13" t="s">
        <v>2192</v>
      </c>
      <c r="C1415" s="13" t="s">
        <v>2203</v>
      </c>
      <c r="D1415" s="13" t="s">
        <v>2205</v>
      </c>
      <c r="F1415" s="13" t="s">
        <v>2216</v>
      </c>
      <c r="G1415" s="13">
        <v>57.1</v>
      </c>
      <c r="H1415" s="44">
        <v>0</v>
      </c>
      <c r="I1415" s="13">
        <v>57.1</v>
      </c>
      <c r="J1415" s="24">
        <v>45875</v>
      </c>
      <c r="K1415" s="25">
        <v>28</v>
      </c>
      <c r="L1415" s="25">
        <v>2.8636363636363633</v>
      </c>
      <c r="M1415" s="13" t="b">
        <v>1</v>
      </c>
      <c r="N1415" s="13" t="s">
        <v>2230</v>
      </c>
      <c r="O1415" s="25">
        <f t="shared" si="88"/>
        <v>27</v>
      </c>
      <c r="P1415" s="13">
        <f t="shared" si="89"/>
        <v>0</v>
      </c>
      <c r="Q1415" s="13">
        <f t="shared" si="90"/>
        <v>1</v>
      </c>
      <c r="R1415" s="13" t="str">
        <f t="shared" si="91"/>
        <v>Non diskon</v>
      </c>
    </row>
    <row r="1416" spans="1:18" x14ac:dyDescent="0.25">
      <c r="A1416" s="13" t="s">
        <v>1428</v>
      </c>
      <c r="B1416" s="13" t="s">
        <v>2190</v>
      </c>
      <c r="C1416" s="13" t="s">
        <v>2197</v>
      </c>
      <c r="D1416" s="13" t="s">
        <v>2204</v>
      </c>
      <c r="E1416" s="13" t="s">
        <v>2213</v>
      </c>
      <c r="F1416" s="13" t="s">
        <v>2216</v>
      </c>
      <c r="G1416" s="13">
        <v>248.05</v>
      </c>
      <c r="H1416" s="44">
        <v>0</v>
      </c>
      <c r="I1416" s="13">
        <v>248.05</v>
      </c>
      <c r="J1416" s="24">
        <v>45776</v>
      </c>
      <c r="K1416" s="25">
        <v>17</v>
      </c>
      <c r="L1416" s="25">
        <v>4.5999999999999996</v>
      </c>
      <c r="M1416" s="13" t="b">
        <v>0</v>
      </c>
      <c r="O1416" s="25">
        <f t="shared" si="88"/>
        <v>126</v>
      </c>
      <c r="P1416" s="13">
        <f t="shared" si="89"/>
        <v>0</v>
      </c>
      <c r="Q1416" s="13" t="str">
        <f t="shared" si="90"/>
        <v/>
      </c>
      <c r="R1416" s="13" t="str">
        <f t="shared" si="91"/>
        <v>Non diskon</v>
      </c>
    </row>
    <row r="1417" spans="1:18" x14ac:dyDescent="0.25">
      <c r="A1417" s="13" t="s">
        <v>1429</v>
      </c>
      <c r="B1417" s="13" t="s">
        <v>2194</v>
      </c>
      <c r="C1417" s="13" t="s">
        <v>2196</v>
      </c>
      <c r="D1417" s="13" t="s">
        <v>2206</v>
      </c>
      <c r="E1417" s="13" t="s">
        <v>2210</v>
      </c>
      <c r="F1417" s="13" t="s">
        <v>2218</v>
      </c>
      <c r="G1417" s="13">
        <v>108.59</v>
      </c>
      <c r="H1417" s="44">
        <v>40.6</v>
      </c>
      <c r="I1417" s="13">
        <v>64.5</v>
      </c>
      <c r="J1417" s="24">
        <v>45875</v>
      </c>
      <c r="K1417" s="25">
        <v>9</v>
      </c>
      <c r="L1417" s="25">
        <v>1.3</v>
      </c>
      <c r="M1417" s="13" t="b">
        <v>0</v>
      </c>
      <c r="O1417" s="25">
        <f t="shared" si="88"/>
        <v>27</v>
      </c>
      <c r="P1417" s="13">
        <f t="shared" si="89"/>
        <v>365.40000000000003</v>
      </c>
      <c r="Q1417" s="13" t="str">
        <f t="shared" si="90"/>
        <v/>
      </c>
      <c r="R1417" s="13" t="str">
        <f t="shared" si="91"/>
        <v>Diskon</v>
      </c>
    </row>
    <row r="1418" spans="1:18" x14ac:dyDescent="0.25">
      <c r="A1418" s="13" t="s">
        <v>1430</v>
      </c>
      <c r="B1418" s="13" t="s">
        <v>2190</v>
      </c>
      <c r="C1418" s="13" t="s">
        <v>2203</v>
      </c>
      <c r="D1418" s="13" t="s">
        <v>2207</v>
      </c>
      <c r="E1418" s="13" t="s">
        <v>2208</v>
      </c>
      <c r="F1418" s="13" t="s">
        <v>2221</v>
      </c>
      <c r="G1418" s="13">
        <v>124.13</v>
      </c>
      <c r="H1418" s="44">
        <v>0</v>
      </c>
      <c r="I1418" s="13">
        <v>124.13</v>
      </c>
      <c r="J1418" s="24">
        <v>45875</v>
      </c>
      <c r="K1418" s="25">
        <v>33</v>
      </c>
      <c r="L1418" s="25">
        <v>5</v>
      </c>
      <c r="M1418" s="13" t="b">
        <v>0</v>
      </c>
      <c r="O1418" s="25">
        <f t="shared" si="88"/>
        <v>27</v>
      </c>
      <c r="P1418" s="13">
        <f t="shared" si="89"/>
        <v>0</v>
      </c>
      <c r="Q1418" s="13" t="str">
        <f t="shared" si="90"/>
        <v/>
      </c>
      <c r="R1418" s="13" t="str">
        <f t="shared" si="91"/>
        <v>Non diskon</v>
      </c>
    </row>
    <row r="1419" spans="1:18" x14ac:dyDescent="0.25">
      <c r="A1419" s="13" t="s">
        <v>1431</v>
      </c>
      <c r="B1419" s="13" t="s">
        <v>2192</v>
      </c>
      <c r="C1419" s="13" t="s">
        <v>2196</v>
      </c>
      <c r="D1419" s="13" t="s">
        <v>2204</v>
      </c>
      <c r="F1419" s="13" t="s">
        <v>2224</v>
      </c>
      <c r="G1419" s="13">
        <v>62.21</v>
      </c>
      <c r="H1419" s="44">
        <v>1.8</v>
      </c>
      <c r="I1419" s="13">
        <v>61.09</v>
      </c>
      <c r="J1419" s="24">
        <v>45599</v>
      </c>
      <c r="K1419" s="25">
        <v>4</v>
      </c>
      <c r="L1419" s="25">
        <v>2.2999999999999998</v>
      </c>
      <c r="M1419" s="13" t="b">
        <v>0</v>
      </c>
      <c r="O1419" s="25">
        <f t="shared" si="88"/>
        <v>303</v>
      </c>
      <c r="P1419" s="13">
        <f t="shared" si="89"/>
        <v>7.2</v>
      </c>
      <c r="Q1419" s="13" t="str">
        <f t="shared" si="90"/>
        <v/>
      </c>
      <c r="R1419" s="13" t="str">
        <f t="shared" si="91"/>
        <v>Diskon</v>
      </c>
    </row>
    <row r="1420" spans="1:18" x14ac:dyDescent="0.25">
      <c r="A1420" s="13" t="s">
        <v>1432</v>
      </c>
      <c r="B1420" s="13" t="s">
        <v>2194</v>
      </c>
      <c r="C1420" s="13" t="s">
        <v>2197</v>
      </c>
      <c r="D1420" s="13" t="s">
        <v>2206</v>
      </c>
      <c r="E1420" s="13" t="s">
        <v>2213</v>
      </c>
      <c r="F1420" s="13" t="s">
        <v>2218</v>
      </c>
      <c r="G1420" s="13">
        <v>48.27</v>
      </c>
      <c r="H1420" s="44">
        <v>0</v>
      </c>
      <c r="I1420" s="13">
        <v>48.27</v>
      </c>
      <c r="J1420" s="24">
        <v>45875</v>
      </c>
      <c r="K1420" s="25">
        <v>33</v>
      </c>
      <c r="L1420" s="25">
        <v>3.0846153846153843</v>
      </c>
      <c r="M1420" s="13" t="b">
        <v>0</v>
      </c>
      <c r="O1420" s="25">
        <f t="shared" si="88"/>
        <v>27</v>
      </c>
      <c r="P1420" s="13">
        <f t="shared" si="89"/>
        <v>0</v>
      </c>
      <c r="Q1420" s="13" t="str">
        <f t="shared" si="90"/>
        <v/>
      </c>
      <c r="R1420" s="13" t="str">
        <f t="shared" si="91"/>
        <v>Non diskon</v>
      </c>
    </row>
    <row r="1421" spans="1:18" x14ac:dyDescent="0.25">
      <c r="A1421" s="13" t="s">
        <v>1433</v>
      </c>
      <c r="B1421" s="13" t="s">
        <v>2191</v>
      </c>
      <c r="C1421" s="13" t="s">
        <v>2196</v>
      </c>
      <c r="D1421" s="13" t="s">
        <v>2204</v>
      </c>
      <c r="E1421" s="13" t="s">
        <v>2208</v>
      </c>
      <c r="F1421" s="13" t="s">
        <v>2219</v>
      </c>
      <c r="G1421" s="13">
        <v>88.77</v>
      </c>
      <c r="H1421" s="44">
        <v>0</v>
      </c>
      <c r="I1421" s="13">
        <v>88.77</v>
      </c>
      <c r="J1421" s="24">
        <v>45793</v>
      </c>
      <c r="K1421" s="25">
        <v>40</v>
      </c>
      <c r="L1421" s="25">
        <v>4.8</v>
      </c>
      <c r="M1421" s="13" t="b">
        <v>0</v>
      </c>
      <c r="O1421" s="25">
        <f t="shared" si="88"/>
        <v>109</v>
      </c>
      <c r="P1421" s="13">
        <f t="shared" si="89"/>
        <v>0</v>
      </c>
      <c r="Q1421" s="13" t="str">
        <f t="shared" si="90"/>
        <v/>
      </c>
      <c r="R1421" s="13" t="str">
        <f t="shared" si="91"/>
        <v>Non diskon</v>
      </c>
    </row>
    <row r="1422" spans="1:18" x14ac:dyDescent="0.25">
      <c r="A1422" s="13" t="s">
        <v>1434</v>
      </c>
      <c r="B1422" s="13" t="s">
        <v>2195</v>
      </c>
      <c r="C1422" s="13" t="s">
        <v>2202</v>
      </c>
      <c r="D1422" s="13" t="s">
        <v>2206</v>
      </c>
      <c r="E1422" s="13" t="s">
        <v>2213</v>
      </c>
      <c r="F1422" s="13" t="s">
        <v>2222</v>
      </c>
      <c r="G1422" s="13">
        <v>94.17</v>
      </c>
      <c r="H1422" s="44">
        <v>0</v>
      </c>
      <c r="I1422" s="13">
        <v>94.17</v>
      </c>
      <c r="J1422" s="24">
        <v>45875</v>
      </c>
      <c r="K1422" s="25">
        <v>2</v>
      </c>
      <c r="L1422" s="25">
        <v>2.980952380952381</v>
      </c>
      <c r="M1422" s="13" t="b">
        <v>0</v>
      </c>
      <c r="O1422" s="25">
        <f t="shared" si="88"/>
        <v>27</v>
      </c>
      <c r="P1422" s="13">
        <f t="shared" si="89"/>
        <v>0</v>
      </c>
      <c r="Q1422" s="13" t="str">
        <f t="shared" si="90"/>
        <v/>
      </c>
      <c r="R1422" s="13" t="str">
        <f t="shared" si="91"/>
        <v>Non diskon</v>
      </c>
    </row>
    <row r="1423" spans="1:18" x14ac:dyDescent="0.25">
      <c r="A1423" s="13" t="s">
        <v>1435</v>
      </c>
      <c r="B1423" s="13" t="s">
        <v>2192</v>
      </c>
      <c r="C1423" s="13" t="s">
        <v>2203</v>
      </c>
      <c r="D1423" s="13" t="s">
        <v>2206</v>
      </c>
      <c r="F1423" s="13" t="s">
        <v>2216</v>
      </c>
      <c r="G1423" s="13">
        <v>30.44</v>
      </c>
      <c r="H1423" s="44">
        <v>0</v>
      </c>
      <c r="I1423" s="13">
        <v>30.44</v>
      </c>
      <c r="J1423" s="24">
        <v>45875</v>
      </c>
      <c r="K1423" s="25">
        <v>42</v>
      </c>
      <c r="L1423" s="25">
        <v>2.8636363636363633</v>
      </c>
      <c r="M1423" s="13" t="b">
        <v>0</v>
      </c>
      <c r="O1423" s="25">
        <f t="shared" si="88"/>
        <v>27</v>
      </c>
      <c r="P1423" s="13">
        <f t="shared" si="89"/>
        <v>0</v>
      </c>
      <c r="Q1423" s="13" t="str">
        <f t="shared" si="90"/>
        <v/>
      </c>
      <c r="R1423" s="13" t="str">
        <f t="shared" si="91"/>
        <v>Non diskon</v>
      </c>
    </row>
    <row r="1424" spans="1:18" x14ac:dyDescent="0.25">
      <c r="A1424" s="13" t="s">
        <v>1436</v>
      </c>
      <c r="B1424" s="13" t="s">
        <v>2194</v>
      </c>
      <c r="C1424" s="13" t="s">
        <v>2197</v>
      </c>
      <c r="D1424" s="13" t="s">
        <v>2206</v>
      </c>
      <c r="E1424" s="13" t="s">
        <v>2212</v>
      </c>
      <c r="F1424" s="13" t="s">
        <v>2223</v>
      </c>
      <c r="G1424" s="13">
        <v>114.29</v>
      </c>
      <c r="H1424" s="44">
        <v>0</v>
      </c>
      <c r="I1424" s="13">
        <v>114.29</v>
      </c>
      <c r="J1424" s="24">
        <v>45875</v>
      </c>
      <c r="K1424" s="25">
        <v>9</v>
      </c>
      <c r="L1424" s="25">
        <v>3.2</v>
      </c>
      <c r="M1424" s="13" t="b">
        <v>0</v>
      </c>
      <c r="O1424" s="25">
        <f t="shared" si="88"/>
        <v>27</v>
      </c>
      <c r="P1424" s="13">
        <f t="shared" si="89"/>
        <v>0</v>
      </c>
      <c r="Q1424" s="13" t="str">
        <f t="shared" si="90"/>
        <v/>
      </c>
      <c r="R1424" s="13" t="str">
        <f t="shared" si="91"/>
        <v>Non diskon</v>
      </c>
    </row>
    <row r="1425" spans="1:18" x14ac:dyDescent="0.25">
      <c r="A1425" s="13" t="s">
        <v>1437</v>
      </c>
      <c r="B1425" s="13" t="s">
        <v>2193</v>
      </c>
      <c r="C1425" s="13" t="s">
        <v>2197</v>
      </c>
      <c r="D1425" s="13" t="s">
        <v>2206</v>
      </c>
      <c r="E1425" s="13" t="s">
        <v>2208</v>
      </c>
      <c r="F1425" s="13" t="s">
        <v>2218</v>
      </c>
      <c r="G1425" s="13">
        <v>105.01</v>
      </c>
      <c r="H1425" s="44">
        <v>25.8</v>
      </c>
      <c r="I1425" s="13">
        <v>77.92</v>
      </c>
      <c r="J1425" s="24">
        <v>45875</v>
      </c>
      <c r="K1425" s="25">
        <v>17</v>
      </c>
      <c r="L1425" s="25">
        <v>3.2</v>
      </c>
      <c r="M1425" s="13" t="b">
        <v>0</v>
      </c>
      <c r="O1425" s="25">
        <f t="shared" si="88"/>
        <v>27</v>
      </c>
      <c r="P1425" s="13">
        <f t="shared" si="89"/>
        <v>438.6</v>
      </c>
      <c r="Q1425" s="13" t="str">
        <f t="shared" si="90"/>
        <v/>
      </c>
      <c r="R1425" s="13" t="str">
        <f t="shared" si="91"/>
        <v>Diskon</v>
      </c>
    </row>
    <row r="1426" spans="1:18" x14ac:dyDescent="0.25">
      <c r="A1426" s="13" t="s">
        <v>1438</v>
      </c>
      <c r="B1426" s="13" t="s">
        <v>2191</v>
      </c>
      <c r="C1426" s="13" t="s">
        <v>2201</v>
      </c>
      <c r="D1426" s="13" t="s">
        <v>2204</v>
      </c>
      <c r="E1426" s="13" t="s">
        <v>2208</v>
      </c>
      <c r="F1426" s="13" t="s">
        <v>2219</v>
      </c>
      <c r="G1426" s="13">
        <v>38.56</v>
      </c>
      <c r="H1426" s="44">
        <v>0</v>
      </c>
      <c r="I1426" s="13">
        <v>38.56</v>
      </c>
      <c r="J1426" s="24">
        <v>45807</v>
      </c>
      <c r="K1426" s="25">
        <v>39</v>
      </c>
      <c r="L1426" s="25">
        <v>1.5</v>
      </c>
      <c r="M1426" s="13" t="b">
        <v>0</v>
      </c>
      <c r="O1426" s="25">
        <f t="shared" si="88"/>
        <v>95</v>
      </c>
      <c r="P1426" s="13">
        <f t="shared" si="89"/>
        <v>0</v>
      </c>
      <c r="Q1426" s="13" t="str">
        <f t="shared" si="90"/>
        <v/>
      </c>
      <c r="R1426" s="13" t="str">
        <f t="shared" si="91"/>
        <v>Non diskon</v>
      </c>
    </row>
    <row r="1427" spans="1:18" x14ac:dyDescent="0.25">
      <c r="A1427" s="13" t="s">
        <v>1439</v>
      </c>
      <c r="B1427" s="13" t="s">
        <v>2193</v>
      </c>
      <c r="C1427" s="13" t="s">
        <v>2199</v>
      </c>
      <c r="D1427" s="13" t="s">
        <v>2205</v>
      </c>
      <c r="E1427" s="13" t="s">
        <v>2209</v>
      </c>
      <c r="F1427" s="13" t="s">
        <v>2223</v>
      </c>
      <c r="G1427" s="13">
        <v>64.94</v>
      </c>
      <c r="H1427" s="44">
        <v>0</v>
      </c>
      <c r="I1427" s="13">
        <v>64.94</v>
      </c>
      <c r="J1427" s="24">
        <v>45875</v>
      </c>
      <c r="K1427" s="25">
        <v>32</v>
      </c>
      <c r="L1427" s="25">
        <v>4.5</v>
      </c>
      <c r="M1427" s="13" t="b">
        <v>0</v>
      </c>
      <c r="O1427" s="25">
        <f t="shared" si="88"/>
        <v>27</v>
      </c>
      <c r="P1427" s="13">
        <f t="shared" si="89"/>
        <v>0</v>
      </c>
      <c r="Q1427" s="13" t="str">
        <f t="shared" si="90"/>
        <v/>
      </c>
      <c r="R1427" s="13" t="str">
        <f t="shared" si="91"/>
        <v>Non diskon</v>
      </c>
    </row>
    <row r="1428" spans="1:18" x14ac:dyDescent="0.25">
      <c r="A1428" s="13" t="s">
        <v>1440</v>
      </c>
      <c r="B1428" s="13" t="s">
        <v>2194</v>
      </c>
      <c r="C1428" s="13" t="s">
        <v>2199</v>
      </c>
      <c r="D1428" s="13" t="s">
        <v>2205</v>
      </c>
      <c r="E1428" s="13" t="s">
        <v>2210</v>
      </c>
      <c r="F1428" s="13" t="s">
        <v>2220</v>
      </c>
      <c r="G1428" s="13">
        <v>63.74</v>
      </c>
      <c r="H1428" s="44">
        <v>56.8</v>
      </c>
      <c r="I1428" s="13">
        <v>27.54</v>
      </c>
      <c r="J1428" s="24">
        <v>45875</v>
      </c>
      <c r="K1428" s="25">
        <v>15</v>
      </c>
      <c r="L1428" s="25">
        <v>4</v>
      </c>
      <c r="M1428" s="13" t="b">
        <v>0</v>
      </c>
      <c r="O1428" s="25">
        <f t="shared" si="88"/>
        <v>27</v>
      </c>
      <c r="P1428" s="13">
        <f t="shared" si="89"/>
        <v>852</v>
      </c>
      <c r="Q1428" s="13" t="str">
        <f t="shared" si="90"/>
        <v/>
      </c>
      <c r="R1428" s="13" t="str">
        <f t="shared" si="91"/>
        <v>Diskon</v>
      </c>
    </row>
    <row r="1429" spans="1:18" x14ac:dyDescent="0.25">
      <c r="A1429" s="13" t="s">
        <v>1441</v>
      </c>
      <c r="B1429" s="13" t="s">
        <v>2191</v>
      </c>
      <c r="C1429" s="13" t="s">
        <v>2196</v>
      </c>
      <c r="D1429" s="13" t="s">
        <v>2207</v>
      </c>
      <c r="E1429" s="13" t="s">
        <v>2208</v>
      </c>
      <c r="F1429" s="13" t="s">
        <v>2215</v>
      </c>
      <c r="G1429" s="13">
        <v>67.23</v>
      </c>
      <c r="H1429" s="44">
        <v>11.1</v>
      </c>
      <c r="I1429" s="13">
        <v>59.77</v>
      </c>
      <c r="J1429" s="24">
        <v>45875</v>
      </c>
      <c r="K1429" s="25">
        <v>39</v>
      </c>
      <c r="L1429" s="25">
        <v>1.1000000000000001</v>
      </c>
      <c r="M1429" s="13" t="b">
        <v>1</v>
      </c>
      <c r="N1429" s="13" t="s">
        <v>2230</v>
      </c>
      <c r="O1429" s="25">
        <f t="shared" si="88"/>
        <v>27</v>
      </c>
      <c r="P1429" s="13">
        <f t="shared" si="89"/>
        <v>432.9</v>
      </c>
      <c r="Q1429" s="13">
        <f t="shared" si="90"/>
        <v>1</v>
      </c>
      <c r="R1429" s="13" t="str">
        <f t="shared" si="91"/>
        <v>Diskon</v>
      </c>
    </row>
    <row r="1430" spans="1:18" x14ac:dyDescent="0.25">
      <c r="A1430" s="13" t="s">
        <v>1442</v>
      </c>
      <c r="B1430" s="13" t="s">
        <v>2192</v>
      </c>
      <c r="C1430" s="13" t="s">
        <v>2200</v>
      </c>
      <c r="D1430" s="13" t="s">
        <v>2204</v>
      </c>
      <c r="F1430" s="13" t="s">
        <v>2219</v>
      </c>
      <c r="G1430" s="13">
        <v>27.2</v>
      </c>
      <c r="H1430" s="44">
        <v>40.4</v>
      </c>
      <c r="I1430" s="13">
        <v>16.21</v>
      </c>
      <c r="J1430" s="24">
        <v>45523</v>
      </c>
      <c r="K1430" s="25">
        <v>20</v>
      </c>
      <c r="L1430" s="25">
        <v>4.3</v>
      </c>
      <c r="M1430" s="13" t="b">
        <v>0</v>
      </c>
      <c r="O1430" s="25">
        <f t="shared" si="88"/>
        <v>379</v>
      </c>
      <c r="P1430" s="13">
        <f t="shared" si="89"/>
        <v>808</v>
      </c>
      <c r="Q1430" s="13" t="str">
        <f t="shared" si="90"/>
        <v/>
      </c>
      <c r="R1430" s="13" t="str">
        <f t="shared" si="91"/>
        <v>Diskon</v>
      </c>
    </row>
    <row r="1431" spans="1:18" x14ac:dyDescent="0.25">
      <c r="A1431" s="13" t="s">
        <v>1443</v>
      </c>
      <c r="B1431" s="13" t="s">
        <v>2191</v>
      </c>
      <c r="C1431" s="13" t="s">
        <v>2199</v>
      </c>
      <c r="D1431" s="13" t="s">
        <v>2204</v>
      </c>
      <c r="E1431" s="13" t="s">
        <v>2208</v>
      </c>
      <c r="F1431" s="13" t="s">
        <v>2224</v>
      </c>
      <c r="G1431" s="13">
        <v>75.84</v>
      </c>
      <c r="H1431" s="44">
        <v>0</v>
      </c>
      <c r="I1431" s="13">
        <v>75.84</v>
      </c>
      <c r="J1431" s="24">
        <v>45754</v>
      </c>
      <c r="K1431" s="25">
        <v>8</v>
      </c>
      <c r="L1431" s="25">
        <v>4.0999999999999996</v>
      </c>
      <c r="M1431" s="13" t="b">
        <v>0</v>
      </c>
      <c r="O1431" s="25">
        <f t="shared" si="88"/>
        <v>148</v>
      </c>
      <c r="P1431" s="13">
        <f t="shared" si="89"/>
        <v>0</v>
      </c>
      <c r="Q1431" s="13" t="str">
        <f t="shared" si="90"/>
        <v/>
      </c>
      <c r="R1431" s="13" t="str">
        <f t="shared" si="91"/>
        <v>Non diskon</v>
      </c>
    </row>
    <row r="1432" spans="1:18" x14ac:dyDescent="0.25">
      <c r="A1432" s="13" t="s">
        <v>1444</v>
      </c>
      <c r="B1432" s="13" t="s">
        <v>2195</v>
      </c>
      <c r="C1432" s="13" t="s">
        <v>2199</v>
      </c>
      <c r="D1432" s="13" t="s">
        <v>2205</v>
      </c>
      <c r="E1432" s="13" t="s">
        <v>2213</v>
      </c>
      <c r="F1432" s="13" t="s">
        <v>2222</v>
      </c>
      <c r="G1432" s="13">
        <v>68.510000000000005</v>
      </c>
      <c r="H1432" s="44">
        <v>0</v>
      </c>
      <c r="I1432" s="13">
        <v>68.510000000000005</v>
      </c>
      <c r="J1432" s="24">
        <v>45875</v>
      </c>
      <c r="K1432" s="25">
        <v>1</v>
      </c>
      <c r="L1432" s="25">
        <v>2.6</v>
      </c>
      <c r="M1432" s="13" t="b">
        <v>0</v>
      </c>
      <c r="O1432" s="25">
        <f t="shared" si="88"/>
        <v>27</v>
      </c>
      <c r="P1432" s="13">
        <f t="shared" si="89"/>
        <v>0</v>
      </c>
      <c r="Q1432" s="13" t="str">
        <f t="shared" si="90"/>
        <v/>
      </c>
      <c r="R1432" s="13" t="str">
        <f t="shared" si="91"/>
        <v>Non diskon</v>
      </c>
    </row>
    <row r="1433" spans="1:18" x14ac:dyDescent="0.25">
      <c r="A1433" s="13" t="s">
        <v>1445</v>
      </c>
      <c r="B1433" s="13" t="s">
        <v>2192</v>
      </c>
      <c r="C1433" s="13" t="s">
        <v>2199</v>
      </c>
      <c r="D1433" s="13" t="s">
        <v>2207</v>
      </c>
      <c r="F1433" s="13" t="s">
        <v>2223</v>
      </c>
      <c r="G1433" s="13">
        <v>25.49</v>
      </c>
      <c r="H1433" s="44">
        <v>0</v>
      </c>
      <c r="I1433" s="13">
        <v>25.49</v>
      </c>
      <c r="J1433" s="24">
        <v>45875</v>
      </c>
      <c r="K1433" s="25">
        <v>35</v>
      </c>
      <c r="L1433" s="25">
        <v>2.2000000000000002</v>
      </c>
      <c r="M1433" s="13" t="b">
        <v>1</v>
      </c>
      <c r="N1433" s="13" t="s">
        <v>2226</v>
      </c>
      <c r="O1433" s="25">
        <f t="shared" si="88"/>
        <v>27</v>
      </c>
      <c r="P1433" s="13">
        <f t="shared" si="89"/>
        <v>0</v>
      </c>
      <c r="Q1433" s="13">
        <f t="shared" si="90"/>
        <v>1</v>
      </c>
      <c r="R1433" s="13" t="str">
        <f t="shared" si="91"/>
        <v>Non diskon</v>
      </c>
    </row>
    <row r="1434" spans="1:18" x14ac:dyDescent="0.25">
      <c r="A1434" s="13" t="s">
        <v>1446</v>
      </c>
      <c r="B1434" s="13" t="s">
        <v>2191</v>
      </c>
      <c r="C1434" s="13" t="s">
        <v>2201</v>
      </c>
      <c r="D1434" s="13" t="s">
        <v>2206</v>
      </c>
      <c r="E1434" s="13" t="s">
        <v>2212</v>
      </c>
      <c r="F1434" s="13" t="s">
        <v>2214</v>
      </c>
      <c r="G1434" s="13">
        <v>70.88</v>
      </c>
      <c r="H1434" s="44">
        <v>0</v>
      </c>
      <c r="I1434" s="13">
        <v>70.88</v>
      </c>
      <c r="J1434" s="24">
        <v>45875</v>
      </c>
      <c r="K1434" s="25">
        <v>5</v>
      </c>
      <c r="L1434" s="25">
        <v>2.2999999999999998</v>
      </c>
      <c r="M1434" s="13" t="b">
        <v>0</v>
      </c>
      <c r="O1434" s="25">
        <f t="shared" si="88"/>
        <v>27</v>
      </c>
      <c r="P1434" s="13">
        <f t="shared" si="89"/>
        <v>0</v>
      </c>
      <c r="Q1434" s="13" t="str">
        <f t="shared" si="90"/>
        <v/>
      </c>
      <c r="R1434" s="13" t="str">
        <f t="shared" si="91"/>
        <v>Non diskon</v>
      </c>
    </row>
    <row r="1435" spans="1:18" x14ac:dyDescent="0.25">
      <c r="A1435" s="13" t="s">
        <v>1447</v>
      </c>
      <c r="B1435" s="13" t="s">
        <v>2193</v>
      </c>
      <c r="C1435" s="13" t="s">
        <v>2200</v>
      </c>
      <c r="D1435" s="13" t="s">
        <v>2207</v>
      </c>
      <c r="E1435" s="13" t="s">
        <v>2212</v>
      </c>
      <c r="F1435" s="13" t="s">
        <v>2217</v>
      </c>
      <c r="G1435" s="13">
        <v>176.64</v>
      </c>
      <c r="H1435" s="44">
        <v>8.8000000000000007</v>
      </c>
      <c r="I1435" s="13">
        <v>161.1</v>
      </c>
      <c r="J1435" s="24">
        <v>45875</v>
      </c>
      <c r="K1435" s="25">
        <v>1</v>
      </c>
      <c r="L1435" s="25">
        <v>1.7</v>
      </c>
      <c r="M1435" s="13" t="b">
        <v>0</v>
      </c>
      <c r="O1435" s="25">
        <f t="shared" si="88"/>
        <v>27</v>
      </c>
      <c r="P1435" s="13">
        <f t="shared" si="89"/>
        <v>8.8000000000000007</v>
      </c>
      <c r="Q1435" s="13" t="str">
        <f t="shared" si="90"/>
        <v/>
      </c>
      <c r="R1435" s="13" t="str">
        <f t="shared" si="91"/>
        <v>Diskon</v>
      </c>
    </row>
    <row r="1436" spans="1:18" x14ac:dyDescent="0.25">
      <c r="A1436" s="13" t="s">
        <v>1448</v>
      </c>
      <c r="B1436" s="13" t="s">
        <v>2195</v>
      </c>
      <c r="C1436" s="13" t="s">
        <v>2201</v>
      </c>
      <c r="D1436" s="13" t="s">
        <v>2205</v>
      </c>
      <c r="E1436" s="13" t="s">
        <v>2209</v>
      </c>
      <c r="F1436" s="13" t="s">
        <v>2214</v>
      </c>
      <c r="G1436" s="13">
        <v>50.76</v>
      </c>
      <c r="H1436" s="44">
        <v>0</v>
      </c>
      <c r="I1436" s="13">
        <v>50.76</v>
      </c>
      <c r="J1436" s="24">
        <v>45875</v>
      </c>
      <c r="K1436" s="25">
        <v>45</v>
      </c>
      <c r="L1436" s="25">
        <v>4.3</v>
      </c>
      <c r="M1436" s="13" t="b">
        <v>0</v>
      </c>
      <c r="O1436" s="25">
        <f t="shared" si="88"/>
        <v>27</v>
      </c>
      <c r="P1436" s="13">
        <f t="shared" si="89"/>
        <v>0</v>
      </c>
      <c r="Q1436" s="13" t="str">
        <f t="shared" si="90"/>
        <v/>
      </c>
      <c r="R1436" s="13" t="str">
        <f t="shared" si="91"/>
        <v>Non diskon</v>
      </c>
    </row>
    <row r="1437" spans="1:18" x14ac:dyDescent="0.25">
      <c r="A1437" s="13" t="s">
        <v>1449</v>
      </c>
      <c r="B1437" s="13" t="s">
        <v>2193</v>
      </c>
      <c r="C1437" s="13" t="s">
        <v>2199</v>
      </c>
      <c r="D1437" s="13" t="s">
        <v>2206</v>
      </c>
      <c r="E1437" s="13" t="s">
        <v>2208</v>
      </c>
      <c r="F1437" s="13" t="s">
        <v>2215</v>
      </c>
      <c r="G1437" s="13">
        <v>155.85</v>
      </c>
      <c r="H1437" s="44">
        <v>0</v>
      </c>
      <c r="I1437" s="13">
        <v>155.85</v>
      </c>
      <c r="J1437" s="24">
        <v>45875</v>
      </c>
      <c r="K1437" s="25">
        <v>1</v>
      </c>
      <c r="L1437" s="25">
        <v>3.5</v>
      </c>
      <c r="M1437" s="13" t="b">
        <v>0</v>
      </c>
      <c r="O1437" s="25">
        <f t="shared" si="88"/>
        <v>27</v>
      </c>
      <c r="P1437" s="13">
        <f t="shared" si="89"/>
        <v>0</v>
      </c>
      <c r="Q1437" s="13" t="str">
        <f t="shared" si="90"/>
        <v/>
      </c>
      <c r="R1437" s="13" t="str">
        <f t="shared" si="91"/>
        <v>Non diskon</v>
      </c>
    </row>
    <row r="1438" spans="1:18" x14ac:dyDescent="0.25">
      <c r="A1438" s="13" t="s">
        <v>1450</v>
      </c>
      <c r="B1438" s="13" t="s">
        <v>2195</v>
      </c>
      <c r="C1438" s="13" t="s">
        <v>2198</v>
      </c>
      <c r="D1438" s="13" t="s">
        <v>2204</v>
      </c>
      <c r="E1438" s="13" t="s">
        <v>2208</v>
      </c>
      <c r="F1438" s="13" t="s">
        <v>2219</v>
      </c>
      <c r="G1438" s="13">
        <v>48.04</v>
      </c>
      <c r="H1438" s="44">
        <v>0</v>
      </c>
      <c r="I1438" s="13">
        <v>48.04</v>
      </c>
      <c r="J1438" s="24">
        <v>45778</v>
      </c>
      <c r="K1438" s="25">
        <v>20</v>
      </c>
      <c r="L1438" s="25">
        <v>3.2</v>
      </c>
      <c r="M1438" s="13" t="b">
        <v>0</v>
      </c>
      <c r="O1438" s="25">
        <f t="shared" si="88"/>
        <v>124</v>
      </c>
      <c r="P1438" s="13">
        <f t="shared" si="89"/>
        <v>0</v>
      </c>
      <c r="Q1438" s="13" t="str">
        <f t="shared" si="90"/>
        <v/>
      </c>
      <c r="R1438" s="13" t="str">
        <f t="shared" si="91"/>
        <v>Non diskon</v>
      </c>
    </row>
    <row r="1439" spans="1:18" x14ac:dyDescent="0.25">
      <c r="A1439" s="13" t="s">
        <v>1451</v>
      </c>
      <c r="B1439" s="13" t="s">
        <v>2191</v>
      </c>
      <c r="C1439" s="13" t="s">
        <v>2203</v>
      </c>
      <c r="D1439" s="13" t="s">
        <v>2204</v>
      </c>
      <c r="E1439" s="13" t="s">
        <v>2212</v>
      </c>
      <c r="F1439" s="13" t="s">
        <v>2222</v>
      </c>
      <c r="G1439" s="13">
        <v>44.79</v>
      </c>
      <c r="H1439" s="44">
        <v>0</v>
      </c>
      <c r="I1439" s="13">
        <v>44.79</v>
      </c>
      <c r="J1439" s="24">
        <v>45676</v>
      </c>
      <c r="K1439" s="25">
        <v>7</v>
      </c>
      <c r="L1439" s="25">
        <v>3.6</v>
      </c>
      <c r="M1439" s="13" t="b">
        <v>0</v>
      </c>
      <c r="O1439" s="25">
        <f t="shared" si="88"/>
        <v>226</v>
      </c>
      <c r="P1439" s="13">
        <f t="shared" si="89"/>
        <v>0</v>
      </c>
      <c r="Q1439" s="13" t="str">
        <f t="shared" si="90"/>
        <v/>
      </c>
      <c r="R1439" s="13" t="str">
        <f t="shared" si="91"/>
        <v>Non diskon</v>
      </c>
    </row>
    <row r="1440" spans="1:18" x14ac:dyDescent="0.25">
      <c r="A1440" s="13" t="s">
        <v>1452</v>
      </c>
      <c r="B1440" s="13" t="s">
        <v>2191</v>
      </c>
      <c r="C1440" s="13" t="s">
        <v>2197</v>
      </c>
      <c r="D1440" s="13" t="s">
        <v>2204</v>
      </c>
      <c r="E1440" s="13" t="s">
        <v>2212</v>
      </c>
      <c r="F1440" s="13" t="s">
        <v>2219</v>
      </c>
      <c r="G1440" s="13">
        <v>76.95</v>
      </c>
      <c r="H1440" s="44">
        <v>0</v>
      </c>
      <c r="I1440" s="13">
        <v>76.95</v>
      </c>
      <c r="J1440" s="24">
        <v>45669</v>
      </c>
      <c r="K1440" s="25">
        <v>9</v>
      </c>
      <c r="L1440" s="25">
        <v>2.5</v>
      </c>
      <c r="M1440" s="13" t="b">
        <v>0</v>
      </c>
      <c r="O1440" s="25">
        <f t="shared" si="88"/>
        <v>233</v>
      </c>
      <c r="P1440" s="13">
        <f t="shared" si="89"/>
        <v>0</v>
      </c>
      <c r="Q1440" s="13" t="str">
        <f t="shared" si="90"/>
        <v/>
      </c>
      <c r="R1440" s="13" t="str">
        <f t="shared" si="91"/>
        <v>Non diskon</v>
      </c>
    </row>
    <row r="1441" spans="1:18" x14ac:dyDescent="0.25">
      <c r="A1441" s="13" t="s">
        <v>1453</v>
      </c>
      <c r="B1441" s="13" t="s">
        <v>2192</v>
      </c>
      <c r="C1441" s="13" t="s">
        <v>2202</v>
      </c>
      <c r="D1441" s="13" t="s">
        <v>2207</v>
      </c>
      <c r="F1441" s="13" t="s">
        <v>2218</v>
      </c>
      <c r="G1441" s="13">
        <v>35.93</v>
      </c>
      <c r="H1441" s="44">
        <v>49.9</v>
      </c>
      <c r="I1441" s="13">
        <v>18</v>
      </c>
      <c r="J1441" s="24">
        <v>45875</v>
      </c>
      <c r="K1441" s="25">
        <v>26</v>
      </c>
      <c r="L1441" s="25">
        <v>4</v>
      </c>
      <c r="M1441" s="13" t="b">
        <v>0</v>
      </c>
      <c r="O1441" s="25">
        <f t="shared" si="88"/>
        <v>27</v>
      </c>
      <c r="P1441" s="13">
        <f t="shared" si="89"/>
        <v>1297.3999999999999</v>
      </c>
      <c r="Q1441" s="13" t="str">
        <f t="shared" si="90"/>
        <v/>
      </c>
      <c r="R1441" s="13" t="str">
        <f t="shared" si="91"/>
        <v>Diskon</v>
      </c>
    </row>
    <row r="1442" spans="1:18" x14ac:dyDescent="0.25">
      <c r="A1442" s="13" t="s">
        <v>1454</v>
      </c>
      <c r="B1442" s="13" t="s">
        <v>2194</v>
      </c>
      <c r="C1442" s="13" t="s">
        <v>2198</v>
      </c>
      <c r="D1442" s="13" t="s">
        <v>2206</v>
      </c>
      <c r="E1442" s="13" t="s">
        <v>2208</v>
      </c>
      <c r="F1442" s="13" t="s">
        <v>2214</v>
      </c>
      <c r="G1442" s="13">
        <v>49.97</v>
      </c>
      <c r="H1442" s="44">
        <v>0</v>
      </c>
      <c r="I1442" s="13">
        <v>49.97</v>
      </c>
      <c r="J1442" s="24">
        <v>45875</v>
      </c>
      <c r="K1442" s="25">
        <v>11</v>
      </c>
      <c r="L1442" s="25">
        <v>3.5</v>
      </c>
      <c r="M1442" s="13" t="b">
        <v>1</v>
      </c>
      <c r="N1442" s="13" t="s">
        <v>2228</v>
      </c>
      <c r="O1442" s="25">
        <f t="shared" si="88"/>
        <v>27</v>
      </c>
      <c r="P1442" s="13">
        <f t="shared" si="89"/>
        <v>0</v>
      </c>
      <c r="Q1442" s="13">
        <f t="shared" si="90"/>
        <v>1</v>
      </c>
      <c r="R1442" s="13" t="str">
        <f t="shared" si="91"/>
        <v>Non diskon</v>
      </c>
    </row>
    <row r="1443" spans="1:18" x14ac:dyDescent="0.25">
      <c r="A1443" s="13" t="s">
        <v>1455</v>
      </c>
      <c r="B1443" s="13" t="s">
        <v>2190</v>
      </c>
      <c r="C1443" s="13" t="s">
        <v>2200</v>
      </c>
      <c r="D1443" s="13" t="s">
        <v>2207</v>
      </c>
      <c r="F1443" s="13" t="s">
        <v>2216</v>
      </c>
      <c r="G1443" s="13">
        <v>169.69</v>
      </c>
      <c r="H1443" s="44">
        <v>0</v>
      </c>
      <c r="I1443" s="13">
        <v>169.69</v>
      </c>
      <c r="J1443" s="24">
        <v>45875</v>
      </c>
      <c r="K1443" s="25">
        <v>29</v>
      </c>
      <c r="L1443" s="25">
        <v>1.9</v>
      </c>
      <c r="M1443" s="13" t="b">
        <v>0</v>
      </c>
      <c r="O1443" s="25">
        <f t="shared" si="88"/>
        <v>27</v>
      </c>
      <c r="P1443" s="13">
        <f t="shared" si="89"/>
        <v>0</v>
      </c>
      <c r="Q1443" s="13" t="str">
        <f t="shared" si="90"/>
        <v/>
      </c>
      <c r="R1443" s="13" t="str">
        <f t="shared" si="91"/>
        <v>Non diskon</v>
      </c>
    </row>
    <row r="1444" spans="1:18" x14ac:dyDescent="0.25">
      <c r="A1444" s="13" t="s">
        <v>1456</v>
      </c>
      <c r="B1444" s="13" t="s">
        <v>2190</v>
      </c>
      <c r="C1444" s="13" t="s">
        <v>2201</v>
      </c>
      <c r="D1444" s="13" t="s">
        <v>2204</v>
      </c>
      <c r="F1444" s="13" t="s">
        <v>2217</v>
      </c>
      <c r="G1444" s="13">
        <v>209.3</v>
      </c>
      <c r="H1444" s="44">
        <v>14.2</v>
      </c>
      <c r="I1444" s="13">
        <v>179.58</v>
      </c>
      <c r="J1444" s="24">
        <v>45721</v>
      </c>
      <c r="K1444" s="25">
        <v>29</v>
      </c>
      <c r="L1444" s="25">
        <v>3.0305555555555546</v>
      </c>
      <c r="M1444" s="13" t="b">
        <v>0</v>
      </c>
      <c r="O1444" s="25">
        <f t="shared" si="88"/>
        <v>181</v>
      </c>
      <c r="P1444" s="13">
        <f t="shared" si="89"/>
        <v>411.79999999999995</v>
      </c>
      <c r="Q1444" s="13" t="str">
        <f t="shared" si="90"/>
        <v/>
      </c>
      <c r="R1444" s="13" t="str">
        <f t="shared" si="91"/>
        <v>Diskon</v>
      </c>
    </row>
    <row r="1445" spans="1:18" x14ac:dyDescent="0.25">
      <c r="A1445" s="13" t="s">
        <v>1457</v>
      </c>
      <c r="B1445" s="13" t="s">
        <v>2191</v>
      </c>
      <c r="C1445" s="13" t="s">
        <v>2202</v>
      </c>
      <c r="D1445" s="13" t="s">
        <v>2207</v>
      </c>
      <c r="E1445" s="13" t="s">
        <v>2211</v>
      </c>
      <c r="F1445" s="13" t="s">
        <v>2215</v>
      </c>
      <c r="G1445" s="13">
        <v>110.81</v>
      </c>
      <c r="H1445" s="44">
        <v>0</v>
      </c>
      <c r="I1445" s="13">
        <v>110.81</v>
      </c>
      <c r="J1445" s="24">
        <v>45875</v>
      </c>
      <c r="K1445" s="25">
        <v>24</v>
      </c>
      <c r="L1445" s="25">
        <v>2.4</v>
      </c>
      <c r="M1445" s="13" t="b">
        <v>0</v>
      </c>
      <c r="O1445" s="25">
        <f t="shared" si="88"/>
        <v>27</v>
      </c>
      <c r="P1445" s="13">
        <f t="shared" si="89"/>
        <v>0</v>
      </c>
      <c r="Q1445" s="13" t="str">
        <f t="shared" si="90"/>
        <v/>
      </c>
      <c r="R1445" s="13" t="str">
        <f t="shared" si="91"/>
        <v>Non diskon</v>
      </c>
    </row>
    <row r="1446" spans="1:18" x14ac:dyDescent="0.25">
      <c r="A1446" s="13" t="s">
        <v>1458</v>
      </c>
      <c r="B1446" s="13" t="s">
        <v>2192</v>
      </c>
      <c r="C1446" s="13" t="s">
        <v>2197</v>
      </c>
      <c r="D1446" s="13" t="s">
        <v>2206</v>
      </c>
      <c r="F1446" s="13" t="s">
        <v>2216</v>
      </c>
      <c r="G1446" s="13">
        <v>61.84</v>
      </c>
      <c r="H1446" s="44">
        <v>0</v>
      </c>
      <c r="I1446" s="13">
        <v>61.84</v>
      </c>
      <c r="J1446" s="24">
        <v>45875</v>
      </c>
      <c r="K1446" s="25">
        <v>0</v>
      </c>
      <c r="L1446" s="25">
        <v>4.7</v>
      </c>
      <c r="M1446" s="13" t="b">
        <v>1</v>
      </c>
      <c r="N1446" s="13" t="s">
        <v>2230</v>
      </c>
      <c r="O1446" s="25">
        <f t="shared" si="88"/>
        <v>27</v>
      </c>
      <c r="P1446" s="13">
        <f t="shared" si="89"/>
        <v>0</v>
      </c>
      <c r="Q1446" s="13">
        <f t="shared" si="90"/>
        <v>1</v>
      </c>
      <c r="R1446" s="13" t="str">
        <f t="shared" si="91"/>
        <v>Non diskon</v>
      </c>
    </row>
    <row r="1447" spans="1:18" x14ac:dyDescent="0.25">
      <c r="A1447" s="13" t="s">
        <v>1459</v>
      </c>
      <c r="B1447" s="13" t="s">
        <v>2190</v>
      </c>
      <c r="C1447" s="13" t="s">
        <v>2196</v>
      </c>
      <c r="D1447" s="13" t="s">
        <v>2204</v>
      </c>
      <c r="E1447" s="13" t="s">
        <v>2210</v>
      </c>
      <c r="F1447" s="13" t="s">
        <v>2224</v>
      </c>
      <c r="G1447" s="13">
        <v>190.03</v>
      </c>
      <c r="H1447" s="44">
        <v>14.9</v>
      </c>
      <c r="I1447" s="13">
        <v>161.72</v>
      </c>
      <c r="J1447" s="24">
        <v>45862</v>
      </c>
      <c r="K1447" s="25">
        <v>35</v>
      </c>
      <c r="L1447" s="25">
        <v>4.0999999999999996</v>
      </c>
      <c r="M1447" s="13" t="b">
        <v>0</v>
      </c>
      <c r="O1447" s="25">
        <f t="shared" si="88"/>
        <v>40</v>
      </c>
      <c r="P1447" s="13">
        <f t="shared" si="89"/>
        <v>521.5</v>
      </c>
      <c r="Q1447" s="13" t="str">
        <f t="shared" si="90"/>
        <v/>
      </c>
      <c r="R1447" s="13" t="str">
        <f t="shared" si="91"/>
        <v>Diskon</v>
      </c>
    </row>
    <row r="1448" spans="1:18" x14ac:dyDescent="0.25">
      <c r="A1448" s="13" t="s">
        <v>1460</v>
      </c>
      <c r="B1448" s="13" t="s">
        <v>2194</v>
      </c>
      <c r="C1448" s="13" t="s">
        <v>2198</v>
      </c>
      <c r="D1448" s="13" t="s">
        <v>2206</v>
      </c>
      <c r="E1448" s="13" t="s">
        <v>2212</v>
      </c>
      <c r="F1448" s="13" t="s">
        <v>2214</v>
      </c>
      <c r="G1448" s="13">
        <v>74.27</v>
      </c>
      <c r="H1448" s="44">
        <v>0</v>
      </c>
      <c r="I1448" s="13">
        <v>74.27</v>
      </c>
      <c r="J1448" s="24">
        <v>45875</v>
      </c>
      <c r="K1448" s="25">
        <v>6</v>
      </c>
      <c r="L1448" s="25">
        <v>1.3</v>
      </c>
      <c r="M1448" s="13" t="b">
        <v>0</v>
      </c>
      <c r="O1448" s="25">
        <f t="shared" si="88"/>
        <v>27</v>
      </c>
      <c r="P1448" s="13">
        <f t="shared" si="89"/>
        <v>0</v>
      </c>
      <c r="Q1448" s="13" t="str">
        <f t="shared" si="90"/>
        <v/>
      </c>
      <c r="R1448" s="13" t="str">
        <f t="shared" si="91"/>
        <v>Non diskon</v>
      </c>
    </row>
    <row r="1449" spans="1:18" x14ac:dyDescent="0.25">
      <c r="A1449" s="13" t="s">
        <v>1461</v>
      </c>
      <c r="B1449" s="13" t="s">
        <v>2190</v>
      </c>
      <c r="C1449" s="13" t="s">
        <v>2196</v>
      </c>
      <c r="D1449" s="13" t="s">
        <v>2206</v>
      </c>
      <c r="E1449" s="13" t="s">
        <v>2208</v>
      </c>
      <c r="F1449" s="13" t="s">
        <v>2221</v>
      </c>
      <c r="G1449" s="13">
        <v>163.77000000000001</v>
      </c>
      <c r="H1449" s="44">
        <v>30.5</v>
      </c>
      <c r="I1449" s="13">
        <v>113.82</v>
      </c>
      <c r="J1449" s="24">
        <v>45875</v>
      </c>
      <c r="K1449" s="25">
        <v>10</v>
      </c>
      <c r="L1449" s="25">
        <v>2.7030303030303036</v>
      </c>
      <c r="M1449" s="13" t="b">
        <v>0</v>
      </c>
      <c r="O1449" s="25">
        <f t="shared" si="88"/>
        <v>27</v>
      </c>
      <c r="P1449" s="13">
        <f t="shared" si="89"/>
        <v>305</v>
      </c>
      <c r="Q1449" s="13" t="str">
        <f t="shared" si="90"/>
        <v/>
      </c>
      <c r="R1449" s="13" t="str">
        <f t="shared" si="91"/>
        <v>Diskon</v>
      </c>
    </row>
    <row r="1450" spans="1:18" x14ac:dyDescent="0.25">
      <c r="A1450" s="13" t="s">
        <v>1462</v>
      </c>
      <c r="B1450" s="13" t="s">
        <v>2192</v>
      </c>
      <c r="C1450" s="13" t="s">
        <v>2199</v>
      </c>
      <c r="D1450" s="13" t="s">
        <v>2205</v>
      </c>
      <c r="F1450" s="13" t="s">
        <v>2223</v>
      </c>
      <c r="G1450" s="13">
        <v>42.28</v>
      </c>
      <c r="H1450" s="44">
        <v>0</v>
      </c>
      <c r="I1450" s="13">
        <v>42.28</v>
      </c>
      <c r="J1450" s="24">
        <v>45875</v>
      </c>
      <c r="K1450" s="25">
        <v>22</v>
      </c>
      <c r="L1450" s="25">
        <v>1.9</v>
      </c>
      <c r="M1450" s="13" t="b">
        <v>0</v>
      </c>
      <c r="O1450" s="25">
        <f t="shared" si="88"/>
        <v>27</v>
      </c>
      <c r="P1450" s="13">
        <f t="shared" si="89"/>
        <v>0</v>
      </c>
      <c r="Q1450" s="13" t="str">
        <f t="shared" si="90"/>
        <v/>
      </c>
      <c r="R1450" s="13" t="str">
        <f t="shared" si="91"/>
        <v>Non diskon</v>
      </c>
    </row>
    <row r="1451" spans="1:18" x14ac:dyDescent="0.25">
      <c r="A1451" s="13" t="s">
        <v>1463</v>
      </c>
      <c r="B1451" s="13" t="s">
        <v>2194</v>
      </c>
      <c r="C1451" s="13" t="s">
        <v>2200</v>
      </c>
      <c r="D1451" s="13" t="s">
        <v>2207</v>
      </c>
      <c r="E1451" s="13" t="s">
        <v>2212</v>
      </c>
      <c r="F1451" s="13" t="s">
        <v>2222</v>
      </c>
      <c r="G1451" s="13">
        <v>52.92</v>
      </c>
      <c r="H1451" s="44">
        <v>0</v>
      </c>
      <c r="I1451" s="13">
        <v>52.92</v>
      </c>
      <c r="J1451" s="24">
        <v>45875</v>
      </c>
      <c r="K1451" s="25">
        <v>9</v>
      </c>
      <c r="L1451" s="25">
        <v>3.0659090909090896</v>
      </c>
      <c r="M1451" s="13" t="b">
        <v>0</v>
      </c>
      <c r="O1451" s="25">
        <f t="shared" si="88"/>
        <v>27</v>
      </c>
      <c r="P1451" s="13">
        <f t="shared" si="89"/>
        <v>0</v>
      </c>
      <c r="Q1451" s="13" t="str">
        <f t="shared" si="90"/>
        <v/>
      </c>
      <c r="R1451" s="13" t="str">
        <f t="shared" si="91"/>
        <v>Non diskon</v>
      </c>
    </row>
    <row r="1452" spans="1:18" x14ac:dyDescent="0.25">
      <c r="A1452" s="13" t="s">
        <v>1464</v>
      </c>
      <c r="B1452" s="13" t="s">
        <v>2192</v>
      </c>
      <c r="C1452" s="13" t="s">
        <v>2201</v>
      </c>
      <c r="D1452" s="13" t="s">
        <v>2204</v>
      </c>
      <c r="F1452" s="13" t="s">
        <v>2216</v>
      </c>
      <c r="G1452" s="13">
        <v>40.549999999999997</v>
      </c>
      <c r="H1452" s="44">
        <v>6.2</v>
      </c>
      <c r="I1452" s="13">
        <v>38.04</v>
      </c>
      <c r="J1452" s="24">
        <v>45544</v>
      </c>
      <c r="K1452" s="25">
        <v>26</v>
      </c>
      <c r="L1452" s="25">
        <v>3.7</v>
      </c>
      <c r="M1452" s="13" t="b">
        <v>1</v>
      </c>
      <c r="N1452" s="13" t="s">
        <v>2230</v>
      </c>
      <c r="O1452" s="25">
        <f t="shared" si="88"/>
        <v>358</v>
      </c>
      <c r="P1452" s="13">
        <f t="shared" si="89"/>
        <v>161.20000000000002</v>
      </c>
      <c r="Q1452" s="13">
        <f t="shared" si="90"/>
        <v>1</v>
      </c>
      <c r="R1452" s="13" t="str">
        <f t="shared" si="91"/>
        <v>Diskon</v>
      </c>
    </row>
    <row r="1453" spans="1:18" x14ac:dyDescent="0.25">
      <c r="A1453" s="13" t="s">
        <v>1465</v>
      </c>
      <c r="B1453" s="13" t="s">
        <v>2193</v>
      </c>
      <c r="C1453" s="13" t="s">
        <v>2199</v>
      </c>
      <c r="D1453" s="13" t="s">
        <v>2207</v>
      </c>
      <c r="E1453" s="13" t="s">
        <v>2211</v>
      </c>
      <c r="F1453" s="13" t="s">
        <v>2216</v>
      </c>
      <c r="G1453" s="13">
        <v>129.76</v>
      </c>
      <c r="H1453" s="44">
        <v>0</v>
      </c>
      <c r="I1453" s="13">
        <v>129.76</v>
      </c>
      <c r="J1453" s="24">
        <v>45875</v>
      </c>
      <c r="K1453" s="25">
        <v>39</v>
      </c>
      <c r="L1453" s="25">
        <v>2.9</v>
      </c>
      <c r="M1453" s="13" t="b">
        <v>0</v>
      </c>
      <c r="O1453" s="25">
        <f t="shared" si="88"/>
        <v>27</v>
      </c>
      <c r="P1453" s="13">
        <f t="shared" si="89"/>
        <v>0</v>
      </c>
      <c r="Q1453" s="13" t="str">
        <f t="shared" si="90"/>
        <v/>
      </c>
      <c r="R1453" s="13" t="str">
        <f t="shared" si="91"/>
        <v>Non diskon</v>
      </c>
    </row>
    <row r="1454" spans="1:18" x14ac:dyDescent="0.25">
      <c r="A1454" s="13" t="s">
        <v>1466</v>
      </c>
      <c r="B1454" s="13" t="s">
        <v>2191</v>
      </c>
      <c r="C1454" s="13" t="s">
        <v>2201</v>
      </c>
      <c r="D1454" s="13" t="s">
        <v>2206</v>
      </c>
      <c r="E1454" s="13" t="s">
        <v>2208</v>
      </c>
      <c r="F1454" s="13" t="s">
        <v>2223</v>
      </c>
      <c r="G1454" s="13">
        <v>63.39</v>
      </c>
      <c r="H1454" s="44">
        <v>0</v>
      </c>
      <c r="I1454" s="13">
        <v>63.39</v>
      </c>
      <c r="J1454" s="24">
        <v>45875</v>
      </c>
      <c r="K1454" s="25">
        <v>50</v>
      </c>
      <c r="L1454" s="25">
        <v>2.5</v>
      </c>
      <c r="M1454" s="13" t="b">
        <v>0</v>
      </c>
      <c r="O1454" s="25">
        <f t="shared" si="88"/>
        <v>27</v>
      </c>
      <c r="P1454" s="13">
        <f t="shared" si="89"/>
        <v>0</v>
      </c>
      <c r="Q1454" s="13" t="str">
        <f t="shared" si="90"/>
        <v/>
      </c>
      <c r="R1454" s="13" t="str">
        <f t="shared" si="91"/>
        <v>Non diskon</v>
      </c>
    </row>
    <row r="1455" spans="1:18" x14ac:dyDescent="0.25">
      <c r="A1455" s="13" t="s">
        <v>1467</v>
      </c>
      <c r="B1455" s="13" t="s">
        <v>2193</v>
      </c>
      <c r="C1455" s="13" t="s">
        <v>2200</v>
      </c>
      <c r="D1455" s="13" t="s">
        <v>2206</v>
      </c>
      <c r="E1455" s="13" t="s">
        <v>2210</v>
      </c>
      <c r="F1455" s="13" t="s">
        <v>2222</v>
      </c>
      <c r="G1455" s="13">
        <v>191.94</v>
      </c>
      <c r="H1455" s="44">
        <v>1.3</v>
      </c>
      <c r="I1455" s="13">
        <v>189.44</v>
      </c>
      <c r="J1455" s="24">
        <v>45875</v>
      </c>
      <c r="K1455" s="25">
        <v>39</v>
      </c>
      <c r="L1455" s="25">
        <v>1.2</v>
      </c>
      <c r="M1455" s="13" t="b">
        <v>0</v>
      </c>
      <c r="O1455" s="25">
        <f t="shared" si="88"/>
        <v>27</v>
      </c>
      <c r="P1455" s="13">
        <f t="shared" si="89"/>
        <v>50.7</v>
      </c>
      <c r="Q1455" s="13" t="str">
        <f t="shared" si="90"/>
        <v/>
      </c>
      <c r="R1455" s="13" t="str">
        <f t="shared" si="91"/>
        <v>Diskon</v>
      </c>
    </row>
    <row r="1456" spans="1:18" x14ac:dyDescent="0.25">
      <c r="A1456" s="13" t="s">
        <v>1468</v>
      </c>
      <c r="B1456" s="13" t="s">
        <v>2192</v>
      </c>
      <c r="C1456" s="13" t="s">
        <v>2197</v>
      </c>
      <c r="D1456" s="13" t="s">
        <v>2204</v>
      </c>
      <c r="F1456" s="13" t="s">
        <v>2223</v>
      </c>
      <c r="G1456" s="13">
        <v>63.42</v>
      </c>
      <c r="H1456" s="44">
        <v>0</v>
      </c>
      <c r="I1456" s="13">
        <v>63.42</v>
      </c>
      <c r="J1456" s="24">
        <v>45608</v>
      </c>
      <c r="K1456" s="25">
        <v>19</v>
      </c>
      <c r="L1456" s="25">
        <v>2.9</v>
      </c>
      <c r="M1456" s="13" t="b">
        <v>1</v>
      </c>
      <c r="N1456" s="13" t="s">
        <v>2225</v>
      </c>
      <c r="O1456" s="25">
        <f t="shared" si="88"/>
        <v>294</v>
      </c>
      <c r="P1456" s="13">
        <f t="shared" si="89"/>
        <v>0</v>
      </c>
      <c r="Q1456" s="13">
        <f t="shared" si="90"/>
        <v>1</v>
      </c>
      <c r="R1456" s="13" t="str">
        <f t="shared" si="91"/>
        <v>Non diskon</v>
      </c>
    </row>
    <row r="1457" spans="1:18" x14ac:dyDescent="0.25">
      <c r="A1457" s="13" t="s">
        <v>1469</v>
      </c>
      <c r="B1457" s="13" t="s">
        <v>2191</v>
      </c>
      <c r="C1457" s="13" t="s">
        <v>2201</v>
      </c>
      <c r="D1457" s="13" t="s">
        <v>2205</v>
      </c>
      <c r="E1457" s="13" t="s">
        <v>2211</v>
      </c>
      <c r="F1457" s="13" t="s">
        <v>2221</v>
      </c>
      <c r="G1457" s="13">
        <v>35.26</v>
      </c>
      <c r="H1457" s="44">
        <v>0</v>
      </c>
      <c r="I1457" s="13">
        <v>35.26</v>
      </c>
      <c r="J1457" s="24">
        <v>45875</v>
      </c>
      <c r="K1457" s="25">
        <v>47</v>
      </c>
      <c r="L1457" s="25">
        <v>2.2999999999999998</v>
      </c>
      <c r="M1457" s="13" t="b">
        <v>0</v>
      </c>
      <c r="O1457" s="25">
        <f t="shared" si="88"/>
        <v>27</v>
      </c>
      <c r="P1457" s="13">
        <f t="shared" si="89"/>
        <v>0</v>
      </c>
      <c r="Q1457" s="13" t="str">
        <f t="shared" si="90"/>
        <v/>
      </c>
      <c r="R1457" s="13" t="str">
        <f t="shared" si="91"/>
        <v>Non diskon</v>
      </c>
    </row>
    <row r="1458" spans="1:18" x14ac:dyDescent="0.25">
      <c r="A1458" s="13" t="s">
        <v>1470</v>
      </c>
      <c r="B1458" s="13" t="s">
        <v>2192</v>
      </c>
      <c r="C1458" s="13" t="s">
        <v>2202</v>
      </c>
      <c r="D1458" s="13" t="s">
        <v>2204</v>
      </c>
      <c r="F1458" s="13" t="s">
        <v>2220</v>
      </c>
      <c r="G1458" s="13">
        <v>44.5</v>
      </c>
      <c r="H1458" s="44">
        <v>0</v>
      </c>
      <c r="I1458" s="13">
        <v>44.5</v>
      </c>
      <c r="J1458" s="24">
        <v>45821</v>
      </c>
      <c r="K1458" s="25">
        <v>36</v>
      </c>
      <c r="L1458" s="25">
        <v>3.6</v>
      </c>
      <c r="M1458" s="13" t="b">
        <v>0</v>
      </c>
      <c r="O1458" s="25">
        <f t="shared" si="88"/>
        <v>81</v>
      </c>
      <c r="P1458" s="13">
        <f t="shared" si="89"/>
        <v>0</v>
      </c>
      <c r="Q1458" s="13" t="str">
        <f t="shared" si="90"/>
        <v/>
      </c>
      <c r="R1458" s="13" t="str">
        <f t="shared" si="91"/>
        <v>Non diskon</v>
      </c>
    </row>
    <row r="1459" spans="1:18" x14ac:dyDescent="0.25">
      <c r="A1459" s="13" t="s">
        <v>1471</v>
      </c>
      <c r="B1459" s="13" t="s">
        <v>2193</v>
      </c>
      <c r="C1459" s="13" t="s">
        <v>2196</v>
      </c>
      <c r="D1459" s="13" t="s">
        <v>2204</v>
      </c>
      <c r="E1459" s="13" t="s">
        <v>2212</v>
      </c>
      <c r="F1459" s="13" t="s">
        <v>2217</v>
      </c>
      <c r="G1459" s="13">
        <v>186.78</v>
      </c>
      <c r="H1459" s="44">
        <v>43.4</v>
      </c>
      <c r="I1459" s="13">
        <v>105.72</v>
      </c>
      <c r="J1459" s="24">
        <v>45568</v>
      </c>
      <c r="K1459" s="25">
        <v>42</v>
      </c>
      <c r="L1459" s="25">
        <v>2.5</v>
      </c>
      <c r="M1459" s="13" t="b">
        <v>1</v>
      </c>
      <c r="N1459" s="13" t="s">
        <v>2227</v>
      </c>
      <c r="O1459" s="25">
        <f t="shared" si="88"/>
        <v>334</v>
      </c>
      <c r="P1459" s="13">
        <f t="shared" si="89"/>
        <v>1822.8</v>
      </c>
      <c r="Q1459" s="13">
        <f t="shared" si="90"/>
        <v>1</v>
      </c>
      <c r="R1459" s="13" t="str">
        <f t="shared" si="91"/>
        <v>Diskon</v>
      </c>
    </row>
    <row r="1460" spans="1:18" x14ac:dyDescent="0.25">
      <c r="A1460" s="13" t="s">
        <v>1472</v>
      </c>
      <c r="B1460" s="13" t="s">
        <v>2191</v>
      </c>
      <c r="C1460" s="13" t="s">
        <v>2200</v>
      </c>
      <c r="D1460" s="13" t="s">
        <v>2207</v>
      </c>
      <c r="E1460" s="13" t="s">
        <v>2209</v>
      </c>
      <c r="F1460" s="13" t="s">
        <v>2216</v>
      </c>
      <c r="G1460" s="13">
        <v>116.71</v>
      </c>
      <c r="H1460" s="44">
        <v>55.4</v>
      </c>
      <c r="I1460" s="13">
        <v>52.05</v>
      </c>
      <c r="J1460" s="24">
        <v>45875</v>
      </c>
      <c r="K1460" s="25">
        <v>15</v>
      </c>
      <c r="L1460" s="25">
        <v>2.9657142857142857</v>
      </c>
      <c r="M1460" s="13" t="b">
        <v>0</v>
      </c>
      <c r="O1460" s="25">
        <f t="shared" si="88"/>
        <v>27</v>
      </c>
      <c r="P1460" s="13">
        <f t="shared" si="89"/>
        <v>831</v>
      </c>
      <c r="Q1460" s="13" t="str">
        <f t="shared" si="90"/>
        <v/>
      </c>
      <c r="R1460" s="13" t="str">
        <f t="shared" si="91"/>
        <v>Diskon</v>
      </c>
    </row>
    <row r="1461" spans="1:18" x14ac:dyDescent="0.25">
      <c r="A1461" s="13" t="s">
        <v>1473</v>
      </c>
      <c r="B1461" s="13" t="s">
        <v>2192</v>
      </c>
      <c r="C1461" s="13" t="s">
        <v>2200</v>
      </c>
      <c r="D1461" s="13" t="s">
        <v>2205</v>
      </c>
      <c r="F1461" s="13" t="s">
        <v>2216</v>
      </c>
      <c r="G1461" s="13">
        <v>24.5</v>
      </c>
      <c r="H1461" s="44">
        <v>0</v>
      </c>
      <c r="I1461" s="13">
        <v>24.5</v>
      </c>
      <c r="J1461" s="24">
        <v>45875</v>
      </c>
      <c r="K1461" s="25">
        <v>7</v>
      </c>
      <c r="L1461" s="25">
        <v>2.7333333333333334</v>
      </c>
      <c r="M1461" s="13" t="b">
        <v>0</v>
      </c>
      <c r="O1461" s="25">
        <f t="shared" si="88"/>
        <v>27</v>
      </c>
      <c r="P1461" s="13">
        <f t="shared" si="89"/>
        <v>0</v>
      </c>
      <c r="Q1461" s="13" t="str">
        <f t="shared" si="90"/>
        <v/>
      </c>
      <c r="R1461" s="13" t="str">
        <f t="shared" si="91"/>
        <v>Non diskon</v>
      </c>
    </row>
    <row r="1462" spans="1:18" x14ac:dyDescent="0.25">
      <c r="A1462" s="13" t="s">
        <v>1474</v>
      </c>
      <c r="B1462" s="13" t="s">
        <v>2192</v>
      </c>
      <c r="C1462" s="13" t="s">
        <v>2202</v>
      </c>
      <c r="D1462" s="13" t="s">
        <v>2205</v>
      </c>
      <c r="F1462" s="13" t="s">
        <v>2222</v>
      </c>
      <c r="G1462" s="13">
        <v>23.2</v>
      </c>
      <c r="H1462" s="44">
        <v>0</v>
      </c>
      <c r="I1462" s="13">
        <v>23.2</v>
      </c>
      <c r="J1462" s="24">
        <v>45875</v>
      </c>
      <c r="K1462" s="25">
        <v>17</v>
      </c>
      <c r="L1462" s="25">
        <v>2.1</v>
      </c>
      <c r="M1462" s="13" t="b">
        <v>0</v>
      </c>
      <c r="O1462" s="25">
        <f t="shared" si="88"/>
        <v>27</v>
      </c>
      <c r="P1462" s="13">
        <f t="shared" si="89"/>
        <v>0</v>
      </c>
      <c r="Q1462" s="13" t="str">
        <f t="shared" si="90"/>
        <v/>
      </c>
      <c r="R1462" s="13" t="str">
        <f t="shared" si="91"/>
        <v>Non diskon</v>
      </c>
    </row>
    <row r="1463" spans="1:18" x14ac:dyDescent="0.25">
      <c r="A1463" s="13" t="s">
        <v>1475</v>
      </c>
      <c r="B1463" s="13" t="s">
        <v>2194</v>
      </c>
      <c r="C1463" s="13" t="s">
        <v>2203</v>
      </c>
      <c r="D1463" s="13" t="s">
        <v>2205</v>
      </c>
      <c r="E1463" s="13" t="s">
        <v>2208</v>
      </c>
      <c r="F1463" s="13" t="s">
        <v>2220</v>
      </c>
      <c r="G1463" s="13">
        <v>73.8</v>
      </c>
      <c r="H1463" s="44">
        <v>0</v>
      </c>
      <c r="I1463" s="13">
        <v>73.8</v>
      </c>
      <c r="J1463" s="24">
        <v>45875</v>
      </c>
      <c r="K1463" s="25">
        <v>42</v>
      </c>
      <c r="L1463" s="25">
        <v>3.1021739130434773</v>
      </c>
      <c r="M1463" s="13" t="b">
        <v>0</v>
      </c>
      <c r="O1463" s="25">
        <f t="shared" si="88"/>
        <v>27</v>
      </c>
      <c r="P1463" s="13">
        <f t="shared" si="89"/>
        <v>0</v>
      </c>
      <c r="Q1463" s="13" t="str">
        <f t="shared" si="90"/>
        <v/>
      </c>
      <c r="R1463" s="13" t="str">
        <f t="shared" si="91"/>
        <v>Non diskon</v>
      </c>
    </row>
    <row r="1464" spans="1:18" x14ac:dyDescent="0.25">
      <c r="A1464" s="13" t="s">
        <v>1476</v>
      </c>
      <c r="B1464" s="13" t="s">
        <v>2192</v>
      </c>
      <c r="C1464" s="13" t="s">
        <v>2196</v>
      </c>
      <c r="D1464" s="13" t="s">
        <v>2207</v>
      </c>
      <c r="F1464" s="13" t="s">
        <v>2216</v>
      </c>
      <c r="G1464" s="13">
        <v>51.33</v>
      </c>
      <c r="H1464" s="44">
        <v>0</v>
      </c>
      <c r="I1464" s="13">
        <v>51.33</v>
      </c>
      <c r="J1464" s="24">
        <v>45875</v>
      </c>
      <c r="K1464" s="25">
        <v>25</v>
      </c>
      <c r="L1464" s="25">
        <v>1.2</v>
      </c>
      <c r="M1464" s="13" t="b">
        <v>0</v>
      </c>
      <c r="O1464" s="25">
        <f t="shared" si="88"/>
        <v>27</v>
      </c>
      <c r="P1464" s="13">
        <f t="shared" si="89"/>
        <v>0</v>
      </c>
      <c r="Q1464" s="13" t="str">
        <f t="shared" si="90"/>
        <v/>
      </c>
      <c r="R1464" s="13" t="str">
        <f t="shared" si="91"/>
        <v>Non diskon</v>
      </c>
    </row>
    <row r="1465" spans="1:18" x14ac:dyDescent="0.25">
      <c r="A1465" s="13" t="s">
        <v>1477</v>
      </c>
      <c r="B1465" s="13" t="s">
        <v>2194</v>
      </c>
      <c r="C1465" s="13" t="s">
        <v>2200</v>
      </c>
      <c r="D1465" s="13" t="s">
        <v>2205</v>
      </c>
      <c r="E1465" s="13" t="s">
        <v>2211</v>
      </c>
      <c r="F1465" s="13" t="s">
        <v>2220</v>
      </c>
      <c r="G1465" s="13">
        <v>80.209999999999994</v>
      </c>
      <c r="H1465" s="44">
        <v>0</v>
      </c>
      <c r="I1465" s="13">
        <v>80.209999999999994</v>
      </c>
      <c r="J1465" s="24">
        <v>45875</v>
      </c>
      <c r="K1465" s="25">
        <v>17</v>
      </c>
      <c r="L1465" s="25">
        <v>3.0659090909090896</v>
      </c>
      <c r="M1465" s="13" t="b">
        <v>0</v>
      </c>
      <c r="O1465" s="25">
        <f t="shared" si="88"/>
        <v>27</v>
      </c>
      <c r="P1465" s="13">
        <f t="shared" si="89"/>
        <v>0</v>
      </c>
      <c r="Q1465" s="13" t="str">
        <f t="shared" si="90"/>
        <v/>
      </c>
      <c r="R1465" s="13" t="str">
        <f t="shared" si="91"/>
        <v>Non diskon</v>
      </c>
    </row>
    <row r="1466" spans="1:18" x14ac:dyDescent="0.25">
      <c r="A1466" s="13" t="s">
        <v>1478</v>
      </c>
      <c r="B1466" s="13" t="s">
        <v>2190</v>
      </c>
      <c r="C1466" s="13" t="s">
        <v>2197</v>
      </c>
      <c r="D1466" s="13" t="s">
        <v>2206</v>
      </c>
      <c r="E1466" s="13" t="s">
        <v>2209</v>
      </c>
      <c r="F1466" s="13" t="s">
        <v>2224</v>
      </c>
      <c r="G1466" s="13">
        <v>237.65</v>
      </c>
      <c r="H1466" s="44">
        <v>0</v>
      </c>
      <c r="I1466" s="13">
        <v>237.65</v>
      </c>
      <c r="J1466" s="24">
        <v>45875</v>
      </c>
      <c r="K1466" s="25">
        <v>3</v>
      </c>
      <c r="L1466" s="25">
        <v>3.4</v>
      </c>
      <c r="M1466" s="13" t="b">
        <v>0</v>
      </c>
      <c r="O1466" s="25">
        <f t="shared" si="88"/>
        <v>27</v>
      </c>
      <c r="P1466" s="13">
        <f t="shared" si="89"/>
        <v>0</v>
      </c>
      <c r="Q1466" s="13" t="str">
        <f t="shared" si="90"/>
        <v/>
      </c>
      <c r="R1466" s="13" t="str">
        <f t="shared" si="91"/>
        <v>Non diskon</v>
      </c>
    </row>
    <row r="1467" spans="1:18" x14ac:dyDescent="0.25">
      <c r="A1467" s="13" t="s">
        <v>1479</v>
      </c>
      <c r="B1467" s="13" t="s">
        <v>2194</v>
      </c>
      <c r="C1467" s="13" t="s">
        <v>2198</v>
      </c>
      <c r="D1467" s="13" t="s">
        <v>2204</v>
      </c>
      <c r="E1467" s="13" t="s">
        <v>2210</v>
      </c>
      <c r="F1467" s="13" t="s">
        <v>2224</v>
      </c>
      <c r="G1467" s="13">
        <v>96.35</v>
      </c>
      <c r="H1467" s="44">
        <v>0</v>
      </c>
      <c r="I1467" s="13">
        <v>96.35</v>
      </c>
      <c r="J1467" s="24">
        <v>45638</v>
      </c>
      <c r="K1467" s="25">
        <v>34</v>
      </c>
      <c r="L1467" s="25">
        <v>3.7</v>
      </c>
      <c r="M1467" s="13" t="b">
        <v>0</v>
      </c>
      <c r="O1467" s="25">
        <f t="shared" si="88"/>
        <v>264</v>
      </c>
      <c r="P1467" s="13">
        <f t="shared" si="89"/>
        <v>0</v>
      </c>
      <c r="Q1467" s="13" t="str">
        <f t="shared" si="90"/>
        <v/>
      </c>
      <c r="R1467" s="13" t="str">
        <f t="shared" si="91"/>
        <v>Non diskon</v>
      </c>
    </row>
    <row r="1468" spans="1:18" x14ac:dyDescent="0.25">
      <c r="A1468" s="13" t="s">
        <v>1480</v>
      </c>
      <c r="B1468" s="13" t="s">
        <v>2194</v>
      </c>
      <c r="C1468" s="13" t="s">
        <v>2198</v>
      </c>
      <c r="D1468" s="13" t="s">
        <v>2205</v>
      </c>
      <c r="E1468" s="13" t="s">
        <v>2208</v>
      </c>
      <c r="F1468" s="13" t="s">
        <v>2217</v>
      </c>
      <c r="G1468" s="13">
        <v>91.92</v>
      </c>
      <c r="H1468" s="44">
        <v>0</v>
      </c>
      <c r="I1468" s="13">
        <v>91.92</v>
      </c>
      <c r="J1468" s="24">
        <v>45875</v>
      </c>
      <c r="K1468" s="25">
        <v>29</v>
      </c>
      <c r="L1468" s="25">
        <v>3.0384615384615379</v>
      </c>
      <c r="M1468" s="13" t="b">
        <v>0</v>
      </c>
      <c r="O1468" s="25">
        <f t="shared" si="88"/>
        <v>27</v>
      </c>
      <c r="P1468" s="13">
        <f t="shared" si="89"/>
        <v>0</v>
      </c>
      <c r="Q1468" s="13" t="str">
        <f t="shared" si="90"/>
        <v/>
      </c>
      <c r="R1468" s="13" t="str">
        <f t="shared" si="91"/>
        <v>Non diskon</v>
      </c>
    </row>
    <row r="1469" spans="1:18" x14ac:dyDescent="0.25">
      <c r="A1469" s="13" t="s">
        <v>1481</v>
      </c>
      <c r="B1469" s="13" t="s">
        <v>2193</v>
      </c>
      <c r="C1469" s="13" t="s">
        <v>2198</v>
      </c>
      <c r="D1469" s="13" t="s">
        <v>2206</v>
      </c>
      <c r="E1469" s="13" t="s">
        <v>2211</v>
      </c>
      <c r="F1469" s="13" t="s">
        <v>2222</v>
      </c>
      <c r="G1469" s="13">
        <v>194.05</v>
      </c>
      <c r="H1469" s="44">
        <v>0</v>
      </c>
      <c r="I1469" s="13">
        <v>194.05</v>
      </c>
      <c r="J1469" s="24">
        <v>45875</v>
      </c>
      <c r="K1469" s="25">
        <v>7</v>
      </c>
      <c r="L1469" s="25">
        <v>1.3</v>
      </c>
      <c r="M1469" s="13" t="b">
        <v>0</v>
      </c>
      <c r="O1469" s="25">
        <f t="shared" si="88"/>
        <v>27</v>
      </c>
      <c r="P1469" s="13">
        <f t="shared" si="89"/>
        <v>0</v>
      </c>
      <c r="Q1469" s="13" t="str">
        <f t="shared" si="90"/>
        <v/>
      </c>
      <c r="R1469" s="13" t="str">
        <f t="shared" si="91"/>
        <v>Non diskon</v>
      </c>
    </row>
    <row r="1470" spans="1:18" x14ac:dyDescent="0.25">
      <c r="A1470" s="13" t="s">
        <v>1482</v>
      </c>
      <c r="B1470" s="13" t="s">
        <v>2190</v>
      </c>
      <c r="C1470" s="13" t="s">
        <v>2202</v>
      </c>
      <c r="D1470" s="13" t="s">
        <v>2207</v>
      </c>
      <c r="E1470" s="13" t="s">
        <v>2210</v>
      </c>
      <c r="F1470" s="13" t="s">
        <v>2214</v>
      </c>
      <c r="G1470" s="13">
        <v>166.88</v>
      </c>
      <c r="H1470" s="44">
        <v>0</v>
      </c>
      <c r="I1470" s="13">
        <v>166.88</v>
      </c>
      <c r="J1470" s="24">
        <v>45875</v>
      </c>
      <c r="K1470" s="25">
        <v>10</v>
      </c>
      <c r="L1470" s="25">
        <v>1.6</v>
      </c>
      <c r="M1470" s="13" t="b">
        <v>0</v>
      </c>
      <c r="O1470" s="25">
        <f t="shared" si="88"/>
        <v>27</v>
      </c>
      <c r="P1470" s="13">
        <f t="shared" si="89"/>
        <v>0</v>
      </c>
      <c r="Q1470" s="13" t="str">
        <f t="shared" si="90"/>
        <v/>
      </c>
      <c r="R1470" s="13" t="str">
        <f t="shared" si="91"/>
        <v>Non diskon</v>
      </c>
    </row>
    <row r="1471" spans="1:18" x14ac:dyDescent="0.25">
      <c r="A1471" s="13" t="s">
        <v>1483</v>
      </c>
      <c r="B1471" s="13" t="s">
        <v>2194</v>
      </c>
      <c r="C1471" s="13" t="s">
        <v>2200</v>
      </c>
      <c r="D1471" s="13" t="s">
        <v>2205</v>
      </c>
      <c r="E1471" s="13" t="s">
        <v>2210</v>
      </c>
      <c r="F1471" s="13" t="s">
        <v>2214</v>
      </c>
      <c r="G1471" s="13">
        <v>47.01</v>
      </c>
      <c r="H1471" s="44">
        <v>0</v>
      </c>
      <c r="I1471" s="13">
        <v>47.01</v>
      </c>
      <c r="J1471" s="24">
        <v>45875</v>
      </c>
      <c r="K1471" s="25">
        <v>17</v>
      </c>
      <c r="L1471" s="25">
        <v>1.6</v>
      </c>
      <c r="M1471" s="13" t="b">
        <v>0</v>
      </c>
      <c r="O1471" s="25">
        <f t="shared" si="88"/>
        <v>27</v>
      </c>
      <c r="P1471" s="13">
        <f t="shared" si="89"/>
        <v>0</v>
      </c>
      <c r="Q1471" s="13" t="str">
        <f t="shared" si="90"/>
        <v/>
      </c>
      <c r="R1471" s="13" t="str">
        <f t="shared" si="91"/>
        <v>Non diskon</v>
      </c>
    </row>
    <row r="1472" spans="1:18" x14ac:dyDescent="0.25">
      <c r="A1472" s="13" t="s">
        <v>1484</v>
      </c>
      <c r="B1472" s="13" t="s">
        <v>2193</v>
      </c>
      <c r="C1472" s="13" t="s">
        <v>2198</v>
      </c>
      <c r="D1472" s="13" t="s">
        <v>2205</v>
      </c>
      <c r="E1472" s="13" t="s">
        <v>2211</v>
      </c>
      <c r="F1472" s="13" t="s">
        <v>2215</v>
      </c>
      <c r="G1472" s="13">
        <v>119.91</v>
      </c>
      <c r="H1472" s="44">
        <v>20.3</v>
      </c>
      <c r="I1472" s="13">
        <v>95.57</v>
      </c>
      <c r="J1472" s="24">
        <v>45875</v>
      </c>
      <c r="K1472" s="25">
        <v>15</v>
      </c>
      <c r="L1472" s="25">
        <v>3.8</v>
      </c>
      <c r="M1472" s="13" t="b">
        <v>0</v>
      </c>
      <c r="O1472" s="25">
        <f t="shared" si="88"/>
        <v>27</v>
      </c>
      <c r="P1472" s="13">
        <f t="shared" si="89"/>
        <v>304.5</v>
      </c>
      <c r="Q1472" s="13" t="str">
        <f t="shared" si="90"/>
        <v/>
      </c>
      <c r="R1472" s="13" t="str">
        <f t="shared" si="91"/>
        <v>Diskon</v>
      </c>
    </row>
    <row r="1473" spans="1:18" x14ac:dyDescent="0.25">
      <c r="A1473" s="13" t="s">
        <v>1485</v>
      </c>
      <c r="B1473" s="13" t="s">
        <v>2192</v>
      </c>
      <c r="C1473" s="13" t="s">
        <v>2200</v>
      </c>
      <c r="D1473" s="13" t="s">
        <v>2206</v>
      </c>
      <c r="F1473" s="13" t="s">
        <v>2214</v>
      </c>
      <c r="G1473" s="13">
        <v>73.73</v>
      </c>
      <c r="H1473" s="44">
        <v>54.2</v>
      </c>
      <c r="I1473" s="13">
        <v>33.770000000000003</v>
      </c>
      <c r="J1473" s="24">
        <v>45875</v>
      </c>
      <c r="K1473" s="25">
        <v>37</v>
      </c>
      <c r="L1473" s="25">
        <v>4.0999999999999996</v>
      </c>
      <c r="M1473" s="13" t="b">
        <v>0</v>
      </c>
      <c r="O1473" s="25">
        <f t="shared" si="88"/>
        <v>27</v>
      </c>
      <c r="P1473" s="13">
        <f t="shared" si="89"/>
        <v>2005.4</v>
      </c>
      <c r="Q1473" s="13" t="str">
        <f t="shared" si="90"/>
        <v/>
      </c>
      <c r="R1473" s="13" t="str">
        <f t="shared" si="91"/>
        <v>Diskon</v>
      </c>
    </row>
    <row r="1474" spans="1:18" x14ac:dyDescent="0.25">
      <c r="A1474" s="13" t="s">
        <v>1486</v>
      </c>
      <c r="B1474" s="13" t="s">
        <v>2194</v>
      </c>
      <c r="C1474" s="13" t="s">
        <v>2196</v>
      </c>
      <c r="D1474" s="13" t="s">
        <v>2206</v>
      </c>
      <c r="E1474" s="13" t="s">
        <v>2209</v>
      </c>
      <c r="F1474" s="13" t="s">
        <v>2216</v>
      </c>
      <c r="G1474" s="13">
        <v>108.65</v>
      </c>
      <c r="H1474" s="44">
        <v>0</v>
      </c>
      <c r="I1474" s="13">
        <v>108.65</v>
      </c>
      <c r="J1474" s="24">
        <v>45875</v>
      </c>
      <c r="K1474" s="25">
        <v>26</v>
      </c>
      <c r="L1474" s="25">
        <v>2.4</v>
      </c>
      <c r="M1474" s="13" t="b">
        <v>0</v>
      </c>
      <c r="O1474" s="25">
        <f t="shared" si="88"/>
        <v>27</v>
      </c>
      <c r="P1474" s="13">
        <f t="shared" si="89"/>
        <v>0</v>
      </c>
      <c r="Q1474" s="13" t="str">
        <f t="shared" si="90"/>
        <v/>
      </c>
      <c r="R1474" s="13" t="str">
        <f t="shared" si="91"/>
        <v>Non diskon</v>
      </c>
    </row>
    <row r="1475" spans="1:18" x14ac:dyDescent="0.25">
      <c r="A1475" s="13" t="s">
        <v>1487</v>
      </c>
      <c r="B1475" s="13" t="s">
        <v>2193</v>
      </c>
      <c r="C1475" s="13" t="s">
        <v>2199</v>
      </c>
      <c r="D1475" s="13" t="s">
        <v>2207</v>
      </c>
      <c r="E1475" s="13" t="s">
        <v>2209</v>
      </c>
      <c r="F1475" s="13" t="s">
        <v>2214</v>
      </c>
      <c r="G1475" s="13">
        <v>186.53</v>
      </c>
      <c r="H1475" s="44">
        <v>0</v>
      </c>
      <c r="I1475" s="13">
        <v>186.53</v>
      </c>
      <c r="J1475" s="24">
        <v>45875</v>
      </c>
      <c r="K1475" s="25">
        <v>31</v>
      </c>
      <c r="L1475" s="25">
        <v>2.6</v>
      </c>
      <c r="M1475" s="13" t="b">
        <v>0</v>
      </c>
      <c r="O1475" s="25">
        <f t="shared" ref="O1475:O1538" si="92">DATE(2025,9,2)-J1475</f>
        <v>27</v>
      </c>
      <c r="P1475" s="13">
        <f t="shared" ref="P1475:P1538" si="93">H1475*K1475</f>
        <v>0</v>
      </c>
      <c r="Q1475" s="13" t="str">
        <f t="shared" ref="Q1475:Q1538" si="94">IF(M1475=FALSE,"",1)</f>
        <v/>
      </c>
      <c r="R1475" s="13" t="str">
        <f t="shared" ref="R1475:R1538" si="95">IF(H1475=0,"Non diskon","Diskon")</f>
        <v>Non diskon</v>
      </c>
    </row>
    <row r="1476" spans="1:18" x14ac:dyDescent="0.25">
      <c r="A1476" s="13" t="s">
        <v>1488</v>
      </c>
      <c r="B1476" s="13" t="s">
        <v>2192</v>
      </c>
      <c r="C1476" s="13" t="s">
        <v>2196</v>
      </c>
      <c r="D1476" s="13" t="s">
        <v>2207</v>
      </c>
      <c r="F1476" s="13" t="s">
        <v>2214</v>
      </c>
      <c r="G1476" s="13">
        <v>60.34</v>
      </c>
      <c r="H1476" s="44">
        <v>0</v>
      </c>
      <c r="I1476" s="13">
        <v>60.34</v>
      </c>
      <c r="J1476" s="24">
        <v>45875</v>
      </c>
      <c r="K1476" s="25">
        <v>13</v>
      </c>
      <c r="L1476" s="25">
        <v>2.9116666666666675</v>
      </c>
      <c r="M1476" s="13" t="b">
        <v>0</v>
      </c>
      <c r="O1476" s="25">
        <f t="shared" si="92"/>
        <v>27</v>
      </c>
      <c r="P1476" s="13">
        <f t="shared" si="93"/>
        <v>0</v>
      </c>
      <c r="Q1476" s="13" t="str">
        <f t="shared" si="94"/>
        <v/>
      </c>
      <c r="R1476" s="13" t="str">
        <f t="shared" si="95"/>
        <v>Non diskon</v>
      </c>
    </row>
    <row r="1477" spans="1:18" x14ac:dyDescent="0.25">
      <c r="A1477" s="13" t="s">
        <v>1489</v>
      </c>
      <c r="B1477" s="13" t="s">
        <v>2192</v>
      </c>
      <c r="C1477" s="13" t="s">
        <v>2199</v>
      </c>
      <c r="D1477" s="13" t="s">
        <v>2205</v>
      </c>
      <c r="F1477" s="13" t="s">
        <v>2222</v>
      </c>
      <c r="G1477" s="13">
        <v>61.16</v>
      </c>
      <c r="H1477" s="44">
        <v>0</v>
      </c>
      <c r="I1477" s="13">
        <v>61.16</v>
      </c>
      <c r="J1477" s="24">
        <v>45875</v>
      </c>
      <c r="K1477" s="25">
        <v>28</v>
      </c>
      <c r="L1477" s="25">
        <v>2.2999999999999998</v>
      </c>
      <c r="M1477" s="13" t="b">
        <v>0</v>
      </c>
      <c r="O1477" s="25">
        <f t="shared" si="92"/>
        <v>27</v>
      </c>
      <c r="P1477" s="13">
        <f t="shared" si="93"/>
        <v>0</v>
      </c>
      <c r="Q1477" s="13" t="str">
        <f t="shared" si="94"/>
        <v/>
      </c>
      <c r="R1477" s="13" t="str">
        <f t="shared" si="95"/>
        <v>Non diskon</v>
      </c>
    </row>
    <row r="1478" spans="1:18" x14ac:dyDescent="0.25">
      <c r="A1478" s="13" t="s">
        <v>1490</v>
      </c>
      <c r="B1478" s="13" t="s">
        <v>2193</v>
      </c>
      <c r="C1478" s="13" t="s">
        <v>2203</v>
      </c>
      <c r="D1478" s="13" t="s">
        <v>2205</v>
      </c>
      <c r="E1478" s="13" t="s">
        <v>2208</v>
      </c>
      <c r="F1478" s="13" t="s">
        <v>2220</v>
      </c>
      <c r="G1478" s="13">
        <v>168.85</v>
      </c>
      <c r="H1478" s="44">
        <v>35.299999999999997</v>
      </c>
      <c r="I1478" s="13">
        <v>109.25</v>
      </c>
      <c r="J1478" s="24">
        <v>45875</v>
      </c>
      <c r="K1478" s="25">
        <v>10</v>
      </c>
      <c r="L1478" s="25">
        <v>3.3</v>
      </c>
      <c r="M1478" s="13" t="b">
        <v>0</v>
      </c>
      <c r="O1478" s="25">
        <f t="shared" si="92"/>
        <v>27</v>
      </c>
      <c r="P1478" s="13">
        <f t="shared" si="93"/>
        <v>353</v>
      </c>
      <c r="Q1478" s="13" t="str">
        <f t="shared" si="94"/>
        <v/>
      </c>
      <c r="R1478" s="13" t="str">
        <f t="shared" si="95"/>
        <v>Diskon</v>
      </c>
    </row>
    <row r="1479" spans="1:18" x14ac:dyDescent="0.25">
      <c r="A1479" s="13" t="s">
        <v>1491</v>
      </c>
      <c r="B1479" s="13" t="s">
        <v>2191</v>
      </c>
      <c r="C1479" s="13" t="s">
        <v>2201</v>
      </c>
      <c r="D1479" s="13" t="s">
        <v>2205</v>
      </c>
      <c r="E1479" s="13" t="s">
        <v>2209</v>
      </c>
      <c r="F1479" s="13" t="s">
        <v>2222</v>
      </c>
      <c r="G1479" s="13">
        <v>60.08</v>
      </c>
      <c r="H1479" s="44">
        <v>0</v>
      </c>
      <c r="I1479" s="13">
        <v>60.08</v>
      </c>
      <c r="J1479" s="24">
        <v>45875</v>
      </c>
      <c r="K1479" s="25">
        <v>26</v>
      </c>
      <c r="L1479" s="25">
        <v>2.9846153846153847</v>
      </c>
      <c r="M1479" s="13" t="b">
        <v>0</v>
      </c>
      <c r="O1479" s="25">
        <f t="shared" si="92"/>
        <v>27</v>
      </c>
      <c r="P1479" s="13">
        <f t="shared" si="93"/>
        <v>0</v>
      </c>
      <c r="Q1479" s="13" t="str">
        <f t="shared" si="94"/>
        <v/>
      </c>
      <c r="R1479" s="13" t="str">
        <f t="shared" si="95"/>
        <v>Non diskon</v>
      </c>
    </row>
    <row r="1480" spans="1:18" x14ac:dyDescent="0.25">
      <c r="A1480" s="13" t="s">
        <v>1492</v>
      </c>
      <c r="B1480" s="13" t="s">
        <v>2192</v>
      </c>
      <c r="C1480" s="13" t="s">
        <v>2202</v>
      </c>
      <c r="D1480" s="13" t="s">
        <v>2207</v>
      </c>
      <c r="F1480" s="13" t="s">
        <v>2224</v>
      </c>
      <c r="G1480" s="13">
        <v>39.39</v>
      </c>
      <c r="H1480" s="44">
        <v>29.8</v>
      </c>
      <c r="I1480" s="13">
        <v>27.65</v>
      </c>
      <c r="J1480" s="24">
        <v>45875</v>
      </c>
      <c r="K1480" s="25">
        <v>13</v>
      </c>
      <c r="L1480" s="25">
        <v>4.7</v>
      </c>
      <c r="M1480" s="13" t="b">
        <v>0</v>
      </c>
      <c r="O1480" s="25">
        <f t="shared" si="92"/>
        <v>27</v>
      </c>
      <c r="P1480" s="13">
        <f t="shared" si="93"/>
        <v>387.40000000000003</v>
      </c>
      <c r="Q1480" s="13" t="str">
        <f t="shared" si="94"/>
        <v/>
      </c>
      <c r="R1480" s="13" t="str">
        <f t="shared" si="95"/>
        <v>Diskon</v>
      </c>
    </row>
    <row r="1481" spans="1:18" x14ac:dyDescent="0.25">
      <c r="A1481" s="13" t="s">
        <v>1493</v>
      </c>
      <c r="B1481" s="13" t="s">
        <v>2191</v>
      </c>
      <c r="C1481" s="13" t="s">
        <v>2202</v>
      </c>
      <c r="D1481" s="13" t="s">
        <v>2206</v>
      </c>
      <c r="E1481" s="13" t="s">
        <v>2213</v>
      </c>
      <c r="F1481" s="13" t="s">
        <v>2215</v>
      </c>
      <c r="G1481" s="13">
        <v>111.09</v>
      </c>
      <c r="H1481" s="44">
        <v>0</v>
      </c>
      <c r="I1481" s="13">
        <v>111.09</v>
      </c>
      <c r="J1481" s="24">
        <v>45875</v>
      </c>
      <c r="K1481" s="25">
        <v>24</v>
      </c>
      <c r="L1481" s="25">
        <v>2.2000000000000002</v>
      </c>
      <c r="M1481" s="13" t="b">
        <v>0</v>
      </c>
      <c r="O1481" s="25">
        <f t="shared" si="92"/>
        <v>27</v>
      </c>
      <c r="P1481" s="13">
        <f t="shared" si="93"/>
        <v>0</v>
      </c>
      <c r="Q1481" s="13" t="str">
        <f t="shared" si="94"/>
        <v/>
      </c>
      <c r="R1481" s="13" t="str">
        <f t="shared" si="95"/>
        <v>Non diskon</v>
      </c>
    </row>
    <row r="1482" spans="1:18" x14ac:dyDescent="0.25">
      <c r="A1482" s="13" t="s">
        <v>1494</v>
      </c>
      <c r="B1482" s="13" t="s">
        <v>2195</v>
      </c>
      <c r="C1482" s="13" t="s">
        <v>2198</v>
      </c>
      <c r="D1482" s="13" t="s">
        <v>2207</v>
      </c>
      <c r="E1482" s="13" t="s">
        <v>2213</v>
      </c>
      <c r="F1482" s="13" t="s">
        <v>2220</v>
      </c>
      <c r="G1482" s="13">
        <v>133.51</v>
      </c>
      <c r="H1482" s="44">
        <v>0</v>
      </c>
      <c r="I1482" s="13">
        <v>133.51</v>
      </c>
      <c r="J1482" s="24">
        <v>45875</v>
      </c>
      <c r="K1482" s="25">
        <v>5</v>
      </c>
      <c r="L1482" s="25">
        <v>1.7</v>
      </c>
      <c r="M1482" s="13" t="b">
        <v>1</v>
      </c>
      <c r="N1482" s="13" t="s">
        <v>2228</v>
      </c>
      <c r="O1482" s="25">
        <f t="shared" si="92"/>
        <v>27</v>
      </c>
      <c r="P1482" s="13">
        <f t="shared" si="93"/>
        <v>0</v>
      </c>
      <c r="Q1482" s="13">
        <f t="shared" si="94"/>
        <v>1</v>
      </c>
      <c r="R1482" s="13" t="str">
        <f t="shared" si="95"/>
        <v>Non diskon</v>
      </c>
    </row>
    <row r="1483" spans="1:18" x14ac:dyDescent="0.25">
      <c r="A1483" s="13" t="s">
        <v>1495</v>
      </c>
      <c r="B1483" s="13" t="s">
        <v>2195</v>
      </c>
      <c r="C1483" s="13" t="s">
        <v>2203</v>
      </c>
      <c r="D1483" s="13" t="s">
        <v>2207</v>
      </c>
      <c r="E1483" s="13" t="s">
        <v>2212</v>
      </c>
      <c r="F1483" s="13" t="s">
        <v>2215</v>
      </c>
      <c r="G1483" s="13">
        <v>158.9</v>
      </c>
      <c r="H1483" s="44">
        <v>43.5</v>
      </c>
      <c r="I1483" s="13">
        <v>89.78</v>
      </c>
      <c r="J1483" s="24">
        <v>45875</v>
      </c>
      <c r="K1483" s="25">
        <v>46</v>
      </c>
      <c r="L1483" s="25">
        <v>2.9636363636363638</v>
      </c>
      <c r="M1483" s="13" t="b">
        <v>0</v>
      </c>
      <c r="O1483" s="25">
        <f t="shared" si="92"/>
        <v>27</v>
      </c>
      <c r="P1483" s="13">
        <f t="shared" si="93"/>
        <v>2001</v>
      </c>
      <c r="Q1483" s="13" t="str">
        <f t="shared" si="94"/>
        <v/>
      </c>
      <c r="R1483" s="13" t="str">
        <f t="shared" si="95"/>
        <v>Diskon</v>
      </c>
    </row>
    <row r="1484" spans="1:18" x14ac:dyDescent="0.25">
      <c r="A1484" s="13" t="s">
        <v>1496</v>
      </c>
      <c r="B1484" s="13" t="s">
        <v>2191</v>
      </c>
      <c r="C1484" s="13" t="s">
        <v>2202</v>
      </c>
      <c r="D1484" s="13" t="s">
        <v>2204</v>
      </c>
      <c r="E1484" s="13" t="s">
        <v>2212</v>
      </c>
      <c r="F1484" s="13" t="s">
        <v>2224</v>
      </c>
      <c r="G1484" s="13">
        <v>65.27</v>
      </c>
      <c r="H1484" s="44">
        <v>19</v>
      </c>
      <c r="I1484" s="13">
        <v>52.87</v>
      </c>
      <c r="J1484" s="24">
        <v>45533</v>
      </c>
      <c r="K1484" s="25">
        <v>48</v>
      </c>
      <c r="L1484" s="25">
        <v>3</v>
      </c>
      <c r="M1484" s="13" t="b">
        <v>0</v>
      </c>
      <c r="O1484" s="25">
        <f t="shared" si="92"/>
        <v>369</v>
      </c>
      <c r="P1484" s="13">
        <f t="shared" si="93"/>
        <v>912</v>
      </c>
      <c r="Q1484" s="13" t="str">
        <f t="shared" si="94"/>
        <v/>
      </c>
      <c r="R1484" s="13" t="str">
        <f t="shared" si="95"/>
        <v>Diskon</v>
      </c>
    </row>
    <row r="1485" spans="1:18" x14ac:dyDescent="0.25">
      <c r="A1485" s="13" t="s">
        <v>1497</v>
      </c>
      <c r="B1485" s="13" t="s">
        <v>2192</v>
      </c>
      <c r="C1485" s="13" t="s">
        <v>2196</v>
      </c>
      <c r="D1485" s="13" t="s">
        <v>2206</v>
      </c>
      <c r="F1485" s="13" t="s">
        <v>2220</v>
      </c>
      <c r="G1485" s="13">
        <v>72.37</v>
      </c>
      <c r="H1485" s="44">
        <v>0</v>
      </c>
      <c r="I1485" s="13">
        <v>72.37</v>
      </c>
      <c r="J1485" s="24">
        <v>45875</v>
      </c>
      <c r="K1485" s="25">
        <v>24</v>
      </c>
      <c r="L1485" s="25">
        <v>2.9</v>
      </c>
      <c r="M1485" s="13" t="b">
        <v>0</v>
      </c>
      <c r="O1485" s="25">
        <f t="shared" si="92"/>
        <v>27</v>
      </c>
      <c r="P1485" s="13">
        <f t="shared" si="93"/>
        <v>0</v>
      </c>
      <c r="Q1485" s="13" t="str">
        <f t="shared" si="94"/>
        <v/>
      </c>
      <c r="R1485" s="13" t="str">
        <f t="shared" si="95"/>
        <v>Non diskon</v>
      </c>
    </row>
    <row r="1486" spans="1:18" x14ac:dyDescent="0.25">
      <c r="A1486" s="13" t="s">
        <v>1498</v>
      </c>
      <c r="B1486" s="13" t="s">
        <v>2195</v>
      </c>
      <c r="C1486" s="13" t="s">
        <v>2198</v>
      </c>
      <c r="D1486" s="13" t="s">
        <v>2206</v>
      </c>
      <c r="E1486" s="13" t="s">
        <v>2208</v>
      </c>
      <c r="F1486" s="13" t="s">
        <v>2217</v>
      </c>
      <c r="G1486" s="13">
        <v>133.88</v>
      </c>
      <c r="H1486" s="44">
        <v>21.5</v>
      </c>
      <c r="I1486" s="13">
        <v>105.1</v>
      </c>
      <c r="J1486" s="24">
        <v>45875</v>
      </c>
      <c r="K1486" s="25">
        <v>42</v>
      </c>
      <c r="L1486" s="25">
        <v>3.1</v>
      </c>
      <c r="M1486" s="13" t="b">
        <v>0</v>
      </c>
      <c r="O1486" s="25">
        <f t="shared" si="92"/>
        <v>27</v>
      </c>
      <c r="P1486" s="13">
        <f t="shared" si="93"/>
        <v>903</v>
      </c>
      <c r="Q1486" s="13" t="str">
        <f t="shared" si="94"/>
        <v/>
      </c>
      <c r="R1486" s="13" t="str">
        <f t="shared" si="95"/>
        <v>Diskon</v>
      </c>
    </row>
    <row r="1487" spans="1:18" x14ac:dyDescent="0.25">
      <c r="A1487" s="13" t="s">
        <v>1499</v>
      </c>
      <c r="B1487" s="13" t="s">
        <v>2191</v>
      </c>
      <c r="C1487" s="13" t="s">
        <v>2196</v>
      </c>
      <c r="D1487" s="13" t="s">
        <v>2204</v>
      </c>
      <c r="E1487" s="13" t="s">
        <v>2211</v>
      </c>
      <c r="F1487" s="13" t="s">
        <v>2223</v>
      </c>
      <c r="G1487" s="13">
        <v>74.3</v>
      </c>
      <c r="H1487" s="44">
        <v>0</v>
      </c>
      <c r="I1487" s="13">
        <v>74.3</v>
      </c>
      <c r="J1487" s="24">
        <v>45633</v>
      </c>
      <c r="K1487" s="25">
        <v>24</v>
      </c>
      <c r="L1487" s="25">
        <v>4.4000000000000004</v>
      </c>
      <c r="M1487" s="13" t="b">
        <v>0</v>
      </c>
      <c r="O1487" s="25">
        <f t="shared" si="92"/>
        <v>269</v>
      </c>
      <c r="P1487" s="13">
        <f t="shared" si="93"/>
        <v>0</v>
      </c>
      <c r="Q1487" s="13" t="str">
        <f t="shared" si="94"/>
        <v/>
      </c>
      <c r="R1487" s="13" t="str">
        <f t="shared" si="95"/>
        <v>Non diskon</v>
      </c>
    </row>
    <row r="1488" spans="1:18" x14ac:dyDescent="0.25">
      <c r="A1488" s="13" t="s">
        <v>1500</v>
      </c>
      <c r="B1488" s="13" t="s">
        <v>2193</v>
      </c>
      <c r="C1488" s="13" t="s">
        <v>2198</v>
      </c>
      <c r="D1488" s="13" t="s">
        <v>2207</v>
      </c>
      <c r="E1488" s="13" t="s">
        <v>2208</v>
      </c>
      <c r="F1488" s="13" t="s">
        <v>2221</v>
      </c>
      <c r="G1488" s="13">
        <v>192.74</v>
      </c>
      <c r="H1488" s="44">
        <v>47.5</v>
      </c>
      <c r="I1488" s="13">
        <v>101.19</v>
      </c>
      <c r="J1488" s="24">
        <v>45875</v>
      </c>
      <c r="K1488" s="25">
        <v>40</v>
      </c>
      <c r="L1488" s="25">
        <v>2.8</v>
      </c>
      <c r="M1488" s="13" t="b">
        <v>0</v>
      </c>
      <c r="O1488" s="25">
        <f t="shared" si="92"/>
        <v>27</v>
      </c>
      <c r="P1488" s="13">
        <f t="shared" si="93"/>
        <v>1900</v>
      </c>
      <c r="Q1488" s="13" t="str">
        <f t="shared" si="94"/>
        <v/>
      </c>
      <c r="R1488" s="13" t="str">
        <f t="shared" si="95"/>
        <v>Diskon</v>
      </c>
    </row>
    <row r="1489" spans="1:18" x14ac:dyDescent="0.25">
      <c r="A1489" s="13" t="s">
        <v>1501</v>
      </c>
      <c r="B1489" s="13" t="s">
        <v>2192</v>
      </c>
      <c r="C1489" s="13" t="s">
        <v>2197</v>
      </c>
      <c r="D1489" s="13" t="s">
        <v>2207</v>
      </c>
      <c r="F1489" s="13" t="s">
        <v>2214</v>
      </c>
      <c r="G1489" s="13">
        <v>79.02</v>
      </c>
      <c r="H1489" s="44">
        <v>2.5</v>
      </c>
      <c r="I1489" s="13">
        <v>77.040000000000006</v>
      </c>
      <c r="J1489" s="24">
        <v>45875</v>
      </c>
      <c r="K1489" s="25">
        <v>16</v>
      </c>
      <c r="L1489" s="25">
        <v>2.8</v>
      </c>
      <c r="M1489" s="13" t="b">
        <v>0</v>
      </c>
      <c r="O1489" s="25">
        <f t="shared" si="92"/>
        <v>27</v>
      </c>
      <c r="P1489" s="13">
        <f t="shared" si="93"/>
        <v>40</v>
      </c>
      <c r="Q1489" s="13" t="str">
        <f t="shared" si="94"/>
        <v/>
      </c>
      <c r="R1489" s="13" t="str">
        <f t="shared" si="95"/>
        <v>Diskon</v>
      </c>
    </row>
    <row r="1490" spans="1:18" x14ac:dyDescent="0.25">
      <c r="A1490" s="13" t="s">
        <v>1502</v>
      </c>
      <c r="B1490" s="13" t="s">
        <v>2193</v>
      </c>
      <c r="C1490" s="13" t="s">
        <v>2196</v>
      </c>
      <c r="D1490" s="13" t="s">
        <v>2205</v>
      </c>
      <c r="E1490" s="13" t="s">
        <v>2210</v>
      </c>
      <c r="F1490" s="13" t="s">
        <v>2217</v>
      </c>
      <c r="G1490" s="13">
        <v>158.29</v>
      </c>
      <c r="H1490" s="44">
        <v>0</v>
      </c>
      <c r="I1490" s="13">
        <v>158.29</v>
      </c>
      <c r="J1490" s="24">
        <v>45875</v>
      </c>
      <c r="K1490" s="25">
        <v>5</v>
      </c>
      <c r="L1490" s="25">
        <v>1.6</v>
      </c>
      <c r="M1490" s="13" t="b">
        <v>0</v>
      </c>
      <c r="O1490" s="25">
        <f t="shared" si="92"/>
        <v>27</v>
      </c>
      <c r="P1490" s="13">
        <f t="shared" si="93"/>
        <v>0</v>
      </c>
      <c r="Q1490" s="13" t="str">
        <f t="shared" si="94"/>
        <v/>
      </c>
      <c r="R1490" s="13" t="str">
        <f t="shared" si="95"/>
        <v>Non diskon</v>
      </c>
    </row>
    <row r="1491" spans="1:18" x14ac:dyDescent="0.25">
      <c r="A1491" s="13" t="s">
        <v>1503</v>
      </c>
      <c r="B1491" s="13" t="s">
        <v>2191</v>
      </c>
      <c r="C1491" s="13" t="s">
        <v>2201</v>
      </c>
      <c r="D1491" s="13" t="s">
        <v>2205</v>
      </c>
      <c r="E1491" s="13" t="s">
        <v>2209</v>
      </c>
      <c r="F1491" s="13" t="s">
        <v>2217</v>
      </c>
      <c r="G1491" s="13">
        <v>69.33</v>
      </c>
      <c r="H1491" s="44">
        <v>0</v>
      </c>
      <c r="I1491" s="13">
        <v>69.33</v>
      </c>
      <c r="J1491" s="24">
        <v>45875</v>
      </c>
      <c r="K1491" s="25">
        <v>26</v>
      </c>
      <c r="L1491" s="25">
        <v>4.9000000000000004</v>
      </c>
      <c r="M1491" s="13" t="b">
        <v>0</v>
      </c>
      <c r="O1491" s="25">
        <f t="shared" si="92"/>
        <v>27</v>
      </c>
      <c r="P1491" s="13">
        <f t="shared" si="93"/>
        <v>0</v>
      </c>
      <c r="Q1491" s="13" t="str">
        <f t="shared" si="94"/>
        <v/>
      </c>
      <c r="R1491" s="13" t="str">
        <f t="shared" si="95"/>
        <v>Non diskon</v>
      </c>
    </row>
    <row r="1492" spans="1:18" x14ac:dyDescent="0.25">
      <c r="A1492" s="13" t="s">
        <v>1504</v>
      </c>
      <c r="B1492" s="13" t="s">
        <v>2193</v>
      </c>
      <c r="C1492" s="13" t="s">
        <v>2202</v>
      </c>
      <c r="D1492" s="13" t="s">
        <v>2205</v>
      </c>
      <c r="E1492" s="13" t="s">
        <v>2212</v>
      </c>
      <c r="F1492" s="13" t="s">
        <v>2224</v>
      </c>
      <c r="G1492" s="13">
        <v>86.89</v>
      </c>
      <c r="H1492" s="44">
        <v>19.5</v>
      </c>
      <c r="I1492" s="13">
        <v>69.95</v>
      </c>
      <c r="J1492" s="24">
        <v>45875</v>
      </c>
      <c r="K1492" s="25">
        <v>49</v>
      </c>
      <c r="L1492" s="25">
        <v>1.3</v>
      </c>
      <c r="M1492" s="13" t="b">
        <v>0</v>
      </c>
      <c r="O1492" s="25">
        <f t="shared" si="92"/>
        <v>27</v>
      </c>
      <c r="P1492" s="13">
        <f t="shared" si="93"/>
        <v>955.5</v>
      </c>
      <c r="Q1492" s="13" t="str">
        <f t="shared" si="94"/>
        <v/>
      </c>
      <c r="R1492" s="13" t="str">
        <f t="shared" si="95"/>
        <v>Diskon</v>
      </c>
    </row>
    <row r="1493" spans="1:18" x14ac:dyDescent="0.25">
      <c r="A1493" s="13" t="s">
        <v>1505</v>
      </c>
      <c r="B1493" s="13" t="s">
        <v>2190</v>
      </c>
      <c r="C1493" s="13" t="s">
        <v>2197</v>
      </c>
      <c r="D1493" s="13" t="s">
        <v>2206</v>
      </c>
      <c r="E1493" s="13" t="s">
        <v>2209</v>
      </c>
      <c r="F1493" s="13" t="s">
        <v>2220</v>
      </c>
      <c r="G1493" s="13">
        <v>162.75</v>
      </c>
      <c r="H1493" s="44">
        <v>0</v>
      </c>
      <c r="I1493" s="13">
        <v>162.75</v>
      </c>
      <c r="J1493" s="24">
        <v>45875</v>
      </c>
      <c r="K1493" s="25">
        <v>13</v>
      </c>
      <c r="L1493" s="25">
        <v>4.8</v>
      </c>
      <c r="M1493" s="13" t="b">
        <v>0</v>
      </c>
      <c r="O1493" s="25">
        <f t="shared" si="92"/>
        <v>27</v>
      </c>
      <c r="P1493" s="13">
        <f t="shared" si="93"/>
        <v>0</v>
      </c>
      <c r="Q1493" s="13" t="str">
        <f t="shared" si="94"/>
        <v/>
      </c>
      <c r="R1493" s="13" t="str">
        <f t="shared" si="95"/>
        <v>Non diskon</v>
      </c>
    </row>
    <row r="1494" spans="1:18" x14ac:dyDescent="0.25">
      <c r="A1494" s="13" t="s">
        <v>1506</v>
      </c>
      <c r="B1494" s="13" t="s">
        <v>2193</v>
      </c>
      <c r="C1494" s="13" t="s">
        <v>2200</v>
      </c>
      <c r="D1494" s="13" t="s">
        <v>2207</v>
      </c>
      <c r="E1494" s="13" t="s">
        <v>2213</v>
      </c>
      <c r="F1494" s="13" t="s">
        <v>2219</v>
      </c>
      <c r="G1494" s="13">
        <v>70.28</v>
      </c>
      <c r="H1494" s="44">
        <v>0</v>
      </c>
      <c r="I1494" s="13">
        <v>70.28</v>
      </c>
      <c r="J1494" s="24">
        <v>45875</v>
      </c>
      <c r="K1494" s="25">
        <v>27</v>
      </c>
      <c r="L1494" s="25">
        <v>4.7</v>
      </c>
      <c r="M1494" s="13" t="b">
        <v>0</v>
      </c>
      <c r="O1494" s="25">
        <f t="shared" si="92"/>
        <v>27</v>
      </c>
      <c r="P1494" s="13">
        <f t="shared" si="93"/>
        <v>0</v>
      </c>
      <c r="Q1494" s="13" t="str">
        <f t="shared" si="94"/>
        <v/>
      </c>
      <c r="R1494" s="13" t="str">
        <f t="shared" si="95"/>
        <v>Non diskon</v>
      </c>
    </row>
    <row r="1495" spans="1:18" x14ac:dyDescent="0.25">
      <c r="A1495" s="13" t="s">
        <v>1507</v>
      </c>
      <c r="B1495" s="13" t="s">
        <v>2194</v>
      </c>
      <c r="C1495" s="13" t="s">
        <v>2199</v>
      </c>
      <c r="D1495" s="13" t="s">
        <v>2204</v>
      </c>
      <c r="E1495" s="13" t="s">
        <v>2210</v>
      </c>
      <c r="F1495" s="13" t="s">
        <v>2217</v>
      </c>
      <c r="G1495" s="13">
        <v>111.91</v>
      </c>
      <c r="H1495" s="44">
        <v>0</v>
      </c>
      <c r="I1495" s="13">
        <v>111.91</v>
      </c>
      <c r="J1495" s="24">
        <v>45860</v>
      </c>
      <c r="K1495" s="25">
        <v>28</v>
      </c>
      <c r="L1495" s="25">
        <v>1.8</v>
      </c>
      <c r="M1495" s="13" t="b">
        <v>0</v>
      </c>
      <c r="O1495" s="25">
        <f t="shared" si="92"/>
        <v>42</v>
      </c>
      <c r="P1495" s="13">
        <f t="shared" si="93"/>
        <v>0</v>
      </c>
      <c r="Q1495" s="13" t="str">
        <f t="shared" si="94"/>
        <v/>
      </c>
      <c r="R1495" s="13" t="str">
        <f t="shared" si="95"/>
        <v>Non diskon</v>
      </c>
    </row>
    <row r="1496" spans="1:18" x14ac:dyDescent="0.25">
      <c r="A1496" s="13" t="s">
        <v>1508</v>
      </c>
      <c r="B1496" s="13" t="s">
        <v>2190</v>
      </c>
      <c r="C1496" s="13" t="s">
        <v>2201</v>
      </c>
      <c r="D1496" s="13" t="s">
        <v>2206</v>
      </c>
      <c r="E1496" s="13" t="s">
        <v>2210</v>
      </c>
      <c r="F1496" s="13" t="s">
        <v>2223</v>
      </c>
      <c r="G1496" s="13">
        <v>143.76</v>
      </c>
      <c r="H1496" s="44">
        <v>0</v>
      </c>
      <c r="I1496" s="13">
        <v>143.76</v>
      </c>
      <c r="J1496" s="24">
        <v>45875</v>
      </c>
      <c r="K1496" s="25">
        <v>7</v>
      </c>
      <c r="L1496" s="25">
        <v>2</v>
      </c>
      <c r="M1496" s="13" t="b">
        <v>0</v>
      </c>
      <c r="O1496" s="25">
        <f t="shared" si="92"/>
        <v>27</v>
      </c>
      <c r="P1496" s="13">
        <f t="shared" si="93"/>
        <v>0</v>
      </c>
      <c r="Q1496" s="13" t="str">
        <f t="shared" si="94"/>
        <v/>
      </c>
      <c r="R1496" s="13" t="str">
        <f t="shared" si="95"/>
        <v>Non diskon</v>
      </c>
    </row>
    <row r="1497" spans="1:18" x14ac:dyDescent="0.25">
      <c r="A1497" s="13" t="s">
        <v>1509</v>
      </c>
      <c r="B1497" s="13" t="s">
        <v>2195</v>
      </c>
      <c r="C1497" s="13" t="s">
        <v>2200</v>
      </c>
      <c r="D1497" s="13" t="s">
        <v>2207</v>
      </c>
      <c r="E1497" s="13" t="s">
        <v>2210</v>
      </c>
      <c r="F1497" s="13" t="s">
        <v>2223</v>
      </c>
      <c r="G1497" s="13">
        <v>169.89</v>
      </c>
      <c r="H1497" s="44">
        <v>0</v>
      </c>
      <c r="I1497" s="13">
        <v>169.89</v>
      </c>
      <c r="J1497" s="24">
        <v>45875</v>
      </c>
      <c r="K1497" s="25">
        <v>17</v>
      </c>
      <c r="L1497" s="25">
        <v>1.3</v>
      </c>
      <c r="M1497" s="13" t="b">
        <v>0</v>
      </c>
      <c r="O1497" s="25">
        <f t="shared" si="92"/>
        <v>27</v>
      </c>
      <c r="P1497" s="13">
        <f t="shared" si="93"/>
        <v>0</v>
      </c>
      <c r="Q1497" s="13" t="str">
        <f t="shared" si="94"/>
        <v/>
      </c>
      <c r="R1497" s="13" t="str">
        <f t="shared" si="95"/>
        <v>Non diskon</v>
      </c>
    </row>
    <row r="1498" spans="1:18" x14ac:dyDescent="0.25">
      <c r="A1498" s="13" t="s">
        <v>1510</v>
      </c>
      <c r="B1498" s="13" t="s">
        <v>2193</v>
      </c>
      <c r="C1498" s="13" t="s">
        <v>2196</v>
      </c>
      <c r="D1498" s="13" t="s">
        <v>2205</v>
      </c>
      <c r="E1498" s="13" t="s">
        <v>2208</v>
      </c>
      <c r="F1498" s="13" t="s">
        <v>2217</v>
      </c>
      <c r="G1498" s="13">
        <v>72.290000000000006</v>
      </c>
      <c r="H1498" s="44">
        <v>0</v>
      </c>
      <c r="I1498" s="13">
        <v>72.290000000000006</v>
      </c>
      <c r="J1498" s="24">
        <v>45875</v>
      </c>
      <c r="K1498" s="25">
        <v>0</v>
      </c>
      <c r="L1498" s="25">
        <v>2.9153846153846157</v>
      </c>
      <c r="M1498" s="13" t="b">
        <v>0</v>
      </c>
      <c r="O1498" s="25">
        <f t="shared" si="92"/>
        <v>27</v>
      </c>
      <c r="P1498" s="13">
        <f t="shared" si="93"/>
        <v>0</v>
      </c>
      <c r="Q1498" s="13" t="str">
        <f t="shared" si="94"/>
        <v/>
      </c>
      <c r="R1498" s="13" t="str">
        <f t="shared" si="95"/>
        <v>Non diskon</v>
      </c>
    </row>
    <row r="1499" spans="1:18" x14ac:dyDescent="0.25">
      <c r="A1499" s="13" t="s">
        <v>1511</v>
      </c>
      <c r="B1499" s="13" t="s">
        <v>2190</v>
      </c>
      <c r="C1499" s="13" t="s">
        <v>2203</v>
      </c>
      <c r="D1499" s="13" t="s">
        <v>2205</v>
      </c>
      <c r="E1499" s="13" t="s">
        <v>2212</v>
      </c>
      <c r="F1499" s="13" t="s">
        <v>2223</v>
      </c>
      <c r="G1499" s="13">
        <v>136.19999999999999</v>
      </c>
      <c r="H1499" s="44">
        <v>10.199999999999999</v>
      </c>
      <c r="I1499" s="13">
        <v>122.31</v>
      </c>
      <c r="J1499" s="24">
        <v>45875</v>
      </c>
      <c r="K1499" s="25">
        <v>10</v>
      </c>
      <c r="L1499" s="25">
        <v>3.6</v>
      </c>
      <c r="M1499" s="13" t="b">
        <v>0</v>
      </c>
      <c r="O1499" s="25">
        <f t="shared" si="92"/>
        <v>27</v>
      </c>
      <c r="P1499" s="13">
        <f t="shared" si="93"/>
        <v>102</v>
      </c>
      <c r="Q1499" s="13" t="str">
        <f t="shared" si="94"/>
        <v/>
      </c>
      <c r="R1499" s="13" t="str">
        <f t="shared" si="95"/>
        <v>Diskon</v>
      </c>
    </row>
    <row r="1500" spans="1:18" x14ac:dyDescent="0.25">
      <c r="A1500" s="13" t="s">
        <v>1512</v>
      </c>
      <c r="B1500" s="13" t="s">
        <v>2191</v>
      </c>
      <c r="C1500" s="13" t="s">
        <v>2203</v>
      </c>
      <c r="D1500" s="13" t="s">
        <v>2207</v>
      </c>
      <c r="E1500" s="13" t="s">
        <v>2210</v>
      </c>
      <c r="F1500" s="13" t="s">
        <v>2214</v>
      </c>
      <c r="G1500" s="13">
        <v>92.5</v>
      </c>
      <c r="H1500" s="44">
        <v>0</v>
      </c>
      <c r="I1500" s="13">
        <v>92.5</v>
      </c>
      <c r="J1500" s="24">
        <v>45875</v>
      </c>
      <c r="K1500" s="25">
        <v>15</v>
      </c>
      <c r="L1500" s="25">
        <v>2.7</v>
      </c>
      <c r="M1500" s="13" t="b">
        <v>0</v>
      </c>
      <c r="O1500" s="25">
        <f t="shared" si="92"/>
        <v>27</v>
      </c>
      <c r="P1500" s="13">
        <f t="shared" si="93"/>
        <v>0</v>
      </c>
      <c r="Q1500" s="13" t="str">
        <f t="shared" si="94"/>
        <v/>
      </c>
      <c r="R1500" s="13" t="str">
        <f t="shared" si="95"/>
        <v>Non diskon</v>
      </c>
    </row>
    <row r="1501" spans="1:18" x14ac:dyDescent="0.25">
      <c r="A1501" s="13" t="s">
        <v>1513</v>
      </c>
      <c r="B1501" s="13" t="s">
        <v>2193</v>
      </c>
      <c r="C1501" s="13" t="s">
        <v>2198</v>
      </c>
      <c r="D1501" s="13" t="s">
        <v>2205</v>
      </c>
      <c r="E1501" s="13" t="s">
        <v>2209</v>
      </c>
      <c r="F1501" s="13" t="s">
        <v>2223</v>
      </c>
      <c r="G1501" s="13">
        <v>89.5</v>
      </c>
      <c r="H1501" s="44">
        <v>0</v>
      </c>
      <c r="I1501" s="13">
        <v>89.5</v>
      </c>
      <c r="J1501" s="24">
        <v>45875</v>
      </c>
      <c r="K1501" s="25">
        <v>5</v>
      </c>
      <c r="L1501" s="25">
        <v>4.5</v>
      </c>
      <c r="M1501" s="13" t="b">
        <v>0</v>
      </c>
      <c r="O1501" s="25">
        <f t="shared" si="92"/>
        <v>27</v>
      </c>
      <c r="P1501" s="13">
        <f t="shared" si="93"/>
        <v>0</v>
      </c>
      <c r="Q1501" s="13" t="str">
        <f t="shared" si="94"/>
        <v/>
      </c>
      <c r="R1501" s="13" t="str">
        <f t="shared" si="95"/>
        <v>Non diskon</v>
      </c>
    </row>
    <row r="1502" spans="1:18" x14ac:dyDescent="0.25">
      <c r="A1502" s="13" t="s">
        <v>1514</v>
      </c>
      <c r="B1502" s="13" t="s">
        <v>2190</v>
      </c>
      <c r="C1502" s="13" t="s">
        <v>2200</v>
      </c>
      <c r="D1502" s="13" t="s">
        <v>2204</v>
      </c>
      <c r="E1502" s="13" t="s">
        <v>2209</v>
      </c>
      <c r="F1502" s="13" t="s">
        <v>2221</v>
      </c>
      <c r="G1502" s="13">
        <v>161.51</v>
      </c>
      <c r="H1502" s="44">
        <v>0</v>
      </c>
      <c r="I1502" s="13">
        <v>161.51</v>
      </c>
      <c r="J1502" s="24">
        <v>45598</v>
      </c>
      <c r="K1502" s="25">
        <v>22</v>
      </c>
      <c r="L1502" s="25">
        <v>4.7</v>
      </c>
      <c r="M1502" s="13" t="b">
        <v>0</v>
      </c>
      <c r="O1502" s="25">
        <f t="shared" si="92"/>
        <v>304</v>
      </c>
      <c r="P1502" s="13">
        <f t="shared" si="93"/>
        <v>0</v>
      </c>
      <c r="Q1502" s="13" t="str">
        <f t="shared" si="94"/>
        <v/>
      </c>
      <c r="R1502" s="13" t="str">
        <f t="shared" si="95"/>
        <v>Non diskon</v>
      </c>
    </row>
    <row r="1503" spans="1:18" x14ac:dyDescent="0.25">
      <c r="A1503" s="13" t="s">
        <v>1515</v>
      </c>
      <c r="B1503" s="13" t="s">
        <v>2192</v>
      </c>
      <c r="C1503" s="13" t="s">
        <v>2196</v>
      </c>
      <c r="D1503" s="13" t="s">
        <v>2205</v>
      </c>
      <c r="F1503" s="13" t="s">
        <v>2224</v>
      </c>
      <c r="G1503" s="13">
        <v>38.119999999999997</v>
      </c>
      <c r="H1503" s="44">
        <v>0</v>
      </c>
      <c r="I1503" s="13">
        <v>38.119999999999997</v>
      </c>
      <c r="J1503" s="24">
        <v>45875</v>
      </c>
      <c r="K1503" s="25">
        <v>18</v>
      </c>
      <c r="L1503" s="25">
        <v>4.4000000000000004</v>
      </c>
      <c r="M1503" s="13" t="b">
        <v>1</v>
      </c>
      <c r="N1503" s="13" t="s">
        <v>2227</v>
      </c>
      <c r="O1503" s="25">
        <f t="shared" si="92"/>
        <v>27</v>
      </c>
      <c r="P1503" s="13">
        <f t="shared" si="93"/>
        <v>0</v>
      </c>
      <c r="Q1503" s="13">
        <f t="shared" si="94"/>
        <v>1</v>
      </c>
      <c r="R1503" s="13" t="str">
        <f t="shared" si="95"/>
        <v>Non diskon</v>
      </c>
    </row>
    <row r="1504" spans="1:18" x14ac:dyDescent="0.25">
      <c r="A1504" s="13" t="s">
        <v>1516</v>
      </c>
      <c r="B1504" s="13" t="s">
        <v>2195</v>
      </c>
      <c r="C1504" s="13" t="s">
        <v>2200</v>
      </c>
      <c r="D1504" s="13" t="s">
        <v>2207</v>
      </c>
      <c r="E1504" s="13" t="s">
        <v>2212</v>
      </c>
      <c r="F1504" s="13" t="s">
        <v>2223</v>
      </c>
      <c r="G1504" s="13">
        <v>100.08</v>
      </c>
      <c r="H1504" s="44">
        <v>0</v>
      </c>
      <c r="I1504" s="13">
        <v>100.08</v>
      </c>
      <c r="J1504" s="24">
        <v>45875</v>
      </c>
      <c r="K1504" s="25">
        <v>23</v>
      </c>
      <c r="L1504" s="25">
        <v>4.8</v>
      </c>
      <c r="M1504" s="13" t="b">
        <v>0</v>
      </c>
      <c r="O1504" s="25">
        <f t="shared" si="92"/>
        <v>27</v>
      </c>
      <c r="P1504" s="13">
        <f t="shared" si="93"/>
        <v>0</v>
      </c>
      <c r="Q1504" s="13" t="str">
        <f t="shared" si="94"/>
        <v/>
      </c>
      <c r="R1504" s="13" t="str">
        <f t="shared" si="95"/>
        <v>Non diskon</v>
      </c>
    </row>
    <row r="1505" spans="1:18" x14ac:dyDescent="0.25">
      <c r="A1505" s="13" t="s">
        <v>1517</v>
      </c>
      <c r="B1505" s="13" t="s">
        <v>2195</v>
      </c>
      <c r="C1505" s="13" t="s">
        <v>2197</v>
      </c>
      <c r="D1505" s="13" t="s">
        <v>2206</v>
      </c>
      <c r="E1505" s="13" t="s">
        <v>2209</v>
      </c>
      <c r="F1505" s="13" t="s">
        <v>2217</v>
      </c>
      <c r="G1505" s="13">
        <v>161.79</v>
      </c>
      <c r="H1505" s="44">
        <v>0</v>
      </c>
      <c r="I1505" s="13">
        <v>161.79</v>
      </c>
      <c r="J1505" s="24">
        <v>45875</v>
      </c>
      <c r="K1505" s="25">
        <v>44</v>
      </c>
      <c r="L1505" s="25">
        <v>3.9</v>
      </c>
      <c r="M1505" s="13" t="b">
        <v>0</v>
      </c>
      <c r="O1505" s="25">
        <f t="shared" si="92"/>
        <v>27</v>
      </c>
      <c r="P1505" s="13">
        <f t="shared" si="93"/>
        <v>0</v>
      </c>
      <c r="Q1505" s="13" t="str">
        <f t="shared" si="94"/>
        <v/>
      </c>
      <c r="R1505" s="13" t="str">
        <f t="shared" si="95"/>
        <v>Non diskon</v>
      </c>
    </row>
    <row r="1506" spans="1:18" x14ac:dyDescent="0.25">
      <c r="A1506" s="13" t="s">
        <v>1518</v>
      </c>
      <c r="B1506" s="13" t="s">
        <v>2194</v>
      </c>
      <c r="C1506" s="13" t="s">
        <v>2201</v>
      </c>
      <c r="D1506" s="13" t="s">
        <v>2206</v>
      </c>
      <c r="E1506" s="13" t="s">
        <v>2208</v>
      </c>
      <c r="F1506" s="13" t="s">
        <v>2216</v>
      </c>
      <c r="G1506" s="13">
        <v>46.42</v>
      </c>
      <c r="H1506" s="44">
        <v>0</v>
      </c>
      <c r="I1506" s="13">
        <v>46.42</v>
      </c>
      <c r="J1506" s="24">
        <v>45875</v>
      </c>
      <c r="K1506" s="25">
        <v>2</v>
      </c>
      <c r="L1506" s="25">
        <v>3.7</v>
      </c>
      <c r="M1506" s="13" t="b">
        <v>1</v>
      </c>
      <c r="N1506" s="13" t="s">
        <v>2229</v>
      </c>
      <c r="O1506" s="25">
        <f t="shared" si="92"/>
        <v>27</v>
      </c>
      <c r="P1506" s="13">
        <f t="shared" si="93"/>
        <v>0</v>
      </c>
      <c r="Q1506" s="13">
        <f t="shared" si="94"/>
        <v>1</v>
      </c>
      <c r="R1506" s="13" t="str">
        <f t="shared" si="95"/>
        <v>Non diskon</v>
      </c>
    </row>
    <row r="1507" spans="1:18" x14ac:dyDescent="0.25">
      <c r="A1507" s="13" t="s">
        <v>1519</v>
      </c>
      <c r="B1507" s="13" t="s">
        <v>2193</v>
      </c>
      <c r="C1507" s="13" t="s">
        <v>2197</v>
      </c>
      <c r="D1507" s="13" t="s">
        <v>2204</v>
      </c>
      <c r="E1507" s="13" t="s">
        <v>2209</v>
      </c>
      <c r="F1507" s="13" t="s">
        <v>2224</v>
      </c>
      <c r="G1507" s="13">
        <v>199.33</v>
      </c>
      <c r="H1507" s="44">
        <v>44.3</v>
      </c>
      <c r="I1507" s="13">
        <v>111.03</v>
      </c>
      <c r="J1507" s="24">
        <v>45616</v>
      </c>
      <c r="K1507" s="25">
        <v>19</v>
      </c>
      <c r="L1507" s="25">
        <v>1.8</v>
      </c>
      <c r="M1507" s="13" t="b">
        <v>0</v>
      </c>
      <c r="O1507" s="25">
        <f t="shared" si="92"/>
        <v>286</v>
      </c>
      <c r="P1507" s="13">
        <f t="shared" si="93"/>
        <v>841.69999999999993</v>
      </c>
      <c r="Q1507" s="13" t="str">
        <f t="shared" si="94"/>
        <v/>
      </c>
      <c r="R1507" s="13" t="str">
        <f t="shared" si="95"/>
        <v>Diskon</v>
      </c>
    </row>
    <row r="1508" spans="1:18" x14ac:dyDescent="0.25">
      <c r="A1508" s="13" t="s">
        <v>1520</v>
      </c>
      <c r="B1508" s="13" t="s">
        <v>2194</v>
      </c>
      <c r="C1508" s="13" t="s">
        <v>2203</v>
      </c>
      <c r="D1508" s="13" t="s">
        <v>2207</v>
      </c>
      <c r="E1508" s="13" t="s">
        <v>2211</v>
      </c>
      <c r="F1508" s="13" t="s">
        <v>2216</v>
      </c>
      <c r="G1508" s="13">
        <v>25.77</v>
      </c>
      <c r="H1508" s="44">
        <v>0</v>
      </c>
      <c r="I1508" s="13">
        <v>25.77</v>
      </c>
      <c r="J1508" s="24">
        <v>45875</v>
      </c>
      <c r="K1508" s="25">
        <v>5</v>
      </c>
      <c r="L1508" s="25">
        <v>3.1</v>
      </c>
      <c r="M1508" s="13" t="b">
        <v>0</v>
      </c>
      <c r="O1508" s="25">
        <f t="shared" si="92"/>
        <v>27</v>
      </c>
      <c r="P1508" s="13">
        <f t="shared" si="93"/>
        <v>0</v>
      </c>
      <c r="Q1508" s="13" t="str">
        <f t="shared" si="94"/>
        <v/>
      </c>
      <c r="R1508" s="13" t="str">
        <f t="shared" si="95"/>
        <v>Non diskon</v>
      </c>
    </row>
    <row r="1509" spans="1:18" x14ac:dyDescent="0.25">
      <c r="A1509" s="13" t="s">
        <v>1521</v>
      </c>
      <c r="B1509" s="13" t="s">
        <v>2193</v>
      </c>
      <c r="C1509" s="13" t="s">
        <v>2203</v>
      </c>
      <c r="D1509" s="13" t="s">
        <v>2205</v>
      </c>
      <c r="E1509" s="13" t="s">
        <v>2213</v>
      </c>
      <c r="F1509" s="13" t="s">
        <v>2222</v>
      </c>
      <c r="G1509" s="13">
        <v>180.67</v>
      </c>
      <c r="H1509" s="44">
        <v>0</v>
      </c>
      <c r="I1509" s="13">
        <v>180.67</v>
      </c>
      <c r="J1509" s="24">
        <v>45875</v>
      </c>
      <c r="K1509" s="25">
        <v>31</v>
      </c>
      <c r="L1509" s="25">
        <v>4.4000000000000004</v>
      </c>
      <c r="M1509" s="13" t="b">
        <v>0</v>
      </c>
      <c r="O1509" s="25">
        <f t="shared" si="92"/>
        <v>27</v>
      </c>
      <c r="P1509" s="13">
        <f t="shared" si="93"/>
        <v>0</v>
      </c>
      <c r="Q1509" s="13" t="str">
        <f t="shared" si="94"/>
        <v/>
      </c>
      <c r="R1509" s="13" t="str">
        <f t="shared" si="95"/>
        <v>Non diskon</v>
      </c>
    </row>
    <row r="1510" spans="1:18" x14ac:dyDescent="0.25">
      <c r="A1510" s="13" t="s">
        <v>1522</v>
      </c>
      <c r="B1510" s="13" t="s">
        <v>2193</v>
      </c>
      <c r="C1510" s="13" t="s">
        <v>2203</v>
      </c>
      <c r="D1510" s="13" t="s">
        <v>2204</v>
      </c>
      <c r="E1510" s="13" t="s">
        <v>2209</v>
      </c>
      <c r="F1510" s="13" t="s">
        <v>2220</v>
      </c>
      <c r="G1510" s="13">
        <v>198.13</v>
      </c>
      <c r="H1510" s="44">
        <v>46.1</v>
      </c>
      <c r="I1510" s="13">
        <v>106.79</v>
      </c>
      <c r="J1510" s="24">
        <v>45796</v>
      </c>
      <c r="K1510" s="25">
        <v>8</v>
      </c>
      <c r="L1510" s="25">
        <v>3.2</v>
      </c>
      <c r="M1510" s="13" t="b">
        <v>0</v>
      </c>
      <c r="O1510" s="25">
        <f t="shared" si="92"/>
        <v>106</v>
      </c>
      <c r="P1510" s="13">
        <f t="shared" si="93"/>
        <v>368.8</v>
      </c>
      <c r="Q1510" s="13" t="str">
        <f t="shared" si="94"/>
        <v/>
      </c>
      <c r="R1510" s="13" t="str">
        <f t="shared" si="95"/>
        <v>Diskon</v>
      </c>
    </row>
    <row r="1511" spans="1:18" x14ac:dyDescent="0.25">
      <c r="A1511" s="13" t="s">
        <v>1523</v>
      </c>
      <c r="B1511" s="13" t="s">
        <v>2195</v>
      </c>
      <c r="C1511" s="13" t="s">
        <v>2197</v>
      </c>
      <c r="D1511" s="13" t="s">
        <v>2207</v>
      </c>
      <c r="F1511" s="13" t="s">
        <v>2222</v>
      </c>
      <c r="G1511" s="13">
        <v>161.53</v>
      </c>
      <c r="H1511" s="44">
        <v>5.3</v>
      </c>
      <c r="I1511" s="13">
        <v>152.97</v>
      </c>
      <c r="J1511" s="24">
        <v>45875</v>
      </c>
      <c r="K1511" s="25">
        <v>33</v>
      </c>
      <c r="L1511" s="25">
        <v>3.7</v>
      </c>
      <c r="M1511" s="13" t="b">
        <v>0</v>
      </c>
      <c r="O1511" s="25">
        <f t="shared" si="92"/>
        <v>27</v>
      </c>
      <c r="P1511" s="13">
        <f t="shared" si="93"/>
        <v>174.9</v>
      </c>
      <c r="Q1511" s="13" t="str">
        <f t="shared" si="94"/>
        <v/>
      </c>
      <c r="R1511" s="13" t="str">
        <f t="shared" si="95"/>
        <v>Diskon</v>
      </c>
    </row>
    <row r="1512" spans="1:18" x14ac:dyDescent="0.25">
      <c r="A1512" s="13" t="s">
        <v>1524</v>
      </c>
      <c r="B1512" s="13" t="s">
        <v>2194</v>
      </c>
      <c r="C1512" s="13" t="s">
        <v>2196</v>
      </c>
      <c r="D1512" s="13" t="s">
        <v>2204</v>
      </c>
      <c r="E1512" s="13" t="s">
        <v>2213</v>
      </c>
      <c r="F1512" s="13" t="s">
        <v>2218</v>
      </c>
      <c r="G1512" s="13">
        <v>25.97</v>
      </c>
      <c r="H1512" s="44">
        <v>0</v>
      </c>
      <c r="I1512" s="13">
        <v>25.97</v>
      </c>
      <c r="J1512" s="24">
        <v>45624</v>
      </c>
      <c r="K1512" s="25">
        <v>31</v>
      </c>
      <c r="L1512" s="25">
        <v>1.2</v>
      </c>
      <c r="M1512" s="13" t="b">
        <v>0</v>
      </c>
      <c r="O1512" s="25">
        <f t="shared" si="92"/>
        <v>278</v>
      </c>
      <c r="P1512" s="13">
        <f t="shared" si="93"/>
        <v>0</v>
      </c>
      <c r="Q1512" s="13" t="str">
        <f t="shared" si="94"/>
        <v/>
      </c>
      <c r="R1512" s="13" t="str">
        <f t="shared" si="95"/>
        <v>Non diskon</v>
      </c>
    </row>
    <row r="1513" spans="1:18" x14ac:dyDescent="0.25">
      <c r="A1513" s="13" t="s">
        <v>1525</v>
      </c>
      <c r="B1513" s="13" t="s">
        <v>2191</v>
      </c>
      <c r="C1513" s="13" t="s">
        <v>2203</v>
      </c>
      <c r="D1513" s="13" t="s">
        <v>2207</v>
      </c>
      <c r="E1513" s="13" t="s">
        <v>2209</v>
      </c>
      <c r="F1513" s="13" t="s">
        <v>2221</v>
      </c>
      <c r="G1513" s="13">
        <v>85</v>
      </c>
      <c r="H1513" s="44">
        <v>39.9</v>
      </c>
      <c r="I1513" s="13">
        <v>51.09</v>
      </c>
      <c r="J1513" s="24">
        <v>45875</v>
      </c>
      <c r="K1513" s="25">
        <v>44</v>
      </c>
      <c r="L1513" s="25">
        <v>3</v>
      </c>
      <c r="M1513" s="13" t="b">
        <v>0</v>
      </c>
      <c r="O1513" s="25">
        <f t="shared" si="92"/>
        <v>27</v>
      </c>
      <c r="P1513" s="13">
        <f t="shared" si="93"/>
        <v>1755.6</v>
      </c>
      <c r="Q1513" s="13" t="str">
        <f t="shared" si="94"/>
        <v/>
      </c>
      <c r="R1513" s="13" t="str">
        <f t="shared" si="95"/>
        <v>Diskon</v>
      </c>
    </row>
    <row r="1514" spans="1:18" x14ac:dyDescent="0.25">
      <c r="A1514" s="13" t="s">
        <v>1526</v>
      </c>
      <c r="B1514" s="13" t="s">
        <v>2192</v>
      </c>
      <c r="C1514" s="13" t="s">
        <v>2197</v>
      </c>
      <c r="D1514" s="13" t="s">
        <v>2207</v>
      </c>
      <c r="F1514" s="13" t="s">
        <v>2215</v>
      </c>
      <c r="G1514" s="13">
        <v>75.03</v>
      </c>
      <c r="H1514" s="44">
        <v>10.9</v>
      </c>
      <c r="I1514" s="13">
        <v>66.849999999999994</v>
      </c>
      <c r="J1514" s="24">
        <v>45875</v>
      </c>
      <c r="K1514" s="25">
        <v>12</v>
      </c>
      <c r="L1514" s="25">
        <v>1.2</v>
      </c>
      <c r="M1514" s="13" t="b">
        <v>0</v>
      </c>
      <c r="O1514" s="25">
        <f t="shared" si="92"/>
        <v>27</v>
      </c>
      <c r="P1514" s="13">
        <f t="shared" si="93"/>
        <v>130.80000000000001</v>
      </c>
      <c r="Q1514" s="13" t="str">
        <f t="shared" si="94"/>
        <v/>
      </c>
      <c r="R1514" s="13" t="str">
        <f t="shared" si="95"/>
        <v>Diskon</v>
      </c>
    </row>
    <row r="1515" spans="1:18" x14ac:dyDescent="0.25">
      <c r="A1515" s="13" t="s">
        <v>1527</v>
      </c>
      <c r="B1515" s="13" t="s">
        <v>2192</v>
      </c>
      <c r="C1515" s="13" t="s">
        <v>2201</v>
      </c>
      <c r="D1515" s="13" t="s">
        <v>2205</v>
      </c>
      <c r="F1515" s="13" t="s">
        <v>2221</v>
      </c>
      <c r="G1515" s="13">
        <v>33.880000000000003</v>
      </c>
      <c r="H1515" s="44">
        <v>0</v>
      </c>
      <c r="I1515" s="13">
        <v>33.880000000000003</v>
      </c>
      <c r="J1515" s="24">
        <v>45875</v>
      </c>
      <c r="K1515" s="25">
        <v>9</v>
      </c>
      <c r="L1515" s="25">
        <v>3.2731707317073173</v>
      </c>
      <c r="M1515" s="13" t="b">
        <v>0</v>
      </c>
      <c r="O1515" s="25">
        <f t="shared" si="92"/>
        <v>27</v>
      </c>
      <c r="P1515" s="13">
        <f t="shared" si="93"/>
        <v>0</v>
      </c>
      <c r="Q1515" s="13" t="str">
        <f t="shared" si="94"/>
        <v/>
      </c>
      <c r="R1515" s="13" t="str">
        <f t="shared" si="95"/>
        <v>Non diskon</v>
      </c>
    </row>
    <row r="1516" spans="1:18" x14ac:dyDescent="0.25">
      <c r="A1516" s="13" t="s">
        <v>1528</v>
      </c>
      <c r="B1516" s="13" t="s">
        <v>2193</v>
      </c>
      <c r="C1516" s="13" t="s">
        <v>2198</v>
      </c>
      <c r="D1516" s="13" t="s">
        <v>2207</v>
      </c>
      <c r="E1516" s="13" t="s">
        <v>2212</v>
      </c>
      <c r="F1516" s="13" t="s">
        <v>2223</v>
      </c>
      <c r="G1516" s="13">
        <v>142</v>
      </c>
      <c r="H1516" s="44">
        <v>12.3</v>
      </c>
      <c r="I1516" s="13">
        <v>124.53</v>
      </c>
      <c r="J1516" s="24">
        <v>45875</v>
      </c>
      <c r="K1516" s="25">
        <v>39</v>
      </c>
      <c r="L1516" s="25">
        <v>3.3</v>
      </c>
      <c r="M1516" s="13" t="b">
        <v>0</v>
      </c>
      <c r="O1516" s="25">
        <f t="shared" si="92"/>
        <v>27</v>
      </c>
      <c r="P1516" s="13">
        <f t="shared" si="93"/>
        <v>479.70000000000005</v>
      </c>
      <c r="Q1516" s="13" t="str">
        <f t="shared" si="94"/>
        <v/>
      </c>
      <c r="R1516" s="13" t="str">
        <f t="shared" si="95"/>
        <v>Diskon</v>
      </c>
    </row>
    <row r="1517" spans="1:18" x14ac:dyDescent="0.25">
      <c r="A1517" s="13" t="s">
        <v>1529</v>
      </c>
      <c r="B1517" s="13" t="s">
        <v>2195</v>
      </c>
      <c r="C1517" s="13" t="s">
        <v>2200</v>
      </c>
      <c r="D1517" s="13" t="s">
        <v>2206</v>
      </c>
      <c r="E1517" s="13" t="s">
        <v>2208</v>
      </c>
      <c r="F1517" s="13" t="s">
        <v>2220</v>
      </c>
      <c r="G1517" s="13">
        <v>125.46</v>
      </c>
      <c r="H1517" s="44">
        <v>0</v>
      </c>
      <c r="I1517" s="13">
        <v>125.46</v>
      </c>
      <c r="J1517" s="24">
        <v>45875</v>
      </c>
      <c r="K1517" s="25">
        <v>26</v>
      </c>
      <c r="L1517" s="25">
        <v>1.1000000000000001</v>
      </c>
      <c r="M1517" s="13" t="b">
        <v>0</v>
      </c>
      <c r="O1517" s="25">
        <f t="shared" si="92"/>
        <v>27</v>
      </c>
      <c r="P1517" s="13">
        <f t="shared" si="93"/>
        <v>0</v>
      </c>
      <c r="Q1517" s="13" t="str">
        <f t="shared" si="94"/>
        <v/>
      </c>
      <c r="R1517" s="13" t="str">
        <f t="shared" si="95"/>
        <v>Non diskon</v>
      </c>
    </row>
    <row r="1518" spans="1:18" x14ac:dyDescent="0.25">
      <c r="A1518" s="13" t="s">
        <v>1530</v>
      </c>
      <c r="B1518" s="13" t="s">
        <v>2193</v>
      </c>
      <c r="C1518" s="13" t="s">
        <v>2200</v>
      </c>
      <c r="D1518" s="13" t="s">
        <v>2205</v>
      </c>
      <c r="E1518" s="13" t="s">
        <v>2209</v>
      </c>
      <c r="F1518" s="13" t="s">
        <v>2219</v>
      </c>
      <c r="G1518" s="13">
        <v>138.79</v>
      </c>
      <c r="H1518" s="44">
        <v>0</v>
      </c>
      <c r="I1518" s="13">
        <v>138.79</v>
      </c>
      <c r="J1518" s="24">
        <v>45875</v>
      </c>
      <c r="K1518" s="25">
        <v>16</v>
      </c>
      <c r="L1518" s="25">
        <v>3.3021276595744684</v>
      </c>
      <c r="M1518" s="13" t="b">
        <v>1</v>
      </c>
      <c r="N1518" s="13" t="s">
        <v>2226</v>
      </c>
      <c r="O1518" s="25">
        <f t="shared" si="92"/>
        <v>27</v>
      </c>
      <c r="P1518" s="13">
        <f t="shared" si="93"/>
        <v>0</v>
      </c>
      <c r="Q1518" s="13">
        <f t="shared" si="94"/>
        <v>1</v>
      </c>
      <c r="R1518" s="13" t="str">
        <f t="shared" si="95"/>
        <v>Non diskon</v>
      </c>
    </row>
    <row r="1519" spans="1:18" x14ac:dyDescent="0.25">
      <c r="A1519" s="13" t="s">
        <v>1531</v>
      </c>
      <c r="B1519" s="13" t="s">
        <v>2194</v>
      </c>
      <c r="C1519" s="13" t="s">
        <v>2201</v>
      </c>
      <c r="D1519" s="13" t="s">
        <v>2204</v>
      </c>
      <c r="E1519" s="13" t="s">
        <v>2208</v>
      </c>
      <c r="F1519" s="13" t="s">
        <v>2215</v>
      </c>
      <c r="G1519" s="13">
        <v>81.81</v>
      </c>
      <c r="H1519" s="44">
        <v>37.9</v>
      </c>
      <c r="I1519" s="13">
        <v>50.8</v>
      </c>
      <c r="J1519" s="24">
        <v>45704</v>
      </c>
      <c r="K1519" s="25">
        <v>44</v>
      </c>
      <c r="L1519" s="25">
        <v>3.0575757575757576</v>
      </c>
      <c r="M1519" s="13" t="b">
        <v>0</v>
      </c>
      <c r="O1519" s="25">
        <f t="shared" si="92"/>
        <v>198</v>
      </c>
      <c r="P1519" s="13">
        <f t="shared" si="93"/>
        <v>1667.6</v>
      </c>
      <c r="Q1519" s="13" t="str">
        <f t="shared" si="94"/>
        <v/>
      </c>
      <c r="R1519" s="13" t="str">
        <f t="shared" si="95"/>
        <v>Diskon</v>
      </c>
    </row>
    <row r="1520" spans="1:18" x14ac:dyDescent="0.25">
      <c r="A1520" s="13" t="s">
        <v>1532</v>
      </c>
      <c r="B1520" s="13" t="s">
        <v>2192</v>
      </c>
      <c r="C1520" s="13" t="s">
        <v>2197</v>
      </c>
      <c r="D1520" s="13" t="s">
        <v>2206</v>
      </c>
      <c r="F1520" s="13" t="s">
        <v>2224</v>
      </c>
      <c r="G1520" s="13">
        <v>78.260000000000005</v>
      </c>
      <c r="H1520" s="44">
        <v>47.3</v>
      </c>
      <c r="I1520" s="13">
        <v>41.24</v>
      </c>
      <c r="J1520" s="24">
        <v>45875</v>
      </c>
      <c r="K1520" s="25">
        <v>20</v>
      </c>
      <c r="L1520" s="25">
        <v>4</v>
      </c>
      <c r="M1520" s="13" t="b">
        <v>0</v>
      </c>
      <c r="O1520" s="25">
        <f t="shared" si="92"/>
        <v>27</v>
      </c>
      <c r="P1520" s="13">
        <f t="shared" si="93"/>
        <v>946</v>
      </c>
      <c r="Q1520" s="13" t="str">
        <f t="shared" si="94"/>
        <v/>
      </c>
      <c r="R1520" s="13" t="str">
        <f t="shared" si="95"/>
        <v>Diskon</v>
      </c>
    </row>
    <row r="1521" spans="1:18" x14ac:dyDescent="0.25">
      <c r="A1521" s="13" t="s">
        <v>1533</v>
      </c>
      <c r="B1521" s="13" t="s">
        <v>2194</v>
      </c>
      <c r="C1521" s="13" t="s">
        <v>2198</v>
      </c>
      <c r="D1521" s="13" t="s">
        <v>2204</v>
      </c>
      <c r="E1521" s="13" t="s">
        <v>2208</v>
      </c>
      <c r="F1521" s="13" t="s">
        <v>2222</v>
      </c>
      <c r="G1521" s="13">
        <v>119.33</v>
      </c>
      <c r="H1521" s="44">
        <v>16</v>
      </c>
      <c r="I1521" s="13">
        <v>100.24</v>
      </c>
      <c r="J1521" s="24">
        <v>45520</v>
      </c>
      <c r="K1521" s="25">
        <v>35</v>
      </c>
      <c r="L1521" s="25">
        <v>3.0384615384615379</v>
      </c>
      <c r="M1521" s="13" t="b">
        <v>0</v>
      </c>
      <c r="O1521" s="25">
        <f t="shared" si="92"/>
        <v>382</v>
      </c>
      <c r="P1521" s="13">
        <f t="shared" si="93"/>
        <v>560</v>
      </c>
      <c r="Q1521" s="13" t="str">
        <f t="shared" si="94"/>
        <v/>
      </c>
      <c r="R1521" s="13" t="str">
        <f t="shared" si="95"/>
        <v>Diskon</v>
      </c>
    </row>
    <row r="1522" spans="1:18" x14ac:dyDescent="0.25">
      <c r="A1522" s="13" t="s">
        <v>1534</v>
      </c>
      <c r="B1522" s="13" t="s">
        <v>2192</v>
      </c>
      <c r="C1522" s="13" t="s">
        <v>2201</v>
      </c>
      <c r="D1522" s="13" t="s">
        <v>2204</v>
      </c>
      <c r="F1522" s="13" t="s">
        <v>2216</v>
      </c>
      <c r="G1522" s="13">
        <v>52.97</v>
      </c>
      <c r="H1522" s="44">
        <v>0</v>
      </c>
      <c r="I1522" s="13">
        <v>52.97</v>
      </c>
      <c r="J1522" s="24">
        <v>45864</v>
      </c>
      <c r="K1522" s="25">
        <v>36</v>
      </c>
      <c r="L1522" s="25">
        <v>4.5999999999999996</v>
      </c>
      <c r="M1522" s="13" t="b">
        <v>0</v>
      </c>
      <c r="O1522" s="25">
        <f t="shared" si="92"/>
        <v>38</v>
      </c>
      <c r="P1522" s="13">
        <f t="shared" si="93"/>
        <v>0</v>
      </c>
      <c r="Q1522" s="13" t="str">
        <f t="shared" si="94"/>
        <v/>
      </c>
      <c r="R1522" s="13" t="str">
        <f t="shared" si="95"/>
        <v>Non diskon</v>
      </c>
    </row>
    <row r="1523" spans="1:18" x14ac:dyDescent="0.25">
      <c r="A1523" s="13" t="s">
        <v>1535</v>
      </c>
      <c r="B1523" s="13" t="s">
        <v>2192</v>
      </c>
      <c r="C1523" s="13" t="s">
        <v>2199</v>
      </c>
      <c r="D1523" s="13" t="s">
        <v>2205</v>
      </c>
      <c r="F1523" s="13" t="s">
        <v>2219</v>
      </c>
      <c r="G1523" s="13">
        <v>69.48</v>
      </c>
      <c r="H1523" s="44">
        <v>0</v>
      </c>
      <c r="I1523" s="13">
        <v>69.48</v>
      </c>
      <c r="J1523" s="24">
        <v>45875</v>
      </c>
      <c r="K1523" s="25">
        <v>17</v>
      </c>
      <c r="L1523" s="25">
        <v>3.4</v>
      </c>
      <c r="M1523" s="13" t="b">
        <v>0</v>
      </c>
      <c r="O1523" s="25">
        <f t="shared" si="92"/>
        <v>27</v>
      </c>
      <c r="P1523" s="13">
        <f t="shared" si="93"/>
        <v>0</v>
      </c>
      <c r="Q1523" s="13" t="str">
        <f t="shared" si="94"/>
        <v/>
      </c>
      <c r="R1523" s="13" t="str">
        <f t="shared" si="95"/>
        <v>Non diskon</v>
      </c>
    </row>
    <row r="1524" spans="1:18" x14ac:dyDescent="0.25">
      <c r="A1524" s="13" t="s">
        <v>1536</v>
      </c>
      <c r="B1524" s="13" t="s">
        <v>2190</v>
      </c>
      <c r="C1524" s="13" t="s">
        <v>2198</v>
      </c>
      <c r="D1524" s="13" t="s">
        <v>2207</v>
      </c>
      <c r="E1524" s="13" t="s">
        <v>2209</v>
      </c>
      <c r="F1524" s="13" t="s">
        <v>2218</v>
      </c>
      <c r="G1524" s="13">
        <v>177.82</v>
      </c>
      <c r="H1524" s="44">
        <v>0</v>
      </c>
      <c r="I1524" s="13">
        <v>177.82</v>
      </c>
      <c r="J1524" s="24">
        <v>45875</v>
      </c>
      <c r="K1524" s="25">
        <v>9</v>
      </c>
      <c r="L1524" s="25">
        <v>1.1000000000000001</v>
      </c>
      <c r="M1524" s="13" t="b">
        <v>0</v>
      </c>
      <c r="O1524" s="25">
        <f t="shared" si="92"/>
        <v>27</v>
      </c>
      <c r="P1524" s="13">
        <f t="shared" si="93"/>
        <v>0</v>
      </c>
      <c r="Q1524" s="13" t="str">
        <f t="shared" si="94"/>
        <v/>
      </c>
      <c r="R1524" s="13" t="str">
        <f t="shared" si="95"/>
        <v>Non diskon</v>
      </c>
    </row>
    <row r="1525" spans="1:18" x14ac:dyDescent="0.25">
      <c r="A1525" s="13" t="s">
        <v>1537</v>
      </c>
      <c r="B1525" s="13" t="s">
        <v>2193</v>
      </c>
      <c r="C1525" s="13" t="s">
        <v>2198</v>
      </c>
      <c r="D1525" s="13" t="s">
        <v>2205</v>
      </c>
      <c r="E1525" s="13" t="s">
        <v>2209</v>
      </c>
      <c r="F1525" s="13" t="s">
        <v>2215</v>
      </c>
      <c r="G1525" s="13">
        <v>142.71</v>
      </c>
      <c r="H1525" s="44">
        <v>0</v>
      </c>
      <c r="I1525" s="13">
        <v>142.71</v>
      </c>
      <c r="J1525" s="24">
        <v>45875</v>
      </c>
      <c r="K1525" s="25">
        <v>28</v>
      </c>
      <c r="L1525" s="25">
        <v>1</v>
      </c>
      <c r="M1525" s="13" t="b">
        <v>0</v>
      </c>
      <c r="O1525" s="25">
        <f t="shared" si="92"/>
        <v>27</v>
      </c>
      <c r="P1525" s="13">
        <f t="shared" si="93"/>
        <v>0</v>
      </c>
      <c r="Q1525" s="13" t="str">
        <f t="shared" si="94"/>
        <v/>
      </c>
      <c r="R1525" s="13" t="str">
        <f t="shared" si="95"/>
        <v>Non diskon</v>
      </c>
    </row>
    <row r="1526" spans="1:18" x14ac:dyDescent="0.25">
      <c r="A1526" s="13" t="s">
        <v>1538</v>
      </c>
      <c r="B1526" s="13" t="s">
        <v>2194</v>
      </c>
      <c r="C1526" s="13" t="s">
        <v>2196</v>
      </c>
      <c r="D1526" s="13" t="s">
        <v>2204</v>
      </c>
      <c r="E1526" s="13" t="s">
        <v>2212</v>
      </c>
      <c r="F1526" s="13" t="s">
        <v>2219</v>
      </c>
      <c r="G1526" s="13">
        <v>105.21</v>
      </c>
      <c r="H1526" s="44">
        <v>0</v>
      </c>
      <c r="I1526" s="13">
        <v>105.21</v>
      </c>
      <c r="J1526" s="24">
        <v>45598</v>
      </c>
      <c r="K1526" s="25">
        <v>41</v>
      </c>
      <c r="L1526" s="25">
        <v>4.9000000000000004</v>
      </c>
      <c r="M1526" s="13" t="b">
        <v>0</v>
      </c>
      <c r="O1526" s="25">
        <f t="shared" si="92"/>
        <v>304</v>
      </c>
      <c r="P1526" s="13">
        <f t="shared" si="93"/>
        <v>0</v>
      </c>
      <c r="Q1526" s="13" t="str">
        <f t="shared" si="94"/>
        <v/>
      </c>
      <c r="R1526" s="13" t="str">
        <f t="shared" si="95"/>
        <v>Non diskon</v>
      </c>
    </row>
    <row r="1527" spans="1:18" x14ac:dyDescent="0.25">
      <c r="A1527" s="13" t="s">
        <v>1539</v>
      </c>
      <c r="B1527" s="13" t="s">
        <v>2192</v>
      </c>
      <c r="C1527" s="13" t="s">
        <v>2203</v>
      </c>
      <c r="D1527" s="13" t="s">
        <v>2206</v>
      </c>
      <c r="F1527" s="13" t="s">
        <v>2218</v>
      </c>
      <c r="G1527" s="13">
        <v>65.09</v>
      </c>
      <c r="H1527" s="44">
        <v>49.8</v>
      </c>
      <c r="I1527" s="13">
        <v>32.68</v>
      </c>
      <c r="J1527" s="24">
        <v>45875</v>
      </c>
      <c r="K1527" s="25">
        <v>32</v>
      </c>
      <c r="L1527" s="25">
        <v>4.9000000000000004</v>
      </c>
      <c r="M1527" s="13" t="b">
        <v>0</v>
      </c>
      <c r="O1527" s="25">
        <f t="shared" si="92"/>
        <v>27</v>
      </c>
      <c r="P1527" s="13">
        <f t="shared" si="93"/>
        <v>1593.6</v>
      </c>
      <c r="Q1527" s="13" t="str">
        <f t="shared" si="94"/>
        <v/>
      </c>
      <c r="R1527" s="13" t="str">
        <f t="shared" si="95"/>
        <v>Diskon</v>
      </c>
    </row>
    <row r="1528" spans="1:18" x14ac:dyDescent="0.25">
      <c r="A1528" s="13" t="s">
        <v>1540</v>
      </c>
      <c r="B1528" s="13" t="s">
        <v>2190</v>
      </c>
      <c r="C1528" s="13" t="s">
        <v>2197</v>
      </c>
      <c r="D1528" s="13" t="s">
        <v>2205</v>
      </c>
      <c r="E1528" s="13" t="s">
        <v>2213</v>
      </c>
      <c r="F1528" s="13" t="s">
        <v>2222</v>
      </c>
      <c r="G1528" s="13">
        <v>167.39</v>
      </c>
      <c r="H1528" s="44">
        <v>0</v>
      </c>
      <c r="I1528" s="13">
        <v>167.39</v>
      </c>
      <c r="J1528" s="24">
        <v>45875</v>
      </c>
      <c r="K1528" s="25">
        <v>43</v>
      </c>
      <c r="L1528" s="25">
        <v>1.8</v>
      </c>
      <c r="M1528" s="13" t="b">
        <v>0</v>
      </c>
      <c r="O1528" s="25">
        <f t="shared" si="92"/>
        <v>27</v>
      </c>
      <c r="P1528" s="13">
        <f t="shared" si="93"/>
        <v>0</v>
      </c>
      <c r="Q1528" s="13" t="str">
        <f t="shared" si="94"/>
        <v/>
      </c>
      <c r="R1528" s="13" t="str">
        <f t="shared" si="95"/>
        <v>Non diskon</v>
      </c>
    </row>
    <row r="1529" spans="1:18" x14ac:dyDescent="0.25">
      <c r="A1529" s="13" t="s">
        <v>1541</v>
      </c>
      <c r="B1529" s="13" t="s">
        <v>2192</v>
      </c>
      <c r="C1529" s="13" t="s">
        <v>2197</v>
      </c>
      <c r="D1529" s="13" t="s">
        <v>2205</v>
      </c>
      <c r="F1529" s="13" t="s">
        <v>2214</v>
      </c>
      <c r="G1529" s="13">
        <v>49.89</v>
      </c>
      <c r="H1529" s="44">
        <v>0</v>
      </c>
      <c r="I1529" s="13">
        <v>49.89</v>
      </c>
      <c r="J1529" s="24">
        <v>45875</v>
      </c>
      <c r="K1529" s="25">
        <v>32</v>
      </c>
      <c r="L1529" s="25">
        <v>2.4</v>
      </c>
      <c r="M1529" s="13" t="b">
        <v>0</v>
      </c>
      <c r="O1529" s="25">
        <f t="shared" si="92"/>
        <v>27</v>
      </c>
      <c r="P1529" s="13">
        <f t="shared" si="93"/>
        <v>0</v>
      </c>
      <c r="Q1529" s="13" t="str">
        <f t="shared" si="94"/>
        <v/>
      </c>
      <c r="R1529" s="13" t="str">
        <f t="shared" si="95"/>
        <v>Non diskon</v>
      </c>
    </row>
    <row r="1530" spans="1:18" x14ac:dyDescent="0.25">
      <c r="A1530" s="13" t="s">
        <v>1542</v>
      </c>
      <c r="B1530" s="13" t="s">
        <v>2190</v>
      </c>
      <c r="C1530" s="13" t="s">
        <v>2198</v>
      </c>
      <c r="D1530" s="13" t="s">
        <v>2206</v>
      </c>
      <c r="E1530" s="13" t="s">
        <v>2210</v>
      </c>
      <c r="F1530" s="13" t="s">
        <v>2217</v>
      </c>
      <c r="G1530" s="13">
        <v>218.06</v>
      </c>
      <c r="H1530" s="44">
        <v>0</v>
      </c>
      <c r="I1530" s="13">
        <v>218.06</v>
      </c>
      <c r="J1530" s="24">
        <v>45875</v>
      </c>
      <c r="K1530" s="25">
        <v>32</v>
      </c>
      <c r="L1530" s="25">
        <v>4</v>
      </c>
      <c r="M1530" s="13" t="b">
        <v>0</v>
      </c>
      <c r="O1530" s="25">
        <f t="shared" si="92"/>
        <v>27</v>
      </c>
      <c r="P1530" s="13">
        <f t="shared" si="93"/>
        <v>0</v>
      </c>
      <c r="Q1530" s="13" t="str">
        <f t="shared" si="94"/>
        <v/>
      </c>
      <c r="R1530" s="13" t="str">
        <f t="shared" si="95"/>
        <v>Non diskon</v>
      </c>
    </row>
    <row r="1531" spans="1:18" x14ac:dyDescent="0.25">
      <c r="A1531" s="13" t="s">
        <v>1543</v>
      </c>
      <c r="B1531" s="13" t="s">
        <v>2194</v>
      </c>
      <c r="C1531" s="13" t="s">
        <v>2202</v>
      </c>
      <c r="D1531" s="13" t="s">
        <v>2207</v>
      </c>
      <c r="E1531" s="13" t="s">
        <v>2212</v>
      </c>
      <c r="F1531" s="13" t="s">
        <v>2217</v>
      </c>
      <c r="G1531" s="13">
        <v>66.64</v>
      </c>
      <c r="H1531" s="44">
        <v>21.8</v>
      </c>
      <c r="I1531" s="13">
        <v>52.11</v>
      </c>
      <c r="J1531" s="24">
        <v>45875</v>
      </c>
      <c r="K1531" s="25">
        <v>25</v>
      </c>
      <c r="L1531" s="25">
        <v>3.5</v>
      </c>
      <c r="M1531" s="13" t="b">
        <v>1</v>
      </c>
      <c r="N1531" s="13" t="s">
        <v>2229</v>
      </c>
      <c r="O1531" s="25">
        <f t="shared" si="92"/>
        <v>27</v>
      </c>
      <c r="P1531" s="13">
        <f t="shared" si="93"/>
        <v>545</v>
      </c>
      <c r="Q1531" s="13">
        <f t="shared" si="94"/>
        <v>1</v>
      </c>
      <c r="R1531" s="13" t="str">
        <f t="shared" si="95"/>
        <v>Diskon</v>
      </c>
    </row>
    <row r="1532" spans="1:18" x14ac:dyDescent="0.25">
      <c r="A1532" s="13" t="s">
        <v>1544</v>
      </c>
      <c r="B1532" s="13" t="s">
        <v>2190</v>
      </c>
      <c r="C1532" s="13" t="s">
        <v>2201</v>
      </c>
      <c r="D1532" s="13" t="s">
        <v>2206</v>
      </c>
      <c r="E1532" s="13" t="s">
        <v>2210</v>
      </c>
      <c r="F1532" s="13" t="s">
        <v>2218</v>
      </c>
      <c r="G1532" s="13">
        <v>124.69</v>
      </c>
      <c r="H1532" s="44">
        <v>40.9</v>
      </c>
      <c r="I1532" s="13">
        <v>73.69</v>
      </c>
      <c r="J1532" s="24">
        <v>45875</v>
      </c>
      <c r="K1532" s="25">
        <v>9</v>
      </c>
      <c r="L1532" s="25">
        <v>4.0999999999999996</v>
      </c>
      <c r="M1532" s="13" t="b">
        <v>0</v>
      </c>
      <c r="O1532" s="25">
        <f t="shared" si="92"/>
        <v>27</v>
      </c>
      <c r="P1532" s="13">
        <f t="shared" si="93"/>
        <v>368.09999999999997</v>
      </c>
      <c r="Q1532" s="13" t="str">
        <f t="shared" si="94"/>
        <v/>
      </c>
      <c r="R1532" s="13" t="str">
        <f t="shared" si="95"/>
        <v>Diskon</v>
      </c>
    </row>
    <row r="1533" spans="1:18" x14ac:dyDescent="0.25">
      <c r="A1533" s="13" t="s">
        <v>1545</v>
      </c>
      <c r="B1533" s="13" t="s">
        <v>2191</v>
      </c>
      <c r="C1533" s="13" t="s">
        <v>2199</v>
      </c>
      <c r="D1533" s="13" t="s">
        <v>2207</v>
      </c>
      <c r="E1533" s="13" t="s">
        <v>2210</v>
      </c>
      <c r="F1533" s="13" t="s">
        <v>2215</v>
      </c>
      <c r="G1533" s="13">
        <v>28.24</v>
      </c>
      <c r="H1533" s="44">
        <v>48.2</v>
      </c>
      <c r="I1533" s="13">
        <v>14.63</v>
      </c>
      <c r="J1533" s="24">
        <v>45875</v>
      </c>
      <c r="K1533" s="25">
        <v>20</v>
      </c>
      <c r="L1533" s="25">
        <v>4.5</v>
      </c>
      <c r="M1533" s="13" t="b">
        <v>0</v>
      </c>
      <c r="O1533" s="25">
        <f t="shared" si="92"/>
        <v>27</v>
      </c>
      <c r="P1533" s="13">
        <f t="shared" si="93"/>
        <v>964</v>
      </c>
      <c r="Q1533" s="13" t="str">
        <f t="shared" si="94"/>
        <v/>
      </c>
      <c r="R1533" s="13" t="str">
        <f t="shared" si="95"/>
        <v>Diskon</v>
      </c>
    </row>
    <row r="1534" spans="1:18" x14ac:dyDescent="0.25">
      <c r="A1534" s="13" t="s">
        <v>1546</v>
      </c>
      <c r="B1534" s="13" t="s">
        <v>2192</v>
      </c>
      <c r="C1534" s="13" t="s">
        <v>2196</v>
      </c>
      <c r="D1534" s="13" t="s">
        <v>2207</v>
      </c>
      <c r="F1534" s="13" t="s">
        <v>2223</v>
      </c>
      <c r="G1534" s="13">
        <v>76.39</v>
      </c>
      <c r="H1534" s="44">
        <v>53.9</v>
      </c>
      <c r="I1534" s="13">
        <v>35.22</v>
      </c>
      <c r="J1534" s="24">
        <v>45875</v>
      </c>
      <c r="K1534" s="25">
        <v>15</v>
      </c>
      <c r="L1534" s="25">
        <v>1.5</v>
      </c>
      <c r="M1534" s="13" t="b">
        <v>0</v>
      </c>
      <c r="O1534" s="25">
        <f t="shared" si="92"/>
        <v>27</v>
      </c>
      <c r="P1534" s="13">
        <f t="shared" si="93"/>
        <v>808.5</v>
      </c>
      <c r="Q1534" s="13" t="str">
        <f t="shared" si="94"/>
        <v/>
      </c>
      <c r="R1534" s="13" t="str">
        <f t="shared" si="95"/>
        <v>Diskon</v>
      </c>
    </row>
    <row r="1535" spans="1:18" x14ac:dyDescent="0.25">
      <c r="A1535" s="13" t="s">
        <v>1547</v>
      </c>
      <c r="B1535" s="13" t="s">
        <v>2194</v>
      </c>
      <c r="C1535" s="13" t="s">
        <v>2196</v>
      </c>
      <c r="D1535" s="13" t="s">
        <v>2205</v>
      </c>
      <c r="E1535" s="13" t="s">
        <v>2213</v>
      </c>
      <c r="F1535" s="13" t="s">
        <v>2219</v>
      </c>
      <c r="G1535" s="13">
        <v>96.82</v>
      </c>
      <c r="H1535" s="44">
        <v>0</v>
      </c>
      <c r="I1535" s="13">
        <v>96.82</v>
      </c>
      <c r="J1535" s="24">
        <v>45875</v>
      </c>
      <c r="K1535" s="25">
        <v>0</v>
      </c>
      <c r="L1535" s="25">
        <v>1.1000000000000001</v>
      </c>
      <c r="M1535" s="13" t="b">
        <v>0</v>
      </c>
      <c r="O1535" s="25">
        <f t="shared" si="92"/>
        <v>27</v>
      </c>
      <c r="P1535" s="13">
        <f t="shared" si="93"/>
        <v>0</v>
      </c>
      <c r="Q1535" s="13" t="str">
        <f t="shared" si="94"/>
        <v/>
      </c>
      <c r="R1535" s="13" t="str">
        <f t="shared" si="95"/>
        <v>Non diskon</v>
      </c>
    </row>
    <row r="1536" spans="1:18" x14ac:dyDescent="0.25">
      <c r="A1536" s="13" t="s">
        <v>1548</v>
      </c>
      <c r="B1536" s="13" t="s">
        <v>2193</v>
      </c>
      <c r="C1536" s="13" t="s">
        <v>2198</v>
      </c>
      <c r="D1536" s="13" t="s">
        <v>2206</v>
      </c>
      <c r="E1536" s="13" t="s">
        <v>2212</v>
      </c>
      <c r="F1536" s="13" t="s">
        <v>2222</v>
      </c>
      <c r="G1536" s="13">
        <v>159.25</v>
      </c>
      <c r="H1536" s="44">
        <v>28.2</v>
      </c>
      <c r="I1536" s="13">
        <v>114.34</v>
      </c>
      <c r="J1536" s="24">
        <v>45875</v>
      </c>
      <c r="K1536" s="25">
        <v>1</v>
      </c>
      <c r="L1536" s="25">
        <v>3.1936170212765949</v>
      </c>
      <c r="M1536" s="13" t="b">
        <v>1</v>
      </c>
      <c r="N1536" s="13" t="s">
        <v>2230</v>
      </c>
      <c r="O1536" s="25">
        <f t="shared" si="92"/>
        <v>27</v>
      </c>
      <c r="P1536" s="13">
        <f t="shared" si="93"/>
        <v>28.2</v>
      </c>
      <c r="Q1536" s="13">
        <f t="shared" si="94"/>
        <v>1</v>
      </c>
      <c r="R1536" s="13" t="str">
        <f t="shared" si="95"/>
        <v>Diskon</v>
      </c>
    </row>
    <row r="1537" spans="1:18" x14ac:dyDescent="0.25">
      <c r="A1537" s="13" t="s">
        <v>1549</v>
      </c>
      <c r="B1537" s="13" t="s">
        <v>2195</v>
      </c>
      <c r="C1537" s="13" t="s">
        <v>2196</v>
      </c>
      <c r="D1537" s="13" t="s">
        <v>2207</v>
      </c>
      <c r="E1537" s="13" t="s">
        <v>2211</v>
      </c>
      <c r="F1537" s="13" t="s">
        <v>2222</v>
      </c>
      <c r="G1537" s="13">
        <v>171.93</v>
      </c>
      <c r="H1537" s="44">
        <v>52.3</v>
      </c>
      <c r="I1537" s="13">
        <v>82.01</v>
      </c>
      <c r="J1537" s="24">
        <v>45875</v>
      </c>
      <c r="K1537" s="25">
        <v>28</v>
      </c>
      <c r="L1537" s="25">
        <v>2.2000000000000002</v>
      </c>
      <c r="M1537" s="13" t="b">
        <v>0</v>
      </c>
      <c r="O1537" s="25">
        <f t="shared" si="92"/>
        <v>27</v>
      </c>
      <c r="P1537" s="13">
        <f t="shared" si="93"/>
        <v>1464.3999999999999</v>
      </c>
      <c r="Q1537" s="13" t="str">
        <f t="shared" si="94"/>
        <v/>
      </c>
      <c r="R1537" s="13" t="str">
        <f t="shared" si="95"/>
        <v>Diskon</v>
      </c>
    </row>
    <row r="1538" spans="1:18" x14ac:dyDescent="0.25">
      <c r="A1538" s="13" t="s">
        <v>1550</v>
      </c>
      <c r="B1538" s="13" t="s">
        <v>2191</v>
      </c>
      <c r="C1538" s="13" t="s">
        <v>2196</v>
      </c>
      <c r="D1538" s="13" t="s">
        <v>2207</v>
      </c>
      <c r="E1538" s="13" t="s">
        <v>2212</v>
      </c>
      <c r="F1538" s="13" t="s">
        <v>2224</v>
      </c>
      <c r="G1538" s="13">
        <v>85.25</v>
      </c>
      <c r="H1538" s="44">
        <v>0</v>
      </c>
      <c r="I1538" s="13">
        <v>85.25</v>
      </c>
      <c r="J1538" s="24">
        <v>45875</v>
      </c>
      <c r="K1538" s="25">
        <v>11</v>
      </c>
      <c r="L1538" s="25">
        <v>2.9181818181818175</v>
      </c>
      <c r="M1538" s="13" t="b">
        <v>0</v>
      </c>
      <c r="O1538" s="25">
        <f t="shared" si="92"/>
        <v>27</v>
      </c>
      <c r="P1538" s="13">
        <f t="shared" si="93"/>
        <v>0</v>
      </c>
      <c r="Q1538" s="13" t="str">
        <f t="shared" si="94"/>
        <v/>
      </c>
      <c r="R1538" s="13" t="str">
        <f t="shared" si="95"/>
        <v>Non diskon</v>
      </c>
    </row>
    <row r="1539" spans="1:18" x14ac:dyDescent="0.25">
      <c r="A1539" s="13" t="s">
        <v>1551</v>
      </c>
      <c r="B1539" s="13" t="s">
        <v>2191</v>
      </c>
      <c r="C1539" s="13" t="s">
        <v>2198</v>
      </c>
      <c r="D1539" s="13" t="s">
        <v>2204</v>
      </c>
      <c r="E1539" s="13" t="s">
        <v>2211</v>
      </c>
      <c r="F1539" s="13" t="s">
        <v>2215</v>
      </c>
      <c r="G1539" s="13">
        <v>70.48</v>
      </c>
      <c r="H1539" s="44">
        <v>0</v>
      </c>
      <c r="I1539" s="13">
        <v>70.48</v>
      </c>
      <c r="J1539" s="24">
        <v>45623</v>
      </c>
      <c r="K1539" s="25">
        <v>22</v>
      </c>
      <c r="L1539" s="25">
        <v>1.2</v>
      </c>
      <c r="M1539" s="13" t="b">
        <v>0</v>
      </c>
      <c r="O1539" s="25">
        <f t="shared" ref="O1539:O1602" si="96">DATE(2025,9,2)-J1539</f>
        <v>279</v>
      </c>
      <c r="P1539" s="13">
        <f t="shared" ref="P1539:P1602" si="97">H1539*K1539</f>
        <v>0</v>
      </c>
      <c r="Q1539" s="13" t="str">
        <f t="shared" ref="Q1539:Q1602" si="98">IF(M1539=FALSE,"",1)</f>
        <v/>
      </c>
      <c r="R1539" s="13" t="str">
        <f t="shared" ref="R1539:R1602" si="99">IF(H1539=0,"Non diskon","Diskon")</f>
        <v>Non diskon</v>
      </c>
    </row>
    <row r="1540" spans="1:18" x14ac:dyDescent="0.25">
      <c r="A1540" s="13" t="s">
        <v>1552</v>
      </c>
      <c r="B1540" s="13" t="s">
        <v>2190</v>
      </c>
      <c r="C1540" s="13" t="s">
        <v>2198</v>
      </c>
      <c r="D1540" s="13" t="s">
        <v>2204</v>
      </c>
      <c r="E1540" s="13" t="s">
        <v>2210</v>
      </c>
      <c r="F1540" s="13" t="s">
        <v>2224</v>
      </c>
      <c r="G1540" s="13">
        <v>203.02</v>
      </c>
      <c r="H1540" s="44">
        <v>0</v>
      </c>
      <c r="I1540" s="13">
        <v>203.02</v>
      </c>
      <c r="J1540" s="24">
        <v>45794</v>
      </c>
      <c r="K1540" s="25">
        <v>23</v>
      </c>
      <c r="L1540" s="25">
        <v>3.5</v>
      </c>
      <c r="M1540" s="13" t="b">
        <v>1</v>
      </c>
      <c r="N1540" s="13" t="s">
        <v>2228</v>
      </c>
      <c r="O1540" s="25">
        <f t="shared" si="96"/>
        <v>108</v>
      </c>
      <c r="P1540" s="13">
        <f t="shared" si="97"/>
        <v>0</v>
      </c>
      <c r="Q1540" s="13">
        <f t="shared" si="98"/>
        <v>1</v>
      </c>
      <c r="R1540" s="13" t="str">
        <f t="shared" si="99"/>
        <v>Non diskon</v>
      </c>
    </row>
    <row r="1541" spans="1:18" x14ac:dyDescent="0.25">
      <c r="A1541" s="13" t="s">
        <v>1553</v>
      </c>
      <c r="B1541" s="13" t="s">
        <v>2195</v>
      </c>
      <c r="C1541" s="13" t="s">
        <v>2201</v>
      </c>
      <c r="D1541" s="13" t="s">
        <v>2206</v>
      </c>
      <c r="E1541" s="13" t="s">
        <v>2211</v>
      </c>
      <c r="F1541" s="13" t="s">
        <v>2215</v>
      </c>
      <c r="G1541" s="13">
        <v>115.39</v>
      </c>
      <c r="H1541" s="44">
        <v>11.2</v>
      </c>
      <c r="I1541" s="13">
        <v>102.47</v>
      </c>
      <c r="J1541" s="24">
        <v>45875</v>
      </c>
      <c r="K1541" s="25">
        <v>4</v>
      </c>
      <c r="L1541" s="25">
        <v>3.8</v>
      </c>
      <c r="M1541" s="13" t="b">
        <v>0</v>
      </c>
      <c r="O1541" s="25">
        <f t="shared" si="96"/>
        <v>27</v>
      </c>
      <c r="P1541" s="13">
        <f t="shared" si="97"/>
        <v>44.8</v>
      </c>
      <c r="Q1541" s="13" t="str">
        <f t="shared" si="98"/>
        <v/>
      </c>
      <c r="R1541" s="13" t="str">
        <f t="shared" si="99"/>
        <v>Diskon</v>
      </c>
    </row>
    <row r="1542" spans="1:18" x14ac:dyDescent="0.25">
      <c r="A1542" s="13" t="s">
        <v>1554</v>
      </c>
      <c r="B1542" s="13" t="s">
        <v>2192</v>
      </c>
      <c r="C1542" s="13" t="s">
        <v>2199</v>
      </c>
      <c r="D1542" s="13" t="s">
        <v>2204</v>
      </c>
      <c r="F1542" s="13" t="s">
        <v>2215</v>
      </c>
      <c r="G1542" s="13">
        <v>27.91</v>
      </c>
      <c r="H1542" s="44">
        <v>49.8</v>
      </c>
      <c r="I1542" s="13">
        <v>14.01</v>
      </c>
      <c r="J1542" s="24">
        <v>45701</v>
      </c>
      <c r="K1542" s="25">
        <v>12</v>
      </c>
      <c r="L1542" s="25">
        <v>2.6</v>
      </c>
      <c r="M1542" s="13" t="b">
        <v>0</v>
      </c>
      <c r="O1542" s="25">
        <f t="shared" si="96"/>
        <v>201</v>
      </c>
      <c r="P1542" s="13">
        <f t="shared" si="97"/>
        <v>597.59999999999991</v>
      </c>
      <c r="Q1542" s="13" t="str">
        <f t="shared" si="98"/>
        <v/>
      </c>
      <c r="R1542" s="13" t="str">
        <f t="shared" si="99"/>
        <v>Diskon</v>
      </c>
    </row>
    <row r="1543" spans="1:18" x14ac:dyDescent="0.25">
      <c r="A1543" s="13" t="s">
        <v>1555</v>
      </c>
      <c r="B1543" s="13" t="s">
        <v>2192</v>
      </c>
      <c r="C1543" s="13" t="s">
        <v>2200</v>
      </c>
      <c r="D1543" s="13" t="s">
        <v>2205</v>
      </c>
      <c r="F1543" s="13" t="s">
        <v>2222</v>
      </c>
      <c r="G1543" s="13">
        <v>79.69</v>
      </c>
      <c r="H1543" s="44">
        <v>0</v>
      </c>
      <c r="I1543" s="13">
        <v>79.69</v>
      </c>
      <c r="J1543" s="24">
        <v>45875</v>
      </c>
      <c r="K1543" s="25">
        <v>44</v>
      </c>
      <c r="L1543" s="25">
        <v>1.6</v>
      </c>
      <c r="M1543" s="13" t="b">
        <v>0</v>
      </c>
      <c r="O1543" s="25">
        <f t="shared" si="96"/>
        <v>27</v>
      </c>
      <c r="P1543" s="13">
        <f t="shared" si="97"/>
        <v>0</v>
      </c>
      <c r="Q1543" s="13" t="str">
        <f t="shared" si="98"/>
        <v/>
      </c>
      <c r="R1543" s="13" t="str">
        <f t="shared" si="99"/>
        <v>Non diskon</v>
      </c>
    </row>
    <row r="1544" spans="1:18" x14ac:dyDescent="0.25">
      <c r="A1544" s="13" t="s">
        <v>1556</v>
      </c>
      <c r="B1544" s="13" t="s">
        <v>2194</v>
      </c>
      <c r="C1544" s="13" t="s">
        <v>2203</v>
      </c>
      <c r="D1544" s="13" t="s">
        <v>2206</v>
      </c>
      <c r="E1544" s="13" t="s">
        <v>2210</v>
      </c>
      <c r="F1544" s="13" t="s">
        <v>2224</v>
      </c>
      <c r="G1544" s="13">
        <v>47.22</v>
      </c>
      <c r="H1544" s="44">
        <v>0</v>
      </c>
      <c r="I1544" s="13">
        <v>47.22</v>
      </c>
      <c r="J1544" s="24">
        <v>45875</v>
      </c>
      <c r="K1544" s="25">
        <v>19</v>
      </c>
      <c r="L1544" s="25">
        <v>1.9</v>
      </c>
      <c r="M1544" s="13" t="b">
        <v>0</v>
      </c>
      <c r="O1544" s="25">
        <f t="shared" si="96"/>
        <v>27</v>
      </c>
      <c r="P1544" s="13">
        <f t="shared" si="97"/>
        <v>0</v>
      </c>
      <c r="Q1544" s="13" t="str">
        <f t="shared" si="98"/>
        <v/>
      </c>
      <c r="R1544" s="13" t="str">
        <f t="shared" si="99"/>
        <v>Non diskon</v>
      </c>
    </row>
    <row r="1545" spans="1:18" x14ac:dyDescent="0.25">
      <c r="A1545" s="13" t="s">
        <v>1557</v>
      </c>
      <c r="B1545" s="13" t="s">
        <v>2193</v>
      </c>
      <c r="C1545" s="13" t="s">
        <v>2200</v>
      </c>
      <c r="D1545" s="13" t="s">
        <v>2206</v>
      </c>
      <c r="F1545" s="13" t="s">
        <v>2224</v>
      </c>
      <c r="G1545" s="13">
        <v>172.27</v>
      </c>
      <c r="H1545" s="44">
        <v>14.9</v>
      </c>
      <c r="I1545" s="13">
        <v>146.6</v>
      </c>
      <c r="J1545" s="24">
        <v>45875</v>
      </c>
      <c r="K1545" s="25">
        <v>8</v>
      </c>
      <c r="L1545" s="25">
        <v>3.7</v>
      </c>
      <c r="M1545" s="13" t="b">
        <v>0</v>
      </c>
      <c r="O1545" s="25">
        <f t="shared" si="96"/>
        <v>27</v>
      </c>
      <c r="P1545" s="13">
        <f t="shared" si="97"/>
        <v>119.2</v>
      </c>
      <c r="Q1545" s="13" t="str">
        <f t="shared" si="98"/>
        <v/>
      </c>
      <c r="R1545" s="13" t="str">
        <f t="shared" si="99"/>
        <v>Diskon</v>
      </c>
    </row>
    <row r="1546" spans="1:18" x14ac:dyDescent="0.25">
      <c r="A1546" s="13" t="s">
        <v>1558</v>
      </c>
      <c r="B1546" s="13" t="s">
        <v>2192</v>
      </c>
      <c r="C1546" s="13" t="s">
        <v>2196</v>
      </c>
      <c r="D1546" s="13" t="s">
        <v>2205</v>
      </c>
      <c r="F1546" s="13" t="s">
        <v>2216</v>
      </c>
      <c r="G1546" s="13">
        <v>27.9</v>
      </c>
      <c r="H1546" s="44">
        <v>0</v>
      </c>
      <c r="I1546" s="13">
        <v>27.9</v>
      </c>
      <c r="J1546" s="24">
        <v>45875</v>
      </c>
      <c r="K1546" s="25">
        <v>27</v>
      </c>
      <c r="L1546" s="25">
        <v>3</v>
      </c>
      <c r="M1546" s="13" t="b">
        <v>1</v>
      </c>
      <c r="N1546" s="13" t="s">
        <v>2229</v>
      </c>
      <c r="O1546" s="25">
        <f t="shared" si="96"/>
        <v>27</v>
      </c>
      <c r="P1546" s="13">
        <f t="shared" si="97"/>
        <v>0</v>
      </c>
      <c r="Q1546" s="13">
        <f t="shared" si="98"/>
        <v>1</v>
      </c>
      <c r="R1546" s="13" t="str">
        <f t="shared" si="99"/>
        <v>Non diskon</v>
      </c>
    </row>
    <row r="1547" spans="1:18" x14ac:dyDescent="0.25">
      <c r="A1547" s="13" t="s">
        <v>1559</v>
      </c>
      <c r="B1547" s="13" t="s">
        <v>2195</v>
      </c>
      <c r="C1547" s="13" t="s">
        <v>2196</v>
      </c>
      <c r="D1547" s="13" t="s">
        <v>2204</v>
      </c>
      <c r="E1547" s="13" t="s">
        <v>2210</v>
      </c>
      <c r="F1547" s="13" t="s">
        <v>2221</v>
      </c>
      <c r="G1547" s="13">
        <v>139.26</v>
      </c>
      <c r="H1547" s="44">
        <v>0</v>
      </c>
      <c r="I1547" s="13">
        <v>139.26</v>
      </c>
      <c r="J1547" s="24">
        <v>45659</v>
      </c>
      <c r="K1547" s="25">
        <v>32</v>
      </c>
      <c r="L1547" s="25">
        <v>3.4</v>
      </c>
      <c r="M1547" s="13" t="b">
        <v>0</v>
      </c>
      <c r="O1547" s="25">
        <f t="shared" si="96"/>
        <v>243</v>
      </c>
      <c r="P1547" s="13">
        <f t="shared" si="97"/>
        <v>0</v>
      </c>
      <c r="Q1547" s="13" t="str">
        <f t="shared" si="98"/>
        <v/>
      </c>
      <c r="R1547" s="13" t="str">
        <f t="shared" si="99"/>
        <v>Non diskon</v>
      </c>
    </row>
    <row r="1548" spans="1:18" x14ac:dyDescent="0.25">
      <c r="A1548" s="13" t="s">
        <v>1560</v>
      </c>
      <c r="B1548" s="13" t="s">
        <v>2192</v>
      </c>
      <c r="C1548" s="13" t="s">
        <v>2201</v>
      </c>
      <c r="D1548" s="13" t="s">
        <v>2207</v>
      </c>
      <c r="F1548" s="13" t="s">
        <v>2218</v>
      </c>
      <c r="G1548" s="13">
        <v>30.47</v>
      </c>
      <c r="H1548" s="44">
        <v>0</v>
      </c>
      <c r="I1548" s="13">
        <v>30.47</v>
      </c>
      <c r="J1548" s="24">
        <v>45875</v>
      </c>
      <c r="K1548" s="25">
        <v>34</v>
      </c>
      <c r="L1548" s="25">
        <v>4.2</v>
      </c>
      <c r="M1548" s="13" t="b">
        <v>0</v>
      </c>
      <c r="O1548" s="25">
        <f t="shared" si="96"/>
        <v>27</v>
      </c>
      <c r="P1548" s="13">
        <f t="shared" si="97"/>
        <v>0</v>
      </c>
      <c r="Q1548" s="13" t="str">
        <f t="shared" si="98"/>
        <v/>
      </c>
      <c r="R1548" s="13" t="str">
        <f t="shared" si="99"/>
        <v>Non diskon</v>
      </c>
    </row>
    <row r="1549" spans="1:18" x14ac:dyDescent="0.25">
      <c r="A1549" s="13" t="s">
        <v>1561</v>
      </c>
      <c r="B1549" s="13" t="s">
        <v>2190</v>
      </c>
      <c r="C1549" s="13" t="s">
        <v>2202</v>
      </c>
      <c r="D1549" s="13" t="s">
        <v>2206</v>
      </c>
      <c r="E1549" s="13" t="s">
        <v>2213</v>
      </c>
      <c r="F1549" s="13" t="s">
        <v>2223</v>
      </c>
      <c r="G1549" s="13">
        <v>141.53</v>
      </c>
      <c r="H1549" s="44">
        <v>39.799999999999997</v>
      </c>
      <c r="I1549" s="13">
        <v>85.2</v>
      </c>
      <c r="J1549" s="24">
        <v>45875</v>
      </c>
      <c r="K1549" s="25">
        <v>47</v>
      </c>
      <c r="L1549" s="25">
        <v>3.5</v>
      </c>
      <c r="M1549" s="13" t="b">
        <v>0</v>
      </c>
      <c r="O1549" s="25">
        <f t="shared" si="96"/>
        <v>27</v>
      </c>
      <c r="P1549" s="13">
        <f t="shared" si="97"/>
        <v>1870.6</v>
      </c>
      <c r="Q1549" s="13" t="str">
        <f t="shared" si="98"/>
        <v/>
      </c>
      <c r="R1549" s="13" t="str">
        <f t="shared" si="99"/>
        <v>Diskon</v>
      </c>
    </row>
    <row r="1550" spans="1:18" x14ac:dyDescent="0.25">
      <c r="A1550" s="13" t="s">
        <v>1562</v>
      </c>
      <c r="B1550" s="13" t="s">
        <v>2195</v>
      </c>
      <c r="C1550" s="13" t="s">
        <v>2202</v>
      </c>
      <c r="D1550" s="13" t="s">
        <v>2204</v>
      </c>
      <c r="E1550" s="13" t="s">
        <v>2208</v>
      </c>
      <c r="F1550" s="13" t="s">
        <v>2218</v>
      </c>
      <c r="G1550" s="13">
        <v>47.45</v>
      </c>
      <c r="H1550" s="44">
        <v>24.4</v>
      </c>
      <c r="I1550" s="13">
        <v>35.869999999999997</v>
      </c>
      <c r="J1550" s="24">
        <v>45823</v>
      </c>
      <c r="K1550" s="25">
        <v>42</v>
      </c>
      <c r="L1550" s="25">
        <v>2.8</v>
      </c>
      <c r="M1550" s="13" t="b">
        <v>0</v>
      </c>
      <c r="O1550" s="25">
        <f t="shared" si="96"/>
        <v>79</v>
      </c>
      <c r="P1550" s="13">
        <f t="shared" si="97"/>
        <v>1024.8</v>
      </c>
      <c r="Q1550" s="13" t="str">
        <f t="shared" si="98"/>
        <v/>
      </c>
      <c r="R1550" s="13" t="str">
        <f t="shared" si="99"/>
        <v>Diskon</v>
      </c>
    </row>
    <row r="1551" spans="1:18" x14ac:dyDescent="0.25">
      <c r="A1551" s="13" t="s">
        <v>1563</v>
      </c>
      <c r="B1551" s="13" t="s">
        <v>2194</v>
      </c>
      <c r="C1551" s="13" t="s">
        <v>2202</v>
      </c>
      <c r="D1551" s="13" t="s">
        <v>2205</v>
      </c>
      <c r="E1551" s="13" t="s">
        <v>2212</v>
      </c>
      <c r="F1551" s="13" t="s">
        <v>2222</v>
      </c>
      <c r="G1551" s="13">
        <v>51.39</v>
      </c>
      <c r="H1551" s="44">
        <v>6.3</v>
      </c>
      <c r="I1551" s="13">
        <v>48.15</v>
      </c>
      <c r="J1551" s="24">
        <v>45875</v>
      </c>
      <c r="K1551" s="25">
        <v>46</v>
      </c>
      <c r="L1551" s="25">
        <v>3.1799999999999997</v>
      </c>
      <c r="M1551" s="13" t="b">
        <v>0</v>
      </c>
      <c r="O1551" s="25">
        <f t="shared" si="96"/>
        <v>27</v>
      </c>
      <c r="P1551" s="13">
        <f t="shared" si="97"/>
        <v>289.8</v>
      </c>
      <c r="Q1551" s="13" t="str">
        <f t="shared" si="98"/>
        <v/>
      </c>
      <c r="R1551" s="13" t="str">
        <f t="shared" si="99"/>
        <v>Diskon</v>
      </c>
    </row>
    <row r="1552" spans="1:18" x14ac:dyDescent="0.25">
      <c r="A1552" s="13" t="s">
        <v>1564</v>
      </c>
      <c r="B1552" s="13" t="s">
        <v>2191</v>
      </c>
      <c r="C1552" s="13" t="s">
        <v>2202</v>
      </c>
      <c r="D1552" s="13" t="s">
        <v>2204</v>
      </c>
      <c r="F1552" s="13" t="s">
        <v>2217</v>
      </c>
      <c r="G1552" s="13">
        <v>74.13</v>
      </c>
      <c r="H1552" s="44">
        <v>0</v>
      </c>
      <c r="I1552" s="13">
        <v>74.13</v>
      </c>
      <c r="J1552" s="24">
        <v>45609</v>
      </c>
      <c r="K1552" s="25">
        <v>23</v>
      </c>
      <c r="L1552" s="25">
        <v>2.9074999999999998</v>
      </c>
      <c r="M1552" s="13" t="b">
        <v>0</v>
      </c>
      <c r="O1552" s="25">
        <f t="shared" si="96"/>
        <v>293</v>
      </c>
      <c r="P1552" s="13">
        <f t="shared" si="97"/>
        <v>0</v>
      </c>
      <c r="Q1552" s="13" t="str">
        <f t="shared" si="98"/>
        <v/>
      </c>
      <c r="R1552" s="13" t="str">
        <f t="shared" si="99"/>
        <v>Non diskon</v>
      </c>
    </row>
    <row r="1553" spans="1:18" x14ac:dyDescent="0.25">
      <c r="A1553" s="13" t="s">
        <v>1565</v>
      </c>
      <c r="B1553" s="13" t="s">
        <v>2195</v>
      </c>
      <c r="C1553" s="13" t="s">
        <v>2196</v>
      </c>
      <c r="D1553" s="13" t="s">
        <v>2206</v>
      </c>
      <c r="E1553" s="13" t="s">
        <v>2208</v>
      </c>
      <c r="F1553" s="13" t="s">
        <v>2223</v>
      </c>
      <c r="G1553" s="13">
        <v>156.13999999999999</v>
      </c>
      <c r="H1553" s="44">
        <v>5</v>
      </c>
      <c r="I1553" s="13">
        <v>148.33000000000001</v>
      </c>
      <c r="J1553" s="24">
        <v>45875</v>
      </c>
      <c r="K1553" s="25">
        <v>39</v>
      </c>
      <c r="L1553" s="25">
        <v>3.0424242424242425</v>
      </c>
      <c r="M1553" s="13" t="b">
        <v>0</v>
      </c>
      <c r="O1553" s="25">
        <f t="shared" si="96"/>
        <v>27</v>
      </c>
      <c r="P1553" s="13">
        <f t="shared" si="97"/>
        <v>195</v>
      </c>
      <c r="Q1553" s="13" t="str">
        <f t="shared" si="98"/>
        <v/>
      </c>
      <c r="R1553" s="13" t="str">
        <f t="shared" si="99"/>
        <v>Diskon</v>
      </c>
    </row>
    <row r="1554" spans="1:18" x14ac:dyDescent="0.25">
      <c r="A1554" s="13" t="s">
        <v>1566</v>
      </c>
      <c r="B1554" s="13" t="s">
        <v>2190</v>
      </c>
      <c r="C1554" s="13" t="s">
        <v>2198</v>
      </c>
      <c r="D1554" s="13" t="s">
        <v>2207</v>
      </c>
      <c r="E1554" s="13" t="s">
        <v>2212</v>
      </c>
      <c r="F1554" s="13" t="s">
        <v>2220</v>
      </c>
      <c r="G1554" s="13">
        <v>105.3</v>
      </c>
      <c r="H1554" s="44">
        <v>0</v>
      </c>
      <c r="I1554" s="13">
        <v>105.3</v>
      </c>
      <c r="J1554" s="24">
        <v>45875</v>
      </c>
      <c r="K1554" s="25">
        <v>1</v>
      </c>
      <c r="L1554" s="25">
        <v>3</v>
      </c>
      <c r="M1554" s="13" t="b">
        <v>0</v>
      </c>
      <c r="O1554" s="25">
        <f t="shared" si="96"/>
        <v>27</v>
      </c>
      <c r="P1554" s="13">
        <f t="shared" si="97"/>
        <v>0</v>
      </c>
      <c r="Q1554" s="13" t="str">
        <f t="shared" si="98"/>
        <v/>
      </c>
      <c r="R1554" s="13" t="str">
        <f t="shared" si="99"/>
        <v>Non diskon</v>
      </c>
    </row>
    <row r="1555" spans="1:18" x14ac:dyDescent="0.25">
      <c r="A1555" s="13" t="s">
        <v>1567</v>
      </c>
      <c r="B1555" s="13" t="s">
        <v>2195</v>
      </c>
      <c r="C1555" s="13" t="s">
        <v>2200</v>
      </c>
      <c r="D1555" s="13" t="s">
        <v>2205</v>
      </c>
      <c r="E1555" s="13" t="s">
        <v>2210</v>
      </c>
      <c r="F1555" s="13" t="s">
        <v>2222</v>
      </c>
      <c r="G1555" s="13">
        <v>126.76</v>
      </c>
      <c r="H1555" s="44">
        <v>0</v>
      </c>
      <c r="I1555" s="13">
        <v>126.76</v>
      </c>
      <c r="J1555" s="24">
        <v>45875</v>
      </c>
      <c r="K1555" s="25">
        <v>24</v>
      </c>
      <c r="L1555" s="25">
        <v>2.2000000000000002</v>
      </c>
      <c r="M1555" s="13" t="b">
        <v>0</v>
      </c>
      <c r="O1555" s="25">
        <f t="shared" si="96"/>
        <v>27</v>
      </c>
      <c r="P1555" s="13">
        <f t="shared" si="97"/>
        <v>0</v>
      </c>
      <c r="Q1555" s="13" t="str">
        <f t="shared" si="98"/>
        <v/>
      </c>
      <c r="R1555" s="13" t="str">
        <f t="shared" si="99"/>
        <v>Non diskon</v>
      </c>
    </row>
    <row r="1556" spans="1:18" x14ac:dyDescent="0.25">
      <c r="A1556" s="13" t="s">
        <v>1568</v>
      </c>
      <c r="B1556" s="13" t="s">
        <v>2191</v>
      </c>
      <c r="C1556" s="13" t="s">
        <v>2202</v>
      </c>
      <c r="D1556" s="13" t="s">
        <v>2205</v>
      </c>
      <c r="E1556" s="13" t="s">
        <v>2209</v>
      </c>
      <c r="F1556" s="13" t="s">
        <v>2222</v>
      </c>
      <c r="G1556" s="13">
        <v>35.409999999999997</v>
      </c>
      <c r="H1556" s="44">
        <v>0</v>
      </c>
      <c r="I1556" s="13">
        <v>35.409999999999997</v>
      </c>
      <c r="J1556" s="24">
        <v>45875</v>
      </c>
      <c r="K1556" s="25">
        <v>48</v>
      </c>
      <c r="L1556" s="25">
        <v>4.3</v>
      </c>
      <c r="M1556" s="13" t="b">
        <v>1</v>
      </c>
      <c r="N1556" s="13" t="s">
        <v>2227</v>
      </c>
      <c r="O1556" s="25">
        <f t="shared" si="96"/>
        <v>27</v>
      </c>
      <c r="P1556" s="13">
        <f t="shared" si="97"/>
        <v>0</v>
      </c>
      <c r="Q1556" s="13">
        <f t="shared" si="98"/>
        <v>1</v>
      </c>
      <c r="R1556" s="13" t="str">
        <f t="shared" si="99"/>
        <v>Non diskon</v>
      </c>
    </row>
    <row r="1557" spans="1:18" x14ac:dyDescent="0.25">
      <c r="A1557" s="13" t="s">
        <v>1569</v>
      </c>
      <c r="B1557" s="13" t="s">
        <v>2190</v>
      </c>
      <c r="C1557" s="13" t="s">
        <v>2201</v>
      </c>
      <c r="D1557" s="13" t="s">
        <v>2205</v>
      </c>
      <c r="E1557" s="13" t="s">
        <v>2213</v>
      </c>
      <c r="F1557" s="13" t="s">
        <v>2217</v>
      </c>
      <c r="G1557" s="13">
        <v>80.040000000000006</v>
      </c>
      <c r="H1557" s="44">
        <v>0</v>
      </c>
      <c r="I1557" s="13">
        <v>80.040000000000006</v>
      </c>
      <c r="J1557" s="24">
        <v>45875</v>
      </c>
      <c r="K1557" s="25">
        <v>13</v>
      </c>
      <c r="L1557" s="25">
        <v>2.2999999999999998</v>
      </c>
      <c r="M1557" s="13" t="b">
        <v>0</v>
      </c>
      <c r="O1557" s="25">
        <f t="shared" si="96"/>
        <v>27</v>
      </c>
      <c r="P1557" s="13">
        <f t="shared" si="97"/>
        <v>0</v>
      </c>
      <c r="Q1557" s="13" t="str">
        <f t="shared" si="98"/>
        <v/>
      </c>
      <c r="R1557" s="13" t="str">
        <f t="shared" si="99"/>
        <v>Non diskon</v>
      </c>
    </row>
    <row r="1558" spans="1:18" x14ac:dyDescent="0.25">
      <c r="A1558" s="13" t="s">
        <v>1570</v>
      </c>
      <c r="B1558" s="13" t="s">
        <v>2194</v>
      </c>
      <c r="C1558" s="13" t="s">
        <v>2202</v>
      </c>
      <c r="D1558" s="13" t="s">
        <v>2206</v>
      </c>
      <c r="F1558" s="13" t="s">
        <v>2222</v>
      </c>
      <c r="G1558" s="13">
        <v>68.16</v>
      </c>
      <c r="H1558" s="44">
        <v>0</v>
      </c>
      <c r="I1558" s="13">
        <v>68.16</v>
      </c>
      <c r="J1558" s="24">
        <v>45875</v>
      </c>
      <c r="K1558" s="25">
        <v>34</v>
      </c>
      <c r="L1558" s="25">
        <v>2.7</v>
      </c>
      <c r="M1558" s="13" t="b">
        <v>0</v>
      </c>
      <c r="O1558" s="25">
        <f t="shared" si="96"/>
        <v>27</v>
      </c>
      <c r="P1558" s="13">
        <f t="shared" si="97"/>
        <v>0</v>
      </c>
      <c r="Q1558" s="13" t="str">
        <f t="shared" si="98"/>
        <v/>
      </c>
      <c r="R1558" s="13" t="str">
        <f t="shared" si="99"/>
        <v>Non diskon</v>
      </c>
    </row>
    <row r="1559" spans="1:18" x14ac:dyDescent="0.25">
      <c r="A1559" s="13" t="s">
        <v>1571</v>
      </c>
      <c r="B1559" s="13" t="s">
        <v>2195</v>
      </c>
      <c r="C1559" s="13" t="s">
        <v>2201</v>
      </c>
      <c r="D1559" s="13" t="s">
        <v>2206</v>
      </c>
      <c r="E1559" s="13" t="s">
        <v>2208</v>
      </c>
      <c r="F1559" s="13" t="s">
        <v>2217</v>
      </c>
      <c r="G1559" s="13">
        <v>60.87</v>
      </c>
      <c r="H1559" s="44">
        <v>0</v>
      </c>
      <c r="I1559" s="13">
        <v>60.87</v>
      </c>
      <c r="J1559" s="24">
        <v>45875</v>
      </c>
      <c r="K1559" s="25">
        <v>35</v>
      </c>
      <c r="L1559" s="25">
        <v>3.1874999999999991</v>
      </c>
      <c r="M1559" s="13" t="b">
        <v>0</v>
      </c>
      <c r="O1559" s="25">
        <f t="shared" si="96"/>
        <v>27</v>
      </c>
      <c r="P1559" s="13">
        <f t="shared" si="97"/>
        <v>0</v>
      </c>
      <c r="Q1559" s="13" t="str">
        <f t="shared" si="98"/>
        <v/>
      </c>
      <c r="R1559" s="13" t="str">
        <f t="shared" si="99"/>
        <v>Non diskon</v>
      </c>
    </row>
    <row r="1560" spans="1:18" x14ac:dyDescent="0.25">
      <c r="A1560" s="13" t="s">
        <v>1572</v>
      </c>
      <c r="B1560" s="13" t="s">
        <v>2191</v>
      </c>
      <c r="C1560" s="13" t="s">
        <v>2200</v>
      </c>
      <c r="D1560" s="13" t="s">
        <v>2204</v>
      </c>
      <c r="E1560" s="13" t="s">
        <v>2209</v>
      </c>
      <c r="F1560" s="13" t="s">
        <v>2224</v>
      </c>
      <c r="G1560" s="13">
        <v>59.8</v>
      </c>
      <c r="H1560" s="44">
        <v>0</v>
      </c>
      <c r="I1560" s="13">
        <v>59.8</v>
      </c>
      <c r="J1560" s="24">
        <v>45753</v>
      </c>
      <c r="K1560" s="25">
        <v>50</v>
      </c>
      <c r="L1560" s="25">
        <v>2.2000000000000002</v>
      </c>
      <c r="M1560" s="13" t="b">
        <v>1</v>
      </c>
      <c r="N1560" s="13" t="s">
        <v>2226</v>
      </c>
      <c r="O1560" s="25">
        <f t="shared" si="96"/>
        <v>149</v>
      </c>
      <c r="P1560" s="13">
        <f t="shared" si="97"/>
        <v>0</v>
      </c>
      <c r="Q1560" s="13">
        <f t="shared" si="98"/>
        <v>1</v>
      </c>
      <c r="R1560" s="13" t="str">
        <f t="shared" si="99"/>
        <v>Non diskon</v>
      </c>
    </row>
    <row r="1561" spans="1:18" x14ac:dyDescent="0.25">
      <c r="A1561" s="13" t="s">
        <v>1573</v>
      </c>
      <c r="B1561" s="13" t="s">
        <v>2192</v>
      </c>
      <c r="C1561" s="13" t="s">
        <v>2202</v>
      </c>
      <c r="D1561" s="13" t="s">
        <v>2206</v>
      </c>
      <c r="F1561" s="13" t="s">
        <v>2216</v>
      </c>
      <c r="G1561" s="13">
        <v>75.83</v>
      </c>
      <c r="H1561" s="44">
        <v>0</v>
      </c>
      <c r="I1561" s="13">
        <v>75.83</v>
      </c>
      <c r="J1561" s="24">
        <v>45875</v>
      </c>
      <c r="K1561" s="25">
        <v>8</v>
      </c>
      <c r="L1561" s="25">
        <v>2</v>
      </c>
      <c r="M1561" s="13" t="b">
        <v>0</v>
      </c>
      <c r="O1561" s="25">
        <f t="shared" si="96"/>
        <v>27</v>
      </c>
      <c r="P1561" s="13">
        <f t="shared" si="97"/>
        <v>0</v>
      </c>
      <c r="Q1561" s="13" t="str">
        <f t="shared" si="98"/>
        <v/>
      </c>
      <c r="R1561" s="13" t="str">
        <f t="shared" si="99"/>
        <v>Non diskon</v>
      </c>
    </row>
    <row r="1562" spans="1:18" x14ac:dyDescent="0.25">
      <c r="A1562" s="13" t="s">
        <v>1574</v>
      </c>
      <c r="B1562" s="13" t="s">
        <v>2191</v>
      </c>
      <c r="C1562" s="13" t="s">
        <v>2200</v>
      </c>
      <c r="D1562" s="13" t="s">
        <v>2207</v>
      </c>
      <c r="E1562" s="13" t="s">
        <v>2209</v>
      </c>
      <c r="F1562" s="13" t="s">
        <v>2221</v>
      </c>
      <c r="G1562" s="13">
        <v>55.97</v>
      </c>
      <c r="H1562" s="44">
        <v>0</v>
      </c>
      <c r="I1562" s="13">
        <v>55.97</v>
      </c>
      <c r="J1562" s="24">
        <v>45875</v>
      </c>
      <c r="K1562" s="25">
        <v>30</v>
      </c>
      <c r="L1562" s="25">
        <v>2.9657142857142857</v>
      </c>
      <c r="M1562" s="13" t="b">
        <v>0</v>
      </c>
      <c r="O1562" s="25">
        <f t="shared" si="96"/>
        <v>27</v>
      </c>
      <c r="P1562" s="13">
        <f t="shared" si="97"/>
        <v>0</v>
      </c>
      <c r="Q1562" s="13" t="str">
        <f t="shared" si="98"/>
        <v/>
      </c>
      <c r="R1562" s="13" t="str">
        <f t="shared" si="99"/>
        <v>Non diskon</v>
      </c>
    </row>
    <row r="1563" spans="1:18" x14ac:dyDescent="0.25">
      <c r="A1563" s="13" t="s">
        <v>1575</v>
      </c>
      <c r="B1563" s="13" t="s">
        <v>2193</v>
      </c>
      <c r="C1563" s="13" t="s">
        <v>2202</v>
      </c>
      <c r="D1563" s="13" t="s">
        <v>2205</v>
      </c>
      <c r="E1563" s="13" t="s">
        <v>2208</v>
      </c>
      <c r="F1563" s="13" t="s">
        <v>2221</v>
      </c>
      <c r="G1563" s="13">
        <v>190.52</v>
      </c>
      <c r="H1563" s="44">
        <v>45.2</v>
      </c>
      <c r="I1563" s="13">
        <v>104.4</v>
      </c>
      <c r="J1563" s="24">
        <v>45875</v>
      </c>
      <c r="K1563" s="25">
        <v>2</v>
      </c>
      <c r="L1563" s="25">
        <v>1.1000000000000001</v>
      </c>
      <c r="M1563" s="13" t="b">
        <v>0</v>
      </c>
      <c r="O1563" s="25">
        <f t="shared" si="96"/>
        <v>27</v>
      </c>
      <c r="P1563" s="13">
        <f t="shared" si="97"/>
        <v>90.4</v>
      </c>
      <c r="Q1563" s="13" t="str">
        <f t="shared" si="98"/>
        <v/>
      </c>
      <c r="R1563" s="13" t="str">
        <f t="shared" si="99"/>
        <v>Diskon</v>
      </c>
    </row>
    <row r="1564" spans="1:18" x14ac:dyDescent="0.25">
      <c r="A1564" s="13" t="s">
        <v>1576</v>
      </c>
      <c r="B1564" s="13" t="s">
        <v>2194</v>
      </c>
      <c r="C1564" s="13" t="s">
        <v>2196</v>
      </c>
      <c r="D1564" s="13" t="s">
        <v>2207</v>
      </c>
      <c r="E1564" s="13" t="s">
        <v>2213</v>
      </c>
      <c r="F1564" s="13" t="s">
        <v>2215</v>
      </c>
      <c r="G1564" s="13">
        <v>89.19</v>
      </c>
      <c r="H1564" s="44">
        <v>10.3</v>
      </c>
      <c r="I1564" s="13">
        <v>80</v>
      </c>
      <c r="J1564" s="24">
        <v>45875</v>
      </c>
      <c r="K1564" s="25">
        <v>4</v>
      </c>
      <c r="L1564" s="25">
        <v>2.9210526315789478</v>
      </c>
      <c r="M1564" s="13" t="b">
        <v>0</v>
      </c>
      <c r="O1564" s="25">
        <f t="shared" si="96"/>
        <v>27</v>
      </c>
      <c r="P1564" s="13">
        <f t="shared" si="97"/>
        <v>41.2</v>
      </c>
      <c r="Q1564" s="13" t="str">
        <f t="shared" si="98"/>
        <v/>
      </c>
      <c r="R1564" s="13" t="str">
        <f t="shared" si="99"/>
        <v>Diskon</v>
      </c>
    </row>
    <row r="1565" spans="1:18" x14ac:dyDescent="0.25">
      <c r="A1565" s="13" t="s">
        <v>1577</v>
      </c>
      <c r="B1565" s="13" t="s">
        <v>2193</v>
      </c>
      <c r="C1565" s="13" t="s">
        <v>2198</v>
      </c>
      <c r="D1565" s="13" t="s">
        <v>2207</v>
      </c>
      <c r="F1565" s="13" t="s">
        <v>2217</v>
      </c>
      <c r="G1565" s="13">
        <v>79.59</v>
      </c>
      <c r="H1565" s="44">
        <v>8.9</v>
      </c>
      <c r="I1565" s="13">
        <v>72.510000000000005</v>
      </c>
      <c r="J1565" s="24">
        <v>45875</v>
      </c>
      <c r="K1565" s="25">
        <v>16</v>
      </c>
      <c r="L1565" s="25">
        <v>4.5999999999999996</v>
      </c>
      <c r="M1565" s="13" t="b">
        <v>1</v>
      </c>
      <c r="N1565" s="13" t="s">
        <v>2230</v>
      </c>
      <c r="O1565" s="25">
        <f t="shared" si="96"/>
        <v>27</v>
      </c>
      <c r="P1565" s="13">
        <f t="shared" si="97"/>
        <v>142.4</v>
      </c>
      <c r="Q1565" s="13">
        <f t="shared" si="98"/>
        <v>1</v>
      </c>
      <c r="R1565" s="13" t="str">
        <f t="shared" si="99"/>
        <v>Diskon</v>
      </c>
    </row>
    <row r="1566" spans="1:18" x14ac:dyDescent="0.25">
      <c r="A1566" s="13" t="s">
        <v>1578</v>
      </c>
      <c r="B1566" s="13" t="s">
        <v>2194</v>
      </c>
      <c r="C1566" s="13" t="s">
        <v>2199</v>
      </c>
      <c r="D1566" s="13" t="s">
        <v>2204</v>
      </c>
      <c r="E1566" s="13" t="s">
        <v>2211</v>
      </c>
      <c r="F1566" s="13" t="s">
        <v>2218</v>
      </c>
      <c r="G1566" s="13">
        <v>84.8</v>
      </c>
      <c r="H1566" s="44">
        <v>0</v>
      </c>
      <c r="I1566" s="13">
        <v>84.8</v>
      </c>
      <c r="J1566" s="24">
        <v>45846</v>
      </c>
      <c r="K1566" s="25">
        <v>46</v>
      </c>
      <c r="L1566" s="25">
        <v>4.5999999999999996</v>
      </c>
      <c r="M1566" s="13" t="b">
        <v>0</v>
      </c>
      <c r="O1566" s="25">
        <f t="shared" si="96"/>
        <v>56</v>
      </c>
      <c r="P1566" s="13">
        <f t="shared" si="97"/>
        <v>0</v>
      </c>
      <c r="Q1566" s="13" t="str">
        <f t="shared" si="98"/>
        <v/>
      </c>
      <c r="R1566" s="13" t="str">
        <f t="shared" si="99"/>
        <v>Non diskon</v>
      </c>
    </row>
    <row r="1567" spans="1:18" x14ac:dyDescent="0.25">
      <c r="A1567" s="13" t="s">
        <v>1579</v>
      </c>
      <c r="B1567" s="13" t="s">
        <v>2194</v>
      </c>
      <c r="C1567" s="13" t="s">
        <v>2203</v>
      </c>
      <c r="D1567" s="13" t="s">
        <v>2206</v>
      </c>
      <c r="E1567" s="13" t="s">
        <v>2213</v>
      </c>
      <c r="F1567" s="13" t="s">
        <v>2216</v>
      </c>
      <c r="G1567" s="13">
        <v>69.209999999999994</v>
      </c>
      <c r="H1567" s="44">
        <v>0</v>
      </c>
      <c r="I1567" s="13">
        <v>69.209999999999994</v>
      </c>
      <c r="J1567" s="24">
        <v>45875</v>
      </c>
      <c r="K1567" s="25">
        <v>41</v>
      </c>
      <c r="L1567" s="25">
        <v>3.1021739130434773</v>
      </c>
      <c r="M1567" s="13" t="b">
        <v>0</v>
      </c>
      <c r="O1567" s="25">
        <f t="shared" si="96"/>
        <v>27</v>
      </c>
      <c r="P1567" s="13">
        <f t="shared" si="97"/>
        <v>0</v>
      </c>
      <c r="Q1567" s="13" t="str">
        <f t="shared" si="98"/>
        <v/>
      </c>
      <c r="R1567" s="13" t="str">
        <f t="shared" si="99"/>
        <v>Non diskon</v>
      </c>
    </row>
    <row r="1568" spans="1:18" x14ac:dyDescent="0.25">
      <c r="A1568" s="13" t="s">
        <v>1580</v>
      </c>
      <c r="B1568" s="13" t="s">
        <v>2190</v>
      </c>
      <c r="C1568" s="13" t="s">
        <v>2198</v>
      </c>
      <c r="D1568" s="13" t="s">
        <v>2204</v>
      </c>
      <c r="E1568" s="13" t="s">
        <v>2212</v>
      </c>
      <c r="F1568" s="13" t="s">
        <v>2222</v>
      </c>
      <c r="G1568" s="13">
        <v>229.17</v>
      </c>
      <c r="H1568" s="44">
        <v>0</v>
      </c>
      <c r="I1568" s="13">
        <v>229.17</v>
      </c>
      <c r="J1568" s="24">
        <v>45855</v>
      </c>
      <c r="K1568" s="25">
        <v>37</v>
      </c>
      <c r="L1568" s="25">
        <v>2</v>
      </c>
      <c r="M1568" s="13" t="b">
        <v>0</v>
      </c>
      <c r="O1568" s="25">
        <f t="shared" si="96"/>
        <v>47</v>
      </c>
      <c r="P1568" s="13">
        <f t="shared" si="97"/>
        <v>0</v>
      </c>
      <c r="Q1568" s="13" t="str">
        <f t="shared" si="98"/>
        <v/>
      </c>
      <c r="R1568" s="13" t="str">
        <f t="shared" si="99"/>
        <v>Non diskon</v>
      </c>
    </row>
    <row r="1569" spans="1:18" x14ac:dyDescent="0.25">
      <c r="A1569" s="13" t="s">
        <v>1581</v>
      </c>
      <c r="B1569" s="13" t="s">
        <v>2195</v>
      </c>
      <c r="C1569" s="13" t="s">
        <v>2198</v>
      </c>
      <c r="D1569" s="13" t="s">
        <v>2205</v>
      </c>
      <c r="E1569" s="13" t="s">
        <v>2209</v>
      </c>
      <c r="F1569" s="13" t="s">
        <v>2217</v>
      </c>
      <c r="G1569" s="13">
        <v>103.9</v>
      </c>
      <c r="H1569" s="44">
        <v>0</v>
      </c>
      <c r="I1569" s="13">
        <v>103.9</v>
      </c>
      <c r="J1569" s="24">
        <v>45875</v>
      </c>
      <c r="K1569" s="25">
        <v>40</v>
      </c>
      <c r="L1569" s="25">
        <v>4.4000000000000004</v>
      </c>
      <c r="M1569" s="13" t="b">
        <v>0</v>
      </c>
      <c r="O1569" s="25">
        <f t="shared" si="96"/>
        <v>27</v>
      </c>
      <c r="P1569" s="13">
        <f t="shared" si="97"/>
        <v>0</v>
      </c>
      <c r="Q1569" s="13" t="str">
        <f t="shared" si="98"/>
        <v/>
      </c>
      <c r="R1569" s="13" t="str">
        <f t="shared" si="99"/>
        <v>Non diskon</v>
      </c>
    </row>
    <row r="1570" spans="1:18" x14ac:dyDescent="0.25">
      <c r="A1570" s="13" t="s">
        <v>1582</v>
      </c>
      <c r="B1570" s="13" t="s">
        <v>2190</v>
      </c>
      <c r="C1570" s="13" t="s">
        <v>2196</v>
      </c>
      <c r="D1570" s="13" t="s">
        <v>2204</v>
      </c>
      <c r="E1570" s="13" t="s">
        <v>2212</v>
      </c>
      <c r="F1570" s="13" t="s">
        <v>2221</v>
      </c>
      <c r="G1570" s="13">
        <v>228.46</v>
      </c>
      <c r="H1570" s="44">
        <v>0</v>
      </c>
      <c r="I1570" s="13">
        <v>228.46</v>
      </c>
      <c r="J1570" s="24">
        <v>45695</v>
      </c>
      <c r="K1570" s="25">
        <v>7</v>
      </c>
      <c r="L1570" s="25">
        <v>2.5</v>
      </c>
      <c r="M1570" s="13" t="b">
        <v>1</v>
      </c>
      <c r="N1570" s="13" t="s">
        <v>2228</v>
      </c>
      <c r="O1570" s="25">
        <f t="shared" si="96"/>
        <v>207</v>
      </c>
      <c r="P1570" s="13">
        <f t="shared" si="97"/>
        <v>0</v>
      </c>
      <c r="Q1570" s="13">
        <f t="shared" si="98"/>
        <v>1</v>
      </c>
      <c r="R1570" s="13" t="str">
        <f t="shared" si="99"/>
        <v>Non diskon</v>
      </c>
    </row>
    <row r="1571" spans="1:18" x14ac:dyDescent="0.25">
      <c r="A1571" s="13" t="s">
        <v>1583</v>
      </c>
      <c r="B1571" s="13" t="s">
        <v>2192</v>
      </c>
      <c r="C1571" s="13" t="s">
        <v>2196</v>
      </c>
      <c r="D1571" s="13" t="s">
        <v>2207</v>
      </c>
      <c r="F1571" s="13" t="s">
        <v>2217</v>
      </c>
      <c r="G1571" s="13">
        <v>44.35</v>
      </c>
      <c r="H1571" s="44">
        <v>29.2</v>
      </c>
      <c r="I1571" s="13">
        <v>31.4</v>
      </c>
      <c r="J1571" s="24">
        <v>45875</v>
      </c>
      <c r="K1571" s="25">
        <v>20</v>
      </c>
      <c r="L1571" s="25">
        <v>4.9000000000000004</v>
      </c>
      <c r="M1571" s="13" t="b">
        <v>0</v>
      </c>
      <c r="O1571" s="25">
        <f t="shared" si="96"/>
        <v>27</v>
      </c>
      <c r="P1571" s="13">
        <f t="shared" si="97"/>
        <v>584</v>
      </c>
      <c r="Q1571" s="13" t="str">
        <f t="shared" si="98"/>
        <v/>
      </c>
      <c r="R1571" s="13" t="str">
        <f t="shared" si="99"/>
        <v>Diskon</v>
      </c>
    </row>
    <row r="1572" spans="1:18" x14ac:dyDescent="0.25">
      <c r="A1572" s="13" t="s">
        <v>1584</v>
      </c>
      <c r="B1572" s="13" t="s">
        <v>2194</v>
      </c>
      <c r="C1572" s="13" t="s">
        <v>2197</v>
      </c>
      <c r="D1572" s="13" t="s">
        <v>2204</v>
      </c>
      <c r="F1572" s="13" t="s">
        <v>2218</v>
      </c>
      <c r="G1572" s="13">
        <v>28.76</v>
      </c>
      <c r="H1572" s="44">
        <v>54.7</v>
      </c>
      <c r="I1572" s="13">
        <v>13.03</v>
      </c>
      <c r="J1572" s="24">
        <v>45791</v>
      </c>
      <c r="K1572" s="25">
        <v>2</v>
      </c>
      <c r="L1572" s="25">
        <v>4.4000000000000004</v>
      </c>
      <c r="M1572" s="13" t="b">
        <v>1</v>
      </c>
      <c r="N1572" s="13" t="s">
        <v>2225</v>
      </c>
      <c r="O1572" s="25">
        <f t="shared" si="96"/>
        <v>111</v>
      </c>
      <c r="P1572" s="13">
        <f t="shared" si="97"/>
        <v>109.4</v>
      </c>
      <c r="Q1572" s="13">
        <f t="shared" si="98"/>
        <v>1</v>
      </c>
      <c r="R1572" s="13" t="str">
        <f t="shared" si="99"/>
        <v>Diskon</v>
      </c>
    </row>
    <row r="1573" spans="1:18" x14ac:dyDescent="0.25">
      <c r="A1573" s="13" t="s">
        <v>1585</v>
      </c>
      <c r="B1573" s="13" t="s">
        <v>2190</v>
      </c>
      <c r="C1573" s="13" t="s">
        <v>2199</v>
      </c>
      <c r="D1573" s="13" t="s">
        <v>2204</v>
      </c>
      <c r="E1573" s="13" t="s">
        <v>2211</v>
      </c>
      <c r="F1573" s="13" t="s">
        <v>2214</v>
      </c>
      <c r="G1573" s="13">
        <v>158.34</v>
      </c>
      <c r="H1573" s="44">
        <v>36.6</v>
      </c>
      <c r="I1573" s="13">
        <v>100.39</v>
      </c>
      <c r="J1573" s="24">
        <v>45684</v>
      </c>
      <c r="K1573" s="25">
        <v>11</v>
      </c>
      <c r="L1573" s="25">
        <v>4.5</v>
      </c>
      <c r="M1573" s="13" t="b">
        <v>0</v>
      </c>
      <c r="O1573" s="25">
        <f t="shared" si="96"/>
        <v>218</v>
      </c>
      <c r="P1573" s="13">
        <f t="shared" si="97"/>
        <v>402.6</v>
      </c>
      <c r="Q1573" s="13" t="str">
        <f t="shared" si="98"/>
        <v/>
      </c>
      <c r="R1573" s="13" t="str">
        <f t="shared" si="99"/>
        <v>Diskon</v>
      </c>
    </row>
    <row r="1574" spans="1:18" x14ac:dyDescent="0.25">
      <c r="A1574" s="13" t="s">
        <v>1586</v>
      </c>
      <c r="B1574" s="13" t="s">
        <v>2192</v>
      </c>
      <c r="C1574" s="13" t="s">
        <v>2196</v>
      </c>
      <c r="D1574" s="13" t="s">
        <v>2204</v>
      </c>
      <c r="F1574" s="13" t="s">
        <v>2224</v>
      </c>
      <c r="G1574" s="13">
        <v>39.049999999999997</v>
      </c>
      <c r="H1574" s="44">
        <v>12</v>
      </c>
      <c r="I1574" s="13">
        <v>34.36</v>
      </c>
      <c r="J1574" s="24">
        <v>45565</v>
      </c>
      <c r="K1574" s="25">
        <v>0</v>
      </c>
      <c r="L1574" s="25">
        <v>3.1</v>
      </c>
      <c r="M1574" s="13" t="b">
        <v>0</v>
      </c>
      <c r="O1574" s="25">
        <f t="shared" si="96"/>
        <v>337</v>
      </c>
      <c r="P1574" s="13">
        <f t="shared" si="97"/>
        <v>0</v>
      </c>
      <c r="Q1574" s="13" t="str">
        <f t="shared" si="98"/>
        <v/>
      </c>
      <c r="R1574" s="13" t="str">
        <f t="shared" si="99"/>
        <v>Diskon</v>
      </c>
    </row>
    <row r="1575" spans="1:18" x14ac:dyDescent="0.25">
      <c r="A1575" s="13" t="s">
        <v>1587</v>
      </c>
      <c r="B1575" s="13" t="s">
        <v>2191</v>
      </c>
      <c r="C1575" s="13" t="s">
        <v>2201</v>
      </c>
      <c r="D1575" s="13" t="s">
        <v>2204</v>
      </c>
      <c r="E1575" s="13" t="s">
        <v>2210</v>
      </c>
      <c r="F1575" s="13" t="s">
        <v>2219</v>
      </c>
      <c r="G1575" s="13">
        <v>52.46</v>
      </c>
      <c r="H1575" s="44">
        <v>12.2</v>
      </c>
      <c r="I1575" s="13">
        <v>46.06</v>
      </c>
      <c r="J1575" s="24">
        <v>45645</v>
      </c>
      <c r="K1575" s="25">
        <v>39</v>
      </c>
      <c r="L1575" s="25">
        <v>2.2999999999999998</v>
      </c>
      <c r="M1575" s="13" t="b">
        <v>0</v>
      </c>
      <c r="O1575" s="25">
        <f t="shared" si="96"/>
        <v>257</v>
      </c>
      <c r="P1575" s="13">
        <f t="shared" si="97"/>
        <v>475.79999999999995</v>
      </c>
      <c r="Q1575" s="13" t="str">
        <f t="shared" si="98"/>
        <v/>
      </c>
      <c r="R1575" s="13" t="str">
        <f t="shared" si="99"/>
        <v>Diskon</v>
      </c>
    </row>
    <row r="1576" spans="1:18" x14ac:dyDescent="0.25">
      <c r="A1576" s="13" t="s">
        <v>1588</v>
      </c>
      <c r="B1576" s="13" t="s">
        <v>2194</v>
      </c>
      <c r="C1576" s="13" t="s">
        <v>2202</v>
      </c>
      <c r="D1576" s="13" t="s">
        <v>2204</v>
      </c>
      <c r="E1576" s="13" t="s">
        <v>2210</v>
      </c>
      <c r="F1576" s="13" t="s">
        <v>2214</v>
      </c>
      <c r="G1576" s="13">
        <v>70.31</v>
      </c>
      <c r="H1576" s="44">
        <v>34.4</v>
      </c>
      <c r="I1576" s="13">
        <v>46.12</v>
      </c>
      <c r="J1576" s="24">
        <v>45681</v>
      </c>
      <c r="K1576" s="25">
        <v>28</v>
      </c>
      <c r="L1576" s="25">
        <v>3.1</v>
      </c>
      <c r="M1576" s="13" t="b">
        <v>0</v>
      </c>
      <c r="O1576" s="25">
        <f t="shared" si="96"/>
        <v>221</v>
      </c>
      <c r="P1576" s="13">
        <f t="shared" si="97"/>
        <v>963.19999999999993</v>
      </c>
      <c r="Q1576" s="13" t="str">
        <f t="shared" si="98"/>
        <v/>
      </c>
      <c r="R1576" s="13" t="str">
        <f t="shared" si="99"/>
        <v>Diskon</v>
      </c>
    </row>
    <row r="1577" spans="1:18" x14ac:dyDescent="0.25">
      <c r="A1577" s="13" t="s">
        <v>1589</v>
      </c>
      <c r="B1577" s="13" t="s">
        <v>2190</v>
      </c>
      <c r="C1577" s="13" t="s">
        <v>2203</v>
      </c>
      <c r="D1577" s="13" t="s">
        <v>2207</v>
      </c>
      <c r="E1577" s="13" t="s">
        <v>2210</v>
      </c>
      <c r="F1577" s="13" t="s">
        <v>2221</v>
      </c>
      <c r="G1577" s="13">
        <v>123.27</v>
      </c>
      <c r="H1577" s="44">
        <v>0</v>
      </c>
      <c r="I1577" s="13">
        <v>123.27</v>
      </c>
      <c r="J1577" s="24">
        <v>45875</v>
      </c>
      <c r="K1577" s="25">
        <v>13</v>
      </c>
      <c r="L1577" s="25">
        <v>2.8</v>
      </c>
      <c r="M1577" s="13" t="b">
        <v>0</v>
      </c>
      <c r="O1577" s="25">
        <f t="shared" si="96"/>
        <v>27</v>
      </c>
      <c r="P1577" s="13">
        <f t="shared" si="97"/>
        <v>0</v>
      </c>
      <c r="Q1577" s="13" t="str">
        <f t="shared" si="98"/>
        <v/>
      </c>
      <c r="R1577" s="13" t="str">
        <f t="shared" si="99"/>
        <v>Non diskon</v>
      </c>
    </row>
    <row r="1578" spans="1:18" x14ac:dyDescent="0.25">
      <c r="A1578" s="13" t="s">
        <v>1590</v>
      </c>
      <c r="B1578" s="13" t="s">
        <v>2190</v>
      </c>
      <c r="C1578" s="13" t="s">
        <v>2199</v>
      </c>
      <c r="D1578" s="13" t="s">
        <v>2207</v>
      </c>
      <c r="E1578" s="13" t="s">
        <v>2209</v>
      </c>
      <c r="F1578" s="13" t="s">
        <v>2222</v>
      </c>
      <c r="G1578" s="13">
        <v>215.82</v>
      </c>
      <c r="H1578" s="44">
        <v>16.5</v>
      </c>
      <c r="I1578" s="13">
        <v>180.21</v>
      </c>
      <c r="J1578" s="24">
        <v>45875</v>
      </c>
      <c r="K1578" s="25">
        <v>9</v>
      </c>
      <c r="L1578" s="25">
        <v>2.4</v>
      </c>
      <c r="M1578" s="13" t="b">
        <v>0</v>
      </c>
      <c r="O1578" s="25">
        <f t="shared" si="96"/>
        <v>27</v>
      </c>
      <c r="P1578" s="13">
        <f t="shared" si="97"/>
        <v>148.5</v>
      </c>
      <c r="Q1578" s="13" t="str">
        <f t="shared" si="98"/>
        <v/>
      </c>
      <c r="R1578" s="13" t="str">
        <f t="shared" si="99"/>
        <v>Diskon</v>
      </c>
    </row>
    <row r="1579" spans="1:18" x14ac:dyDescent="0.25">
      <c r="A1579" s="13" t="s">
        <v>1591</v>
      </c>
      <c r="B1579" s="13" t="s">
        <v>2190</v>
      </c>
      <c r="C1579" s="13" t="s">
        <v>2202</v>
      </c>
      <c r="D1579" s="13" t="s">
        <v>2207</v>
      </c>
      <c r="E1579" s="13" t="s">
        <v>2212</v>
      </c>
      <c r="F1579" s="13" t="s">
        <v>2219</v>
      </c>
      <c r="G1579" s="13">
        <v>82.91</v>
      </c>
      <c r="H1579" s="44">
        <v>0.7</v>
      </c>
      <c r="I1579" s="13">
        <v>82.33</v>
      </c>
      <c r="J1579" s="24">
        <v>45875</v>
      </c>
      <c r="K1579" s="25">
        <v>24</v>
      </c>
      <c r="L1579" s="25">
        <v>2.9034482758620692</v>
      </c>
      <c r="M1579" s="13" t="b">
        <v>1</v>
      </c>
      <c r="N1579" s="13" t="s">
        <v>2227</v>
      </c>
      <c r="O1579" s="25">
        <f t="shared" si="96"/>
        <v>27</v>
      </c>
      <c r="P1579" s="13">
        <f t="shared" si="97"/>
        <v>16.799999999999997</v>
      </c>
      <c r="Q1579" s="13">
        <f t="shared" si="98"/>
        <v>1</v>
      </c>
      <c r="R1579" s="13" t="str">
        <f t="shared" si="99"/>
        <v>Diskon</v>
      </c>
    </row>
    <row r="1580" spans="1:18" x14ac:dyDescent="0.25">
      <c r="A1580" s="13" t="s">
        <v>1592</v>
      </c>
      <c r="B1580" s="13" t="s">
        <v>2191</v>
      </c>
      <c r="C1580" s="13" t="s">
        <v>2202</v>
      </c>
      <c r="D1580" s="13" t="s">
        <v>2205</v>
      </c>
      <c r="E1580" s="13" t="s">
        <v>2208</v>
      </c>
      <c r="F1580" s="13" t="s">
        <v>2223</v>
      </c>
      <c r="G1580" s="13">
        <v>33.46</v>
      </c>
      <c r="H1580" s="44">
        <v>0</v>
      </c>
      <c r="I1580" s="13">
        <v>33.46</v>
      </c>
      <c r="J1580" s="24">
        <v>45875</v>
      </c>
      <c r="K1580" s="25">
        <v>36</v>
      </c>
      <c r="L1580" s="25">
        <v>3.6</v>
      </c>
      <c r="M1580" s="13" t="b">
        <v>0</v>
      </c>
      <c r="O1580" s="25">
        <f t="shared" si="96"/>
        <v>27</v>
      </c>
      <c r="P1580" s="13">
        <f t="shared" si="97"/>
        <v>0</v>
      </c>
      <c r="Q1580" s="13" t="str">
        <f t="shared" si="98"/>
        <v/>
      </c>
      <c r="R1580" s="13" t="str">
        <f t="shared" si="99"/>
        <v>Non diskon</v>
      </c>
    </row>
    <row r="1581" spans="1:18" x14ac:dyDescent="0.25">
      <c r="A1581" s="13" t="s">
        <v>1593</v>
      </c>
      <c r="B1581" s="13" t="s">
        <v>2194</v>
      </c>
      <c r="C1581" s="13" t="s">
        <v>2198</v>
      </c>
      <c r="D1581" s="13" t="s">
        <v>2204</v>
      </c>
      <c r="E1581" s="13" t="s">
        <v>2209</v>
      </c>
      <c r="F1581" s="13" t="s">
        <v>2218</v>
      </c>
      <c r="G1581" s="13">
        <v>37.21</v>
      </c>
      <c r="H1581" s="44">
        <v>53.9</v>
      </c>
      <c r="I1581" s="13">
        <v>17.149999999999999</v>
      </c>
      <c r="J1581" s="24">
        <v>45835</v>
      </c>
      <c r="K1581" s="25">
        <v>48</v>
      </c>
      <c r="L1581" s="25">
        <v>3.8</v>
      </c>
      <c r="M1581" s="13" t="b">
        <v>0</v>
      </c>
      <c r="O1581" s="25">
        <f t="shared" si="96"/>
        <v>67</v>
      </c>
      <c r="P1581" s="13">
        <f t="shared" si="97"/>
        <v>2587.1999999999998</v>
      </c>
      <c r="Q1581" s="13" t="str">
        <f t="shared" si="98"/>
        <v/>
      </c>
      <c r="R1581" s="13" t="str">
        <f t="shared" si="99"/>
        <v>Diskon</v>
      </c>
    </row>
    <row r="1582" spans="1:18" x14ac:dyDescent="0.25">
      <c r="A1582" s="13" t="s">
        <v>1594</v>
      </c>
      <c r="B1582" s="13" t="s">
        <v>2194</v>
      </c>
      <c r="C1582" s="13" t="s">
        <v>2199</v>
      </c>
      <c r="D1582" s="13" t="s">
        <v>2205</v>
      </c>
      <c r="F1582" s="13" t="s">
        <v>2214</v>
      </c>
      <c r="G1582" s="13">
        <v>76.86</v>
      </c>
      <c r="H1582" s="44">
        <v>48.9</v>
      </c>
      <c r="I1582" s="13">
        <v>39.28</v>
      </c>
      <c r="J1582" s="24">
        <v>45875</v>
      </c>
      <c r="K1582" s="25">
        <v>5</v>
      </c>
      <c r="L1582" s="25">
        <v>1.2</v>
      </c>
      <c r="M1582" s="13" t="b">
        <v>0</v>
      </c>
      <c r="O1582" s="25">
        <f t="shared" si="96"/>
        <v>27</v>
      </c>
      <c r="P1582" s="13">
        <f t="shared" si="97"/>
        <v>244.5</v>
      </c>
      <c r="Q1582" s="13" t="str">
        <f t="shared" si="98"/>
        <v/>
      </c>
      <c r="R1582" s="13" t="str">
        <f t="shared" si="99"/>
        <v>Diskon</v>
      </c>
    </row>
    <row r="1583" spans="1:18" x14ac:dyDescent="0.25">
      <c r="A1583" s="13" t="s">
        <v>1595</v>
      </c>
      <c r="B1583" s="13" t="s">
        <v>2190</v>
      </c>
      <c r="C1583" s="13" t="s">
        <v>2200</v>
      </c>
      <c r="D1583" s="13" t="s">
        <v>2205</v>
      </c>
      <c r="E1583" s="13" t="s">
        <v>2210</v>
      </c>
      <c r="F1583" s="13" t="s">
        <v>2221</v>
      </c>
      <c r="G1583" s="13">
        <v>208.57</v>
      </c>
      <c r="H1583" s="44">
        <v>0</v>
      </c>
      <c r="I1583" s="13">
        <v>208.57</v>
      </c>
      <c r="J1583" s="24">
        <v>45875</v>
      </c>
      <c r="K1583" s="25">
        <v>24</v>
      </c>
      <c r="L1583" s="25">
        <v>3.6</v>
      </c>
      <c r="M1583" s="13" t="b">
        <v>0</v>
      </c>
      <c r="O1583" s="25">
        <f t="shared" si="96"/>
        <v>27</v>
      </c>
      <c r="P1583" s="13">
        <f t="shared" si="97"/>
        <v>0</v>
      </c>
      <c r="Q1583" s="13" t="str">
        <f t="shared" si="98"/>
        <v/>
      </c>
      <c r="R1583" s="13" t="str">
        <f t="shared" si="99"/>
        <v>Non diskon</v>
      </c>
    </row>
    <row r="1584" spans="1:18" x14ac:dyDescent="0.25">
      <c r="A1584" s="13" t="s">
        <v>1596</v>
      </c>
      <c r="B1584" s="13" t="s">
        <v>2195</v>
      </c>
      <c r="C1584" s="13" t="s">
        <v>2202</v>
      </c>
      <c r="D1584" s="13" t="s">
        <v>2204</v>
      </c>
      <c r="E1584" s="13" t="s">
        <v>2208</v>
      </c>
      <c r="F1584" s="13" t="s">
        <v>2214</v>
      </c>
      <c r="G1584" s="13">
        <v>131.69999999999999</v>
      </c>
      <c r="H1584" s="44">
        <v>15.8</v>
      </c>
      <c r="I1584" s="13">
        <v>110.89</v>
      </c>
      <c r="J1584" s="24">
        <v>45516</v>
      </c>
      <c r="K1584" s="25">
        <v>49</v>
      </c>
      <c r="L1584" s="25">
        <v>1.4</v>
      </c>
      <c r="M1584" s="13" t="b">
        <v>1</v>
      </c>
      <c r="N1584" s="13" t="s">
        <v>2227</v>
      </c>
      <c r="O1584" s="25">
        <f t="shared" si="96"/>
        <v>386</v>
      </c>
      <c r="P1584" s="13">
        <f t="shared" si="97"/>
        <v>774.2</v>
      </c>
      <c r="Q1584" s="13">
        <f t="shared" si="98"/>
        <v>1</v>
      </c>
      <c r="R1584" s="13" t="str">
        <f t="shared" si="99"/>
        <v>Diskon</v>
      </c>
    </row>
    <row r="1585" spans="1:18" x14ac:dyDescent="0.25">
      <c r="A1585" s="13" t="s">
        <v>1597</v>
      </c>
      <c r="B1585" s="13" t="s">
        <v>2194</v>
      </c>
      <c r="C1585" s="13" t="s">
        <v>2199</v>
      </c>
      <c r="D1585" s="13" t="s">
        <v>2207</v>
      </c>
      <c r="E1585" s="13" t="s">
        <v>2211</v>
      </c>
      <c r="F1585" s="13" t="s">
        <v>2219</v>
      </c>
      <c r="G1585" s="13">
        <v>117.21</v>
      </c>
      <c r="H1585" s="44">
        <v>0</v>
      </c>
      <c r="I1585" s="13">
        <v>117.21</v>
      </c>
      <c r="J1585" s="24">
        <v>45875</v>
      </c>
      <c r="K1585" s="25">
        <v>14</v>
      </c>
      <c r="L1585" s="25">
        <v>3.2</v>
      </c>
      <c r="M1585" s="13" t="b">
        <v>0</v>
      </c>
      <c r="O1585" s="25">
        <f t="shared" si="96"/>
        <v>27</v>
      </c>
      <c r="P1585" s="13">
        <f t="shared" si="97"/>
        <v>0</v>
      </c>
      <c r="Q1585" s="13" t="str">
        <f t="shared" si="98"/>
        <v/>
      </c>
      <c r="R1585" s="13" t="str">
        <f t="shared" si="99"/>
        <v>Non diskon</v>
      </c>
    </row>
    <row r="1586" spans="1:18" x14ac:dyDescent="0.25">
      <c r="A1586" s="13" t="s">
        <v>1598</v>
      </c>
      <c r="B1586" s="13" t="s">
        <v>2192</v>
      </c>
      <c r="C1586" s="13" t="s">
        <v>2199</v>
      </c>
      <c r="D1586" s="13" t="s">
        <v>2207</v>
      </c>
      <c r="F1586" s="13" t="s">
        <v>2220</v>
      </c>
      <c r="G1586" s="13">
        <v>23.01</v>
      </c>
      <c r="H1586" s="44">
        <v>48.8</v>
      </c>
      <c r="I1586" s="13">
        <v>11.78</v>
      </c>
      <c r="J1586" s="24">
        <v>45875</v>
      </c>
      <c r="K1586" s="25">
        <v>13</v>
      </c>
      <c r="L1586" s="25">
        <v>3.6</v>
      </c>
      <c r="M1586" s="13" t="b">
        <v>0</v>
      </c>
      <c r="O1586" s="25">
        <f t="shared" si="96"/>
        <v>27</v>
      </c>
      <c r="P1586" s="13">
        <f t="shared" si="97"/>
        <v>634.4</v>
      </c>
      <c r="Q1586" s="13" t="str">
        <f t="shared" si="98"/>
        <v/>
      </c>
      <c r="R1586" s="13" t="str">
        <f t="shared" si="99"/>
        <v>Diskon</v>
      </c>
    </row>
    <row r="1587" spans="1:18" x14ac:dyDescent="0.25">
      <c r="A1587" s="13" t="s">
        <v>1599</v>
      </c>
      <c r="B1587" s="13" t="s">
        <v>2192</v>
      </c>
      <c r="C1587" s="13" t="s">
        <v>2203</v>
      </c>
      <c r="D1587" s="13" t="s">
        <v>2207</v>
      </c>
      <c r="F1587" s="13" t="s">
        <v>2214</v>
      </c>
      <c r="G1587" s="13">
        <v>47.6</v>
      </c>
      <c r="H1587" s="44">
        <v>0</v>
      </c>
      <c r="I1587" s="13">
        <v>47.6</v>
      </c>
      <c r="J1587" s="24">
        <v>45875</v>
      </c>
      <c r="K1587" s="25">
        <v>24</v>
      </c>
      <c r="L1587" s="25">
        <v>4.4000000000000004</v>
      </c>
      <c r="M1587" s="13" t="b">
        <v>1</v>
      </c>
      <c r="N1587" s="13" t="s">
        <v>2230</v>
      </c>
      <c r="O1587" s="25">
        <f t="shared" si="96"/>
        <v>27</v>
      </c>
      <c r="P1587" s="13">
        <f t="shared" si="97"/>
        <v>0</v>
      </c>
      <c r="Q1587" s="13">
        <f t="shared" si="98"/>
        <v>1</v>
      </c>
      <c r="R1587" s="13" t="str">
        <f t="shared" si="99"/>
        <v>Non diskon</v>
      </c>
    </row>
    <row r="1588" spans="1:18" x14ac:dyDescent="0.25">
      <c r="A1588" s="13" t="s">
        <v>1600</v>
      </c>
      <c r="B1588" s="13" t="s">
        <v>2194</v>
      </c>
      <c r="C1588" s="13" t="s">
        <v>2196</v>
      </c>
      <c r="D1588" s="13" t="s">
        <v>2206</v>
      </c>
      <c r="E1588" s="13" t="s">
        <v>2209</v>
      </c>
      <c r="F1588" s="13" t="s">
        <v>2215</v>
      </c>
      <c r="G1588" s="13">
        <v>33.22</v>
      </c>
      <c r="H1588" s="44">
        <v>38.4</v>
      </c>
      <c r="I1588" s="13">
        <v>20.46</v>
      </c>
      <c r="J1588" s="24">
        <v>45875</v>
      </c>
      <c r="K1588" s="25">
        <v>11</v>
      </c>
      <c r="L1588" s="25">
        <v>2.9</v>
      </c>
      <c r="M1588" s="13" t="b">
        <v>0</v>
      </c>
      <c r="O1588" s="25">
        <f t="shared" si="96"/>
        <v>27</v>
      </c>
      <c r="P1588" s="13">
        <f t="shared" si="97"/>
        <v>422.4</v>
      </c>
      <c r="Q1588" s="13" t="str">
        <f t="shared" si="98"/>
        <v/>
      </c>
      <c r="R1588" s="13" t="str">
        <f t="shared" si="99"/>
        <v>Diskon</v>
      </c>
    </row>
    <row r="1589" spans="1:18" x14ac:dyDescent="0.25">
      <c r="A1589" s="13" t="s">
        <v>1601</v>
      </c>
      <c r="B1589" s="13" t="s">
        <v>2192</v>
      </c>
      <c r="C1589" s="13" t="s">
        <v>2197</v>
      </c>
      <c r="D1589" s="13" t="s">
        <v>2205</v>
      </c>
      <c r="F1589" s="13" t="s">
        <v>2222</v>
      </c>
      <c r="G1589" s="13">
        <v>65.97</v>
      </c>
      <c r="H1589" s="44">
        <v>6.8</v>
      </c>
      <c r="I1589" s="13">
        <v>61.48</v>
      </c>
      <c r="J1589" s="24">
        <v>45875</v>
      </c>
      <c r="K1589" s="25">
        <v>41</v>
      </c>
      <c r="L1589" s="25">
        <v>4.3</v>
      </c>
      <c r="M1589" s="13" t="b">
        <v>0</v>
      </c>
      <c r="O1589" s="25">
        <f t="shared" si="96"/>
        <v>27</v>
      </c>
      <c r="P1589" s="13">
        <f t="shared" si="97"/>
        <v>278.8</v>
      </c>
      <c r="Q1589" s="13" t="str">
        <f t="shared" si="98"/>
        <v/>
      </c>
      <c r="R1589" s="13" t="str">
        <f t="shared" si="99"/>
        <v>Diskon</v>
      </c>
    </row>
    <row r="1590" spans="1:18" x14ac:dyDescent="0.25">
      <c r="A1590" s="13" t="s">
        <v>1602</v>
      </c>
      <c r="B1590" s="13" t="s">
        <v>2191</v>
      </c>
      <c r="C1590" s="13" t="s">
        <v>2200</v>
      </c>
      <c r="D1590" s="13" t="s">
        <v>2204</v>
      </c>
      <c r="E1590" s="13" t="s">
        <v>2209</v>
      </c>
      <c r="F1590" s="13" t="s">
        <v>2220</v>
      </c>
      <c r="G1590" s="13">
        <v>47.25</v>
      </c>
      <c r="H1590" s="44">
        <v>29</v>
      </c>
      <c r="I1590" s="13">
        <v>33.549999999999997</v>
      </c>
      <c r="J1590" s="24">
        <v>45828</v>
      </c>
      <c r="K1590" s="25">
        <v>38</v>
      </c>
      <c r="L1590" s="25">
        <v>5</v>
      </c>
      <c r="M1590" s="13" t="b">
        <v>0</v>
      </c>
      <c r="O1590" s="25">
        <f t="shared" si="96"/>
        <v>74</v>
      </c>
      <c r="P1590" s="13">
        <f t="shared" si="97"/>
        <v>1102</v>
      </c>
      <c r="Q1590" s="13" t="str">
        <f t="shared" si="98"/>
        <v/>
      </c>
      <c r="R1590" s="13" t="str">
        <f t="shared" si="99"/>
        <v>Diskon</v>
      </c>
    </row>
    <row r="1591" spans="1:18" x14ac:dyDescent="0.25">
      <c r="A1591" s="13" t="s">
        <v>1603</v>
      </c>
      <c r="B1591" s="13" t="s">
        <v>2191</v>
      </c>
      <c r="C1591" s="13" t="s">
        <v>2203</v>
      </c>
      <c r="D1591" s="13" t="s">
        <v>2204</v>
      </c>
      <c r="E1591" s="13" t="s">
        <v>2212</v>
      </c>
      <c r="F1591" s="13" t="s">
        <v>2220</v>
      </c>
      <c r="G1591" s="13">
        <v>93.74</v>
      </c>
      <c r="H1591" s="44">
        <v>0</v>
      </c>
      <c r="I1591" s="13">
        <v>93.74</v>
      </c>
      <c r="J1591" s="24">
        <v>45653</v>
      </c>
      <c r="K1591" s="25">
        <v>39</v>
      </c>
      <c r="L1591" s="25">
        <v>4</v>
      </c>
      <c r="M1591" s="13" t="b">
        <v>0</v>
      </c>
      <c r="O1591" s="25">
        <f t="shared" si="96"/>
        <v>249</v>
      </c>
      <c r="P1591" s="13">
        <f t="shared" si="97"/>
        <v>0</v>
      </c>
      <c r="Q1591" s="13" t="str">
        <f t="shared" si="98"/>
        <v/>
      </c>
      <c r="R1591" s="13" t="str">
        <f t="shared" si="99"/>
        <v>Non diskon</v>
      </c>
    </row>
    <row r="1592" spans="1:18" x14ac:dyDescent="0.25">
      <c r="A1592" s="13" t="s">
        <v>1604</v>
      </c>
      <c r="B1592" s="13" t="s">
        <v>2194</v>
      </c>
      <c r="C1592" s="13" t="s">
        <v>2203</v>
      </c>
      <c r="D1592" s="13" t="s">
        <v>2207</v>
      </c>
      <c r="E1592" s="13" t="s">
        <v>2211</v>
      </c>
      <c r="F1592" s="13" t="s">
        <v>2217</v>
      </c>
      <c r="G1592" s="13">
        <v>31.57</v>
      </c>
      <c r="H1592" s="44">
        <v>0</v>
      </c>
      <c r="I1592" s="13">
        <v>31.57</v>
      </c>
      <c r="J1592" s="24">
        <v>45875</v>
      </c>
      <c r="K1592" s="25">
        <v>2</v>
      </c>
      <c r="L1592" s="25">
        <v>3.1021739130434773</v>
      </c>
      <c r="M1592" s="13" t="b">
        <v>0</v>
      </c>
      <c r="O1592" s="25">
        <f t="shared" si="96"/>
        <v>27</v>
      </c>
      <c r="P1592" s="13">
        <f t="shared" si="97"/>
        <v>0</v>
      </c>
      <c r="Q1592" s="13" t="str">
        <f t="shared" si="98"/>
        <v/>
      </c>
      <c r="R1592" s="13" t="str">
        <f t="shared" si="99"/>
        <v>Non diskon</v>
      </c>
    </row>
    <row r="1593" spans="1:18" x14ac:dyDescent="0.25">
      <c r="A1593" s="13" t="s">
        <v>1605</v>
      </c>
      <c r="B1593" s="13" t="s">
        <v>2194</v>
      </c>
      <c r="C1593" s="13" t="s">
        <v>2198</v>
      </c>
      <c r="D1593" s="13" t="s">
        <v>2205</v>
      </c>
      <c r="E1593" s="13" t="s">
        <v>2211</v>
      </c>
      <c r="F1593" s="13" t="s">
        <v>2224</v>
      </c>
      <c r="G1593" s="13">
        <v>64.209999999999994</v>
      </c>
      <c r="H1593" s="44">
        <v>0</v>
      </c>
      <c r="I1593" s="13">
        <v>64.209999999999994</v>
      </c>
      <c r="J1593" s="24">
        <v>45875</v>
      </c>
      <c r="K1593" s="25">
        <v>3</v>
      </c>
      <c r="L1593" s="25">
        <v>2.8</v>
      </c>
      <c r="M1593" s="13" t="b">
        <v>0</v>
      </c>
      <c r="O1593" s="25">
        <f t="shared" si="96"/>
        <v>27</v>
      </c>
      <c r="P1593" s="13">
        <f t="shared" si="97"/>
        <v>0</v>
      </c>
      <c r="Q1593" s="13" t="str">
        <f t="shared" si="98"/>
        <v/>
      </c>
      <c r="R1593" s="13" t="str">
        <f t="shared" si="99"/>
        <v>Non diskon</v>
      </c>
    </row>
    <row r="1594" spans="1:18" x14ac:dyDescent="0.25">
      <c r="A1594" s="13" t="s">
        <v>1606</v>
      </c>
      <c r="B1594" s="13" t="s">
        <v>2192</v>
      </c>
      <c r="C1594" s="13" t="s">
        <v>2198</v>
      </c>
      <c r="D1594" s="13" t="s">
        <v>2205</v>
      </c>
      <c r="F1594" s="13" t="s">
        <v>2220</v>
      </c>
      <c r="G1594" s="13">
        <v>56.13</v>
      </c>
      <c r="H1594" s="44">
        <v>8.1</v>
      </c>
      <c r="I1594" s="13">
        <v>51.58</v>
      </c>
      <c r="J1594" s="24">
        <v>45875</v>
      </c>
      <c r="K1594" s="25">
        <v>12</v>
      </c>
      <c r="L1594" s="25">
        <v>3.8</v>
      </c>
      <c r="M1594" s="13" t="b">
        <v>0</v>
      </c>
      <c r="O1594" s="25">
        <f t="shared" si="96"/>
        <v>27</v>
      </c>
      <c r="P1594" s="13">
        <f t="shared" si="97"/>
        <v>97.199999999999989</v>
      </c>
      <c r="Q1594" s="13" t="str">
        <f t="shared" si="98"/>
        <v/>
      </c>
      <c r="R1594" s="13" t="str">
        <f t="shared" si="99"/>
        <v>Diskon</v>
      </c>
    </row>
    <row r="1595" spans="1:18" x14ac:dyDescent="0.25">
      <c r="A1595" s="13" t="s">
        <v>1607</v>
      </c>
      <c r="B1595" s="13" t="s">
        <v>2191</v>
      </c>
      <c r="C1595" s="13" t="s">
        <v>2197</v>
      </c>
      <c r="D1595" s="13" t="s">
        <v>2207</v>
      </c>
      <c r="E1595" s="13" t="s">
        <v>2211</v>
      </c>
      <c r="F1595" s="13" t="s">
        <v>2221</v>
      </c>
      <c r="G1595" s="13">
        <v>70.89</v>
      </c>
      <c r="H1595" s="44">
        <v>0</v>
      </c>
      <c r="I1595" s="13">
        <v>70.89</v>
      </c>
      <c r="J1595" s="24">
        <v>45875</v>
      </c>
      <c r="K1595" s="25">
        <v>14</v>
      </c>
      <c r="L1595" s="25">
        <v>4.7</v>
      </c>
      <c r="M1595" s="13" t="b">
        <v>1</v>
      </c>
      <c r="N1595" s="13" t="s">
        <v>2226</v>
      </c>
      <c r="O1595" s="25">
        <f t="shared" si="96"/>
        <v>27</v>
      </c>
      <c r="P1595" s="13">
        <f t="shared" si="97"/>
        <v>0</v>
      </c>
      <c r="Q1595" s="13">
        <f t="shared" si="98"/>
        <v>1</v>
      </c>
      <c r="R1595" s="13" t="str">
        <f t="shared" si="99"/>
        <v>Non diskon</v>
      </c>
    </row>
    <row r="1596" spans="1:18" x14ac:dyDescent="0.25">
      <c r="A1596" s="13" t="s">
        <v>1608</v>
      </c>
      <c r="B1596" s="13" t="s">
        <v>2193</v>
      </c>
      <c r="C1596" s="13" t="s">
        <v>2198</v>
      </c>
      <c r="D1596" s="13" t="s">
        <v>2205</v>
      </c>
      <c r="E1596" s="13" t="s">
        <v>2213</v>
      </c>
      <c r="F1596" s="13" t="s">
        <v>2223</v>
      </c>
      <c r="G1596" s="13">
        <v>149.65</v>
      </c>
      <c r="H1596" s="44">
        <v>0</v>
      </c>
      <c r="I1596" s="13">
        <v>149.65</v>
      </c>
      <c r="J1596" s="24">
        <v>45875</v>
      </c>
      <c r="K1596" s="25">
        <v>26</v>
      </c>
      <c r="L1596" s="25">
        <v>3.8</v>
      </c>
      <c r="M1596" s="13" t="b">
        <v>0</v>
      </c>
      <c r="O1596" s="25">
        <f t="shared" si="96"/>
        <v>27</v>
      </c>
      <c r="P1596" s="13">
        <f t="shared" si="97"/>
        <v>0</v>
      </c>
      <c r="Q1596" s="13" t="str">
        <f t="shared" si="98"/>
        <v/>
      </c>
      <c r="R1596" s="13" t="str">
        <f t="shared" si="99"/>
        <v>Non diskon</v>
      </c>
    </row>
    <row r="1597" spans="1:18" x14ac:dyDescent="0.25">
      <c r="A1597" s="13" t="s">
        <v>1609</v>
      </c>
      <c r="B1597" s="13" t="s">
        <v>2193</v>
      </c>
      <c r="C1597" s="13" t="s">
        <v>2196</v>
      </c>
      <c r="D1597" s="13" t="s">
        <v>2204</v>
      </c>
      <c r="E1597" s="13" t="s">
        <v>2210</v>
      </c>
      <c r="F1597" s="13" t="s">
        <v>2217</v>
      </c>
      <c r="G1597" s="13">
        <v>83.17</v>
      </c>
      <c r="H1597" s="44">
        <v>0</v>
      </c>
      <c r="I1597" s="13">
        <v>83.17</v>
      </c>
      <c r="J1597" s="24">
        <v>45538</v>
      </c>
      <c r="K1597" s="25">
        <v>48</v>
      </c>
      <c r="L1597" s="25">
        <v>3.2</v>
      </c>
      <c r="M1597" s="13" t="b">
        <v>0</v>
      </c>
      <c r="O1597" s="25">
        <f t="shared" si="96"/>
        <v>364</v>
      </c>
      <c r="P1597" s="13">
        <f t="shared" si="97"/>
        <v>0</v>
      </c>
      <c r="Q1597" s="13" t="str">
        <f t="shared" si="98"/>
        <v/>
      </c>
      <c r="R1597" s="13" t="str">
        <f t="shared" si="99"/>
        <v>Non diskon</v>
      </c>
    </row>
    <row r="1598" spans="1:18" x14ac:dyDescent="0.25">
      <c r="A1598" s="13" t="s">
        <v>1610</v>
      </c>
      <c r="B1598" s="13" t="s">
        <v>2190</v>
      </c>
      <c r="C1598" s="13" t="s">
        <v>2200</v>
      </c>
      <c r="D1598" s="13" t="s">
        <v>2206</v>
      </c>
      <c r="E1598" s="13" t="s">
        <v>2208</v>
      </c>
      <c r="F1598" s="13" t="s">
        <v>2219</v>
      </c>
      <c r="G1598" s="13">
        <v>121.56</v>
      </c>
      <c r="H1598" s="44">
        <v>0</v>
      </c>
      <c r="I1598" s="13">
        <v>121.56</v>
      </c>
      <c r="J1598" s="24">
        <v>45875</v>
      </c>
      <c r="K1598" s="25">
        <v>18</v>
      </c>
      <c r="L1598" s="25">
        <v>3.3</v>
      </c>
      <c r="M1598" s="13" t="b">
        <v>0</v>
      </c>
      <c r="O1598" s="25">
        <f t="shared" si="96"/>
        <v>27</v>
      </c>
      <c r="P1598" s="13">
        <f t="shared" si="97"/>
        <v>0</v>
      </c>
      <c r="Q1598" s="13" t="str">
        <f t="shared" si="98"/>
        <v/>
      </c>
      <c r="R1598" s="13" t="str">
        <f t="shared" si="99"/>
        <v>Non diskon</v>
      </c>
    </row>
    <row r="1599" spans="1:18" x14ac:dyDescent="0.25">
      <c r="A1599" s="13" t="s">
        <v>1611</v>
      </c>
      <c r="B1599" s="13" t="s">
        <v>2194</v>
      </c>
      <c r="C1599" s="13" t="s">
        <v>2196</v>
      </c>
      <c r="D1599" s="13" t="s">
        <v>2205</v>
      </c>
      <c r="E1599" s="13" t="s">
        <v>2213</v>
      </c>
      <c r="F1599" s="13" t="s">
        <v>2223</v>
      </c>
      <c r="G1599" s="13">
        <v>48.62</v>
      </c>
      <c r="H1599" s="44">
        <v>0</v>
      </c>
      <c r="I1599" s="13">
        <v>48.62</v>
      </c>
      <c r="J1599" s="24">
        <v>45875</v>
      </c>
      <c r="K1599" s="25">
        <v>3</v>
      </c>
      <c r="L1599" s="25">
        <v>2.9210526315789478</v>
      </c>
      <c r="M1599" s="13" t="b">
        <v>1</v>
      </c>
      <c r="N1599" s="13" t="s">
        <v>2227</v>
      </c>
      <c r="O1599" s="25">
        <f t="shared" si="96"/>
        <v>27</v>
      </c>
      <c r="P1599" s="13">
        <f t="shared" si="97"/>
        <v>0</v>
      </c>
      <c r="Q1599" s="13">
        <f t="shared" si="98"/>
        <v>1</v>
      </c>
      <c r="R1599" s="13" t="str">
        <f t="shared" si="99"/>
        <v>Non diskon</v>
      </c>
    </row>
    <row r="1600" spans="1:18" x14ac:dyDescent="0.25">
      <c r="A1600" s="13" t="s">
        <v>1612</v>
      </c>
      <c r="B1600" s="13" t="s">
        <v>2195</v>
      </c>
      <c r="C1600" s="13" t="s">
        <v>2201</v>
      </c>
      <c r="D1600" s="13" t="s">
        <v>2205</v>
      </c>
      <c r="E1600" s="13" t="s">
        <v>2213</v>
      </c>
      <c r="F1600" s="13" t="s">
        <v>2219</v>
      </c>
      <c r="G1600" s="13">
        <v>79.040000000000006</v>
      </c>
      <c r="H1600" s="44">
        <v>0</v>
      </c>
      <c r="I1600" s="13">
        <v>79.040000000000006</v>
      </c>
      <c r="J1600" s="24">
        <v>45875</v>
      </c>
      <c r="K1600" s="25">
        <v>4</v>
      </c>
      <c r="L1600" s="25">
        <v>4.0999999999999996</v>
      </c>
      <c r="M1600" s="13" t="b">
        <v>0</v>
      </c>
      <c r="O1600" s="25">
        <f t="shared" si="96"/>
        <v>27</v>
      </c>
      <c r="P1600" s="13">
        <f t="shared" si="97"/>
        <v>0</v>
      </c>
      <c r="Q1600" s="13" t="str">
        <f t="shared" si="98"/>
        <v/>
      </c>
      <c r="R1600" s="13" t="str">
        <f t="shared" si="99"/>
        <v>Non diskon</v>
      </c>
    </row>
    <row r="1601" spans="1:18" x14ac:dyDescent="0.25">
      <c r="A1601" s="13" t="s">
        <v>1613</v>
      </c>
      <c r="B1601" s="13" t="s">
        <v>2190</v>
      </c>
      <c r="C1601" s="13" t="s">
        <v>2199</v>
      </c>
      <c r="D1601" s="13" t="s">
        <v>2204</v>
      </c>
      <c r="E1601" s="13" t="s">
        <v>2212</v>
      </c>
      <c r="F1601" s="13" t="s">
        <v>2218</v>
      </c>
      <c r="G1601" s="13">
        <v>198.58</v>
      </c>
      <c r="H1601" s="44">
        <v>0</v>
      </c>
      <c r="I1601" s="13">
        <v>198.58</v>
      </c>
      <c r="J1601" s="24">
        <v>45681</v>
      </c>
      <c r="K1601" s="25">
        <v>46</v>
      </c>
      <c r="L1601" s="25">
        <v>2.4137931034482762</v>
      </c>
      <c r="M1601" s="13" t="b">
        <v>0</v>
      </c>
      <c r="O1601" s="25">
        <f t="shared" si="96"/>
        <v>221</v>
      </c>
      <c r="P1601" s="13">
        <f t="shared" si="97"/>
        <v>0</v>
      </c>
      <c r="Q1601" s="13" t="str">
        <f t="shared" si="98"/>
        <v/>
      </c>
      <c r="R1601" s="13" t="str">
        <f t="shared" si="99"/>
        <v>Non diskon</v>
      </c>
    </row>
    <row r="1602" spans="1:18" x14ac:dyDescent="0.25">
      <c r="A1602" s="13" t="s">
        <v>1614</v>
      </c>
      <c r="B1602" s="13" t="s">
        <v>2190</v>
      </c>
      <c r="C1602" s="13" t="s">
        <v>2198</v>
      </c>
      <c r="D1602" s="13" t="s">
        <v>2207</v>
      </c>
      <c r="E1602" s="13" t="s">
        <v>2213</v>
      </c>
      <c r="F1602" s="13" t="s">
        <v>2220</v>
      </c>
      <c r="G1602" s="13">
        <v>109.82</v>
      </c>
      <c r="H1602" s="44">
        <v>0</v>
      </c>
      <c r="I1602" s="13">
        <v>109.82</v>
      </c>
      <c r="J1602" s="24">
        <v>45875</v>
      </c>
      <c r="K1602" s="25">
        <v>32</v>
      </c>
      <c r="L1602" s="25">
        <v>2.2999999999999998</v>
      </c>
      <c r="M1602" s="13" t="b">
        <v>0</v>
      </c>
      <c r="O1602" s="25">
        <f t="shared" si="96"/>
        <v>27</v>
      </c>
      <c r="P1602" s="13">
        <f t="shared" si="97"/>
        <v>0</v>
      </c>
      <c r="Q1602" s="13" t="str">
        <f t="shared" si="98"/>
        <v/>
      </c>
      <c r="R1602" s="13" t="str">
        <f t="shared" si="99"/>
        <v>Non diskon</v>
      </c>
    </row>
    <row r="1603" spans="1:18" x14ac:dyDescent="0.25">
      <c r="A1603" s="13" t="s">
        <v>1615</v>
      </c>
      <c r="B1603" s="13" t="s">
        <v>2192</v>
      </c>
      <c r="C1603" s="13" t="s">
        <v>2198</v>
      </c>
      <c r="D1603" s="13" t="s">
        <v>2207</v>
      </c>
      <c r="F1603" s="13" t="s">
        <v>2214</v>
      </c>
      <c r="G1603" s="13">
        <v>34.42</v>
      </c>
      <c r="H1603" s="44">
        <v>49.5</v>
      </c>
      <c r="I1603" s="13">
        <v>17.38</v>
      </c>
      <c r="J1603" s="24">
        <v>45875</v>
      </c>
      <c r="K1603" s="25">
        <v>26</v>
      </c>
      <c r="L1603" s="25">
        <v>2.2000000000000002</v>
      </c>
      <c r="M1603" s="13" t="b">
        <v>0</v>
      </c>
      <c r="O1603" s="25">
        <f t="shared" ref="O1603:O1666" si="100">DATE(2025,9,2)-J1603</f>
        <v>27</v>
      </c>
      <c r="P1603" s="13">
        <f t="shared" ref="P1603:P1666" si="101">H1603*K1603</f>
        <v>1287</v>
      </c>
      <c r="Q1603" s="13" t="str">
        <f t="shared" ref="Q1603:Q1666" si="102">IF(M1603=FALSE,"",1)</f>
        <v/>
      </c>
      <c r="R1603" s="13" t="str">
        <f t="shared" ref="R1603:R1666" si="103">IF(H1603=0,"Non diskon","Diskon")</f>
        <v>Diskon</v>
      </c>
    </row>
    <row r="1604" spans="1:18" x14ac:dyDescent="0.25">
      <c r="A1604" s="13" t="s">
        <v>1616</v>
      </c>
      <c r="B1604" s="13" t="s">
        <v>2193</v>
      </c>
      <c r="C1604" s="13" t="s">
        <v>2196</v>
      </c>
      <c r="D1604" s="13" t="s">
        <v>2205</v>
      </c>
      <c r="F1604" s="13" t="s">
        <v>2218</v>
      </c>
      <c r="G1604" s="13">
        <v>112.1</v>
      </c>
      <c r="H1604" s="44">
        <v>0</v>
      </c>
      <c r="I1604" s="13">
        <v>112.1</v>
      </c>
      <c r="J1604" s="24">
        <v>45875</v>
      </c>
      <c r="K1604" s="25">
        <v>5</v>
      </c>
      <c r="L1604" s="25">
        <v>2</v>
      </c>
      <c r="M1604" s="13" t="b">
        <v>1</v>
      </c>
      <c r="N1604" s="13" t="s">
        <v>2225</v>
      </c>
      <c r="O1604" s="25">
        <f t="shared" si="100"/>
        <v>27</v>
      </c>
      <c r="P1604" s="13">
        <f t="shared" si="101"/>
        <v>0</v>
      </c>
      <c r="Q1604" s="13">
        <f t="shared" si="102"/>
        <v>1</v>
      </c>
      <c r="R1604" s="13" t="str">
        <f t="shared" si="103"/>
        <v>Non diskon</v>
      </c>
    </row>
    <row r="1605" spans="1:18" x14ac:dyDescent="0.25">
      <c r="A1605" s="13" t="s">
        <v>1617</v>
      </c>
      <c r="B1605" s="13" t="s">
        <v>2194</v>
      </c>
      <c r="C1605" s="13" t="s">
        <v>2202</v>
      </c>
      <c r="D1605" s="13" t="s">
        <v>2206</v>
      </c>
      <c r="E1605" s="13" t="s">
        <v>2212</v>
      </c>
      <c r="F1605" s="13" t="s">
        <v>2217</v>
      </c>
      <c r="G1605" s="13">
        <v>25.07</v>
      </c>
      <c r="H1605" s="44">
        <v>0</v>
      </c>
      <c r="I1605" s="13">
        <v>25.07</v>
      </c>
      <c r="J1605" s="24">
        <v>45875</v>
      </c>
      <c r="K1605" s="25">
        <v>9</v>
      </c>
      <c r="L1605" s="25">
        <v>2.5</v>
      </c>
      <c r="M1605" s="13" t="b">
        <v>0</v>
      </c>
      <c r="O1605" s="25">
        <f t="shared" si="100"/>
        <v>27</v>
      </c>
      <c r="P1605" s="13">
        <f t="shared" si="101"/>
        <v>0</v>
      </c>
      <c r="Q1605" s="13" t="str">
        <f t="shared" si="102"/>
        <v/>
      </c>
      <c r="R1605" s="13" t="str">
        <f t="shared" si="103"/>
        <v>Non diskon</v>
      </c>
    </row>
    <row r="1606" spans="1:18" x14ac:dyDescent="0.25">
      <c r="A1606" s="13" t="s">
        <v>1618</v>
      </c>
      <c r="B1606" s="13" t="s">
        <v>2195</v>
      </c>
      <c r="C1606" s="13" t="s">
        <v>2197</v>
      </c>
      <c r="D1606" s="13" t="s">
        <v>2204</v>
      </c>
      <c r="E1606" s="13" t="s">
        <v>2208</v>
      </c>
      <c r="F1606" s="13" t="s">
        <v>2220</v>
      </c>
      <c r="G1606" s="13">
        <v>170.38</v>
      </c>
      <c r="H1606" s="44">
        <v>0</v>
      </c>
      <c r="I1606" s="13">
        <v>170.38</v>
      </c>
      <c r="J1606" s="24">
        <v>45540</v>
      </c>
      <c r="K1606" s="25">
        <v>23</v>
      </c>
      <c r="L1606" s="25">
        <v>4.3</v>
      </c>
      <c r="M1606" s="13" t="b">
        <v>0</v>
      </c>
      <c r="O1606" s="25">
        <f t="shared" si="100"/>
        <v>362</v>
      </c>
      <c r="P1606" s="13">
        <f t="shared" si="101"/>
        <v>0</v>
      </c>
      <c r="Q1606" s="13" t="str">
        <f t="shared" si="102"/>
        <v/>
      </c>
      <c r="R1606" s="13" t="str">
        <f t="shared" si="103"/>
        <v>Non diskon</v>
      </c>
    </row>
    <row r="1607" spans="1:18" x14ac:dyDescent="0.25">
      <c r="A1607" s="13" t="s">
        <v>1619</v>
      </c>
      <c r="B1607" s="13" t="s">
        <v>2195</v>
      </c>
      <c r="C1607" s="13" t="s">
        <v>2199</v>
      </c>
      <c r="D1607" s="13" t="s">
        <v>2205</v>
      </c>
      <c r="E1607" s="13" t="s">
        <v>2211</v>
      </c>
      <c r="F1607" s="13" t="s">
        <v>2220</v>
      </c>
      <c r="G1607" s="13">
        <v>77.319999999999993</v>
      </c>
      <c r="H1607" s="44">
        <v>0</v>
      </c>
      <c r="I1607" s="13">
        <v>77.319999999999993</v>
      </c>
      <c r="J1607" s="24">
        <v>45875</v>
      </c>
      <c r="K1607" s="25">
        <v>30</v>
      </c>
      <c r="L1607" s="25">
        <v>2.2000000000000002</v>
      </c>
      <c r="M1607" s="13" t="b">
        <v>1</v>
      </c>
      <c r="N1607" s="13" t="s">
        <v>2225</v>
      </c>
      <c r="O1607" s="25">
        <f t="shared" si="100"/>
        <v>27</v>
      </c>
      <c r="P1607" s="13">
        <f t="shared" si="101"/>
        <v>0</v>
      </c>
      <c r="Q1607" s="13">
        <f t="shared" si="102"/>
        <v>1</v>
      </c>
      <c r="R1607" s="13" t="str">
        <f t="shared" si="103"/>
        <v>Non diskon</v>
      </c>
    </row>
    <row r="1608" spans="1:18" x14ac:dyDescent="0.25">
      <c r="A1608" s="13" t="s">
        <v>1620</v>
      </c>
      <c r="B1608" s="13" t="s">
        <v>2193</v>
      </c>
      <c r="C1608" s="13" t="s">
        <v>2199</v>
      </c>
      <c r="D1608" s="13" t="s">
        <v>2205</v>
      </c>
      <c r="E1608" s="13" t="s">
        <v>2212</v>
      </c>
      <c r="F1608" s="13" t="s">
        <v>2216</v>
      </c>
      <c r="G1608" s="13">
        <v>111.88</v>
      </c>
      <c r="H1608" s="44">
        <v>0</v>
      </c>
      <c r="I1608" s="13">
        <v>111.88</v>
      </c>
      <c r="J1608" s="24">
        <v>45875</v>
      </c>
      <c r="K1608" s="25">
        <v>17</v>
      </c>
      <c r="L1608" s="25">
        <v>4.5999999999999996</v>
      </c>
      <c r="M1608" s="13" t="b">
        <v>0</v>
      </c>
      <c r="O1608" s="25">
        <f t="shared" si="100"/>
        <v>27</v>
      </c>
      <c r="P1608" s="13">
        <f t="shared" si="101"/>
        <v>0</v>
      </c>
      <c r="Q1608" s="13" t="str">
        <f t="shared" si="102"/>
        <v/>
      </c>
      <c r="R1608" s="13" t="str">
        <f t="shared" si="103"/>
        <v>Non diskon</v>
      </c>
    </row>
    <row r="1609" spans="1:18" x14ac:dyDescent="0.25">
      <c r="A1609" s="13" t="s">
        <v>1621</v>
      </c>
      <c r="B1609" s="13" t="s">
        <v>2192</v>
      </c>
      <c r="C1609" s="13" t="s">
        <v>2203</v>
      </c>
      <c r="D1609" s="13" t="s">
        <v>2206</v>
      </c>
      <c r="F1609" s="13" t="s">
        <v>2216</v>
      </c>
      <c r="G1609" s="13">
        <v>24.71</v>
      </c>
      <c r="H1609" s="44">
        <v>0</v>
      </c>
      <c r="I1609" s="13">
        <v>24.71</v>
      </c>
      <c r="J1609" s="24">
        <v>45875</v>
      </c>
      <c r="K1609" s="25">
        <v>37</v>
      </c>
      <c r="L1609" s="25">
        <v>2.8636363636363633</v>
      </c>
      <c r="M1609" s="13" t="b">
        <v>0</v>
      </c>
      <c r="O1609" s="25">
        <f t="shared" si="100"/>
        <v>27</v>
      </c>
      <c r="P1609" s="13">
        <f t="shared" si="101"/>
        <v>0</v>
      </c>
      <c r="Q1609" s="13" t="str">
        <f t="shared" si="102"/>
        <v/>
      </c>
      <c r="R1609" s="13" t="str">
        <f t="shared" si="103"/>
        <v>Non diskon</v>
      </c>
    </row>
    <row r="1610" spans="1:18" x14ac:dyDescent="0.25">
      <c r="A1610" s="13" t="s">
        <v>1622</v>
      </c>
      <c r="B1610" s="13" t="s">
        <v>2191</v>
      </c>
      <c r="C1610" s="13" t="s">
        <v>2197</v>
      </c>
      <c r="D1610" s="13" t="s">
        <v>2204</v>
      </c>
      <c r="E1610" s="13" t="s">
        <v>2208</v>
      </c>
      <c r="F1610" s="13" t="s">
        <v>2214</v>
      </c>
      <c r="G1610" s="13">
        <v>61.42</v>
      </c>
      <c r="H1610" s="44">
        <v>0</v>
      </c>
      <c r="I1610" s="13">
        <v>61.42</v>
      </c>
      <c r="J1610" s="24">
        <v>45526</v>
      </c>
      <c r="K1610" s="25">
        <v>41</v>
      </c>
      <c r="L1610" s="25">
        <v>3.5</v>
      </c>
      <c r="M1610" s="13" t="b">
        <v>0</v>
      </c>
      <c r="O1610" s="25">
        <f t="shared" si="100"/>
        <v>376</v>
      </c>
      <c r="P1610" s="13">
        <f t="shared" si="101"/>
        <v>0</v>
      </c>
      <c r="Q1610" s="13" t="str">
        <f t="shared" si="102"/>
        <v/>
      </c>
      <c r="R1610" s="13" t="str">
        <f t="shared" si="103"/>
        <v>Non diskon</v>
      </c>
    </row>
    <row r="1611" spans="1:18" x14ac:dyDescent="0.25">
      <c r="A1611" s="13" t="s">
        <v>1623</v>
      </c>
      <c r="B1611" s="13" t="s">
        <v>2192</v>
      </c>
      <c r="C1611" s="13" t="s">
        <v>2202</v>
      </c>
      <c r="D1611" s="13" t="s">
        <v>2206</v>
      </c>
      <c r="F1611" s="13" t="s">
        <v>2219</v>
      </c>
      <c r="G1611" s="13">
        <v>60.48</v>
      </c>
      <c r="H1611" s="44">
        <v>7.3</v>
      </c>
      <c r="I1611" s="13">
        <v>56.06</v>
      </c>
      <c r="J1611" s="24">
        <v>45875</v>
      </c>
      <c r="K1611" s="25">
        <v>46</v>
      </c>
      <c r="L1611" s="25">
        <v>3.6</v>
      </c>
      <c r="M1611" s="13" t="b">
        <v>0</v>
      </c>
      <c r="O1611" s="25">
        <f t="shared" si="100"/>
        <v>27</v>
      </c>
      <c r="P1611" s="13">
        <f t="shared" si="101"/>
        <v>335.8</v>
      </c>
      <c r="Q1611" s="13" t="str">
        <f t="shared" si="102"/>
        <v/>
      </c>
      <c r="R1611" s="13" t="str">
        <f t="shared" si="103"/>
        <v>Diskon</v>
      </c>
    </row>
    <row r="1612" spans="1:18" x14ac:dyDescent="0.25">
      <c r="A1612" s="13" t="s">
        <v>1624</v>
      </c>
      <c r="B1612" s="13" t="s">
        <v>2192</v>
      </c>
      <c r="C1612" s="13" t="s">
        <v>2199</v>
      </c>
      <c r="D1612" s="13" t="s">
        <v>2206</v>
      </c>
      <c r="F1612" s="13" t="s">
        <v>2223</v>
      </c>
      <c r="G1612" s="13">
        <v>34.94</v>
      </c>
      <c r="H1612" s="44">
        <v>5.2</v>
      </c>
      <c r="I1612" s="13">
        <v>33.119999999999997</v>
      </c>
      <c r="J1612" s="24">
        <v>45875</v>
      </c>
      <c r="K1612" s="25">
        <v>18</v>
      </c>
      <c r="L1612" s="25">
        <v>2.5131578947368416</v>
      </c>
      <c r="M1612" s="13" t="b">
        <v>0</v>
      </c>
      <c r="O1612" s="25">
        <f t="shared" si="100"/>
        <v>27</v>
      </c>
      <c r="P1612" s="13">
        <f t="shared" si="101"/>
        <v>93.600000000000009</v>
      </c>
      <c r="Q1612" s="13" t="str">
        <f t="shared" si="102"/>
        <v/>
      </c>
      <c r="R1612" s="13" t="str">
        <f t="shared" si="103"/>
        <v>Diskon</v>
      </c>
    </row>
    <row r="1613" spans="1:18" x14ac:dyDescent="0.25">
      <c r="A1613" s="13" t="s">
        <v>1625</v>
      </c>
      <c r="B1613" s="13" t="s">
        <v>2194</v>
      </c>
      <c r="C1613" s="13" t="s">
        <v>2198</v>
      </c>
      <c r="D1613" s="13" t="s">
        <v>2204</v>
      </c>
      <c r="E1613" s="13" t="s">
        <v>2208</v>
      </c>
      <c r="F1613" s="13" t="s">
        <v>2214</v>
      </c>
      <c r="G1613" s="13">
        <v>30.51</v>
      </c>
      <c r="H1613" s="44">
        <v>0</v>
      </c>
      <c r="I1613" s="13">
        <v>30.51</v>
      </c>
      <c r="J1613" s="24">
        <v>45671</v>
      </c>
      <c r="K1613" s="25">
        <v>17</v>
      </c>
      <c r="L1613" s="25">
        <v>1.2</v>
      </c>
      <c r="M1613" s="13" t="b">
        <v>0</v>
      </c>
      <c r="O1613" s="25">
        <f t="shared" si="100"/>
        <v>231</v>
      </c>
      <c r="P1613" s="13">
        <f t="shared" si="101"/>
        <v>0</v>
      </c>
      <c r="Q1613" s="13" t="str">
        <f t="shared" si="102"/>
        <v/>
      </c>
      <c r="R1613" s="13" t="str">
        <f t="shared" si="103"/>
        <v>Non diskon</v>
      </c>
    </row>
    <row r="1614" spans="1:18" x14ac:dyDescent="0.25">
      <c r="A1614" s="13" t="s">
        <v>1626</v>
      </c>
      <c r="B1614" s="13" t="s">
        <v>2195</v>
      </c>
      <c r="C1614" s="13" t="s">
        <v>2198</v>
      </c>
      <c r="D1614" s="13" t="s">
        <v>2205</v>
      </c>
      <c r="E1614" s="13" t="s">
        <v>2211</v>
      </c>
      <c r="F1614" s="13" t="s">
        <v>2222</v>
      </c>
      <c r="G1614" s="13">
        <v>65.540000000000006</v>
      </c>
      <c r="H1614" s="44">
        <v>40.299999999999997</v>
      </c>
      <c r="I1614" s="13">
        <v>39.130000000000003</v>
      </c>
      <c r="J1614" s="24">
        <v>45875</v>
      </c>
      <c r="K1614" s="25">
        <v>27</v>
      </c>
      <c r="L1614" s="25">
        <v>1.2</v>
      </c>
      <c r="M1614" s="13" t="b">
        <v>0</v>
      </c>
      <c r="O1614" s="25">
        <f t="shared" si="100"/>
        <v>27</v>
      </c>
      <c r="P1614" s="13">
        <f t="shared" si="101"/>
        <v>1088.0999999999999</v>
      </c>
      <c r="Q1614" s="13" t="str">
        <f t="shared" si="102"/>
        <v/>
      </c>
      <c r="R1614" s="13" t="str">
        <f t="shared" si="103"/>
        <v>Diskon</v>
      </c>
    </row>
    <row r="1615" spans="1:18" x14ac:dyDescent="0.25">
      <c r="A1615" s="13" t="s">
        <v>1627</v>
      </c>
      <c r="B1615" s="13" t="s">
        <v>2193</v>
      </c>
      <c r="C1615" s="13" t="s">
        <v>2203</v>
      </c>
      <c r="D1615" s="13" t="s">
        <v>2207</v>
      </c>
      <c r="E1615" s="13" t="s">
        <v>2210</v>
      </c>
      <c r="F1615" s="13" t="s">
        <v>2221</v>
      </c>
      <c r="G1615" s="13">
        <v>114.37</v>
      </c>
      <c r="H1615" s="44">
        <v>43.2</v>
      </c>
      <c r="I1615" s="13">
        <v>64.959999999999994</v>
      </c>
      <c r="J1615" s="24">
        <v>45875</v>
      </c>
      <c r="K1615" s="25">
        <v>16</v>
      </c>
      <c r="L1615" s="25">
        <v>1.4</v>
      </c>
      <c r="M1615" s="13" t="b">
        <v>0</v>
      </c>
      <c r="O1615" s="25">
        <f t="shared" si="100"/>
        <v>27</v>
      </c>
      <c r="P1615" s="13">
        <f t="shared" si="101"/>
        <v>691.2</v>
      </c>
      <c r="Q1615" s="13" t="str">
        <f t="shared" si="102"/>
        <v/>
      </c>
      <c r="R1615" s="13" t="str">
        <f t="shared" si="103"/>
        <v>Diskon</v>
      </c>
    </row>
    <row r="1616" spans="1:18" x14ac:dyDescent="0.25">
      <c r="A1616" s="13" t="s">
        <v>1628</v>
      </c>
      <c r="B1616" s="13" t="s">
        <v>2195</v>
      </c>
      <c r="C1616" s="13" t="s">
        <v>2199</v>
      </c>
      <c r="D1616" s="13" t="s">
        <v>2204</v>
      </c>
      <c r="E1616" s="13" t="s">
        <v>2210</v>
      </c>
      <c r="F1616" s="13" t="s">
        <v>2217</v>
      </c>
      <c r="G1616" s="13">
        <v>145.80000000000001</v>
      </c>
      <c r="H1616" s="44">
        <v>0</v>
      </c>
      <c r="I1616" s="13">
        <v>145.80000000000001</v>
      </c>
      <c r="J1616" s="24">
        <v>45562</v>
      </c>
      <c r="K1616" s="25">
        <v>13</v>
      </c>
      <c r="L1616" s="25">
        <v>4</v>
      </c>
      <c r="M1616" s="13" t="b">
        <v>0</v>
      </c>
      <c r="O1616" s="25">
        <f t="shared" si="100"/>
        <v>340</v>
      </c>
      <c r="P1616" s="13">
        <f t="shared" si="101"/>
        <v>0</v>
      </c>
      <c r="Q1616" s="13" t="str">
        <f t="shared" si="102"/>
        <v/>
      </c>
      <c r="R1616" s="13" t="str">
        <f t="shared" si="103"/>
        <v>Non diskon</v>
      </c>
    </row>
    <row r="1617" spans="1:18" x14ac:dyDescent="0.25">
      <c r="A1617" s="13" t="s">
        <v>1629</v>
      </c>
      <c r="B1617" s="13" t="s">
        <v>2193</v>
      </c>
      <c r="C1617" s="13" t="s">
        <v>2196</v>
      </c>
      <c r="D1617" s="13" t="s">
        <v>2207</v>
      </c>
      <c r="E1617" s="13" t="s">
        <v>2210</v>
      </c>
      <c r="F1617" s="13" t="s">
        <v>2214</v>
      </c>
      <c r="G1617" s="13">
        <v>121.43</v>
      </c>
      <c r="H1617" s="44">
        <v>44.1</v>
      </c>
      <c r="I1617" s="13">
        <v>67.88</v>
      </c>
      <c r="J1617" s="24">
        <v>45875</v>
      </c>
      <c r="K1617" s="25">
        <v>2</v>
      </c>
      <c r="L1617" s="25">
        <v>4.4000000000000004</v>
      </c>
      <c r="M1617" s="13" t="b">
        <v>0</v>
      </c>
      <c r="O1617" s="25">
        <f t="shared" si="100"/>
        <v>27</v>
      </c>
      <c r="P1617" s="13">
        <f t="shared" si="101"/>
        <v>88.2</v>
      </c>
      <c r="Q1617" s="13" t="str">
        <f t="shared" si="102"/>
        <v/>
      </c>
      <c r="R1617" s="13" t="str">
        <f t="shared" si="103"/>
        <v>Diskon</v>
      </c>
    </row>
    <row r="1618" spans="1:18" x14ac:dyDescent="0.25">
      <c r="A1618" s="13" t="s">
        <v>1630</v>
      </c>
      <c r="B1618" s="13" t="s">
        <v>2193</v>
      </c>
      <c r="C1618" s="13" t="s">
        <v>2203</v>
      </c>
      <c r="D1618" s="13" t="s">
        <v>2207</v>
      </c>
      <c r="E1618" s="13" t="s">
        <v>2211</v>
      </c>
      <c r="F1618" s="13" t="s">
        <v>2220</v>
      </c>
      <c r="G1618" s="13">
        <v>94.49</v>
      </c>
      <c r="H1618" s="44">
        <v>0</v>
      </c>
      <c r="I1618" s="13">
        <v>94.49</v>
      </c>
      <c r="J1618" s="24">
        <v>45875</v>
      </c>
      <c r="K1618" s="25">
        <v>30</v>
      </c>
      <c r="L1618" s="25">
        <v>1.5</v>
      </c>
      <c r="M1618" s="13" t="b">
        <v>0</v>
      </c>
      <c r="O1618" s="25">
        <f t="shared" si="100"/>
        <v>27</v>
      </c>
      <c r="P1618" s="13">
        <f t="shared" si="101"/>
        <v>0</v>
      </c>
      <c r="Q1618" s="13" t="str">
        <f t="shared" si="102"/>
        <v/>
      </c>
      <c r="R1618" s="13" t="str">
        <f t="shared" si="103"/>
        <v>Non diskon</v>
      </c>
    </row>
    <row r="1619" spans="1:18" x14ac:dyDescent="0.25">
      <c r="A1619" s="13" t="s">
        <v>1631</v>
      </c>
      <c r="B1619" s="13" t="s">
        <v>2190</v>
      </c>
      <c r="C1619" s="13" t="s">
        <v>2203</v>
      </c>
      <c r="D1619" s="13" t="s">
        <v>2206</v>
      </c>
      <c r="E1619" s="13" t="s">
        <v>2213</v>
      </c>
      <c r="F1619" s="13" t="s">
        <v>2223</v>
      </c>
      <c r="G1619" s="13">
        <v>218.64</v>
      </c>
      <c r="H1619" s="44">
        <v>0</v>
      </c>
      <c r="I1619" s="13">
        <v>218.64</v>
      </c>
      <c r="J1619" s="24">
        <v>45875</v>
      </c>
      <c r="K1619" s="25">
        <v>5</v>
      </c>
      <c r="L1619" s="25">
        <v>2.9718749999999998</v>
      </c>
      <c r="M1619" s="13" t="b">
        <v>0</v>
      </c>
      <c r="O1619" s="25">
        <f t="shared" si="100"/>
        <v>27</v>
      </c>
      <c r="P1619" s="13">
        <f t="shared" si="101"/>
        <v>0</v>
      </c>
      <c r="Q1619" s="13" t="str">
        <f t="shared" si="102"/>
        <v/>
      </c>
      <c r="R1619" s="13" t="str">
        <f t="shared" si="103"/>
        <v>Non diskon</v>
      </c>
    </row>
    <row r="1620" spans="1:18" x14ac:dyDescent="0.25">
      <c r="A1620" s="13" t="s">
        <v>1632</v>
      </c>
      <c r="B1620" s="13" t="s">
        <v>2190</v>
      </c>
      <c r="C1620" s="13" t="s">
        <v>2197</v>
      </c>
      <c r="D1620" s="13" t="s">
        <v>2206</v>
      </c>
      <c r="E1620" s="13" t="s">
        <v>2210</v>
      </c>
      <c r="F1620" s="13" t="s">
        <v>2216</v>
      </c>
      <c r="G1620" s="13">
        <v>80.41</v>
      </c>
      <c r="H1620" s="44">
        <v>11.9</v>
      </c>
      <c r="I1620" s="13">
        <v>70.84</v>
      </c>
      <c r="J1620" s="24">
        <v>45875</v>
      </c>
      <c r="K1620" s="25">
        <v>35</v>
      </c>
      <c r="L1620" s="25">
        <v>1.5</v>
      </c>
      <c r="M1620" s="13" t="b">
        <v>0</v>
      </c>
      <c r="O1620" s="25">
        <f t="shared" si="100"/>
        <v>27</v>
      </c>
      <c r="P1620" s="13">
        <f t="shared" si="101"/>
        <v>416.5</v>
      </c>
      <c r="Q1620" s="13" t="str">
        <f t="shared" si="102"/>
        <v/>
      </c>
      <c r="R1620" s="13" t="str">
        <f t="shared" si="103"/>
        <v>Diskon</v>
      </c>
    </row>
    <row r="1621" spans="1:18" x14ac:dyDescent="0.25">
      <c r="A1621" s="13" t="s">
        <v>1633</v>
      </c>
      <c r="B1621" s="13" t="s">
        <v>2193</v>
      </c>
      <c r="C1621" s="13" t="s">
        <v>2202</v>
      </c>
      <c r="D1621" s="13" t="s">
        <v>2205</v>
      </c>
      <c r="E1621" s="13" t="s">
        <v>2208</v>
      </c>
      <c r="F1621" s="13" t="s">
        <v>2221</v>
      </c>
      <c r="G1621" s="13">
        <v>183.3</v>
      </c>
      <c r="H1621" s="44">
        <v>0</v>
      </c>
      <c r="I1621" s="13">
        <v>183.3</v>
      </c>
      <c r="J1621" s="24">
        <v>45875</v>
      </c>
      <c r="K1621" s="25">
        <v>7</v>
      </c>
      <c r="L1621" s="25">
        <v>2</v>
      </c>
      <c r="M1621" s="13" t="b">
        <v>0</v>
      </c>
      <c r="O1621" s="25">
        <f t="shared" si="100"/>
        <v>27</v>
      </c>
      <c r="P1621" s="13">
        <f t="shared" si="101"/>
        <v>0</v>
      </c>
      <c r="Q1621" s="13" t="str">
        <f t="shared" si="102"/>
        <v/>
      </c>
      <c r="R1621" s="13" t="str">
        <f t="shared" si="103"/>
        <v>Non diskon</v>
      </c>
    </row>
    <row r="1622" spans="1:18" x14ac:dyDescent="0.25">
      <c r="A1622" s="13" t="s">
        <v>1634</v>
      </c>
      <c r="B1622" s="13" t="s">
        <v>2190</v>
      </c>
      <c r="C1622" s="13" t="s">
        <v>2197</v>
      </c>
      <c r="D1622" s="13" t="s">
        <v>2206</v>
      </c>
      <c r="E1622" s="13" t="s">
        <v>2212</v>
      </c>
      <c r="F1622" s="13" t="s">
        <v>2217</v>
      </c>
      <c r="G1622" s="13">
        <v>241.81</v>
      </c>
      <c r="H1622" s="44">
        <v>0</v>
      </c>
      <c r="I1622" s="13">
        <v>241.81</v>
      </c>
      <c r="J1622" s="24">
        <v>45875</v>
      </c>
      <c r="K1622" s="25">
        <v>38</v>
      </c>
      <c r="L1622" s="25">
        <v>3.5</v>
      </c>
      <c r="M1622" s="13" t="b">
        <v>0</v>
      </c>
      <c r="O1622" s="25">
        <f t="shared" si="100"/>
        <v>27</v>
      </c>
      <c r="P1622" s="13">
        <f t="shared" si="101"/>
        <v>0</v>
      </c>
      <c r="Q1622" s="13" t="str">
        <f t="shared" si="102"/>
        <v/>
      </c>
      <c r="R1622" s="13" t="str">
        <f t="shared" si="103"/>
        <v>Non diskon</v>
      </c>
    </row>
    <row r="1623" spans="1:18" x14ac:dyDescent="0.25">
      <c r="A1623" s="13" t="s">
        <v>1635</v>
      </c>
      <c r="B1623" s="13" t="s">
        <v>2190</v>
      </c>
      <c r="C1623" s="13" t="s">
        <v>2199</v>
      </c>
      <c r="D1623" s="13" t="s">
        <v>2204</v>
      </c>
      <c r="E1623" s="13" t="s">
        <v>2212</v>
      </c>
      <c r="F1623" s="13" t="s">
        <v>2217</v>
      </c>
      <c r="G1623" s="13">
        <v>216.46</v>
      </c>
      <c r="H1623" s="44">
        <v>28.8</v>
      </c>
      <c r="I1623" s="13">
        <v>154.12</v>
      </c>
      <c r="J1623" s="24">
        <v>45516</v>
      </c>
      <c r="K1623" s="25">
        <v>43</v>
      </c>
      <c r="L1623" s="25">
        <v>1.3</v>
      </c>
      <c r="M1623" s="13" t="b">
        <v>0</v>
      </c>
      <c r="O1623" s="25">
        <f t="shared" si="100"/>
        <v>386</v>
      </c>
      <c r="P1623" s="13">
        <f t="shared" si="101"/>
        <v>1238.4000000000001</v>
      </c>
      <c r="Q1623" s="13" t="str">
        <f t="shared" si="102"/>
        <v/>
      </c>
      <c r="R1623" s="13" t="str">
        <f t="shared" si="103"/>
        <v>Diskon</v>
      </c>
    </row>
    <row r="1624" spans="1:18" x14ac:dyDescent="0.25">
      <c r="A1624" s="13" t="s">
        <v>1636</v>
      </c>
      <c r="B1624" s="13" t="s">
        <v>2195</v>
      </c>
      <c r="C1624" s="13" t="s">
        <v>2197</v>
      </c>
      <c r="D1624" s="13" t="s">
        <v>2204</v>
      </c>
      <c r="E1624" s="13" t="s">
        <v>2210</v>
      </c>
      <c r="F1624" s="13" t="s">
        <v>2215</v>
      </c>
      <c r="G1624" s="13">
        <v>63.07</v>
      </c>
      <c r="H1624" s="44">
        <v>53.6</v>
      </c>
      <c r="I1624" s="13">
        <v>29.26</v>
      </c>
      <c r="J1624" s="24">
        <v>45797</v>
      </c>
      <c r="K1624" s="25">
        <v>4</v>
      </c>
      <c r="L1624" s="25">
        <v>1.5</v>
      </c>
      <c r="M1624" s="13" t="b">
        <v>1</v>
      </c>
      <c r="N1624" s="13" t="s">
        <v>2225</v>
      </c>
      <c r="O1624" s="25">
        <f t="shared" si="100"/>
        <v>105</v>
      </c>
      <c r="P1624" s="13">
        <f t="shared" si="101"/>
        <v>214.4</v>
      </c>
      <c r="Q1624" s="13">
        <f t="shared" si="102"/>
        <v>1</v>
      </c>
      <c r="R1624" s="13" t="str">
        <f t="shared" si="103"/>
        <v>Diskon</v>
      </c>
    </row>
    <row r="1625" spans="1:18" x14ac:dyDescent="0.25">
      <c r="A1625" s="13" t="s">
        <v>1637</v>
      </c>
      <c r="B1625" s="13" t="s">
        <v>2192</v>
      </c>
      <c r="C1625" s="13" t="s">
        <v>2198</v>
      </c>
      <c r="D1625" s="13" t="s">
        <v>2204</v>
      </c>
      <c r="F1625" s="13" t="s">
        <v>2220</v>
      </c>
      <c r="G1625" s="13">
        <v>44.7</v>
      </c>
      <c r="H1625" s="44">
        <v>0</v>
      </c>
      <c r="I1625" s="13">
        <v>44.7</v>
      </c>
      <c r="J1625" s="24">
        <v>45733</v>
      </c>
      <c r="K1625" s="25">
        <v>29</v>
      </c>
      <c r="L1625" s="25">
        <v>3.2</v>
      </c>
      <c r="M1625" s="13" t="b">
        <v>0</v>
      </c>
      <c r="O1625" s="25">
        <f t="shared" si="100"/>
        <v>169</v>
      </c>
      <c r="P1625" s="13">
        <f t="shared" si="101"/>
        <v>0</v>
      </c>
      <c r="Q1625" s="13" t="str">
        <f t="shared" si="102"/>
        <v/>
      </c>
      <c r="R1625" s="13" t="str">
        <f t="shared" si="103"/>
        <v>Non diskon</v>
      </c>
    </row>
    <row r="1626" spans="1:18" x14ac:dyDescent="0.25">
      <c r="A1626" s="13" t="s">
        <v>1638</v>
      </c>
      <c r="B1626" s="13" t="s">
        <v>2191</v>
      </c>
      <c r="C1626" s="13" t="s">
        <v>2196</v>
      </c>
      <c r="D1626" s="13" t="s">
        <v>2206</v>
      </c>
      <c r="E1626" s="13" t="s">
        <v>2211</v>
      </c>
      <c r="F1626" s="13" t="s">
        <v>2217</v>
      </c>
      <c r="G1626" s="13">
        <v>28.23</v>
      </c>
      <c r="H1626" s="44">
        <v>40.299999999999997</v>
      </c>
      <c r="I1626" s="13">
        <v>16.850000000000001</v>
      </c>
      <c r="J1626" s="24">
        <v>45875</v>
      </c>
      <c r="K1626" s="25">
        <v>21</v>
      </c>
      <c r="L1626" s="25">
        <v>2.7</v>
      </c>
      <c r="M1626" s="13" t="b">
        <v>0</v>
      </c>
      <c r="O1626" s="25">
        <f t="shared" si="100"/>
        <v>27</v>
      </c>
      <c r="P1626" s="13">
        <f t="shared" si="101"/>
        <v>846.3</v>
      </c>
      <c r="Q1626" s="13" t="str">
        <f t="shared" si="102"/>
        <v/>
      </c>
      <c r="R1626" s="13" t="str">
        <f t="shared" si="103"/>
        <v>Diskon</v>
      </c>
    </row>
    <row r="1627" spans="1:18" x14ac:dyDescent="0.25">
      <c r="A1627" s="13" t="s">
        <v>1639</v>
      </c>
      <c r="B1627" s="13" t="s">
        <v>2193</v>
      </c>
      <c r="C1627" s="13" t="s">
        <v>2201</v>
      </c>
      <c r="D1627" s="13" t="s">
        <v>2206</v>
      </c>
      <c r="E1627" s="13" t="s">
        <v>2211</v>
      </c>
      <c r="F1627" s="13" t="s">
        <v>2220</v>
      </c>
      <c r="G1627" s="13">
        <v>131.94</v>
      </c>
      <c r="H1627" s="44">
        <v>27.3</v>
      </c>
      <c r="I1627" s="13">
        <v>95.92</v>
      </c>
      <c r="J1627" s="24">
        <v>45875</v>
      </c>
      <c r="K1627" s="25">
        <v>6</v>
      </c>
      <c r="L1627" s="25">
        <v>2.8</v>
      </c>
      <c r="M1627" s="13" t="b">
        <v>1</v>
      </c>
      <c r="N1627" s="13" t="s">
        <v>2227</v>
      </c>
      <c r="O1627" s="25">
        <f t="shared" si="100"/>
        <v>27</v>
      </c>
      <c r="P1627" s="13">
        <f t="shared" si="101"/>
        <v>163.80000000000001</v>
      </c>
      <c r="Q1627" s="13">
        <f t="shared" si="102"/>
        <v>1</v>
      </c>
      <c r="R1627" s="13" t="str">
        <f t="shared" si="103"/>
        <v>Diskon</v>
      </c>
    </row>
    <row r="1628" spans="1:18" x14ac:dyDescent="0.25">
      <c r="A1628" s="13" t="s">
        <v>1640</v>
      </c>
      <c r="B1628" s="13" t="s">
        <v>2190</v>
      </c>
      <c r="C1628" s="13" t="s">
        <v>2203</v>
      </c>
      <c r="D1628" s="13" t="s">
        <v>2206</v>
      </c>
      <c r="E1628" s="13" t="s">
        <v>2213</v>
      </c>
      <c r="F1628" s="13" t="s">
        <v>2219</v>
      </c>
      <c r="G1628" s="13">
        <v>166.85</v>
      </c>
      <c r="H1628" s="44">
        <v>30.9</v>
      </c>
      <c r="I1628" s="13">
        <v>115.29</v>
      </c>
      <c r="J1628" s="24">
        <v>45875</v>
      </c>
      <c r="K1628" s="25">
        <v>14</v>
      </c>
      <c r="L1628" s="25">
        <v>4.2</v>
      </c>
      <c r="M1628" s="13" t="b">
        <v>1</v>
      </c>
      <c r="N1628" s="13" t="s">
        <v>2229</v>
      </c>
      <c r="O1628" s="25">
        <f t="shared" si="100"/>
        <v>27</v>
      </c>
      <c r="P1628" s="13">
        <f t="shared" si="101"/>
        <v>432.59999999999997</v>
      </c>
      <c r="Q1628" s="13">
        <f t="shared" si="102"/>
        <v>1</v>
      </c>
      <c r="R1628" s="13" t="str">
        <f t="shared" si="103"/>
        <v>Diskon</v>
      </c>
    </row>
    <row r="1629" spans="1:18" x14ac:dyDescent="0.25">
      <c r="A1629" s="13" t="s">
        <v>1641</v>
      </c>
      <c r="B1629" s="13" t="s">
        <v>2191</v>
      </c>
      <c r="C1629" s="13" t="s">
        <v>2198</v>
      </c>
      <c r="D1629" s="13" t="s">
        <v>2205</v>
      </c>
      <c r="E1629" s="13" t="s">
        <v>2210</v>
      </c>
      <c r="F1629" s="13" t="s">
        <v>2222</v>
      </c>
      <c r="G1629" s="13">
        <v>39.58</v>
      </c>
      <c r="H1629" s="44">
        <v>30.9</v>
      </c>
      <c r="I1629" s="13">
        <v>27.35</v>
      </c>
      <c r="J1629" s="24">
        <v>45875</v>
      </c>
      <c r="K1629" s="25">
        <v>17</v>
      </c>
      <c r="L1629" s="25">
        <v>2.5</v>
      </c>
      <c r="M1629" s="13" t="b">
        <v>0</v>
      </c>
      <c r="O1629" s="25">
        <f t="shared" si="100"/>
        <v>27</v>
      </c>
      <c r="P1629" s="13">
        <f t="shared" si="101"/>
        <v>525.29999999999995</v>
      </c>
      <c r="Q1629" s="13" t="str">
        <f t="shared" si="102"/>
        <v/>
      </c>
      <c r="R1629" s="13" t="str">
        <f t="shared" si="103"/>
        <v>Diskon</v>
      </c>
    </row>
    <row r="1630" spans="1:18" x14ac:dyDescent="0.25">
      <c r="A1630" s="13" t="s">
        <v>1642</v>
      </c>
      <c r="B1630" s="13" t="s">
        <v>2190</v>
      </c>
      <c r="C1630" s="13" t="s">
        <v>2197</v>
      </c>
      <c r="D1630" s="13" t="s">
        <v>2207</v>
      </c>
      <c r="E1630" s="13" t="s">
        <v>2213</v>
      </c>
      <c r="F1630" s="13" t="s">
        <v>2219</v>
      </c>
      <c r="G1630" s="13">
        <v>89.55</v>
      </c>
      <c r="H1630" s="44">
        <v>58</v>
      </c>
      <c r="I1630" s="13">
        <v>37.61</v>
      </c>
      <c r="J1630" s="24">
        <v>45875</v>
      </c>
      <c r="K1630" s="25">
        <v>21</v>
      </c>
      <c r="L1630" s="25">
        <v>2.6</v>
      </c>
      <c r="M1630" s="13" t="b">
        <v>0</v>
      </c>
      <c r="O1630" s="25">
        <f t="shared" si="100"/>
        <v>27</v>
      </c>
      <c r="P1630" s="13">
        <f t="shared" si="101"/>
        <v>1218</v>
      </c>
      <c r="Q1630" s="13" t="str">
        <f t="shared" si="102"/>
        <v/>
      </c>
      <c r="R1630" s="13" t="str">
        <f t="shared" si="103"/>
        <v>Diskon</v>
      </c>
    </row>
    <row r="1631" spans="1:18" x14ac:dyDescent="0.25">
      <c r="A1631" s="13" t="s">
        <v>1643</v>
      </c>
      <c r="B1631" s="13" t="s">
        <v>2190</v>
      </c>
      <c r="C1631" s="13" t="s">
        <v>2199</v>
      </c>
      <c r="D1631" s="13" t="s">
        <v>2206</v>
      </c>
      <c r="E1631" s="13" t="s">
        <v>2213</v>
      </c>
      <c r="F1631" s="13" t="s">
        <v>2223</v>
      </c>
      <c r="G1631" s="13">
        <v>138.55000000000001</v>
      </c>
      <c r="H1631" s="44">
        <v>0</v>
      </c>
      <c r="I1631" s="13">
        <v>138.55000000000001</v>
      </c>
      <c r="J1631" s="24">
        <v>45875</v>
      </c>
      <c r="K1631" s="25">
        <v>25</v>
      </c>
      <c r="L1631" s="25">
        <v>2</v>
      </c>
      <c r="M1631" s="13" t="b">
        <v>0</v>
      </c>
      <c r="O1631" s="25">
        <f t="shared" si="100"/>
        <v>27</v>
      </c>
      <c r="P1631" s="13">
        <f t="shared" si="101"/>
        <v>0</v>
      </c>
      <c r="Q1631" s="13" t="str">
        <f t="shared" si="102"/>
        <v/>
      </c>
      <c r="R1631" s="13" t="str">
        <f t="shared" si="103"/>
        <v>Non diskon</v>
      </c>
    </row>
    <row r="1632" spans="1:18" x14ac:dyDescent="0.25">
      <c r="A1632" s="13" t="s">
        <v>1644</v>
      </c>
      <c r="B1632" s="13" t="s">
        <v>2192</v>
      </c>
      <c r="C1632" s="13" t="s">
        <v>2197</v>
      </c>
      <c r="D1632" s="13" t="s">
        <v>2206</v>
      </c>
      <c r="F1632" s="13" t="s">
        <v>2221</v>
      </c>
      <c r="G1632" s="13">
        <v>43.84</v>
      </c>
      <c r="H1632" s="44">
        <v>0</v>
      </c>
      <c r="I1632" s="13">
        <v>43.84</v>
      </c>
      <c r="J1632" s="24">
        <v>45875</v>
      </c>
      <c r="K1632" s="25">
        <v>28</v>
      </c>
      <c r="L1632" s="25">
        <v>2.8</v>
      </c>
      <c r="M1632" s="13" t="b">
        <v>0</v>
      </c>
      <c r="O1632" s="25">
        <f t="shared" si="100"/>
        <v>27</v>
      </c>
      <c r="P1632" s="13">
        <f t="shared" si="101"/>
        <v>0</v>
      </c>
      <c r="Q1632" s="13" t="str">
        <f t="shared" si="102"/>
        <v/>
      </c>
      <c r="R1632" s="13" t="str">
        <f t="shared" si="103"/>
        <v>Non diskon</v>
      </c>
    </row>
    <row r="1633" spans="1:18" x14ac:dyDescent="0.25">
      <c r="A1633" s="13" t="s">
        <v>1645</v>
      </c>
      <c r="B1633" s="13" t="s">
        <v>2191</v>
      </c>
      <c r="C1633" s="13" t="s">
        <v>2203</v>
      </c>
      <c r="D1633" s="13" t="s">
        <v>2206</v>
      </c>
      <c r="E1633" s="13" t="s">
        <v>2208</v>
      </c>
      <c r="F1633" s="13" t="s">
        <v>2224</v>
      </c>
      <c r="G1633" s="13">
        <v>63.72</v>
      </c>
      <c r="H1633" s="44">
        <v>17.8</v>
      </c>
      <c r="I1633" s="13">
        <v>52.38</v>
      </c>
      <c r="J1633" s="24">
        <v>45875</v>
      </c>
      <c r="K1633" s="25">
        <v>45</v>
      </c>
      <c r="L1633" s="25">
        <v>2.4</v>
      </c>
      <c r="M1633" s="13" t="b">
        <v>0</v>
      </c>
      <c r="O1633" s="25">
        <f t="shared" si="100"/>
        <v>27</v>
      </c>
      <c r="P1633" s="13">
        <f t="shared" si="101"/>
        <v>801</v>
      </c>
      <c r="Q1633" s="13" t="str">
        <f t="shared" si="102"/>
        <v/>
      </c>
      <c r="R1633" s="13" t="str">
        <f t="shared" si="103"/>
        <v>Diskon</v>
      </c>
    </row>
    <row r="1634" spans="1:18" x14ac:dyDescent="0.25">
      <c r="A1634" s="13" t="s">
        <v>1646</v>
      </c>
      <c r="B1634" s="13" t="s">
        <v>2192</v>
      </c>
      <c r="C1634" s="13" t="s">
        <v>2196</v>
      </c>
      <c r="D1634" s="13" t="s">
        <v>2204</v>
      </c>
      <c r="F1634" s="13" t="s">
        <v>2214</v>
      </c>
      <c r="G1634" s="13">
        <v>74.61</v>
      </c>
      <c r="H1634" s="44">
        <v>0</v>
      </c>
      <c r="I1634" s="13">
        <v>74.61</v>
      </c>
      <c r="J1634" s="24">
        <v>45775</v>
      </c>
      <c r="K1634" s="25">
        <v>38</v>
      </c>
      <c r="L1634" s="25">
        <v>2.8</v>
      </c>
      <c r="M1634" s="13" t="b">
        <v>0</v>
      </c>
      <c r="O1634" s="25">
        <f t="shared" si="100"/>
        <v>127</v>
      </c>
      <c r="P1634" s="13">
        <f t="shared" si="101"/>
        <v>0</v>
      </c>
      <c r="Q1634" s="13" t="str">
        <f t="shared" si="102"/>
        <v/>
      </c>
      <c r="R1634" s="13" t="str">
        <f t="shared" si="103"/>
        <v>Non diskon</v>
      </c>
    </row>
    <row r="1635" spans="1:18" x14ac:dyDescent="0.25">
      <c r="A1635" s="13" t="s">
        <v>1647</v>
      </c>
      <c r="B1635" s="13" t="s">
        <v>2193</v>
      </c>
      <c r="C1635" s="13" t="s">
        <v>2197</v>
      </c>
      <c r="D1635" s="13" t="s">
        <v>2204</v>
      </c>
      <c r="E1635" s="13" t="s">
        <v>2210</v>
      </c>
      <c r="F1635" s="13" t="s">
        <v>2218</v>
      </c>
      <c r="G1635" s="13">
        <v>148.24</v>
      </c>
      <c r="H1635" s="44">
        <v>10.9</v>
      </c>
      <c r="I1635" s="13">
        <v>132.08000000000001</v>
      </c>
      <c r="J1635" s="24">
        <v>45531</v>
      </c>
      <c r="K1635" s="25">
        <v>44</v>
      </c>
      <c r="L1635" s="25">
        <v>1.3</v>
      </c>
      <c r="M1635" s="13" t="b">
        <v>0</v>
      </c>
      <c r="O1635" s="25">
        <f t="shared" si="100"/>
        <v>371</v>
      </c>
      <c r="P1635" s="13">
        <f t="shared" si="101"/>
        <v>479.6</v>
      </c>
      <c r="Q1635" s="13" t="str">
        <f t="shared" si="102"/>
        <v/>
      </c>
      <c r="R1635" s="13" t="str">
        <f t="shared" si="103"/>
        <v>Diskon</v>
      </c>
    </row>
    <row r="1636" spans="1:18" x14ac:dyDescent="0.25">
      <c r="A1636" s="13" t="s">
        <v>1648</v>
      </c>
      <c r="B1636" s="13" t="s">
        <v>2191</v>
      </c>
      <c r="C1636" s="13" t="s">
        <v>2202</v>
      </c>
      <c r="D1636" s="13" t="s">
        <v>2204</v>
      </c>
      <c r="E1636" s="13" t="s">
        <v>2208</v>
      </c>
      <c r="F1636" s="13" t="s">
        <v>2218</v>
      </c>
      <c r="G1636" s="13">
        <v>93.46</v>
      </c>
      <c r="H1636" s="44">
        <v>0</v>
      </c>
      <c r="I1636" s="13">
        <v>93.46</v>
      </c>
      <c r="J1636" s="24">
        <v>45700</v>
      </c>
      <c r="K1636" s="25">
        <v>20</v>
      </c>
      <c r="L1636" s="25">
        <v>2.2000000000000002</v>
      </c>
      <c r="M1636" s="13" t="b">
        <v>0</v>
      </c>
      <c r="O1636" s="25">
        <f t="shared" si="100"/>
        <v>202</v>
      </c>
      <c r="P1636" s="13">
        <f t="shared" si="101"/>
        <v>0</v>
      </c>
      <c r="Q1636" s="13" t="str">
        <f t="shared" si="102"/>
        <v/>
      </c>
      <c r="R1636" s="13" t="str">
        <f t="shared" si="103"/>
        <v>Non diskon</v>
      </c>
    </row>
    <row r="1637" spans="1:18" x14ac:dyDescent="0.25">
      <c r="A1637" s="13" t="s">
        <v>1649</v>
      </c>
      <c r="B1637" s="13" t="s">
        <v>2190</v>
      </c>
      <c r="C1637" s="13" t="s">
        <v>2197</v>
      </c>
      <c r="D1637" s="13" t="s">
        <v>2207</v>
      </c>
      <c r="E1637" s="13" t="s">
        <v>2211</v>
      </c>
      <c r="F1637" s="13" t="s">
        <v>2214</v>
      </c>
      <c r="G1637" s="13">
        <v>245.31</v>
      </c>
      <c r="H1637" s="44">
        <v>44.1</v>
      </c>
      <c r="I1637" s="13">
        <v>137.13</v>
      </c>
      <c r="J1637" s="24">
        <v>45875</v>
      </c>
      <c r="K1637" s="25">
        <v>44</v>
      </c>
      <c r="L1637" s="25">
        <v>3.15</v>
      </c>
      <c r="M1637" s="13" t="b">
        <v>0</v>
      </c>
      <c r="O1637" s="25">
        <f t="shared" si="100"/>
        <v>27</v>
      </c>
      <c r="P1637" s="13">
        <f t="shared" si="101"/>
        <v>1940.4</v>
      </c>
      <c r="Q1637" s="13" t="str">
        <f t="shared" si="102"/>
        <v/>
      </c>
      <c r="R1637" s="13" t="str">
        <f t="shared" si="103"/>
        <v>Diskon</v>
      </c>
    </row>
    <row r="1638" spans="1:18" x14ac:dyDescent="0.25">
      <c r="A1638" s="13" t="s">
        <v>1650</v>
      </c>
      <c r="B1638" s="13" t="s">
        <v>2191</v>
      </c>
      <c r="C1638" s="13" t="s">
        <v>2198</v>
      </c>
      <c r="D1638" s="13" t="s">
        <v>2204</v>
      </c>
      <c r="E1638" s="13" t="s">
        <v>2211</v>
      </c>
      <c r="F1638" s="13" t="s">
        <v>2214</v>
      </c>
      <c r="G1638" s="13">
        <v>43.38</v>
      </c>
      <c r="H1638" s="44">
        <v>45.9</v>
      </c>
      <c r="I1638" s="13">
        <v>23.47</v>
      </c>
      <c r="J1638" s="24">
        <v>45629</v>
      </c>
      <c r="K1638" s="25">
        <v>47</v>
      </c>
      <c r="L1638" s="25">
        <v>3.7</v>
      </c>
      <c r="M1638" s="13" t="b">
        <v>1</v>
      </c>
      <c r="N1638" s="13" t="s">
        <v>2229</v>
      </c>
      <c r="O1638" s="25">
        <f t="shared" si="100"/>
        <v>273</v>
      </c>
      <c r="P1638" s="13">
        <f t="shared" si="101"/>
        <v>2157.2999999999997</v>
      </c>
      <c r="Q1638" s="13">
        <f t="shared" si="102"/>
        <v>1</v>
      </c>
      <c r="R1638" s="13" t="str">
        <f t="shared" si="103"/>
        <v>Diskon</v>
      </c>
    </row>
    <row r="1639" spans="1:18" x14ac:dyDescent="0.25">
      <c r="A1639" s="13" t="s">
        <v>1651</v>
      </c>
      <c r="B1639" s="13" t="s">
        <v>2192</v>
      </c>
      <c r="C1639" s="13" t="s">
        <v>2201</v>
      </c>
      <c r="D1639" s="13" t="s">
        <v>2206</v>
      </c>
      <c r="F1639" s="13" t="s">
        <v>2216</v>
      </c>
      <c r="G1639" s="13">
        <v>40.04</v>
      </c>
      <c r="H1639" s="44">
        <v>45.5</v>
      </c>
      <c r="I1639" s="13">
        <v>21.82</v>
      </c>
      <c r="J1639" s="24">
        <v>45875</v>
      </c>
      <c r="K1639" s="25">
        <v>50</v>
      </c>
      <c r="L1639" s="25">
        <v>2.2000000000000002</v>
      </c>
      <c r="M1639" s="13" t="b">
        <v>0</v>
      </c>
      <c r="O1639" s="25">
        <f t="shared" si="100"/>
        <v>27</v>
      </c>
      <c r="P1639" s="13">
        <f t="shared" si="101"/>
        <v>2275</v>
      </c>
      <c r="Q1639" s="13" t="str">
        <f t="shared" si="102"/>
        <v/>
      </c>
      <c r="R1639" s="13" t="str">
        <f t="shared" si="103"/>
        <v>Diskon</v>
      </c>
    </row>
    <row r="1640" spans="1:18" x14ac:dyDescent="0.25">
      <c r="A1640" s="13" t="s">
        <v>1652</v>
      </c>
      <c r="B1640" s="13" t="s">
        <v>2190</v>
      </c>
      <c r="C1640" s="13" t="s">
        <v>2200</v>
      </c>
      <c r="D1640" s="13" t="s">
        <v>2206</v>
      </c>
      <c r="E1640" s="13" t="s">
        <v>2213</v>
      </c>
      <c r="F1640" s="13" t="s">
        <v>2221</v>
      </c>
      <c r="G1640" s="13">
        <v>209.68</v>
      </c>
      <c r="H1640" s="44">
        <v>3.6</v>
      </c>
      <c r="I1640" s="13">
        <v>202.13</v>
      </c>
      <c r="J1640" s="24">
        <v>45875</v>
      </c>
      <c r="K1640" s="25">
        <v>18</v>
      </c>
      <c r="L1640" s="25">
        <v>4.0999999999999996</v>
      </c>
      <c r="M1640" s="13" t="b">
        <v>0</v>
      </c>
      <c r="O1640" s="25">
        <f t="shared" si="100"/>
        <v>27</v>
      </c>
      <c r="P1640" s="13">
        <f t="shared" si="101"/>
        <v>64.8</v>
      </c>
      <c r="Q1640" s="13" t="str">
        <f t="shared" si="102"/>
        <v/>
      </c>
      <c r="R1640" s="13" t="str">
        <f t="shared" si="103"/>
        <v>Diskon</v>
      </c>
    </row>
    <row r="1641" spans="1:18" x14ac:dyDescent="0.25">
      <c r="A1641" s="13" t="s">
        <v>1653</v>
      </c>
      <c r="B1641" s="13" t="s">
        <v>2192</v>
      </c>
      <c r="C1641" s="13" t="s">
        <v>2199</v>
      </c>
      <c r="D1641" s="13" t="s">
        <v>2205</v>
      </c>
      <c r="F1641" s="13" t="s">
        <v>2224</v>
      </c>
      <c r="G1641" s="13">
        <v>38.08</v>
      </c>
      <c r="H1641" s="44">
        <v>0</v>
      </c>
      <c r="I1641" s="13">
        <v>38.08</v>
      </c>
      <c r="J1641" s="24">
        <v>45875</v>
      </c>
      <c r="K1641" s="25">
        <v>0</v>
      </c>
      <c r="L1641" s="25">
        <v>1.6</v>
      </c>
      <c r="M1641" s="13" t="b">
        <v>0</v>
      </c>
      <c r="O1641" s="25">
        <f t="shared" si="100"/>
        <v>27</v>
      </c>
      <c r="P1641" s="13">
        <f t="shared" si="101"/>
        <v>0</v>
      </c>
      <c r="Q1641" s="13" t="str">
        <f t="shared" si="102"/>
        <v/>
      </c>
      <c r="R1641" s="13" t="str">
        <f t="shared" si="103"/>
        <v>Non diskon</v>
      </c>
    </row>
    <row r="1642" spans="1:18" x14ac:dyDescent="0.25">
      <c r="A1642" s="13" t="s">
        <v>1654</v>
      </c>
      <c r="B1642" s="13" t="s">
        <v>2190</v>
      </c>
      <c r="C1642" s="13" t="s">
        <v>2201</v>
      </c>
      <c r="D1642" s="13" t="s">
        <v>2204</v>
      </c>
      <c r="E1642" s="13" t="s">
        <v>2211</v>
      </c>
      <c r="F1642" s="13" t="s">
        <v>2221</v>
      </c>
      <c r="G1642" s="13">
        <v>123.04</v>
      </c>
      <c r="H1642" s="44">
        <v>0</v>
      </c>
      <c r="I1642" s="13">
        <v>123.04</v>
      </c>
      <c r="J1642" s="24">
        <v>45752</v>
      </c>
      <c r="K1642" s="25">
        <v>13</v>
      </c>
      <c r="L1642" s="25">
        <v>1.2</v>
      </c>
      <c r="M1642" s="13" t="b">
        <v>0</v>
      </c>
      <c r="O1642" s="25">
        <f t="shared" si="100"/>
        <v>150</v>
      </c>
      <c r="P1642" s="13">
        <f t="shared" si="101"/>
        <v>0</v>
      </c>
      <c r="Q1642" s="13" t="str">
        <f t="shared" si="102"/>
        <v/>
      </c>
      <c r="R1642" s="13" t="str">
        <f t="shared" si="103"/>
        <v>Non diskon</v>
      </c>
    </row>
    <row r="1643" spans="1:18" x14ac:dyDescent="0.25">
      <c r="A1643" s="13" t="s">
        <v>1655</v>
      </c>
      <c r="B1643" s="13" t="s">
        <v>2192</v>
      </c>
      <c r="C1643" s="13" t="s">
        <v>2197</v>
      </c>
      <c r="D1643" s="13" t="s">
        <v>2207</v>
      </c>
      <c r="F1643" s="13" t="s">
        <v>2215</v>
      </c>
      <c r="G1643" s="13">
        <v>39.94</v>
      </c>
      <c r="H1643" s="44">
        <v>0</v>
      </c>
      <c r="I1643" s="13">
        <v>39.94</v>
      </c>
      <c r="J1643" s="24">
        <v>45875</v>
      </c>
      <c r="K1643" s="25">
        <v>32</v>
      </c>
      <c r="L1643" s="25">
        <v>3.1</v>
      </c>
      <c r="M1643" s="13" t="b">
        <v>0</v>
      </c>
      <c r="O1643" s="25">
        <f t="shared" si="100"/>
        <v>27</v>
      </c>
      <c r="P1643" s="13">
        <f t="shared" si="101"/>
        <v>0</v>
      </c>
      <c r="Q1643" s="13" t="str">
        <f t="shared" si="102"/>
        <v/>
      </c>
      <c r="R1643" s="13" t="str">
        <f t="shared" si="103"/>
        <v>Non diskon</v>
      </c>
    </row>
    <row r="1644" spans="1:18" x14ac:dyDescent="0.25">
      <c r="A1644" s="13" t="s">
        <v>1656</v>
      </c>
      <c r="B1644" s="13" t="s">
        <v>2195</v>
      </c>
      <c r="C1644" s="13" t="s">
        <v>2200</v>
      </c>
      <c r="D1644" s="13" t="s">
        <v>2207</v>
      </c>
      <c r="E1644" s="13" t="s">
        <v>2213</v>
      </c>
      <c r="F1644" s="13" t="s">
        <v>2218</v>
      </c>
      <c r="G1644" s="13">
        <v>80.19</v>
      </c>
      <c r="H1644" s="44">
        <v>0</v>
      </c>
      <c r="I1644" s="13">
        <v>80.19</v>
      </c>
      <c r="J1644" s="24">
        <v>45875</v>
      </c>
      <c r="K1644" s="25">
        <v>43</v>
      </c>
      <c r="L1644" s="25">
        <v>3.8</v>
      </c>
      <c r="M1644" s="13" t="b">
        <v>0</v>
      </c>
      <c r="O1644" s="25">
        <f t="shared" si="100"/>
        <v>27</v>
      </c>
      <c r="P1644" s="13">
        <f t="shared" si="101"/>
        <v>0</v>
      </c>
      <c r="Q1644" s="13" t="str">
        <f t="shared" si="102"/>
        <v/>
      </c>
      <c r="R1644" s="13" t="str">
        <f t="shared" si="103"/>
        <v>Non diskon</v>
      </c>
    </row>
    <row r="1645" spans="1:18" x14ac:dyDescent="0.25">
      <c r="A1645" s="13" t="s">
        <v>1657</v>
      </c>
      <c r="B1645" s="13" t="s">
        <v>2191</v>
      </c>
      <c r="C1645" s="13" t="s">
        <v>2197</v>
      </c>
      <c r="D1645" s="13" t="s">
        <v>2204</v>
      </c>
      <c r="E1645" s="13" t="s">
        <v>2211</v>
      </c>
      <c r="F1645" s="13" t="s">
        <v>2223</v>
      </c>
      <c r="G1645" s="13">
        <v>35.03</v>
      </c>
      <c r="H1645" s="44">
        <v>10.1</v>
      </c>
      <c r="I1645" s="13">
        <v>31.49</v>
      </c>
      <c r="J1645" s="24">
        <v>45807</v>
      </c>
      <c r="K1645" s="25">
        <v>5</v>
      </c>
      <c r="L1645" s="25">
        <v>3.8</v>
      </c>
      <c r="M1645" s="13" t="b">
        <v>0</v>
      </c>
      <c r="O1645" s="25">
        <f t="shared" si="100"/>
        <v>95</v>
      </c>
      <c r="P1645" s="13">
        <f t="shared" si="101"/>
        <v>50.5</v>
      </c>
      <c r="Q1645" s="13" t="str">
        <f t="shared" si="102"/>
        <v/>
      </c>
      <c r="R1645" s="13" t="str">
        <f t="shared" si="103"/>
        <v>Diskon</v>
      </c>
    </row>
    <row r="1646" spans="1:18" x14ac:dyDescent="0.25">
      <c r="A1646" s="13" t="s">
        <v>1658</v>
      </c>
      <c r="B1646" s="13" t="s">
        <v>2191</v>
      </c>
      <c r="C1646" s="13" t="s">
        <v>2200</v>
      </c>
      <c r="D1646" s="13" t="s">
        <v>2207</v>
      </c>
      <c r="E1646" s="13" t="s">
        <v>2213</v>
      </c>
      <c r="F1646" s="13" t="s">
        <v>2216</v>
      </c>
      <c r="G1646" s="13">
        <v>27.64</v>
      </c>
      <c r="H1646" s="44">
        <v>29</v>
      </c>
      <c r="I1646" s="13">
        <v>19.62</v>
      </c>
      <c r="J1646" s="24">
        <v>45875</v>
      </c>
      <c r="K1646" s="25">
        <v>19</v>
      </c>
      <c r="L1646" s="25">
        <v>1</v>
      </c>
      <c r="M1646" s="13" t="b">
        <v>0</v>
      </c>
      <c r="O1646" s="25">
        <f t="shared" si="100"/>
        <v>27</v>
      </c>
      <c r="P1646" s="13">
        <f t="shared" si="101"/>
        <v>551</v>
      </c>
      <c r="Q1646" s="13" t="str">
        <f t="shared" si="102"/>
        <v/>
      </c>
      <c r="R1646" s="13" t="str">
        <f t="shared" si="103"/>
        <v>Diskon</v>
      </c>
    </row>
    <row r="1647" spans="1:18" x14ac:dyDescent="0.25">
      <c r="A1647" s="13" t="s">
        <v>1659</v>
      </c>
      <c r="B1647" s="13" t="s">
        <v>2190</v>
      </c>
      <c r="C1647" s="13" t="s">
        <v>2199</v>
      </c>
      <c r="D1647" s="13" t="s">
        <v>2204</v>
      </c>
      <c r="E1647" s="13" t="s">
        <v>2213</v>
      </c>
      <c r="F1647" s="13" t="s">
        <v>2222</v>
      </c>
      <c r="G1647" s="13">
        <v>187.63</v>
      </c>
      <c r="H1647" s="44">
        <v>0</v>
      </c>
      <c r="I1647" s="13">
        <v>187.63</v>
      </c>
      <c r="J1647" s="24">
        <v>45772</v>
      </c>
      <c r="K1647" s="25">
        <v>25</v>
      </c>
      <c r="L1647" s="25">
        <v>1.8</v>
      </c>
      <c r="M1647" s="13" t="b">
        <v>0</v>
      </c>
      <c r="O1647" s="25">
        <f t="shared" si="100"/>
        <v>130</v>
      </c>
      <c r="P1647" s="13">
        <f t="shared" si="101"/>
        <v>0</v>
      </c>
      <c r="Q1647" s="13" t="str">
        <f t="shared" si="102"/>
        <v/>
      </c>
      <c r="R1647" s="13" t="str">
        <f t="shared" si="103"/>
        <v>Non diskon</v>
      </c>
    </row>
    <row r="1648" spans="1:18" x14ac:dyDescent="0.25">
      <c r="A1648" s="13" t="s">
        <v>1660</v>
      </c>
      <c r="B1648" s="13" t="s">
        <v>2190</v>
      </c>
      <c r="C1648" s="13" t="s">
        <v>2200</v>
      </c>
      <c r="D1648" s="13" t="s">
        <v>2205</v>
      </c>
      <c r="E1648" s="13" t="s">
        <v>2211</v>
      </c>
      <c r="F1648" s="13" t="s">
        <v>2216</v>
      </c>
      <c r="G1648" s="13">
        <v>193.17</v>
      </c>
      <c r="H1648" s="44">
        <v>34.6</v>
      </c>
      <c r="I1648" s="13">
        <v>126.33</v>
      </c>
      <c r="J1648" s="24">
        <v>45875</v>
      </c>
      <c r="K1648" s="25">
        <v>26</v>
      </c>
      <c r="L1648" s="25">
        <v>2.9228571428571426</v>
      </c>
      <c r="M1648" s="13" t="b">
        <v>0</v>
      </c>
      <c r="O1648" s="25">
        <f t="shared" si="100"/>
        <v>27</v>
      </c>
      <c r="P1648" s="13">
        <f t="shared" si="101"/>
        <v>899.6</v>
      </c>
      <c r="Q1648" s="13" t="str">
        <f t="shared" si="102"/>
        <v/>
      </c>
      <c r="R1648" s="13" t="str">
        <f t="shared" si="103"/>
        <v>Diskon</v>
      </c>
    </row>
    <row r="1649" spans="1:18" x14ac:dyDescent="0.25">
      <c r="A1649" s="13" t="s">
        <v>1661</v>
      </c>
      <c r="B1649" s="13" t="s">
        <v>2193</v>
      </c>
      <c r="C1649" s="13" t="s">
        <v>2198</v>
      </c>
      <c r="D1649" s="13" t="s">
        <v>2204</v>
      </c>
      <c r="E1649" s="13" t="s">
        <v>2213</v>
      </c>
      <c r="F1649" s="13" t="s">
        <v>2216</v>
      </c>
      <c r="G1649" s="13">
        <v>157.78</v>
      </c>
      <c r="H1649" s="44">
        <v>40.200000000000003</v>
      </c>
      <c r="I1649" s="13">
        <v>94.35</v>
      </c>
      <c r="J1649" s="24">
        <v>45871</v>
      </c>
      <c r="K1649" s="25">
        <v>23</v>
      </c>
      <c r="L1649" s="25">
        <v>3.1</v>
      </c>
      <c r="M1649" s="13" t="b">
        <v>0</v>
      </c>
      <c r="O1649" s="25">
        <f t="shared" si="100"/>
        <v>31</v>
      </c>
      <c r="P1649" s="13">
        <f t="shared" si="101"/>
        <v>924.6</v>
      </c>
      <c r="Q1649" s="13" t="str">
        <f t="shared" si="102"/>
        <v/>
      </c>
      <c r="R1649" s="13" t="str">
        <f t="shared" si="103"/>
        <v>Diskon</v>
      </c>
    </row>
    <row r="1650" spans="1:18" x14ac:dyDescent="0.25">
      <c r="A1650" s="13" t="s">
        <v>1662</v>
      </c>
      <c r="B1650" s="13" t="s">
        <v>2193</v>
      </c>
      <c r="C1650" s="13" t="s">
        <v>2196</v>
      </c>
      <c r="D1650" s="13" t="s">
        <v>2205</v>
      </c>
      <c r="E1650" s="13" t="s">
        <v>2209</v>
      </c>
      <c r="F1650" s="13" t="s">
        <v>2216</v>
      </c>
      <c r="G1650" s="13">
        <v>119.14</v>
      </c>
      <c r="H1650" s="44">
        <v>7.8</v>
      </c>
      <c r="I1650" s="13">
        <v>109.85</v>
      </c>
      <c r="J1650" s="24">
        <v>45875</v>
      </c>
      <c r="K1650" s="25">
        <v>20</v>
      </c>
      <c r="L1650" s="25">
        <v>3.1</v>
      </c>
      <c r="M1650" s="13" t="b">
        <v>0</v>
      </c>
      <c r="O1650" s="25">
        <f t="shared" si="100"/>
        <v>27</v>
      </c>
      <c r="P1650" s="13">
        <f t="shared" si="101"/>
        <v>156</v>
      </c>
      <c r="Q1650" s="13" t="str">
        <f t="shared" si="102"/>
        <v/>
      </c>
      <c r="R1650" s="13" t="str">
        <f t="shared" si="103"/>
        <v>Diskon</v>
      </c>
    </row>
    <row r="1651" spans="1:18" x14ac:dyDescent="0.25">
      <c r="A1651" s="13" t="s">
        <v>1663</v>
      </c>
      <c r="B1651" s="13" t="s">
        <v>2195</v>
      </c>
      <c r="C1651" s="13" t="s">
        <v>2203</v>
      </c>
      <c r="D1651" s="13" t="s">
        <v>2205</v>
      </c>
      <c r="E1651" s="13" t="s">
        <v>2213</v>
      </c>
      <c r="F1651" s="13" t="s">
        <v>2217</v>
      </c>
      <c r="G1651" s="13">
        <v>150.08000000000001</v>
      </c>
      <c r="H1651" s="44">
        <v>4.8</v>
      </c>
      <c r="I1651" s="13">
        <v>142.88</v>
      </c>
      <c r="J1651" s="24">
        <v>45875</v>
      </c>
      <c r="K1651" s="25">
        <v>24</v>
      </c>
      <c r="L1651" s="25">
        <v>1.7</v>
      </c>
      <c r="M1651" s="13" t="b">
        <v>0</v>
      </c>
      <c r="O1651" s="25">
        <f t="shared" si="100"/>
        <v>27</v>
      </c>
      <c r="P1651" s="13">
        <f t="shared" si="101"/>
        <v>115.19999999999999</v>
      </c>
      <c r="Q1651" s="13" t="str">
        <f t="shared" si="102"/>
        <v/>
      </c>
      <c r="R1651" s="13" t="str">
        <f t="shared" si="103"/>
        <v>Diskon</v>
      </c>
    </row>
    <row r="1652" spans="1:18" x14ac:dyDescent="0.25">
      <c r="A1652" s="13" t="s">
        <v>1664</v>
      </c>
      <c r="B1652" s="13" t="s">
        <v>2195</v>
      </c>
      <c r="C1652" s="13" t="s">
        <v>2197</v>
      </c>
      <c r="D1652" s="13" t="s">
        <v>2207</v>
      </c>
      <c r="E1652" s="13" t="s">
        <v>2209</v>
      </c>
      <c r="F1652" s="13" t="s">
        <v>2219</v>
      </c>
      <c r="G1652" s="13">
        <v>153.18</v>
      </c>
      <c r="H1652" s="44">
        <v>0</v>
      </c>
      <c r="I1652" s="13">
        <v>153.18</v>
      </c>
      <c r="J1652" s="24">
        <v>45875</v>
      </c>
      <c r="K1652" s="25">
        <v>26</v>
      </c>
      <c r="L1652" s="25">
        <v>1.1000000000000001</v>
      </c>
      <c r="M1652" s="13" t="b">
        <v>0</v>
      </c>
      <c r="O1652" s="25">
        <f t="shared" si="100"/>
        <v>27</v>
      </c>
      <c r="P1652" s="13">
        <f t="shared" si="101"/>
        <v>0</v>
      </c>
      <c r="Q1652" s="13" t="str">
        <f t="shared" si="102"/>
        <v/>
      </c>
      <c r="R1652" s="13" t="str">
        <f t="shared" si="103"/>
        <v>Non diskon</v>
      </c>
    </row>
    <row r="1653" spans="1:18" x14ac:dyDescent="0.25">
      <c r="A1653" s="13" t="s">
        <v>1665</v>
      </c>
      <c r="B1653" s="13" t="s">
        <v>2191</v>
      </c>
      <c r="C1653" s="13" t="s">
        <v>2198</v>
      </c>
      <c r="D1653" s="13" t="s">
        <v>2205</v>
      </c>
      <c r="E1653" s="13" t="s">
        <v>2210</v>
      </c>
      <c r="F1653" s="13" t="s">
        <v>2215</v>
      </c>
      <c r="G1653" s="13">
        <v>118.69</v>
      </c>
      <c r="H1653" s="44">
        <v>47.7</v>
      </c>
      <c r="I1653" s="13">
        <v>62.07</v>
      </c>
      <c r="J1653" s="24">
        <v>45875</v>
      </c>
      <c r="K1653" s="25">
        <v>11</v>
      </c>
      <c r="L1653" s="25">
        <v>2.8</v>
      </c>
      <c r="M1653" s="13" t="b">
        <v>0</v>
      </c>
      <c r="O1653" s="25">
        <f t="shared" si="100"/>
        <v>27</v>
      </c>
      <c r="P1653" s="13">
        <f t="shared" si="101"/>
        <v>524.70000000000005</v>
      </c>
      <c r="Q1653" s="13" t="str">
        <f t="shared" si="102"/>
        <v/>
      </c>
      <c r="R1653" s="13" t="str">
        <f t="shared" si="103"/>
        <v>Diskon</v>
      </c>
    </row>
    <row r="1654" spans="1:18" x14ac:dyDescent="0.25">
      <c r="A1654" s="13" t="s">
        <v>1666</v>
      </c>
      <c r="B1654" s="13" t="s">
        <v>2192</v>
      </c>
      <c r="C1654" s="13" t="s">
        <v>2200</v>
      </c>
      <c r="D1654" s="13" t="s">
        <v>2204</v>
      </c>
      <c r="F1654" s="13" t="s">
        <v>2222</v>
      </c>
      <c r="G1654" s="13">
        <v>50.12</v>
      </c>
      <c r="H1654" s="44">
        <v>0</v>
      </c>
      <c r="I1654" s="13">
        <v>50.12</v>
      </c>
      <c r="J1654" s="24">
        <v>45725</v>
      </c>
      <c r="K1654" s="25">
        <v>27</v>
      </c>
      <c r="L1654" s="25">
        <v>2.4</v>
      </c>
      <c r="M1654" s="13" t="b">
        <v>0</v>
      </c>
      <c r="O1654" s="25">
        <f t="shared" si="100"/>
        <v>177</v>
      </c>
      <c r="P1654" s="13">
        <f t="shared" si="101"/>
        <v>0</v>
      </c>
      <c r="Q1654" s="13" t="str">
        <f t="shared" si="102"/>
        <v/>
      </c>
      <c r="R1654" s="13" t="str">
        <f t="shared" si="103"/>
        <v>Non diskon</v>
      </c>
    </row>
    <row r="1655" spans="1:18" x14ac:dyDescent="0.25">
      <c r="A1655" s="13" t="s">
        <v>1667</v>
      </c>
      <c r="B1655" s="13" t="s">
        <v>2195</v>
      </c>
      <c r="C1655" s="13" t="s">
        <v>2202</v>
      </c>
      <c r="D1655" s="13" t="s">
        <v>2204</v>
      </c>
      <c r="E1655" s="13" t="s">
        <v>2212</v>
      </c>
      <c r="F1655" s="13" t="s">
        <v>2219</v>
      </c>
      <c r="G1655" s="13">
        <v>93.68</v>
      </c>
      <c r="H1655" s="44">
        <v>59.5</v>
      </c>
      <c r="I1655" s="13">
        <v>37.94</v>
      </c>
      <c r="J1655" s="24">
        <v>45771</v>
      </c>
      <c r="K1655" s="25">
        <v>21</v>
      </c>
      <c r="L1655" s="25">
        <v>2.980952380952381</v>
      </c>
      <c r="M1655" s="13" t="b">
        <v>0</v>
      </c>
      <c r="O1655" s="25">
        <f t="shared" si="100"/>
        <v>131</v>
      </c>
      <c r="P1655" s="13">
        <f t="shared" si="101"/>
        <v>1249.5</v>
      </c>
      <c r="Q1655" s="13" t="str">
        <f t="shared" si="102"/>
        <v/>
      </c>
      <c r="R1655" s="13" t="str">
        <f t="shared" si="103"/>
        <v>Diskon</v>
      </c>
    </row>
    <row r="1656" spans="1:18" x14ac:dyDescent="0.25">
      <c r="A1656" s="13" t="s">
        <v>1668</v>
      </c>
      <c r="B1656" s="13" t="s">
        <v>2191</v>
      </c>
      <c r="C1656" s="13" t="s">
        <v>2197</v>
      </c>
      <c r="D1656" s="13" t="s">
        <v>2207</v>
      </c>
      <c r="E1656" s="13" t="s">
        <v>2210</v>
      </c>
      <c r="F1656" s="13" t="s">
        <v>2214</v>
      </c>
      <c r="G1656" s="13">
        <v>50.49</v>
      </c>
      <c r="H1656" s="44">
        <v>0</v>
      </c>
      <c r="I1656" s="13">
        <v>50.49</v>
      </c>
      <c r="J1656" s="24">
        <v>45875</v>
      </c>
      <c r="K1656" s="25">
        <v>30</v>
      </c>
      <c r="L1656" s="25">
        <v>4.0999999999999996</v>
      </c>
      <c r="M1656" s="13" t="b">
        <v>0</v>
      </c>
      <c r="O1656" s="25">
        <f t="shared" si="100"/>
        <v>27</v>
      </c>
      <c r="P1656" s="13">
        <f t="shared" si="101"/>
        <v>0</v>
      </c>
      <c r="Q1656" s="13" t="str">
        <f t="shared" si="102"/>
        <v/>
      </c>
      <c r="R1656" s="13" t="str">
        <f t="shared" si="103"/>
        <v>Non diskon</v>
      </c>
    </row>
    <row r="1657" spans="1:18" x14ac:dyDescent="0.25">
      <c r="A1657" s="13" t="s">
        <v>1669</v>
      </c>
      <c r="B1657" s="13" t="s">
        <v>2193</v>
      </c>
      <c r="C1657" s="13" t="s">
        <v>2199</v>
      </c>
      <c r="D1657" s="13" t="s">
        <v>2207</v>
      </c>
      <c r="E1657" s="13" t="s">
        <v>2212</v>
      </c>
      <c r="F1657" s="13" t="s">
        <v>2217</v>
      </c>
      <c r="G1657" s="13">
        <v>97.9</v>
      </c>
      <c r="H1657" s="44">
        <v>0</v>
      </c>
      <c r="I1657" s="13">
        <v>97.9</v>
      </c>
      <c r="J1657" s="24">
        <v>45875</v>
      </c>
      <c r="K1657" s="25">
        <v>29</v>
      </c>
      <c r="L1657" s="25">
        <v>1.3</v>
      </c>
      <c r="M1657" s="13" t="b">
        <v>0</v>
      </c>
      <c r="O1657" s="25">
        <f t="shared" si="100"/>
        <v>27</v>
      </c>
      <c r="P1657" s="13">
        <f t="shared" si="101"/>
        <v>0</v>
      </c>
      <c r="Q1657" s="13" t="str">
        <f t="shared" si="102"/>
        <v/>
      </c>
      <c r="R1657" s="13" t="str">
        <f t="shared" si="103"/>
        <v>Non diskon</v>
      </c>
    </row>
    <row r="1658" spans="1:18" x14ac:dyDescent="0.25">
      <c r="A1658" s="13" t="s">
        <v>1670</v>
      </c>
      <c r="B1658" s="13" t="s">
        <v>2191</v>
      </c>
      <c r="C1658" s="13" t="s">
        <v>2197</v>
      </c>
      <c r="D1658" s="13" t="s">
        <v>2207</v>
      </c>
      <c r="E1658" s="13" t="s">
        <v>2210</v>
      </c>
      <c r="F1658" s="13" t="s">
        <v>2218</v>
      </c>
      <c r="G1658" s="13">
        <v>69</v>
      </c>
      <c r="H1658" s="44">
        <v>0</v>
      </c>
      <c r="I1658" s="13">
        <v>69</v>
      </c>
      <c r="J1658" s="24">
        <v>45875</v>
      </c>
      <c r="K1658" s="25">
        <v>32</v>
      </c>
      <c r="L1658" s="25">
        <v>4.5</v>
      </c>
      <c r="M1658" s="13" t="b">
        <v>0</v>
      </c>
      <c r="O1658" s="25">
        <f t="shared" si="100"/>
        <v>27</v>
      </c>
      <c r="P1658" s="13">
        <f t="shared" si="101"/>
        <v>0</v>
      </c>
      <c r="Q1658" s="13" t="str">
        <f t="shared" si="102"/>
        <v/>
      </c>
      <c r="R1658" s="13" t="str">
        <f t="shared" si="103"/>
        <v>Non diskon</v>
      </c>
    </row>
    <row r="1659" spans="1:18" x14ac:dyDescent="0.25">
      <c r="A1659" s="13" t="s">
        <v>1671</v>
      </c>
      <c r="B1659" s="13" t="s">
        <v>2192</v>
      </c>
      <c r="C1659" s="13" t="s">
        <v>2199</v>
      </c>
      <c r="D1659" s="13" t="s">
        <v>2206</v>
      </c>
      <c r="F1659" s="13" t="s">
        <v>2223</v>
      </c>
      <c r="G1659" s="13">
        <v>30.2</v>
      </c>
      <c r="H1659" s="44">
        <v>27.1</v>
      </c>
      <c r="I1659" s="13">
        <v>22.02</v>
      </c>
      <c r="J1659" s="24">
        <v>45875</v>
      </c>
      <c r="K1659" s="25">
        <v>15</v>
      </c>
      <c r="L1659" s="25">
        <v>2.5131578947368416</v>
      </c>
      <c r="M1659" s="13" t="b">
        <v>0</v>
      </c>
      <c r="O1659" s="25">
        <f t="shared" si="100"/>
        <v>27</v>
      </c>
      <c r="P1659" s="13">
        <f t="shared" si="101"/>
        <v>406.5</v>
      </c>
      <c r="Q1659" s="13" t="str">
        <f t="shared" si="102"/>
        <v/>
      </c>
      <c r="R1659" s="13" t="str">
        <f t="shared" si="103"/>
        <v>Diskon</v>
      </c>
    </row>
    <row r="1660" spans="1:18" x14ac:dyDescent="0.25">
      <c r="A1660" s="13" t="s">
        <v>1672</v>
      </c>
      <c r="B1660" s="13" t="s">
        <v>2191</v>
      </c>
      <c r="C1660" s="13" t="s">
        <v>2198</v>
      </c>
      <c r="D1660" s="13" t="s">
        <v>2205</v>
      </c>
      <c r="E1660" s="13" t="s">
        <v>2209</v>
      </c>
      <c r="F1660" s="13" t="s">
        <v>2221</v>
      </c>
      <c r="G1660" s="13">
        <v>84.92</v>
      </c>
      <c r="H1660" s="44">
        <v>59.1</v>
      </c>
      <c r="I1660" s="13">
        <v>34.729999999999997</v>
      </c>
      <c r="J1660" s="24">
        <v>45875</v>
      </c>
      <c r="K1660" s="25">
        <v>42</v>
      </c>
      <c r="L1660" s="25">
        <v>2.953125</v>
      </c>
      <c r="M1660" s="13" t="b">
        <v>0</v>
      </c>
      <c r="O1660" s="25">
        <f t="shared" si="100"/>
        <v>27</v>
      </c>
      <c r="P1660" s="13">
        <f t="shared" si="101"/>
        <v>2482.2000000000003</v>
      </c>
      <c r="Q1660" s="13" t="str">
        <f t="shared" si="102"/>
        <v/>
      </c>
      <c r="R1660" s="13" t="str">
        <f t="shared" si="103"/>
        <v>Diskon</v>
      </c>
    </row>
    <row r="1661" spans="1:18" x14ac:dyDescent="0.25">
      <c r="A1661" s="13" t="s">
        <v>1673</v>
      </c>
      <c r="B1661" s="13" t="s">
        <v>2191</v>
      </c>
      <c r="C1661" s="13" t="s">
        <v>2203</v>
      </c>
      <c r="D1661" s="13" t="s">
        <v>2206</v>
      </c>
      <c r="E1661" s="13" t="s">
        <v>2212</v>
      </c>
      <c r="F1661" s="13" t="s">
        <v>2217</v>
      </c>
      <c r="G1661" s="13">
        <v>116.48</v>
      </c>
      <c r="H1661" s="44">
        <v>0</v>
      </c>
      <c r="I1661" s="13">
        <v>116.48</v>
      </c>
      <c r="J1661" s="24">
        <v>45875</v>
      </c>
      <c r="K1661" s="25">
        <v>3</v>
      </c>
      <c r="L1661" s="25">
        <v>1.5</v>
      </c>
      <c r="M1661" s="13" t="b">
        <v>0</v>
      </c>
      <c r="O1661" s="25">
        <f t="shared" si="100"/>
        <v>27</v>
      </c>
      <c r="P1661" s="13">
        <f t="shared" si="101"/>
        <v>0</v>
      </c>
      <c r="Q1661" s="13" t="str">
        <f t="shared" si="102"/>
        <v/>
      </c>
      <c r="R1661" s="13" t="str">
        <f t="shared" si="103"/>
        <v>Non diskon</v>
      </c>
    </row>
    <row r="1662" spans="1:18" x14ac:dyDescent="0.25">
      <c r="A1662" s="13" t="s">
        <v>1674</v>
      </c>
      <c r="B1662" s="13" t="s">
        <v>2191</v>
      </c>
      <c r="C1662" s="13" t="s">
        <v>2200</v>
      </c>
      <c r="D1662" s="13" t="s">
        <v>2207</v>
      </c>
      <c r="E1662" s="13" t="s">
        <v>2208</v>
      </c>
      <c r="F1662" s="13" t="s">
        <v>2222</v>
      </c>
      <c r="G1662" s="13">
        <v>40.68</v>
      </c>
      <c r="H1662" s="44">
        <v>0</v>
      </c>
      <c r="I1662" s="13">
        <v>40.68</v>
      </c>
      <c r="J1662" s="24">
        <v>45875</v>
      </c>
      <c r="K1662" s="25">
        <v>41</v>
      </c>
      <c r="L1662" s="25">
        <v>1.1000000000000001</v>
      </c>
      <c r="M1662" s="13" t="b">
        <v>1</v>
      </c>
      <c r="N1662" s="13" t="s">
        <v>2229</v>
      </c>
      <c r="O1662" s="25">
        <f t="shared" si="100"/>
        <v>27</v>
      </c>
      <c r="P1662" s="13">
        <f t="shared" si="101"/>
        <v>0</v>
      </c>
      <c r="Q1662" s="13">
        <f t="shared" si="102"/>
        <v>1</v>
      </c>
      <c r="R1662" s="13" t="str">
        <f t="shared" si="103"/>
        <v>Non diskon</v>
      </c>
    </row>
    <row r="1663" spans="1:18" x14ac:dyDescent="0.25">
      <c r="A1663" s="13" t="s">
        <v>1675</v>
      </c>
      <c r="B1663" s="13" t="s">
        <v>2190</v>
      </c>
      <c r="C1663" s="13" t="s">
        <v>2201</v>
      </c>
      <c r="D1663" s="13" t="s">
        <v>2207</v>
      </c>
      <c r="E1663" s="13" t="s">
        <v>2208</v>
      </c>
      <c r="F1663" s="13" t="s">
        <v>2216</v>
      </c>
      <c r="G1663" s="13">
        <v>118.92</v>
      </c>
      <c r="H1663" s="44">
        <v>0</v>
      </c>
      <c r="I1663" s="13">
        <v>118.92</v>
      </c>
      <c r="J1663" s="24">
        <v>45875</v>
      </c>
      <c r="K1663" s="25">
        <v>36</v>
      </c>
      <c r="L1663" s="25">
        <v>1.8</v>
      </c>
      <c r="M1663" s="13" t="b">
        <v>1</v>
      </c>
      <c r="N1663" s="13" t="s">
        <v>2230</v>
      </c>
      <c r="O1663" s="25">
        <f t="shared" si="100"/>
        <v>27</v>
      </c>
      <c r="P1663" s="13">
        <f t="shared" si="101"/>
        <v>0</v>
      </c>
      <c r="Q1663" s="13">
        <f t="shared" si="102"/>
        <v>1</v>
      </c>
      <c r="R1663" s="13" t="str">
        <f t="shared" si="103"/>
        <v>Non diskon</v>
      </c>
    </row>
    <row r="1664" spans="1:18" x14ac:dyDescent="0.25">
      <c r="A1664" s="13" t="s">
        <v>1676</v>
      </c>
      <c r="B1664" s="13" t="s">
        <v>2194</v>
      </c>
      <c r="C1664" s="13" t="s">
        <v>2201</v>
      </c>
      <c r="D1664" s="13" t="s">
        <v>2207</v>
      </c>
      <c r="E1664" s="13" t="s">
        <v>2211</v>
      </c>
      <c r="F1664" s="13" t="s">
        <v>2216</v>
      </c>
      <c r="G1664" s="13">
        <v>26.86</v>
      </c>
      <c r="H1664" s="44">
        <v>0</v>
      </c>
      <c r="I1664" s="13">
        <v>26.86</v>
      </c>
      <c r="J1664" s="24">
        <v>45875</v>
      </c>
      <c r="K1664" s="25">
        <v>18</v>
      </c>
      <c r="L1664" s="25">
        <v>3.2</v>
      </c>
      <c r="M1664" s="13" t="b">
        <v>0</v>
      </c>
      <c r="O1664" s="25">
        <f t="shared" si="100"/>
        <v>27</v>
      </c>
      <c r="P1664" s="13">
        <f t="shared" si="101"/>
        <v>0</v>
      </c>
      <c r="Q1664" s="13" t="str">
        <f t="shared" si="102"/>
        <v/>
      </c>
      <c r="R1664" s="13" t="str">
        <f t="shared" si="103"/>
        <v>Non diskon</v>
      </c>
    </row>
    <row r="1665" spans="1:18" x14ac:dyDescent="0.25">
      <c r="A1665" s="13" t="s">
        <v>1677</v>
      </c>
      <c r="B1665" s="13" t="s">
        <v>2195</v>
      </c>
      <c r="C1665" s="13" t="s">
        <v>2198</v>
      </c>
      <c r="D1665" s="13" t="s">
        <v>2206</v>
      </c>
      <c r="E1665" s="13" t="s">
        <v>2210</v>
      </c>
      <c r="F1665" s="13" t="s">
        <v>2220</v>
      </c>
      <c r="G1665" s="13">
        <v>113.34</v>
      </c>
      <c r="H1665" s="44">
        <v>0</v>
      </c>
      <c r="I1665" s="13">
        <v>113.34</v>
      </c>
      <c r="J1665" s="24">
        <v>45875</v>
      </c>
      <c r="K1665" s="25">
        <v>13</v>
      </c>
      <c r="L1665" s="25">
        <v>2.9000000000000008</v>
      </c>
      <c r="M1665" s="13" t="b">
        <v>0</v>
      </c>
      <c r="O1665" s="25">
        <f t="shared" si="100"/>
        <v>27</v>
      </c>
      <c r="P1665" s="13">
        <f t="shared" si="101"/>
        <v>0</v>
      </c>
      <c r="Q1665" s="13" t="str">
        <f t="shared" si="102"/>
        <v/>
      </c>
      <c r="R1665" s="13" t="str">
        <f t="shared" si="103"/>
        <v>Non diskon</v>
      </c>
    </row>
    <row r="1666" spans="1:18" x14ac:dyDescent="0.25">
      <c r="A1666" s="13" t="s">
        <v>1678</v>
      </c>
      <c r="B1666" s="13" t="s">
        <v>2191</v>
      </c>
      <c r="C1666" s="13" t="s">
        <v>2202</v>
      </c>
      <c r="D1666" s="13" t="s">
        <v>2207</v>
      </c>
      <c r="E1666" s="13" t="s">
        <v>2209</v>
      </c>
      <c r="F1666" s="13" t="s">
        <v>2216</v>
      </c>
      <c r="G1666" s="13">
        <v>40.520000000000003</v>
      </c>
      <c r="H1666" s="44">
        <v>8.9</v>
      </c>
      <c r="I1666" s="13">
        <v>36.909999999999997</v>
      </c>
      <c r="J1666" s="24">
        <v>45875</v>
      </c>
      <c r="K1666" s="25">
        <v>13</v>
      </c>
      <c r="L1666" s="25">
        <v>2.5</v>
      </c>
      <c r="M1666" s="13" t="b">
        <v>0</v>
      </c>
      <c r="O1666" s="25">
        <f t="shared" si="100"/>
        <v>27</v>
      </c>
      <c r="P1666" s="13">
        <f t="shared" si="101"/>
        <v>115.7</v>
      </c>
      <c r="Q1666" s="13" t="str">
        <f t="shared" si="102"/>
        <v/>
      </c>
      <c r="R1666" s="13" t="str">
        <f t="shared" si="103"/>
        <v>Diskon</v>
      </c>
    </row>
    <row r="1667" spans="1:18" x14ac:dyDescent="0.25">
      <c r="A1667" s="13" t="s">
        <v>1679</v>
      </c>
      <c r="B1667" s="13" t="s">
        <v>2194</v>
      </c>
      <c r="C1667" s="13" t="s">
        <v>2203</v>
      </c>
      <c r="D1667" s="13" t="s">
        <v>2207</v>
      </c>
      <c r="E1667" s="13" t="s">
        <v>2209</v>
      </c>
      <c r="F1667" s="13" t="s">
        <v>2215</v>
      </c>
      <c r="G1667" s="13">
        <v>98.41</v>
      </c>
      <c r="H1667" s="44">
        <v>0</v>
      </c>
      <c r="I1667" s="13">
        <v>98.41</v>
      </c>
      <c r="J1667" s="24">
        <v>45875</v>
      </c>
      <c r="K1667" s="25">
        <v>7</v>
      </c>
      <c r="L1667" s="25">
        <v>4.5999999999999996</v>
      </c>
      <c r="M1667" s="13" t="b">
        <v>0</v>
      </c>
      <c r="O1667" s="25">
        <f t="shared" ref="O1667:O1730" si="104">DATE(2025,9,2)-J1667</f>
        <v>27</v>
      </c>
      <c r="P1667" s="13">
        <f t="shared" ref="P1667:P1730" si="105">H1667*K1667</f>
        <v>0</v>
      </c>
      <c r="Q1667" s="13" t="str">
        <f t="shared" ref="Q1667:Q1730" si="106">IF(M1667=FALSE,"",1)</f>
        <v/>
      </c>
      <c r="R1667" s="13" t="str">
        <f t="shared" ref="R1667:R1730" si="107">IF(H1667=0,"Non diskon","Diskon")</f>
        <v>Non diskon</v>
      </c>
    </row>
    <row r="1668" spans="1:18" x14ac:dyDescent="0.25">
      <c r="A1668" s="13" t="s">
        <v>1680</v>
      </c>
      <c r="B1668" s="13" t="s">
        <v>2194</v>
      </c>
      <c r="C1668" s="13" t="s">
        <v>2203</v>
      </c>
      <c r="D1668" s="13" t="s">
        <v>2205</v>
      </c>
      <c r="E1668" s="13" t="s">
        <v>2212</v>
      </c>
      <c r="F1668" s="13" t="s">
        <v>2214</v>
      </c>
      <c r="G1668" s="13">
        <v>83.18</v>
      </c>
      <c r="H1668" s="44">
        <v>0</v>
      </c>
      <c r="I1668" s="13">
        <v>83.18</v>
      </c>
      <c r="J1668" s="24">
        <v>45875</v>
      </c>
      <c r="K1668" s="25">
        <v>17</v>
      </c>
      <c r="L1668" s="25">
        <v>1.7</v>
      </c>
      <c r="M1668" s="13" t="b">
        <v>1</v>
      </c>
      <c r="N1668" s="13" t="s">
        <v>2226</v>
      </c>
      <c r="O1668" s="25">
        <f t="shared" si="104"/>
        <v>27</v>
      </c>
      <c r="P1668" s="13">
        <f t="shared" si="105"/>
        <v>0</v>
      </c>
      <c r="Q1668" s="13">
        <f t="shared" si="106"/>
        <v>1</v>
      </c>
      <c r="R1668" s="13" t="str">
        <f t="shared" si="107"/>
        <v>Non diskon</v>
      </c>
    </row>
    <row r="1669" spans="1:18" x14ac:dyDescent="0.25">
      <c r="A1669" s="13" t="s">
        <v>1681</v>
      </c>
      <c r="B1669" s="13" t="s">
        <v>2193</v>
      </c>
      <c r="C1669" s="13" t="s">
        <v>2200</v>
      </c>
      <c r="D1669" s="13" t="s">
        <v>2204</v>
      </c>
      <c r="E1669" s="13" t="s">
        <v>2211</v>
      </c>
      <c r="F1669" s="13" t="s">
        <v>2223</v>
      </c>
      <c r="G1669" s="13">
        <v>179.31</v>
      </c>
      <c r="H1669" s="44">
        <v>24.1</v>
      </c>
      <c r="I1669" s="13">
        <v>136.1</v>
      </c>
      <c r="J1669" s="24">
        <v>45851</v>
      </c>
      <c r="K1669" s="25">
        <v>0</v>
      </c>
      <c r="L1669" s="25">
        <v>3.1</v>
      </c>
      <c r="M1669" s="13" t="b">
        <v>0</v>
      </c>
      <c r="O1669" s="25">
        <f t="shared" si="104"/>
        <v>51</v>
      </c>
      <c r="P1669" s="13">
        <f t="shared" si="105"/>
        <v>0</v>
      </c>
      <c r="Q1669" s="13" t="str">
        <f t="shared" si="106"/>
        <v/>
      </c>
      <c r="R1669" s="13" t="str">
        <f t="shared" si="107"/>
        <v>Diskon</v>
      </c>
    </row>
    <row r="1670" spans="1:18" x14ac:dyDescent="0.25">
      <c r="A1670" s="13" t="s">
        <v>1682</v>
      </c>
      <c r="B1670" s="13" t="s">
        <v>2191</v>
      </c>
      <c r="C1670" s="13" t="s">
        <v>2196</v>
      </c>
      <c r="D1670" s="13" t="s">
        <v>2204</v>
      </c>
      <c r="E1670" s="13" t="s">
        <v>2211</v>
      </c>
      <c r="F1670" s="13" t="s">
        <v>2220</v>
      </c>
      <c r="G1670" s="13">
        <v>47.88</v>
      </c>
      <c r="H1670" s="44">
        <v>0</v>
      </c>
      <c r="I1670" s="13">
        <v>47.88</v>
      </c>
      <c r="J1670" s="24">
        <v>45647</v>
      </c>
      <c r="K1670" s="25">
        <v>44</v>
      </c>
      <c r="L1670" s="25">
        <v>1.9</v>
      </c>
      <c r="M1670" s="13" t="b">
        <v>0</v>
      </c>
      <c r="O1670" s="25">
        <f t="shared" si="104"/>
        <v>255</v>
      </c>
      <c r="P1670" s="13">
        <f t="shared" si="105"/>
        <v>0</v>
      </c>
      <c r="Q1670" s="13" t="str">
        <f t="shared" si="106"/>
        <v/>
      </c>
      <c r="R1670" s="13" t="str">
        <f t="shared" si="107"/>
        <v>Non diskon</v>
      </c>
    </row>
    <row r="1671" spans="1:18" x14ac:dyDescent="0.25">
      <c r="A1671" s="13" t="s">
        <v>1683</v>
      </c>
      <c r="B1671" s="13" t="s">
        <v>2190</v>
      </c>
      <c r="C1671" s="13" t="s">
        <v>2199</v>
      </c>
      <c r="D1671" s="13" t="s">
        <v>2205</v>
      </c>
      <c r="E1671" s="13" t="s">
        <v>2208</v>
      </c>
      <c r="F1671" s="13" t="s">
        <v>2222</v>
      </c>
      <c r="G1671" s="13">
        <v>89.26</v>
      </c>
      <c r="H1671" s="44">
        <v>0</v>
      </c>
      <c r="I1671" s="13">
        <v>89.26</v>
      </c>
      <c r="J1671" s="24">
        <v>45875</v>
      </c>
      <c r="K1671" s="25">
        <v>43</v>
      </c>
      <c r="L1671" s="25">
        <v>3.8</v>
      </c>
      <c r="M1671" s="13" t="b">
        <v>0</v>
      </c>
      <c r="O1671" s="25">
        <f t="shared" si="104"/>
        <v>27</v>
      </c>
      <c r="P1671" s="13">
        <f t="shared" si="105"/>
        <v>0</v>
      </c>
      <c r="Q1671" s="13" t="str">
        <f t="shared" si="106"/>
        <v/>
      </c>
      <c r="R1671" s="13" t="str">
        <f t="shared" si="107"/>
        <v>Non diskon</v>
      </c>
    </row>
    <row r="1672" spans="1:18" x14ac:dyDescent="0.25">
      <c r="A1672" s="13" t="s">
        <v>1684</v>
      </c>
      <c r="B1672" s="13" t="s">
        <v>2195</v>
      </c>
      <c r="C1672" s="13" t="s">
        <v>2202</v>
      </c>
      <c r="D1672" s="13" t="s">
        <v>2207</v>
      </c>
      <c r="E1672" s="13" t="s">
        <v>2211</v>
      </c>
      <c r="F1672" s="13" t="s">
        <v>2216</v>
      </c>
      <c r="G1672" s="13">
        <v>114.2</v>
      </c>
      <c r="H1672" s="44">
        <v>0</v>
      </c>
      <c r="I1672" s="13">
        <v>114.2</v>
      </c>
      <c r="J1672" s="24">
        <v>45875</v>
      </c>
      <c r="K1672" s="25">
        <v>15</v>
      </c>
      <c r="L1672" s="25">
        <v>2.980952380952381</v>
      </c>
      <c r="M1672" s="13" t="b">
        <v>0</v>
      </c>
      <c r="O1672" s="25">
        <f t="shared" si="104"/>
        <v>27</v>
      </c>
      <c r="P1672" s="13">
        <f t="shared" si="105"/>
        <v>0</v>
      </c>
      <c r="Q1672" s="13" t="str">
        <f t="shared" si="106"/>
        <v/>
      </c>
      <c r="R1672" s="13" t="str">
        <f t="shared" si="107"/>
        <v>Non diskon</v>
      </c>
    </row>
    <row r="1673" spans="1:18" x14ac:dyDescent="0.25">
      <c r="A1673" s="13" t="s">
        <v>1685</v>
      </c>
      <c r="B1673" s="13" t="s">
        <v>2193</v>
      </c>
      <c r="C1673" s="13" t="s">
        <v>2202</v>
      </c>
      <c r="D1673" s="13" t="s">
        <v>2207</v>
      </c>
      <c r="E1673" s="13" t="s">
        <v>2209</v>
      </c>
      <c r="F1673" s="13" t="s">
        <v>2220</v>
      </c>
      <c r="G1673" s="13">
        <v>169.5</v>
      </c>
      <c r="H1673" s="44">
        <v>59.7</v>
      </c>
      <c r="I1673" s="13">
        <v>68.31</v>
      </c>
      <c r="J1673" s="24">
        <v>45875</v>
      </c>
      <c r="K1673" s="25">
        <v>16</v>
      </c>
      <c r="L1673" s="25">
        <v>1.8</v>
      </c>
      <c r="M1673" s="13" t="b">
        <v>0</v>
      </c>
      <c r="O1673" s="25">
        <f t="shared" si="104"/>
        <v>27</v>
      </c>
      <c r="P1673" s="13">
        <f t="shared" si="105"/>
        <v>955.2</v>
      </c>
      <c r="Q1673" s="13" t="str">
        <f t="shared" si="106"/>
        <v/>
      </c>
      <c r="R1673" s="13" t="str">
        <f t="shared" si="107"/>
        <v>Diskon</v>
      </c>
    </row>
    <row r="1674" spans="1:18" x14ac:dyDescent="0.25">
      <c r="A1674" s="13" t="s">
        <v>1686</v>
      </c>
      <c r="B1674" s="13" t="s">
        <v>2191</v>
      </c>
      <c r="C1674" s="13" t="s">
        <v>2200</v>
      </c>
      <c r="D1674" s="13" t="s">
        <v>2206</v>
      </c>
      <c r="E1674" s="13" t="s">
        <v>2212</v>
      </c>
      <c r="F1674" s="13" t="s">
        <v>2217</v>
      </c>
      <c r="G1674" s="13">
        <v>77.989999999999995</v>
      </c>
      <c r="H1674" s="44">
        <v>0</v>
      </c>
      <c r="I1674" s="13">
        <v>77.989999999999995</v>
      </c>
      <c r="J1674" s="24">
        <v>45875</v>
      </c>
      <c r="K1674" s="25">
        <v>42</v>
      </c>
      <c r="L1674" s="25">
        <v>2.9657142857142857</v>
      </c>
      <c r="M1674" s="13" t="b">
        <v>0</v>
      </c>
      <c r="O1674" s="25">
        <f t="shared" si="104"/>
        <v>27</v>
      </c>
      <c r="P1674" s="13">
        <f t="shared" si="105"/>
        <v>0</v>
      </c>
      <c r="Q1674" s="13" t="str">
        <f t="shared" si="106"/>
        <v/>
      </c>
      <c r="R1674" s="13" t="str">
        <f t="shared" si="107"/>
        <v>Non diskon</v>
      </c>
    </row>
    <row r="1675" spans="1:18" x14ac:dyDescent="0.25">
      <c r="A1675" s="13" t="s">
        <v>1687</v>
      </c>
      <c r="B1675" s="13" t="s">
        <v>2194</v>
      </c>
      <c r="C1675" s="13" t="s">
        <v>2201</v>
      </c>
      <c r="D1675" s="13" t="s">
        <v>2206</v>
      </c>
      <c r="F1675" s="13" t="s">
        <v>2215</v>
      </c>
      <c r="G1675" s="13">
        <v>103.77</v>
      </c>
      <c r="H1675" s="44">
        <v>0</v>
      </c>
      <c r="I1675" s="13">
        <v>103.77</v>
      </c>
      <c r="J1675" s="24">
        <v>45875</v>
      </c>
      <c r="K1675" s="25">
        <v>12</v>
      </c>
      <c r="L1675" s="25">
        <v>4.4000000000000004</v>
      </c>
      <c r="M1675" s="13" t="b">
        <v>0</v>
      </c>
      <c r="O1675" s="25">
        <f t="shared" si="104"/>
        <v>27</v>
      </c>
      <c r="P1675" s="13">
        <f t="shared" si="105"/>
        <v>0</v>
      </c>
      <c r="Q1675" s="13" t="str">
        <f t="shared" si="106"/>
        <v/>
      </c>
      <c r="R1675" s="13" t="str">
        <f t="shared" si="107"/>
        <v>Non diskon</v>
      </c>
    </row>
    <row r="1676" spans="1:18" x14ac:dyDescent="0.25">
      <c r="A1676" s="13" t="s">
        <v>1688</v>
      </c>
      <c r="B1676" s="13" t="s">
        <v>2192</v>
      </c>
      <c r="C1676" s="13" t="s">
        <v>2203</v>
      </c>
      <c r="D1676" s="13" t="s">
        <v>2206</v>
      </c>
      <c r="F1676" s="13" t="s">
        <v>2216</v>
      </c>
      <c r="G1676" s="13">
        <v>42.96</v>
      </c>
      <c r="H1676" s="44">
        <v>0</v>
      </c>
      <c r="I1676" s="13">
        <v>42.96</v>
      </c>
      <c r="J1676" s="24">
        <v>45875</v>
      </c>
      <c r="K1676" s="25">
        <v>36</v>
      </c>
      <c r="L1676" s="25">
        <v>1.1000000000000001</v>
      </c>
      <c r="M1676" s="13" t="b">
        <v>0</v>
      </c>
      <c r="O1676" s="25">
        <f t="shared" si="104"/>
        <v>27</v>
      </c>
      <c r="P1676" s="13">
        <f t="shared" si="105"/>
        <v>0</v>
      </c>
      <c r="Q1676" s="13" t="str">
        <f t="shared" si="106"/>
        <v/>
      </c>
      <c r="R1676" s="13" t="str">
        <f t="shared" si="107"/>
        <v>Non diskon</v>
      </c>
    </row>
    <row r="1677" spans="1:18" x14ac:dyDescent="0.25">
      <c r="A1677" s="13" t="s">
        <v>1689</v>
      </c>
      <c r="B1677" s="13" t="s">
        <v>2195</v>
      </c>
      <c r="C1677" s="13" t="s">
        <v>2198</v>
      </c>
      <c r="D1677" s="13" t="s">
        <v>2206</v>
      </c>
      <c r="F1677" s="13" t="s">
        <v>2224</v>
      </c>
      <c r="G1677" s="13">
        <v>126.11</v>
      </c>
      <c r="H1677" s="44">
        <v>0</v>
      </c>
      <c r="I1677" s="13">
        <v>126.11</v>
      </c>
      <c r="J1677" s="24">
        <v>45875</v>
      </c>
      <c r="K1677" s="25">
        <v>16</v>
      </c>
      <c r="L1677" s="25">
        <v>3.5</v>
      </c>
      <c r="M1677" s="13" t="b">
        <v>0</v>
      </c>
      <c r="O1677" s="25">
        <f t="shared" si="104"/>
        <v>27</v>
      </c>
      <c r="P1677" s="13">
        <f t="shared" si="105"/>
        <v>0</v>
      </c>
      <c r="Q1677" s="13" t="str">
        <f t="shared" si="106"/>
        <v/>
      </c>
      <c r="R1677" s="13" t="str">
        <f t="shared" si="107"/>
        <v>Non diskon</v>
      </c>
    </row>
    <row r="1678" spans="1:18" x14ac:dyDescent="0.25">
      <c r="A1678" s="13" t="s">
        <v>1690</v>
      </c>
      <c r="B1678" s="13" t="s">
        <v>2192</v>
      </c>
      <c r="C1678" s="13" t="s">
        <v>2198</v>
      </c>
      <c r="D1678" s="13" t="s">
        <v>2207</v>
      </c>
      <c r="F1678" s="13" t="s">
        <v>2221</v>
      </c>
      <c r="G1678" s="13">
        <v>43.83</v>
      </c>
      <c r="H1678" s="44">
        <v>0</v>
      </c>
      <c r="I1678" s="13">
        <v>43.83</v>
      </c>
      <c r="J1678" s="24">
        <v>45875</v>
      </c>
      <c r="K1678" s="25">
        <v>31</v>
      </c>
      <c r="L1678" s="25">
        <v>2.5</v>
      </c>
      <c r="M1678" s="13" t="b">
        <v>0</v>
      </c>
      <c r="O1678" s="25">
        <f t="shared" si="104"/>
        <v>27</v>
      </c>
      <c r="P1678" s="13">
        <f t="shared" si="105"/>
        <v>0</v>
      </c>
      <c r="Q1678" s="13" t="str">
        <f t="shared" si="106"/>
        <v/>
      </c>
      <c r="R1678" s="13" t="str">
        <f t="shared" si="107"/>
        <v>Non diskon</v>
      </c>
    </row>
    <row r="1679" spans="1:18" x14ac:dyDescent="0.25">
      <c r="A1679" s="13" t="s">
        <v>1691</v>
      </c>
      <c r="B1679" s="13" t="s">
        <v>2193</v>
      </c>
      <c r="C1679" s="13" t="s">
        <v>2198</v>
      </c>
      <c r="D1679" s="13" t="s">
        <v>2206</v>
      </c>
      <c r="E1679" s="13" t="s">
        <v>2210</v>
      </c>
      <c r="F1679" s="13" t="s">
        <v>2221</v>
      </c>
      <c r="G1679" s="13">
        <v>94.1</v>
      </c>
      <c r="H1679" s="44">
        <v>0</v>
      </c>
      <c r="I1679" s="13">
        <v>94.1</v>
      </c>
      <c r="J1679" s="24">
        <v>45875</v>
      </c>
      <c r="K1679" s="25">
        <v>24</v>
      </c>
      <c r="L1679" s="25">
        <v>1.4</v>
      </c>
      <c r="M1679" s="13" t="b">
        <v>0</v>
      </c>
      <c r="O1679" s="25">
        <f t="shared" si="104"/>
        <v>27</v>
      </c>
      <c r="P1679" s="13">
        <f t="shared" si="105"/>
        <v>0</v>
      </c>
      <c r="Q1679" s="13" t="str">
        <f t="shared" si="106"/>
        <v/>
      </c>
      <c r="R1679" s="13" t="str">
        <f t="shared" si="107"/>
        <v>Non diskon</v>
      </c>
    </row>
    <row r="1680" spans="1:18" x14ac:dyDescent="0.25">
      <c r="A1680" s="13" t="s">
        <v>1692</v>
      </c>
      <c r="B1680" s="13" t="s">
        <v>2193</v>
      </c>
      <c r="C1680" s="13" t="s">
        <v>2196</v>
      </c>
      <c r="D1680" s="13" t="s">
        <v>2206</v>
      </c>
      <c r="E1680" s="13" t="s">
        <v>2213</v>
      </c>
      <c r="F1680" s="13" t="s">
        <v>2214</v>
      </c>
      <c r="G1680" s="13">
        <v>151.27000000000001</v>
      </c>
      <c r="H1680" s="44">
        <v>0</v>
      </c>
      <c r="I1680" s="13">
        <v>151.27000000000001</v>
      </c>
      <c r="J1680" s="24">
        <v>45875</v>
      </c>
      <c r="K1680" s="25">
        <v>39</v>
      </c>
      <c r="L1680" s="25">
        <v>4</v>
      </c>
      <c r="M1680" s="13" t="b">
        <v>1</v>
      </c>
      <c r="N1680" s="13" t="s">
        <v>2227</v>
      </c>
      <c r="O1680" s="25">
        <f t="shared" si="104"/>
        <v>27</v>
      </c>
      <c r="P1680" s="13">
        <f t="shared" si="105"/>
        <v>0</v>
      </c>
      <c r="Q1680" s="13">
        <f t="shared" si="106"/>
        <v>1</v>
      </c>
      <c r="R1680" s="13" t="str">
        <f t="shared" si="107"/>
        <v>Non diskon</v>
      </c>
    </row>
    <row r="1681" spans="1:18" x14ac:dyDescent="0.25">
      <c r="A1681" s="13" t="s">
        <v>1693</v>
      </c>
      <c r="B1681" s="13" t="s">
        <v>2192</v>
      </c>
      <c r="C1681" s="13" t="s">
        <v>2202</v>
      </c>
      <c r="D1681" s="13" t="s">
        <v>2204</v>
      </c>
      <c r="F1681" s="13" t="s">
        <v>2222</v>
      </c>
      <c r="G1681" s="13">
        <v>61.47</v>
      </c>
      <c r="H1681" s="44">
        <v>0</v>
      </c>
      <c r="I1681" s="13">
        <v>61.47</v>
      </c>
      <c r="J1681" s="24">
        <v>45529</v>
      </c>
      <c r="K1681" s="25">
        <v>44</v>
      </c>
      <c r="L1681" s="25">
        <v>3.2720930232558145</v>
      </c>
      <c r="M1681" s="13" t="b">
        <v>0</v>
      </c>
      <c r="O1681" s="25">
        <f t="shared" si="104"/>
        <v>373</v>
      </c>
      <c r="P1681" s="13">
        <f t="shared" si="105"/>
        <v>0</v>
      </c>
      <c r="Q1681" s="13" t="str">
        <f t="shared" si="106"/>
        <v/>
      </c>
      <c r="R1681" s="13" t="str">
        <f t="shared" si="107"/>
        <v>Non diskon</v>
      </c>
    </row>
    <row r="1682" spans="1:18" x14ac:dyDescent="0.25">
      <c r="A1682" s="13" t="s">
        <v>1694</v>
      </c>
      <c r="B1682" s="13" t="s">
        <v>2193</v>
      </c>
      <c r="C1682" s="13" t="s">
        <v>2199</v>
      </c>
      <c r="D1682" s="13" t="s">
        <v>2207</v>
      </c>
      <c r="E1682" s="13" t="s">
        <v>2213</v>
      </c>
      <c r="F1682" s="13" t="s">
        <v>2222</v>
      </c>
      <c r="G1682" s="13">
        <v>185.96</v>
      </c>
      <c r="H1682" s="44">
        <v>0</v>
      </c>
      <c r="I1682" s="13">
        <v>185.96</v>
      </c>
      <c r="J1682" s="24">
        <v>45875</v>
      </c>
      <c r="K1682" s="25">
        <v>35</v>
      </c>
      <c r="L1682" s="25">
        <v>1.3</v>
      </c>
      <c r="M1682" s="13" t="b">
        <v>0</v>
      </c>
      <c r="O1682" s="25">
        <f t="shared" si="104"/>
        <v>27</v>
      </c>
      <c r="P1682" s="13">
        <f t="shared" si="105"/>
        <v>0</v>
      </c>
      <c r="Q1682" s="13" t="str">
        <f t="shared" si="106"/>
        <v/>
      </c>
      <c r="R1682" s="13" t="str">
        <f t="shared" si="107"/>
        <v>Non diskon</v>
      </c>
    </row>
    <row r="1683" spans="1:18" x14ac:dyDescent="0.25">
      <c r="A1683" s="13" t="s">
        <v>1695</v>
      </c>
      <c r="B1683" s="13" t="s">
        <v>2195</v>
      </c>
      <c r="C1683" s="13" t="s">
        <v>2202</v>
      </c>
      <c r="D1683" s="13" t="s">
        <v>2206</v>
      </c>
      <c r="E1683" s="13" t="s">
        <v>2213</v>
      </c>
      <c r="F1683" s="13" t="s">
        <v>2214</v>
      </c>
      <c r="G1683" s="13">
        <v>113.05</v>
      </c>
      <c r="H1683" s="44">
        <v>0</v>
      </c>
      <c r="I1683" s="13">
        <v>113.05</v>
      </c>
      <c r="J1683" s="24">
        <v>45875</v>
      </c>
      <c r="K1683" s="25">
        <v>47</v>
      </c>
      <c r="L1683" s="25">
        <v>2</v>
      </c>
      <c r="M1683" s="13" t="b">
        <v>0</v>
      </c>
      <c r="O1683" s="25">
        <f t="shared" si="104"/>
        <v>27</v>
      </c>
      <c r="P1683" s="13">
        <f t="shared" si="105"/>
        <v>0</v>
      </c>
      <c r="Q1683" s="13" t="str">
        <f t="shared" si="106"/>
        <v/>
      </c>
      <c r="R1683" s="13" t="str">
        <f t="shared" si="107"/>
        <v>Non diskon</v>
      </c>
    </row>
    <row r="1684" spans="1:18" x14ac:dyDescent="0.25">
      <c r="A1684" s="13" t="s">
        <v>1696</v>
      </c>
      <c r="B1684" s="13" t="s">
        <v>2191</v>
      </c>
      <c r="C1684" s="13" t="s">
        <v>2198</v>
      </c>
      <c r="D1684" s="13" t="s">
        <v>2207</v>
      </c>
      <c r="E1684" s="13" t="s">
        <v>2209</v>
      </c>
      <c r="F1684" s="13" t="s">
        <v>2224</v>
      </c>
      <c r="G1684" s="13">
        <v>110.9</v>
      </c>
      <c r="H1684" s="44">
        <v>34.700000000000003</v>
      </c>
      <c r="I1684" s="13">
        <v>72.42</v>
      </c>
      <c r="J1684" s="24">
        <v>45875</v>
      </c>
      <c r="K1684" s="25">
        <v>2</v>
      </c>
      <c r="L1684" s="25">
        <v>2.5</v>
      </c>
      <c r="M1684" s="13" t="b">
        <v>0</v>
      </c>
      <c r="O1684" s="25">
        <f t="shared" si="104"/>
        <v>27</v>
      </c>
      <c r="P1684" s="13">
        <f t="shared" si="105"/>
        <v>69.400000000000006</v>
      </c>
      <c r="Q1684" s="13" t="str">
        <f t="shared" si="106"/>
        <v/>
      </c>
      <c r="R1684" s="13" t="str">
        <f t="shared" si="107"/>
        <v>Diskon</v>
      </c>
    </row>
    <row r="1685" spans="1:18" x14ac:dyDescent="0.25">
      <c r="A1685" s="13" t="s">
        <v>1697</v>
      </c>
      <c r="B1685" s="13" t="s">
        <v>2191</v>
      </c>
      <c r="C1685" s="13" t="s">
        <v>2197</v>
      </c>
      <c r="D1685" s="13" t="s">
        <v>2207</v>
      </c>
      <c r="E1685" s="13" t="s">
        <v>2211</v>
      </c>
      <c r="F1685" s="13" t="s">
        <v>2217</v>
      </c>
      <c r="G1685" s="13">
        <v>29.04</v>
      </c>
      <c r="H1685" s="44">
        <v>0</v>
      </c>
      <c r="I1685" s="13">
        <v>29.04</v>
      </c>
      <c r="J1685" s="24">
        <v>45875</v>
      </c>
      <c r="K1685" s="25">
        <v>4</v>
      </c>
      <c r="L1685" s="25">
        <v>5</v>
      </c>
      <c r="M1685" s="13" t="b">
        <v>0</v>
      </c>
      <c r="O1685" s="25">
        <f t="shared" si="104"/>
        <v>27</v>
      </c>
      <c r="P1685" s="13">
        <f t="shared" si="105"/>
        <v>0</v>
      </c>
      <c r="Q1685" s="13" t="str">
        <f t="shared" si="106"/>
        <v/>
      </c>
      <c r="R1685" s="13" t="str">
        <f t="shared" si="107"/>
        <v>Non diskon</v>
      </c>
    </row>
    <row r="1686" spans="1:18" x14ac:dyDescent="0.25">
      <c r="A1686" s="13" t="s">
        <v>1698</v>
      </c>
      <c r="B1686" s="13" t="s">
        <v>2193</v>
      </c>
      <c r="C1686" s="13" t="s">
        <v>2203</v>
      </c>
      <c r="D1686" s="13" t="s">
        <v>2204</v>
      </c>
      <c r="E1686" s="13" t="s">
        <v>2208</v>
      </c>
      <c r="F1686" s="13" t="s">
        <v>2218</v>
      </c>
      <c r="G1686" s="13">
        <v>164.48</v>
      </c>
      <c r="H1686" s="44">
        <v>51.5</v>
      </c>
      <c r="I1686" s="13">
        <v>79.77</v>
      </c>
      <c r="J1686" s="24">
        <v>45542</v>
      </c>
      <c r="K1686" s="25">
        <v>27</v>
      </c>
      <c r="L1686" s="25">
        <v>3.4</v>
      </c>
      <c r="M1686" s="13" t="b">
        <v>0</v>
      </c>
      <c r="O1686" s="25">
        <f t="shared" si="104"/>
        <v>360</v>
      </c>
      <c r="P1686" s="13">
        <f t="shared" si="105"/>
        <v>1390.5</v>
      </c>
      <c r="Q1686" s="13" t="str">
        <f t="shared" si="106"/>
        <v/>
      </c>
      <c r="R1686" s="13" t="str">
        <f t="shared" si="107"/>
        <v>Diskon</v>
      </c>
    </row>
    <row r="1687" spans="1:18" x14ac:dyDescent="0.25">
      <c r="A1687" s="13" t="s">
        <v>1699</v>
      </c>
      <c r="B1687" s="13" t="s">
        <v>2194</v>
      </c>
      <c r="C1687" s="13" t="s">
        <v>2198</v>
      </c>
      <c r="D1687" s="13" t="s">
        <v>2205</v>
      </c>
      <c r="E1687" s="13" t="s">
        <v>2209</v>
      </c>
      <c r="F1687" s="13" t="s">
        <v>2217</v>
      </c>
      <c r="G1687" s="13">
        <v>52.51</v>
      </c>
      <c r="H1687" s="44">
        <v>49.4</v>
      </c>
      <c r="I1687" s="13">
        <v>26.57</v>
      </c>
      <c r="J1687" s="24">
        <v>45875</v>
      </c>
      <c r="K1687" s="25">
        <v>37</v>
      </c>
      <c r="L1687" s="25">
        <v>3.5</v>
      </c>
      <c r="M1687" s="13" t="b">
        <v>1</v>
      </c>
      <c r="N1687" s="13" t="s">
        <v>2229</v>
      </c>
      <c r="O1687" s="25">
        <f t="shared" si="104"/>
        <v>27</v>
      </c>
      <c r="P1687" s="13">
        <f t="shared" si="105"/>
        <v>1827.8</v>
      </c>
      <c r="Q1687" s="13">
        <f t="shared" si="106"/>
        <v>1</v>
      </c>
      <c r="R1687" s="13" t="str">
        <f t="shared" si="107"/>
        <v>Diskon</v>
      </c>
    </row>
    <row r="1688" spans="1:18" x14ac:dyDescent="0.25">
      <c r="A1688" s="13" t="s">
        <v>1700</v>
      </c>
      <c r="B1688" s="13" t="s">
        <v>2195</v>
      </c>
      <c r="C1688" s="13" t="s">
        <v>2201</v>
      </c>
      <c r="D1688" s="13" t="s">
        <v>2205</v>
      </c>
      <c r="E1688" s="13" t="s">
        <v>2211</v>
      </c>
      <c r="F1688" s="13" t="s">
        <v>2218</v>
      </c>
      <c r="G1688" s="13">
        <v>175.74</v>
      </c>
      <c r="H1688" s="44">
        <v>42.9</v>
      </c>
      <c r="I1688" s="13">
        <v>100.35</v>
      </c>
      <c r="J1688" s="24">
        <v>45875</v>
      </c>
      <c r="K1688" s="25">
        <v>48</v>
      </c>
      <c r="L1688" s="25">
        <v>3.1874999999999991</v>
      </c>
      <c r="M1688" s="13" t="b">
        <v>1</v>
      </c>
      <c r="N1688" s="13" t="s">
        <v>2229</v>
      </c>
      <c r="O1688" s="25">
        <f t="shared" si="104"/>
        <v>27</v>
      </c>
      <c r="P1688" s="13">
        <f t="shared" si="105"/>
        <v>2059.1999999999998</v>
      </c>
      <c r="Q1688" s="13">
        <f t="shared" si="106"/>
        <v>1</v>
      </c>
      <c r="R1688" s="13" t="str">
        <f t="shared" si="107"/>
        <v>Diskon</v>
      </c>
    </row>
    <row r="1689" spans="1:18" x14ac:dyDescent="0.25">
      <c r="A1689" s="13" t="s">
        <v>1701</v>
      </c>
      <c r="B1689" s="13" t="s">
        <v>2191</v>
      </c>
      <c r="C1689" s="13" t="s">
        <v>2201</v>
      </c>
      <c r="D1689" s="13" t="s">
        <v>2204</v>
      </c>
      <c r="E1689" s="13" t="s">
        <v>2212</v>
      </c>
      <c r="F1689" s="13" t="s">
        <v>2221</v>
      </c>
      <c r="G1689" s="13">
        <v>57.06</v>
      </c>
      <c r="H1689" s="44">
        <v>27.5</v>
      </c>
      <c r="I1689" s="13">
        <v>41.37</v>
      </c>
      <c r="J1689" s="24">
        <v>45651</v>
      </c>
      <c r="K1689" s="25">
        <v>43</v>
      </c>
      <c r="L1689" s="25">
        <v>1.8</v>
      </c>
      <c r="M1689" s="13" t="b">
        <v>0</v>
      </c>
      <c r="O1689" s="25">
        <f t="shared" si="104"/>
        <v>251</v>
      </c>
      <c r="P1689" s="13">
        <f t="shared" si="105"/>
        <v>1182.5</v>
      </c>
      <c r="Q1689" s="13" t="str">
        <f t="shared" si="106"/>
        <v/>
      </c>
      <c r="R1689" s="13" t="str">
        <f t="shared" si="107"/>
        <v>Diskon</v>
      </c>
    </row>
    <row r="1690" spans="1:18" x14ac:dyDescent="0.25">
      <c r="A1690" s="13" t="s">
        <v>1702</v>
      </c>
      <c r="B1690" s="13" t="s">
        <v>2195</v>
      </c>
      <c r="C1690" s="13" t="s">
        <v>2201</v>
      </c>
      <c r="D1690" s="13" t="s">
        <v>2205</v>
      </c>
      <c r="E1690" s="13" t="s">
        <v>2209</v>
      </c>
      <c r="F1690" s="13" t="s">
        <v>2216</v>
      </c>
      <c r="G1690" s="13">
        <v>158.24</v>
      </c>
      <c r="H1690" s="44">
        <v>0</v>
      </c>
      <c r="I1690" s="13">
        <v>158.24</v>
      </c>
      <c r="J1690" s="24">
        <v>45875</v>
      </c>
      <c r="K1690" s="25">
        <v>41</v>
      </c>
      <c r="L1690" s="25">
        <v>3.1</v>
      </c>
      <c r="M1690" s="13" t="b">
        <v>0</v>
      </c>
      <c r="O1690" s="25">
        <f t="shared" si="104"/>
        <v>27</v>
      </c>
      <c r="P1690" s="13">
        <f t="shared" si="105"/>
        <v>0</v>
      </c>
      <c r="Q1690" s="13" t="str">
        <f t="shared" si="106"/>
        <v/>
      </c>
      <c r="R1690" s="13" t="str">
        <f t="shared" si="107"/>
        <v>Non diskon</v>
      </c>
    </row>
    <row r="1691" spans="1:18" x14ac:dyDescent="0.25">
      <c r="A1691" s="13" t="s">
        <v>1703</v>
      </c>
      <c r="B1691" s="13" t="s">
        <v>2190</v>
      </c>
      <c r="C1691" s="13" t="s">
        <v>2199</v>
      </c>
      <c r="D1691" s="13" t="s">
        <v>2206</v>
      </c>
      <c r="F1691" s="13" t="s">
        <v>2215</v>
      </c>
      <c r="G1691" s="13">
        <v>153.46</v>
      </c>
      <c r="H1691" s="44">
        <v>0</v>
      </c>
      <c r="I1691" s="13">
        <v>153.46</v>
      </c>
      <c r="J1691" s="24">
        <v>45875</v>
      </c>
      <c r="K1691" s="25">
        <v>27</v>
      </c>
      <c r="L1691" s="25">
        <v>1.7</v>
      </c>
      <c r="M1691" s="13" t="b">
        <v>0</v>
      </c>
      <c r="O1691" s="25">
        <f t="shared" si="104"/>
        <v>27</v>
      </c>
      <c r="P1691" s="13">
        <f t="shared" si="105"/>
        <v>0</v>
      </c>
      <c r="Q1691" s="13" t="str">
        <f t="shared" si="106"/>
        <v/>
      </c>
      <c r="R1691" s="13" t="str">
        <f t="shared" si="107"/>
        <v>Non diskon</v>
      </c>
    </row>
    <row r="1692" spans="1:18" x14ac:dyDescent="0.25">
      <c r="A1692" s="13" t="s">
        <v>1704</v>
      </c>
      <c r="B1692" s="13" t="s">
        <v>2192</v>
      </c>
      <c r="C1692" s="13" t="s">
        <v>2196</v>
      </c>
      <c r="D1692" s="13" t="s">
        <v>2204</v>
      </c>
      <c r="F1692" s="13" t="s">
        <v>2224</v>
      </c>
      <c r="G1692" s="13">
        <v>54.92</v>
      </c>
      <c r="H1692" s="44">
        <v>0</v>
      </c>
      <c r="I1692" s="13">
        <v>54.92</v>
      </c>
      <c r="J1692" s="24">
        <v>45759</v>
      </c>
      <c r="K1692" s="25">
        <v>44</v>
      </c>
      <c r="L1692" s="25">
        <v>3.1</v>
      </c>
      <c r="M1692" s="13" t="b">
        <v>0</v>
      </c>
      <c r="O1692" s="25">
        <f t="shared" si="104"/>
        <v>143</v>
      </c>
      <c r="P1692" s="13">
        <f t="shared" si="105"/>
        <v>0</v>
      </c>
      <c r="Q1692" s="13" t="str">
        <f t="shared" si="106"/>
        <v/>
      </c>
      <c r="R1692" s="13" t="str">
        <f t="shared" si="107"/>
        <v>Non diskon</v>
      </c>
    </row>
    <row r="1693" spans="1:18" x14ac:dyDescent="0.25">
      <c r="A1693" s="13" t="s">
        <v>1705</v>
      </c>
      <c r="B1693" s="13" t="s">
        <v>2192</v>
      </c>
      <c r="C1693" s="13" t="s">
        <v>2197</v>
      </c>
      <c r="D1693" s="13" t="s">
        <v>2204</v>
      </c>
      <c r="F1693" s="13" t="s">
        <v>2223</v>
      </c>
      <c r="G1693" s="13">
        <v>32.200000000000003</v>
      </c>
      <c r="H1693" s="44">
        <v>19.2</v>
      </c>
      <c r="I1693" s="13">
        <v>26.02</v>
      </c>
      <c r="J1693" s="24">
        <v>45865</v>
      </c>
      <c r="K1693" s="25">
        <v>8</v>
      </c>
      <c r="L1693" s="25">
        <v>4.3</v>
      </c>
      <c r="M1693" s="13" t="b">
        <v>0</v>
      </c>
      <c r="O1693" s="25">
        <f t="shared" si="104"/>
        <v>37</v>
      </c>
      <c r="P1693" s="13">
        <f t="shared" si="105"/>
        <v>153.6</v>
      </c>
      <c r="Q1693" s="13" t="str">
        <f t="shared" si="106"/>
        <v/>
      </c>
      <c r="R1693" s="13" t="str">
        <f t="shared" si="107"/>
        <v>Diskon</v>
      </c>
    </row>
    <row r="1694" spans="1:18" x14ac:dyDescent="0.25">
      <c r="A1694" s="13" t="s">
        <v>1706</v>
      </c>
      <c r="B1694" s="13" t="s">
        <v>2192</v>
      </c>
      <c r="C1694" s="13" t="s">
        <v>2199</v>
      </c>
      <c r="D1694" s="13" t="s">
        <v>2206</v>
      </c>
      <c r="F1694" s="13" t="s">
        <v>2224</v>
      </c>
      <c r="G1694" s="13">
        <v>66.489999999999995</v>
      </c>
      <c r="H1694" s="44">
        <v>29.1</v>
      </c>
      <c r="I1694" s="13">
        <v>47.14</v>
      </c>
      <c r="J1694" s="24">
        <v>45875</v>
      </c>
      <c r="K1694" s="25">
        <v>37</v>
      </c>
      <c r="L1694" s="25">
        <v>1.3</v>
      </c>
      <c r="M1694" s="13" t="b">
        <v>0</v>
      </c>
      <c r="O1694" s="25">
        <f t="shared" si="104"/>
        <v>27</v>
      </c>
      <c r="P1694" s="13">
        <f t="shared" si="105"/>
        <v>1076.7</v>
      </c>
      <c r="Q1694" s="13" t="str">
        <f t="shared" si="106"/>
        <v/>
      </c>
      <c r="R1694" s="13" t="str">
        <f t="shared" si="107"/>
        <v>Diskon</v>
      </c>
    </row>
    <row r="1695" spans="1:18" x14ac:dyDescent="0.25">
      <c r="A1695" s="13" t="s">
        <v>1707</v>
      </c>
      <c r="B1695" s="13" t="s">
        <v>2192</v>
      </c>
      <c r="C1695" s="13" t="s">
        <v>2199</v>
      </c>
      <c r="D1695" s="13" t="s">
        <v>2205</v>
      </c>
      <c r="F1695" s="13" t="s">
        <v>2219</v>
      </c>
      <c r="G1695" s="13">
        <v>32.950000000000003</v>
      </c>
      <c r="H1695" s="44">
        <v>50.2</v>
      </c>
      <c r="I1695" s="13">
        <v>16.41</v>
      </c>
      <c r="J1695" s="24">
        <v>45875</v>
      </c>
      <c r="K1695" s="25">
        <v>46</v>
      </c>
      <c r="L1695" s="25">
        <v>2.5131578947368416</v>
      </c>
      <c r="M1695" s="13" t="b">
        <v>0</v>
      </c>
      <c r="O1695" s="25">
        <f t="shared" si="104"/>
        <v>27</v>
      </c>
      <c r="P1695" s="13">
        <f t="shared" si="105"/>
        <v>2309.2000000000003</v>
      </c>
      <c r="Q1695" s="13" t="str">
        <f t="shared" si="106"/>
        <v/>
      </c>
      <c r="R1695" s="13" t="str">
        <f t="shared" si="107"/>
        <v>Diskon</v>
      </c>
    </row>
    <row r="1696" spans="1:18" x14ac:dyDescent="0.25">
      <c r="A1696" s="13" t="s">
        <v>1708</v>
      </c>
      <c r="B1696" s="13" t="s">
        <v>2192</v>
      </c>
      <c r="C1696" s="13" t="s">
        <v>2200</v>
      </c>
      <c r="D1696" s="13" t="s">
        <v>2206</v>
      </c>
      <c r="F1696" s="13" t="s">
        <v>2218</v>
      </c>
      <c r="G1696" s="13">
        <v>54.31</v>
      </c>
      <c r="H1696" s="44">
        <v>19.2</v>
      </c>
      <c r="I1696" s="13">
        <v>43.88</v>
      </c>
      <c r="J1696" s="24">
        <v>45875</v>
      </c>
      <c r="K1696" s="25">
        <v>19</v>
      </c>
      <c r="L1696" s="25">
        <v>1.8</v>
      </c>
      <c r="M1696" s="13" t="b">
        <v>0</v>
      </c>
      <c r="O1696" s="25">
        <f t="shared" si="104"/>
        <v>27</v>
      </c>
      <c r="P1696" s="13">
        <f t="shared" si="105"/>
        <v>364.8</v>
      </c>
      <c r="Q1696" s="13" t="str">
        <f t="shared" si="106"/>
        <v/>
      </c>
      <c r="R1696" s="13" t="str">
        <f t="shared" si="107"/>
        <v>Diskon</v>
      </c>
    </row>
    <row r="1697" spans="1:18" x14ac:dyDescent="0.25">
      <c r="A1697" s="13" t="s">
        <v>1709</v>
      </c>
      <c r="B1697" s="13" t="s">
        <v>2192</v>
      </c>
      <c r="C1697" s="13" t="s">
        <v>2198</v>
      </c>
      <c r="D1697" s="13" t="s">
        <v>2207</v>
      </c>
      <c r="F1697" s="13" t="s">
        <v>2222</v>
      </c>
      <c r="G1697" s="13">
        <v>19.68</v>
      </c>
      <c r="H1697" s="44">
        <v>0</v>
      </c>
      <c r="I1697" s="13">
        <v>19.68</v>
      </c>
      <c r="J1697" s="24">
        <v>45875</v>
      </c>
      <c r="K1697" s="25">
        <v>29</v>
      </c>
      <c r="L1697" s="25">
        <v>1.5</v>
      </c>
      <c r="M1697" s="13" t="b">
        <v>1</v>
      </c>
      <c r="N1697" s="13" t="s">
        <v>2226</v>
      </c>
      <c r="O1697" s="25">
        <f t="shared" si="104"/>
        <v>27</v>
      </c>
      <c r="P1697" s="13">
        <f t="shared" si="105"/>
        <v>0</v>
      </c>
      <c r="Q1697" s="13">
        <f t="shared" si="106"/>
        <v>1</v>
      </c>
      <c r="R1697" s="13" t="str">
        <f t="shared" si="107"/>
        <v>Non diskon</v>
      </c>
    </row>
    <row r="1698" spans="1:18" x14ac:dyDescent="0.25">
      <c r="A1698" s="13" t="s">
        <v>1710</v>
      </c>
      <c r="B1698" s="13" t="s">
        <v>2191</v>
      </c>
      <c r="C1698" s="13" t="s">
        <v>2196</v>
      </c>
      <c r="D1698" s="13" t="s">
        <v>2204</v>
      </c>
      <c r="E1698" s="13" t="s">
        <v>2212</v>
      </c>
      <c r="F1698" s="13" t="s">
        <v>2218</v>
      </c>
      <c r="G1698" s="13">
        <v>105.19</v>
      </c>
      <c r="H1698" s="44">
        <v>24.3</v>
      </c>
      <c r="I1698" s="13">
        <v>79.63</v>
      </c>
      <c r="J1698" s="24">
        <v>45822</v>
      </c>
      <c r="K1698" s="25">
        <v>47</v>
      </c>
      <c r="L1698" s="25">
        <v>5</v>
      </c>
      <c r="M1698" s="13" t="b">
        <v>0</v>
      </c>
      <c r="O1698" s="25">
        <f t="shared" si="104"/>
        <v>80</v>
      </c>
      <c r="P1698" s="13">
        <f t="shared" si="105"/>
        <v>1142.1000000000001</v>
      </c>
      <c r="Q1698" s="13" t="str">
        <f t="shared" si="106"/>
        <v/>
      </c>
      <c r="R1698" s="13" t="str">
        <f t="shared" si="107"/>
        <v>Diskon</v>
      </c>
    </row>
    <row r="1699" spans="1:18" x14ac:dyDescent="0.25">
      <c r="A1699" s="13" t="s">
        <v>1711</v>
      </c>
      <c r="B1699" s="13" t="s">
        <v>2192</v>
      </c>
      <c r="C1699" s="13" t="s">
        <v>2198</v>
      </c>
      <c r="D1699" s="13" t="s">
        <v>2207</v>
      </c>
      <c r="F1699" s="13" t="s">
        <v>2220</v>
      </c>
      <c r="G1699" s="13">
        <v>20.3</v>
      </c>
      <c r="H1699" s="44">
        <v>19.600000000000001</v>
      </c>
      <c r="I1699" s="13">
        <v>16.32</v>
      </c>
      <c r="J1699" s="24">
        <v>45875</v>
      </c>
      <c r="K1699" s="25">
        <v>47</v>
      </c>
      <c r="L1699" s="25">
        <v>2.9</v>
      </c>
      <c r="M1699" s="13" t="b">
        <v>1</v>
      </c>
      <c r="N1699" s="13" t="s">
        <v>2229</v>
      </c>
      <c r="O1699" s="25">
        <f t="shared" si="104"/>
        <v>27</v>
      </c>
      <c r="P1699" s="13">
        <f t="shared" si="105"/>
        <v>921.2</v>
      </c>
      <c r="Q1699" s="13">
        <f t="shared" si="106"/>
        <v>1</v>
      </c>
      <c r="R1699" s="13" t="str">
        <f t="shared" si="107"/>
        <v>Diskon</v>
      </c>
    </row>
    <row r="1700" spans="1:18" x14ac:dyDescent="0.25">
      <c r="A1700" s="13" t="s">
        <v>1712</v>
      </c>
      <c r="B1700" s="13" t="s">
        <v>2194</v>
      </c>
      <c r="C1700" s="13" t="s">
        <v>2199</v>
      </c>
      <c r="D1700" s="13" t="s">
        <v>2207</v>
      </c>
      <c r="E1700" s="13" t="s">
        <v>2210</v>
      </c>
      <c r="F1700" s="13" t="s">
        <v>2224</v>
      </c>
      <c r="G1700" s="13">
        <v>105.37</v>
      </c>
      <c r="H1700" s="44">
        <v>19.600000000000001</v>
      </c>
      <c r="I1700" s="13">
        <v>84.72</v>
      </c>
      <c r="J1700" s="24">
        <v>45875</v>
      </c>
      <c r="K1700" s="25">
        <v>39</v>
      </c>
      <c r="L1700" s="25">
        <v>4.3</v>
      </c>
      <c r="M1700" s="13" t="b">
        <v>0</v>
      </c>
      <c r="O1700" s="25">
        <f t="shared" si="104"/>
        <v>27</v>
      </c>
      <c r="P1700" s="13">
        <f t="shared" si="105"/>
        <v>764.40000000000009</v>
      </c>
      <c r="Q1700" s="13" t="str">
        <f t="shared" si="106"/>
        <v/>
      </c>
      <c r="R1700" s="13" t="str">
        <f t="shared" si="107"/>
        <v>Diskon</v>
      </c>
    </row>
    <row r="1701" spans="1:18" x14ac:dyDescent="0.25">
      <c r="A1701" s="13" t="s">
        <v>1713</v>
      </c>
      <c r="B1701" s="13" t="s">
        <v>2195</v>
      </c>
      <c r="C1701" s="13" t="s">
        <v>2201</v>
      </c>
      <c r="D1701" s="13" t="s">
        <v>2205</v>
      </c>
      <c r="E1701" s="13" t="s">
        <v>2212</v>
      </c>
      <c r="F1701" s="13" t="s">
        <v>2220</v>
      </c>
      <c r="G1701" s="13">
        <v>156.24</v>
      </c>
      <c r="H1701" s="44">
        <v>0</v>
      </c>
      <c r="I1701" s="13">
        <v>156.24</v>
      </c>
      <c r="J1701" s="24">
        <v>45875</v>
      </c>
      <c r="K1701" s="25">
        <v>15</v>
      </c>
      <c r="L1701" s="25">
        <v>5</v>
      </c>
      <c r="M1701" s="13" t="b">
        <v>0</v>
      </c>
      <c r="O1701" s="25">
        <f t="shared" si="104"/>
        <v>27</v>
      </c>
      <c r="P1701" s="13">
        <f t="shared" si="105"/>
        <v>0</v>
      </c>
      <c r="Q1701" s="13" t="str">
        <f t="shared" si="106"/>
        <v/>
      </c>
      <c r="R1701" s="13" t="str">
        <f t="shared" si="107"/>
        <v>Non diskon</v>
      </c>
    </row>
    <row r="1702" spans="1:18" x14ac:dyDescent="0.25">
      <c r="A1702" s="13" t="s">
        <v>1714</v>
      </c>
      <c r="B1702" s="13" t="s">
        <v>2193</v>
      </c>
      <c r="C1702" s="13" t="s">
        <v>2199</v>
      </c>
      <c r="D1702" s="13" t="s">
        <v>2205</v>
      </c>
      <c r="E1702" s="13" t="s">
        <v>2212</v>
      </c>
      <c r="F1702" s="13" t="s">
        <v>2224</v>
      </c>
      <c r="G1702" s="13">
        <v>162.19</v>
      </c>
      <c r="H1702" s="44">
        <v>5.7</v>
      </c>
      <c r="I1702" s="13">
        <v>152.94999999999999</v>
      </c>
      <c r="J1702" s="24">
        <v>45875</v>
      </c>
      <c r="K1702" s="25">
        <v>39</v>
      </c>
      <c r="L1702" s="25">
        <v>1.4</v>
      </c>
      <c r="M1702" s="13" t="b">
        <v>0</v>
      </c>
      <c r="O1702" s="25">
        <f t="shared" si="104"/>
        <v>27</v>
      </c>
      <c r="P1702" s="13">
        <f t="shared" si="105"/>
        <v>222.3</v>
      </c>
      <c r="Q1702" s="13" t="str">
        <f t="shared" si="106"/>
        <v/>
      </c>
      <c r="R1702" s="13" t="str">
        <f t="shared" si="107"/>
        <v>Diskon</v>
      </c>
    </row>
    <row r="1703" spans="1:18" x14ac:dyDescent="0.25">
      <c r="A1703" s="13" t="s">
        <v>1715</v>
      </c>
      <c r="B1703" s="13" t="s">
        <v>2191</v>
      </c>
      <c r="C1703" s="13" t="s">
        <v>2200</v>
      </c>
      <c r="D1703" s="13" t="s">
        <v>2204</v>
      </c>
      <c r="E1703" s="13" t="s">
        <v>2213</v>
      </c>
      <c r="F1703" s="13" t="s">
        <v>2221</v>
      </c>
      <c r="G1703" s="13">
        <v>75.790000000000006</v>
      </c>
      <c r="H1703" s="44">
        <v>7.1</v>
      </c>
      <c r="I1703" s="13">
        <v>70.41</v>
      </c>
      <c r="J1703" s="24">
        <v>45745</v>
      </c>
      <c r="K1703" s="25">
        <v>13</v>
      </c>
      <c r="L1703" s="25">
        <v>3.3</v>
      </c>
      <c r="M1703" s="13" t="b">
        <v>0</v>
      </c>
      <c r="O1703" s="25">
        <f t="shared" si="104"/>
        <v>157</v>
      </c>
      <c r="P1703" s="13">
        <f t="shared" si="105"/>
        <v>92.3</v>
      </c>
      <c r="Q1703" s="13" t="str">
        <f t="shared" si="106"/>
        <v/>
      </c>
      <c r="R1703" s="13" t="str">
        <f t="shared" si="107"/>
        <v>Diskon</v>
      </c>
    </row>
    <row r="1704" spans="1:18" x14ac:dyDescent="0.25">
      <c r="A1704" s="13" t="s">
        <v>1716</v>
      </c>
      <c r="B1704" s="13" t="s">
        <v>2192</v>
      </c>
      <c r="C1704" s="13" t="s">
        <v>2203</v>
      </c>
      <c r="D1704" s="13" t="s">
        <v>2207</v>
      </c>
      <c r="F1704" s="13" t="s">
        <v>2215</v>
      </c>
      <c r="G1704" s="13">
        <v>32.04</v>
      </c>
      <c r="H1704" s="44">
        <v>0</v>
      </c>
      <c r="I1704" s="13">
        <v>32.04</v>
      </c>
      <c r="J1704" s="24">
        <v>45875</v>
      </c>
      <c r="K1704" s="25">
        <v>41</v>
      </c>
      <c r="L1704" s="25">
        <v>1.8</v>
      </c>
      <c r="M1704" s="13" t="b">
        <v>0</v>
      </c>
      <c r="O1704" s="25">
        <f t="shared" si="104"/>
        <v>27</v>
      </c>
      <c r="P1704" s="13">
        <f t="shared" si="105"/>
        <v>0</v>
      </c>
      <c r="Q1704" s="13" t="str">
        <f t="shared" si="106"/>
        <v/>
      </c>
      <c r="R1704" s="13" t="str">
        <f t="shared" si="107"/>
        <v>Non diskon</v>
      </c>
    </row>
    <row r="1705" spans="1:18" x14ac:dyDescent="0.25">
      <c r="A1705" s="13" t="s">
        <v>1717</v>
      </c>
      <c r="B1705" s="13" t="s">
        <v>2191</v>
      </c>
      <c r="C1705" s="13" t="s">
        <v>2202</v>
      </c>
      <c r="D1705" s="13" t="s">
        <v>2206</v>
      </c>
      <c r="E1705" s="13" t="s">
        <v>2213</v>
      </c>
      <c r="F1705" s="13" t="s">
        <v>2216</v>
      </c>
      <c r="G1705" s="13">
        <v>27.65</v>
      </c>
      <c r="H1705" s="44">
        <v>31.8</v>
      </c>
      <c r="I1705" s="13">
        <v>18.86</v>
      </c>
      <c r="J1705" s="24">
        <v>45875</v>
      </c>
      <c r="K1705" s="25">
        <v>2</v>
      </c>
      <c r="L1705" s="25">
        <v>3.7</v>
      </c>
      <c r="M1705" s="13" t="b">
        <v>1</v>
      </c>
      <c r="N1705" s="13" t="s">
        <v>2226</v>
      </c>
      <c r="O1705" s="25">
        <f t="shared" si="104"/>
        <v>27</v>
      </c>
      <c r="P1705" s="13">
        <f t="shared" si="105"/>
        <v>63.6</v>
      </c>
      <c r="Q1705" s="13">
        <f t="shared" si="106"/>
        <v>1</v>
      </c>
      <c r="R1705" s="13" t="str">
        <f t="shared" si="107"/>
        <v>Diskon</v>
      </c>
    </row>
    <row r="1706" spans="1:18" x14ac:dyDescent="0.25">
      <c r="A1706" s="13" t="s">
        <v>1718</v>
      </c>
      <c r="B1706" s="13" t="s">
        <v>2194</v>
      </c>
      <c r="C1706" s="13" t="s">
        <v>2198</v>
      </c>
      <c r="D1706" s="13" t="s">
        <v>2204</v>
      </c>
      <c r="E1706" s="13" t="s">
        <v>2213</v>
      </c>
      <c r="F1706" s="13" t="s">
        <v>2223</v>
      </c>
      <c r="G1706" s="13">
        <v>31.54</v>
      </c>
      <c r="H1706" s="44">
        <v>0</v>
      </c>
      <c r="I1706" s="13">
        <v>31.54</v>
      </c>
      <c r="J1706" s="24">
        <v>45872</v>
      </c>
      <c r="K1706" s="25">
        <v>45</v>
      </c>
      <c r="L1706" s="25">
        <v>1.3</v>
      </c>
      <c r="M1706" s="13" t="b">
        <v>0</v>
      </c>
      <c r="O1706" s="25">
        <f t="shared" si="104"/>
        <v>30</v>
      </c>
      <c r="P1706" s="13">
        <f t="shared" si="105"/>
        <v>0</v>
      </c>
      <c r="Q1706" s="13" t="str">
        <f t="shared" si="106"/>
        <v/>
      </c>
      <c r="R1706" s="13" t="str">
        <f t="shared" si="107"/>
        <v>Non diskon</v>
      </c>
    </row>
    <row r="1707" spans="1:18" x14ac:dyDescent="0.25">
      <c r="A1707" s="13" t="s">
        <v>1719</v>
      </c>
      <c r="B1707" s="13" t="s">
        <v>2194</v>
      </c>
      <c r="C1707" s="13" t="s">
        <v>2196</v>
      </c>
      <c r="D1707" s="13" t="s">
        <v>2207</v>
      </c>
      <c r="E1707" s="13" t="s">
        <v>2211</v>
      </c>
      <c r="F1707" s="13" t="s">
        <v>2221</v>
      </c>
      <c r="G1707" s="13">
        <v>77.64</v>
      </c>
      <c r="H1707" s="44">
        <v>39.1</v>
      </c>
      <c r="I1707" s="13">
        <v>47.28</v>
      </c>
      <c r="J1707" s="24">
        <v>45875</v>
      </c>
      <c r="K1707" s="25">
        <v>19</v>
      </c>
      <c r="L1707" s="25">
        <v>2.6</v>
      </c>
      <c r="M1707" s="13" t="b">
        <v>0</v>
      </c>
      <c r="O1707" s="25">
        <f t="shared" si="104"/>
        <v>27</v>
      </c>
      <c r="P1707" s="13">
        <f t="shared" si="105"/>
        <v>742.9</v>
      </c>
      <c r="Q1707" s="13" t="str">
        <f t="shared" si="106"/>
        <v/>
      </c>
      <c r="R1707" s="13" t="str">
        <f t="shared" si="107"/>
        <v>Diskon</v>
      </c>
    </row>
    <row r="1708" spans="1:18" x14ac:dyDescent="0.25">
      <c r="A1708" s="13" t="s">
        <v>1720</v>
      </c>
      <c r="B1708" s="13" t="s">
        <v>2195</v>
      </c>
      <c r="C1708" s="13" t="s">
        <v>2200</v>
      </c>
      <c r="D1708" s="13" t="s">
        <v>2205</v>
      </c>
      <c r="E1708" s="13" t="s">
        <v>2208</v>
      </c>
      <c r="F1708" s="13" t="s">
        <v>2215</v>
      </c>
      <c r="G1708" s="13">
        <v>51.48</v>
      </c>
      <c r="H1708" s="44">
        <v>0</v>
      </c>
      <c r="I1708" s="13">
        <v>51.48</v>
      </c>
      <c r="J1708" s="24">
        <v>45875</v>
      </c>
      <c r="K1708" s="25">
        <v>10</v>
      </c>
      <c r="L1708" s="25">
        <v>1</v>
      </c>
      <c r="M1708" s="13" t="b">
        <v>0</v>
      </c>
      <c r="O1708" s="25">
        <f t="shared" si="104"/>
        <v>27</v>
      </c>
      <c r="P1708" s="13">
        <f t="shared" si="105"/>
        <v>0</v>
      </c>
      <c r="Q1708" s="13" t="str">
        <f t="shared" si="106"/>
        <v/>
      </c>
      <c r="R1708" s="13" t="str">
        <f t="shared" si="107"/>
        <v>Non diskon</v>
      </c>
    </row>
    <row r="1709" spans="1:18" x14ac:dyDescent="0.25">
      <c r="A1709" s="13" t="s">
        <v>1721</v>
      </c>
      <c r="B1709" s="13" t="s">
        <v>2190</v>
      </c>
      <c r="C1709" s="13" t="s">
        <v>2196</v>
      </c>
      <c r="D1709" s="13" t="s">
        <v>2206</v>
      </c>
      <c r="E1709" s="13" t="s">
        <v>2213</v>
      </c>
      <c r="F1709" s="13" t="s">
        <v>2215</v>
      </c>
      <c r="G1709" s="13">
        <v>108.58</v>
      </c>
      <c r="H1709" s="44">
        <v>0</v>
      </c>
      <c r="I1709" s="13">
        <v>108.58</v>
      </c>
      <c r="J1709" s="24">
        <v>45875</v>
      </c>
      <c r="K1709" s="25">
        <v>44</v>
      </c>
      <c r="L1709" s="25">
        <v>2.4</v>
      </c>
      <c r="M1709" s="13" t="b">
        <v>0</v>
      </c>
      <c r="O1709" s="25">
        <f t="shared" si="104"/>
        <v>27</v>
      </c>
      <c r="P1709" s="13">
        <f t="shared" si="105"/>
        <v>0</v>
      </c>
      <c r="Q1709" s="13" t="str">
        <f t="shared" si="106"/>
        <v/>
      </c>
      <c r="R1709" s="13" t="str">
        <f t="shared" si="107"/>
        <v>Non diskon</v>
      </c>
    </row>
    <row r="1710" spans="1:18" x14ac:dyDescent="0.25">
      <c r="A1710" s="13" t="s">
        <v>1722</v>
      </c>
      <c r="B1710" s="13" t="s">
        <v>2191</v>
      </c>
      <c r="C1710" s="13" t="s">
        <v>2203</v>
      </c>
      <c r="D1710" s="13" t="s">
        <v>2205</v>
      </c>
      <c r="E1710" s="13" t="s">
        <v>2211</v>
      </c>
      <c r="F1710" s="13" t="s">
        <v>2216</v>
      </c>
      <c r="G1710" s="13">
        <v>84.17</v>
      </c>
      <c r="H1710" s="44">
        <v>0</v>
      </c>
      <c r="I1710" s="13">
        <v>84.17</v>
      </c>
      <c r="J1710" s="24">
        <v>45875</v>
      </c>
      <c r="K1710" s="25">
        <v>20</v>
      </c>
      <c r="L1710" s="25">
        <v>3.7</v>
      </c>
      <c r="M1710" s="13" t="b">
        <v>0</v>
      </c>
      <c r="O1710" s="25">
        <f t="shared" si="104"/>
        <v>27</v>
      </c>
      <c r="P1710" s="13">
        <f t="shared" si="105"/>
        <v>0</v>
      </c>
      <c r="Q1710" s="13" t="str">
        <f t="shared" si="106"/>
        <v/>
      </c>
      <c r="R1710" s="13" t="str">
        <f t="shared" si="107"/>
        <v>Non diskon</v>
      </c>
    </row>
    <row r="1711" spans="1:18" x14ac:dyDescent="0.25">
      <c r="A1711" s="13" t="s">
        <v>1723</v>
      </c>
      <c r="B1711" s="13" t="s">
        <v>2194</v>
      </c>
      <c r="C1711" s="13" t="s">
        <v>2199</v>
      </c>
      <c r="D1711" s="13" t="s">
        <v>2204</v>
      </c>
      <c r="E1711" s="13" t="s">
        <v>2209</v>
      </c>
      <c r="F1711" s="13" t="s">
        <v>2215</v>
      </c>
      <c r="G1711" s="13">
        <v>76.45</v>
      </c>
      <c r="H1711" s="44">
        <v>0</v>
      </c>
      <c r="I1711" s="13">
        <v>76.45</v>
      </c>
      <c r="J1711" s="24">
        <v>45818</v>
      </c>
      <c r="K1711" s="25">
        <v>16</v>
      </c>
      <c r="L1711" s="25">
        <v>1</v>
      </c>
      <c r="M1711" s="13" t="b">
        <v>1</v>
      </c>
      <c r="N1711" s="13" t="s">
        <v>2225</v>
      </c>
      <c r="O1711" s="25">
        <f t="shared" si="104"/>
        <v>84</v>
      </c>
      <c r="P1711" s="13">
        <f t="shared" si="105"/>
        <v>0</v>
      </c>
      <c r="Q1711" s="13">
        <f t="shared" si="106"/>
        <v>1</v>
      </c>
      <c r="R1711" s="13" t="str">
        <f t="shared" si="107"/>
        <v>Non diskon</v>
      </c>
    </row>
    <row r="1712" spans="1:18" x14ac:dyDescent="0.25">
      <c r="A1712" s="13" t="s">
        <v>1724</v>
      </c>
      <c r="B1712" s="13" t="s">
        <v>2192</v>
      </c>
      <c r="C1712" s="13" t="s">
        <v>2197</v>
      </c>
      <c r="D1712" s="13" t="s">
        <v>2204</v>
      </c>
      <c r="F1712" s="13" t="s">
        <v>2218</v>
      </c>
      <c r="G1712" s="13">
        <v>50.31</v>
      </c>
      <c r="H1712" s="44">
        <v>0</v>
      </c>
      <c r="I1712" s="13">
        <v>50.31</v>
      </c>
      <c r="J1712" s="24">
        <v>45771</v>
      </c>
      <c r="K1712" s="25">
        <v>36</v>
      </c>
      <c r="L1712" s="25">
        <v>3.1288461538461547</v>
      </c>
      <c r="M1712" s="13" t="b">
        <v>0</v>
      </c>
      <c r="O1712" s="25">
        <f t="shared" si="104"/>
        <v>131</v>
      </c>
      <c r="P1712" s="13">
        <f t="shared" si="105"/>
        <v>0</v>
      </c>
      <c r="Q1712" s="13" t="str">
        <f t="shared" si="106"/>
        <v/>
      </c>
      <c r="R1712" s="13" t="str">
        <f t="shared" si="107"/>
        <v>Non diskon</v>
      </c>
    </row>
    <row r="1713" spans="1:18" x14ac:dyDescent="0.25">
      <c r="A1713" s="13" t="s">
        <v>1725</v>
      </c>
      <c r="B1713" s="13" t="s">
        <v>2191</v>
      </c>
      <c r="C1713" s="13" t="s">
        <v>2202</v>
      </c>
      <c r="D1713" s="13" t="s">
        <v>2204</v>
      </c>
      <c r="E1713" s="13" t="s">
        <v>2210</v>
      </c>
      <c r="F1713" s="13" t="s">
        <v>2215</v>
      </c>
      <c r="G1713" s="13">
        <v>43.45</v>
      </c>
      <c r="H1713" s="44">
        <v>0</v>
      </c>
      <c r="I1713" s="13">
        <v>43.45</v>
      </c>
      <c r="J1713" s="24">
        <v>45855</v>
      </c>
      <c r="K1713" s="25">
        <v>30</v>
      </c>
      <c r="L1713" s="25">
        <v>2.2999999999999998</v>
      </c>
      <c r="M1713" s="13" t="b">
        <v>0</v>
      </c>
      <c r="O1713" s="25">
        <f t="shared" si="104"/>
        <v>47</v>
      </c>
      <c r="P1713" s="13">
        <f t="shared" si="105"/>
        <v>0</v>
      </c>
      <c r="Q1713" s="13" t="str">
        <f t="shared" si="106"/>
        <v/>
      </c>
      <c r="R1713" s="13" t="str">
        <f t="shared" si="107"/>
        <v>Non diskon</v>
      </c>
    </row>
    <row r="1714" spans="1:18" x14ac:dyDescent="0.25">
      <c r="A1714" s="13" t="s">
        <v>1726</v>
      </c>
      <c r="B1714" s="13" t="s">
        <v>2195</v>
      </c>
      <c r="C1714" s="13" t="s">
        <v>2197</v>
      </c>
      <c r="D1714" s="13" t="s">
        <v>2206</v>
      </c>
      <c r="E1714" s="13" t="s">
        <v>2208</v>
      </c>
      <c r="F1714" s="13" t="s">
        <v>2218</v>
      </c>
      <c r="G1714" s="13">
        <v>149.22</v>
      </c>
      <c r="H1714" s="44">
        <v>53.9</v>
      </c>
      <c r="I1714" s="13">
        <v>68.790000000000006</v>
      </c>
      <c r="J1714" s="24">
        <v>45875</v>
      </c>
      <c r="K1714" s="25">
        <v>41</v>
      </c>
      <c r="L1714" s="25">
        <v>2.2000000000000002</v>
      </c>
      <c r="M1714" s="13" t="b">
        <v>0</v>
      </c>
      <c r="O1714" s="25">
        <f t="shared" si="104"/>
        <v>27</v>
      </c>
      <c r="P1714" s="13">
        <f t="shared" si="105"/>
        <v>2209.9</v>
      </c>
      <c r="Q1714" s="13" t="str">
        <f t="shared" si="106"/>
        <v/>
      </c>
      <c r="R1714" s="13" t="str">
        <f t="shared" si="107"/>
        <v>Diskon</v>
      </c>
    </row>
    <row r="1715" spans="1:18" x14ac:dyDescent="0.25">
      <c r="A1715" s="13" t="s">
        <v>1727</v>
      </c>
      <c r="B1715" s="13" t="s">
        <v>2194</v>
      </c>
      <c r="C1715" s="13" t="s">
        <v>2202</v>
      </c>
      <c r="D1715" s="13" t="s">
        <v>2207</v>
      </c>
      <c r="E1715" s="13" t="s">
        <v>2212</v>
      </c>
      <c r="F1715" s="13" t="s">
        <v>2218</v>
      </c>
      <c r="G1715" s="13">
        <v>48.24</v>
      </c>
      <c r="H1715" s="44">
        <v>31.7</v>
      </c>
      <c r="I1715" s="13">
        <v>32.950000000000003</v>
      </c>
      <c r="J1715" s="24">
        <v>45875</v>
      </c>
      <c r="K1715" s="25">
        <v>46</v>
      </c>
      <c r="L1715" s="25">
        <v>3.7</v>
      </c>
      <c r="M1715" s="13" t="b">
        <v>0</v>
      </c>
      <c r="O1715" s="25">
        <f t="shared" si="104"/>
        <v>27</v>
      </c>
      <c r="P1715" s="13">
        <f t="shared" si="105"/>
        <v>1458.2</v>
      </c>
      <c r="Q1715" s="13" t="str">
        <f t="shared" si="106"/>
        <v/>
      </c>
      <c r="R1715" s="13" t="str">
        <f t="shared" si="107"/>
        <v>Diskon</v>
      </c>
    </row>
    <row r="1716" spans="1:18" x14ac:dyDescent="0.25">
      <c r="A1716" s="13" t="s">
        <v>1728</v>
      </c>
      <c r="B1716" s="13" t="s">
        <v>2194</v>
      </c>
      <c r="C1716" s="13" t="s">
        <v>2200</v>
      </c>
      <c r="D1716" s="13" t="s">
        <v>2207</v>
      </c>
      <c r="E1716" s="13" t="s">
        <v>2210</v>
      </c>
      <c r="F1716" s="13" t="s">
        <v>2224</v>
      </c>
      <c r="G1716" s="13">
        <v>66.27</v>
      </c>
      <c r="H1716" s="44">
        <v>21.7</v>
      </c>
      <c r="I1716" s="13">
        <v>51.89</v>
      </c>
      <c r="J1716" s="24">
        <v>45875</v>
      </c>
      <c r="K1716" s="25">
        <v>28</v>
      </c>
      <c r="L1716" s="25">
        <v>2.5</v>
      </c>
      <c r="M1716" s="13" t="b">
        <v>1</v>
      </c>
      <c r="N1716" s="13" t="s">
        <v>2229</v>
      </c>
      <c r="O1716" s="25">
        <f t="shared" si="104"/>
        <v>27</v>
      </c>
      <c r="P1716" s="13">
        <f t="shared" si="105"/>
        <v>607.6</v>
      </c>
      <c r="Q1716" s="13">
        <f t="shared" si="106"/>
        <v>1</v>
      </c>
      <c r="R1716" s="13" t="str">
        <f t="shared" si="107"/>
        <v>Diskon</v>
      </c>
    </row>
    <row r="1717" spans="1:18" x14ac:dyDescent="0.25">
      <c r="A1717" s="13" t="s">
        <v>1729</v>
      </c>
      <c r="B1717" s="13" t="s">
        <v>2193</v>
      </c>
      <c r="C1717" s="13" t="s">
        <v>2200</v>
      </c>
      <c r="D1717" s="13" t="s">
        <v>2206</v>
      </c>
      <c r="E1717" s="13" t="s">
        <v>2211</v>
      </c>
      <c r="F1717" s="13" t="s">
        <v>2222</v>
      </c>
      <c r="G1717" s="13">
        <v>82.65</v>
      </c>
      <c r="H1717" s="44">
        <v>0</v>
      </c>
      <c r="I1717" s="13">
        <v>82.65</v>
      </c>
      <c r="J1717" s="24">
        <v>45875</v>
      </c>
      <c r="K1717" s="25">
        <v>30</v>
      </c>
      <c r="L1717" s="25">
        <v>4.0999999999999996</v>
      </c>
      <c r="M1717" s="13" t="b">
        <v>0</v>
      </c>
      <c r="O1717" s="25">
        <f t="shared" si="104"/>
        <v>27</v>
      </c>
      <c r="P1717" s="13">
        <f t="shared" si="105"/>
        <v>0</v>
      </c>
      <c r="Q1717" s="13" t="str">
        <f t="shared" si="106"/>
        <v/>
      </c>
      <c r="R1717" s="13" t="str">
        <f t="shared" si="107"/>
        <v>Non diskon</v>
      </c>
    </row>
    <row r="1718" spans="1:18" x14ac:dyDescent="0.25">
      <c r="A1718" s="13" t="s">
        <v>1730</v>
      </c>
      <c r="B1718" s="13" t="s">
        <v>2194</v>
      </c>
      <c r="C1718" s="13" t="s">
        <v>2201</v>
      </c>
      <c r="D1718" s="13" t="s">
        <v>2205</v>
      </c>
      <c r="E1718" s="13" t="s">
        <v>2211</v>
      </c>
      <c r="F1718" s="13" t="s">
        <v>2216</v>
      </c>
      <c r="G1718" s="13">
        <v>42.36</v>
      </c>
      <c r="H1718" s="44">
        <v>0</v>
      </c>
      <c r="I1718" s="13">
        <v>42.36</v>
      </c>
      <c r="J1718" s="24">
        <v>45875</v>
      </c>
      <c r="K1718" s="25">
        <v>37</v>
      </c>
      <c r="L1718" s="25">
        <v>1.4</v>
      </c>
      <c r="M1718" s="13" t="b">
        <v>0</v>
      </c>
      <c r="O1718" s="25">
        <f t="shared" si="104"/>
        <v>27</v>
      </c>
      <c r="P1718" s="13">
        <f t="shared" si="105"/>
        <v>0</v>
      </c>
      <c r="Q1718" s="13" t="str">
        <f t="shared" si="106"/>
        <v/>
      </c>
      <c r="R1718" s="13" t="str">
        <f t="shared" si="107"/>
        <v>Non diskon</v>
      </c>
    </row>
    <row r="1719" spans="1:18" x14ac:dyDescent="0.25">
      <c r="A1719" s="13" t="s">
        <v>1731</v>
      </c>
      <c r="B1719" s="13" t="s">
        <v>2194</v>
      </c>
      <c r="C1719" s="13" t="s">
        <v>2201</v>
      </c>
      <c r="D1719" s="13" t="s">
        <v>2207</v>
      </c>
      <c r="E1719" s="13" t="s">
        <v>2213</v>
      </c>
      <c r="F1719" s="13" t="s">
        <v>2214</v>
      </c>
      <c r="G1719" s="13">
        <v>109.36</v>
      </c>
      <c r="H1719" s="44">
        <v>0</v>
      </c>
      <c r="I1719" s="13">
        <v>109.36</v>
      </c>
      <c r="J1719" s="24">
        <v>45875</v>
      </c>
      <c r="K1719" s="25">
        <v>24</v>
      </c>
      <c r="L1719" s="25">
        <v>1.7</v>
      </c>
      <c r="M1719" s="13" t="b">
        <v>0</v>
      </c>
      <c r="O1719" s="25">
        <f t="shared" si="104"/>
        <v>27</v>
      </c>
      <c r="P1719" s="13">
        <f t="shared" si="105"/>
        <v>0</v>
      </c>
      <c r="Q1719" s="13" t="str">
        <f t="shared" si="106"/>
        <v/>
      </c>
      <c r="R1719" s="13" t="str">
        <f t="shared" si="107"/>
        <v>Non diskon</v>
      </c>
    </row>
    <row r="1720" spans="1:18" x14ac:dyDescent="0.25">
      <c r="A1720" s="13" t="s">
        <v>1732</v>
      </c>
      <c r="B1720" s="13" t="s">
        <v>2192</v>
      </c>
      <c r="C1720" s="13" t="s">
        <v>2201</v>
      </c>
      <c r="D1720" s="13" t="s">
        <v>2205</v>
      </c>
      <c r="F1720" s="13" t="s">
        <v>2221</v>
      </c>
      <c r="G1720" s="13">
        <v>59.98</v>
      </c>
      <c r="H1720" s="44">
        <v>0</v>
      </c>
      <c r="I1720" s="13">
        <v>59.98</v>
      </c>
      <c r="J1720" s="24">
        <v>45875</v>
      </c>
      <c r="K1720" s="25">
        <v>28</v>
      </c>
      <c r="L1720" s="25">
        <v>2.2000000000000002</v>
      </c>
      <c r="M1720" s="13" t="b">
        <v>0</v>
      </c>
      <c r="O1720" s="25">
        <f t="shared" si="104"/>
        <v>27</v>
      </c>
      <c r="P1720" s="13">
        <f t="shared" si="105"/>
        <v>0</v>
      </c>
      <c r="Q1720" s="13" t="str">
        <f t="shared" si="106"/>
        <v/>
      </c>
      <c r="R1720" s="13" t="str">
        <f t="shared" si="107"/>
        <v>Non diskon</v>
      </c>
    </row>
    <row r="1721" spans="1:18" x14ac:dyDescent="0.25">
      <c r="A1721" s="13" t="s">
        <v>1733</v>
      </c>
      <c r="B1721" s="13" t="s">
        <v>2195</v>
      </c>
      <c r="C1721" s="13" t="s">
        <v>2202</v>
      </c>
      <c r="D1721" s="13" t="s">
        <v>2204</v>
      </c>
      <c r="F1721" s="13" t="s">
        <v>2223</v>
      </c>
      <c r="G1721" s="13">
        <v>111.81</v>
      </c>
      <c r="H1721" s="44">
        <v>0</v>
      </c>
      <c r="I1721" s="13">
        <v>111.81</v>
      </c>
      <c r="J1721" s="24">
        <v>45525</v>
      </c>
      <c r="K1721" s="25">
        <v>45</v>
      </c>
      <c r="L1721" s="25">
        <v>1.1000000000000001</v>
      </c>
      <c r="M1721" s="13" t="b">
        <v>0</v>
      </c>
      <c r="O1721" s="25">
        <f t="shared" si="104"/>
        <v>377</v>
      </c>
      <c r="P1721" s="13">
        <f t="shared" si="105"/>
        <v>0</v>
      </c>
      <c r="Q1721" s="13" t="str">
        <f t="shared" si="106"/>
        <v/>
      </c>
      <c r="R1721" s="13" t="str">
        <f t="shared" si="107"/>
        <v>Non diskon</v>
      </c>
    </row>
    <row r="1722" spans="1:18" x14ac:dyDescent="0.25">
      <c r="A1722" s="13" t="s">
        <v>1734</v>
      </c>
      <c r="B1722" s="13" t="s">
        <v>2194</v>
      </c>
      <c r="C1722" s="13" t="s">
        <v>2198</v>
      </c>
      <c r="D1722" s="13" t="s">
        <v>2205</v>
      </c>
      <c r="E1722" s="13" t="s">
        <v>2211</v>
      </c>
      <c r="F1722" s="13" t="s">
        <v>2214</v>
      </c>
      <c r="G1722" s="13">
        <v>70.78</v>
      </c>
      <c r="H1722" s="44">
        <v>0</v>
      </c>
      <c r="I1722" s="13">
        <v>70.78</v>
      </c>
      <c r="J1722" s="24">
        <v>45875</v>
      </c>
      <c r="K1722" s="25">
        <v>39</v>
      </c>
      <c r="L1722" s="25">
        <v>3.4</v>
      </c>
      <c r="M1722" s="13" t="b">
        <v>1</v>
      </c>
      <c r="N1722" s="13" t="s">
        <v>2225</v>
      </c>
      <c r="O1722" s="25">
        <f t="shared" si="104"/>
        <v>27</v>
      </c>
      <c r="P1722" s="13">
        <f t="shared" si="105"/>
        <v>0</v>
      </c>
      <c r="Q1722" s="13">
        <f t="shared" si="106"/>
        <v>1</v>
      </c>
      <c r="R1722" s="13" t="str">
        <f t="shared" si="107"/>
        <v>Non diskon</v>
      </c>
    </row>
    <row r="1723" spans="1:18" x14ac:dyDescent="0.25">
      <c r="A1723" s="13" t="s">
        <v>1735</v>
      </c>
      <c r="B1723" s="13" t="s">
        <v>2192</v>
      </c>
      <c r="C1723" s="13" t="s">
        <v>2199</v>
      </c>
      <c r="D1723" s="13" t="s">
        <v>2205</v>
      </c>
      <c r="F1723" s="13" t="s">
        <v>2215</v>
      </c>
      <c r="G1723" s="13">
        <v>76.13</v>
      </c>
      <c r="H1723" s="44">
        <v>58.5</v>
      </c>
      <c r="I1723" s="13">
        <v>31.59</v>
      </c>
      <c r="J1723" s="24">
        <v>45875</v>
      </c>
      <c r="K1723" s="25">
        <v>40</v>
      </c>
      <c r="L1723" s="25">
        <v>1.6</v>
      </c>
      <c r="M1723" s="13" t="b">
        <v>0</v>
      </c>
      <c r="O1723" s="25">
        <f t="shared" si="104"/>
        <v>27</v>
      </c>
      <c r="P1723" s="13">
        <f t="shared" si="105"/>
        <v>2340</v>
      </c>
      <c r="Q1723" s="13" t="str">
        <f t="shared" si="106"/>
        <v/>
      </c>
      <c r="R1723" s="13" t="str">
        <f t="shared" si="107"/>
        <v>Diskon</v>
      </c>
    </row>
    <row r="1724" spans="1:18" x14ac:dyDescent="0.25">
      <c r="A1724" s="13" t="s">
        <v>1736</v>
      </c>
      <c r="B1724" s="13" t="s">
        <v>2194</v>
      </c>
      <c r="C1724" s="13" t="s">
        <v>2198</v>
      </c>
      <c r="D1724" s="13" t="s">
        <v>2206</v>
      </c>
      <c r="E1724" s="13" t="s">
        <v>2212</v>
      </c>
      <c r="F1724" s="13" t="s">
        <v>2215</v>
      </c>
      <c r="G1724" s="13">
        <v>71.09</v>
      </c>
      <c r="H1724" s="44">
        <v>41.5</v>
      </c>
      <c r="I1724" s="13">
        <v>41.59</v>
      </c>
      <c r="J1724" s="24">
        <v>45875</v>
      </c>
      <c r="K1724" s="25">
        <v>20</v>
      </c>
      <c r="L1724" s="25">
        <v>3.1</v>
      </c>
      <c r="M1724" s="13" t="b">
        <v>0</v>
      </c>
      <c r="O1724" s="25">
        <f t="shared" si="104"/>
        <v>27</v>
      </c>
      <c r="P1724" s="13">
        <f t="shared" si="105"/>
        <v>830</v>
      </c>
      <c r="Q1724" s="13" t="str">
        <f t="shared" si="106"/>
        <v/>
      </c>
      <c r="R1724" s="13" t="str">
        <f t="shared" si="107"/>
        <v>Diskon</v>
      </c>
    </row>
    <row r="1725" spans="1:18" x14ac:dyDescent="0.25">
      <c r="A1725" s="13" t="s">
        <v>1737</v>
      </c>
      <c r="B1725" s="13" t="s">
        <v>2194</v>
      </c>
      <c r="C1725" s="13" t="s">
        <v>2199</v>
      </c>
      <c r="D1725" s="13" t="s">
        <v>2206</v>
      </c>
      <c r="F1725" s="13" t="s">
        <v>2218</v>
      </c>
      <c r="G1725" s="13">
        <v>53.64</v>
      </c>
      <c r="H1725" s="44">
        <v>55.9</v>
      </c>
      <c r="I1725" s="13">
        <v>23.66</v>
      </c>
      <c r="J1725" s="24">
        <v>45875</v>
      </c>
      <c r="K1725" s="25">
        <v>10</v>
      </c>
      <c r="L1725" s="25">
        <v>2.5</v>
      </c>
      <c r="M1725" s="13" t="b">
        <v>0</v>
      </c>
      <c r="O1725" s="25">
        <f t="shared" si="104"/>
        <v>27</v>
      </c>
      <c r="P1725" s="13">
        <f t="shared" si="105"/>
        <v>559</v>
      </c>
      <c r="Q1725" s="13" t="str">
        <f t="shared" si="106"/>
        <v/>
      </c>
      <c r="R1725" s="13" t="str">
        <f t="shared" si="107"/>
        <v>Diskon</v>
      </c>
    </row>
    <row r="1726" spans="1:18" x14ac:dyDescent="0.25">
      <c r="A1726" s="13" t="s">
        <v>1738</v>
      </c>
      <c r="B1726" s="13" t="s">
        <v>2193</v>
      </c>
      <c r="C1726" s="13" t="s">
        <v>2201</v>
      </c>
      <c r="D1726" s="13" t="s">
        <v>2206</v>
      </c>
      <c r="F1726" s="13" t="s">
        <v>2224</v>
      </c>
      <c r="G1726" s="13">
        <v>110.2</v>
      </c>
      <c r="H1726" s="44">
        <v>59.7</v>
      </c>
      <c r="I1726" s="13">
        <v>44.41</v>
      </c>
      <c r="J1726" s="24">
        <v>45875</v>
      </c>
      <c r="K1726" s="25">
        <v>13</v>
      </c>
      <c r="L1726" s="25">
        <v>3.5</v>
      </c>
      <c r="M1726" s="13" t="b">
        <v>1</v>
      </c>
      <c r="N1726" s="13" t="s">
        <v>2225</v>
      </c>
      <c r="O1726" s="25">
        <f t="shared" si="104"/>
        <v>27</v>
      </c>
      <c r="P1726" s="13">
        <f t="shared" si="105"/>
        <v>776.1</v>
      </c>
      <c r="Q1726" s="13">
        <f t="shared" si="106"/>
        <v>1</v>
      </c>
      <c r="R1726" s="13" t="str">
        <f t="shared" si="107"/>
        <v>Diskon</v>
      </c>
    </row>
    <row r="1727" spans="1:18" x14ac:dyDescent="0.25">
      <c r="A1727" s="13" t="s">
        <v>1739</v>
      </c>
      <c r="B1727" s="13" t="s">
        <v>2193</v>
      </c>
      <c r="C1727" s="13" t="s">
        <v>2197</v>
      </c>
      <c r="D1727" s="13" t="s">
        <v>2207</v>
      </c>
      <c r="E1727" s="13" t="s">
        <v>2211</v>
      </c>
      <c r="F1727" s="13" t="s">
        <v>2220</v>
      </c>
      <c r="G1727" s="13">
        <v>80.63</v>
      </c>
      <c r="H1727" s="44">
        <v>17.399999999999999</v>
      </c>
      <c r="I1727" s="13">
        <v>66.599999999999994</v>
      </c>
      <c r="J1727" s="24">
        <v>45875</v>
      </c>
      <c r="K1727" s="25">
        <v>6</v>
      </c>
      <c r="L1727" s="25">
        <v>2.8205128205128198</v>
      </c>
      <c r="M1727" s="13" t="b">
        <v>1</v>
      </c>
      <c r="N1727" s="13" t="s">
        <v>2227</v>
      </c>
      <c r="O1727" s="25">
        <f t="shared" si="104"/>
        <v>27</v>
      </c>
      <c r="P1727" s="13">
        <f t="shared" si="105"/>
        <v>104.39999999999999</v>
      </c>
      <c r="Q1727" s="13">
        <f t="shared" si="106"/>
        <v>1</v>
      </c>
      <c r="R1727" s="13" t="str">
        <f t="shared" si="107"/>
        <v>Diskon</v>
      </c>
    </row>
    <row r="1728" spans="1:18" x14ac:dyDescent="0.25">
      <c r="A1728" s="13" t="s">
        <v>1740</v>
      </c>
      <c r="B1728" s="13" t="s">
        <v>2195</v>
      </c>
      <c r="C1728" s="13" t="s">
        <v>2199</v>
      </c>
      <c r="D1728" s="13" t="s">
        <v>2204</v>
      </c>
      <c r="E1728" s="13" t="s">
        <v>2208</v>
      </c>
      <c r="F1728" s="13" t="s">
        <v>2220</v>
      </c>
      <c r="G1728" s="13">
        <v>101.09</v>
      </c>
      <c r="H1728" s="44">
        <v>24.8</v>
      </c>
      <c r="I1728" s="13">
        <v>76.02</v>
      </c>
      <c r="J1728" s="24">
        <v>45537</v>
      </c>
      <c r="K1728" s="25">
        <v>7</v>
      </c>
      <c r="L1728" s="25">
        <v>4.5</v>
      </c>
      <c r="M1728" s="13" t="b">
        <v>1</v>
      </c>
      <c r="N1728" s="13" t="s">
        <v>2227</v>
      </c>
      <c r="O1728" s="25">
        <f t="shared" si="104"/>
        <v>365</v>
      </c>
      <c r="P1728" s="13">
        <f t="shared" si="105"/>
        <v>173.6</v>
      </c>
      <c r="Q1728" s="13">
        <f t="shared" si="106"/>
        <v>1</v>
      </c>
      <c r="R1728" s="13" t="str">
        <f t="shared" si="107"/>
        <v>Diskon</v>
      </c>
    </row>
    <row r="1729" spans="1:18" x14ac:dyDescent="0.25">
      <c r="A1729" s="13" t="s">
        <v>1741</v>
      </c>
      <c r="B1729" s="13" t="s">
        <v>2192</v>
      </c>
      <c r="C1729" s="13" t="s">
        <v>2196</v>
      </c>
      <c r="D1729" s="13" t="s">
        <v>2204</v>
      </c>
      <c r="F1729" s="13" t="s">
        <v>2222</v>
      </c>
      <c r="G1729" s="13">
        <v>75.48</v>
      </c>
      <c r="H1729" s="44">
        <v>0</v>
      </c>
      <c r="I1729" s="13">
        <v>75.48</v>
      </c>
      <c r="J1729" s="24">
        <v>45804</v>
      </c>
      <c r="K1729" s="25">
        <v>16</v>
      </c>
      <c r="L1729" s="25">
        <v>1.4</v>
      </c>
      <c r="M1729" s="13" t="b">
        <v>0</v>
      </c>
      <c r="O1729" s="25">
        <f t="shared" si="104"/>
        <v>98</v>
      </c>
      <c r="P1729" s="13">
        <f t="shared" si="105"/>
        <v>0</v>
      </c>
      <c r="Q1729" s="13" t="str">
        <f t="shared" si="106"/>
        <v/>
      </c>
      <c r="R1729" s="13" t="str">
        <f t="shared" si="107"/>
        <v>Non diskon</v>
      </c>
    </row>
    <row r="1730" spans="1:18" x14ac:dyDescent="0.25">
      <c r="A1730" s="13" t="s">
        <v>1742</v>
      </c>
      <c r="B1730" s="13" t="s">
        <v>2193</v>
      </c>
      <c r="C1730" s="13" t="s">
        <v>2198</v>
      </c>
      <c r="D1730" s="13" t="s">
        <v>2207</v>
      </c>
      <c r="E1730" s="13" t="s">
        <v>2210</v>
      </c>
      <c r="F1730" s="13" t="s">
        <v>2224</v>
      </c>
      <c r="G1730" s="13">
        <v>159.94999999999999</v>
      </c>
      <c r="H1730" s="44">
        <v>6.4</v>
      </c>
      <c r="I1730" s="13">
        <v>149.71</v>
      </c>
      <c r="J1730" s="24">
        <v>45875</v>
      </c>
      <c r="K1730" s="25">
        <v>39</v>
      </c>
      <c r="L1730" s="25">
        <v>3</v>
      </c>
      <c r="M1730" s="13" t="b">
        <v>0</v>
      </c>
      <c r="O1730" s="25">
        <f t="shared" si="104"/>
        <v>27</v>
      </c>
      <c r="P1730" s="13">
        <f t="shared" si="105"/>
        <v>249.60000000000002</v>
      </c>
      <c r="Q1730" s="13" t="str">
        <f t="shared" si="106"/>
        <v/>
      </c>
      <c r="R1730" s="13" t="str">
        <f t="shared" si="107"/>
        <v>Diskon</v>
      </c>
    </row>
    <row r="1731" spans="1:18" x14ac:dyDescent="0.25">
      <c r="A1731" s="13" t="s">
        <v>1743</v>
      </c>
      <c r="B1731" s="13" t="s">
        <v>2195</v>
      </c>
      <c r="C1731" s="13" t="s">
        <v>2202</v>
      </c>
      <c r="D1731" s="13" t="s">
        <v>2207</v>
      </c>
      <c r="E1731" s="13" t="s">
        <v>2209</v>
      </c>
      <c r="F1731" s="13" t="s">
        <v>2216</v>
      </c>
      <c r="G1731" s="13">
        <v>61.9</v>
      </c>
      <c r="H1731" s="44">
        <v>0</v>
      </c>
      <c r="I1731" s="13">
        <v>61.9</v>
      </c>
      <c r="J1731" s="24">
        <v>45875</v>
      </c>
      <c r="K1731" s="25">
        <v>29</v>
      </c>
      <c r="L1731" s="25">
        <v>4.4000000000000004</v>
      </c>
      <c r="M1731" s="13" t="b">
        <v>0</v>
      </c>
      <c r="O1731" s="25">
        <f t="shared" ref="O1731:O1794" si="108">DATE(2025,9,2)-J1731</f>
        <v>27</v>
      </c>
      <c r="P1731" s="13">
        <f t="shared" ref="P1731:P1794" si="109">H1731*K1731</f>
        <v>0</v>
      </c>
      <c r="Q1731" s="13" t="str">
        <f t="shared" ref="Q1731:Q1794" si="110">IF(M1731=FALSE,"",1)</f>
        <v/>
      </c>
      <c r="R1731" s="13" t="str">
        <f t="shared" ref="R1731:R1794" si="111">IF(H1731=0,"Non diskon","Diskon")</f>
        <v>Non diskon</v>
      </c>
    </row>
    <row r="1732" spans="1:18" x14ac:dyDescent="0.25">
      <c r="A1732" s="13" t="s">
        <v>1744</v>
      </c>
      <c r="B1732" s="13" t="s">
        <v>2191</v>
      </c>
      <c r="C1732" s="13" t="s">
        <v>2198</v>
      </c>
      <c r="D1732" s="13" t="s">
        <v>2206</v>
      </c>
      <c r="E1732" s="13" t="s">
        <v>2208</v>
      </c>
      <c r="F1732" s="13" t="s">
        <v>2223</v>
      </c>
      <c r="G1732" s="13">
        <v>63.45</v>
      </c>
      <c r="H1732" s="44">
        <v>12.3</v>
      </c>
      <c r="I1732" s="13">
        <v>55.65</v>
      </c>
      <c r="J1732" s="24">
        <v>45875</v>
      </c>
      <c r="K1732" s="25">
        <v>23</v>
      </c>
      <c r="L1732" s="25">
        <v>4.9000000000000004</v>
      </c>
      <c r="M1732" s="13" t="b">
        <v>0</v>
      </c>
      <c r="O1732" s="25">
        <f t="shared" si="108"/>
        <v>27</v>
      </c>
      <c r="P1732" s="13">
        <f t="shared" si="109"/>
        <v>282.90000000000003</v>
      </c>
      <c r="Q1732" s="13" t="str">
        <f t="shared" si="110"/>
        <v/>
      </c>
      <c r="R1732" s="13" t="str">
        <f t="shared" si="111"/>
        <v>Diskon</v>
      </c>
    </row>
    <row r="1733" spans="1:18" x14ac:dyDescent="0.25">
      <c r="A1733" s="13" t="s">
        <v>1745</v>
      </c>
      <c r="B1733" s="13" t="s">
        <v>2191</v>
      </c>
      <c r="C1733" s="13" t="s">
        <v>2199</v>
      </c>
      <c r="D1733" s="13" t="s">
        <v>2207</v>
      </c>
      <c r="E1733" s="13" t="s">
        <v>2210</v>
      </c>
      <c r="F1733" s="13" t="s">
        <v>2214</v>
      </c>
      <c r="G1733" s="13">
        <v>43.22</v>
      </c>
      <c r="H1733" s="44">
        <v>46.7</v>
      </c>
      <c r="I1733" s="13">
        <v>23.04</v>
      </c>
      <c r="J1733" s="24">
        <v>45875</v>
      </c>
      <c r="K1733" s="25">
        <v>29</v>
      </c>
      <c r="L1733" s="25">
        <v>1.3</v>
      </c>
      <c r="M1733" s="13" t="b">
        <v>0</v>
      </c>
      <c r="O1733" s="25">
        <f t="shared" si="108"/>
        <v>27</v>
      </c>
      <c r="P1733" s="13">
        <f t="shared" si="109"/>
        <v>1354.3000000000002</v>
      </c>
      <c r="Q1733" s="13" t="str">
        <f t="shared" si="110"/>
        <v/>
      </c>
      <c r="R1733" s="13" t="str">
        <f t="shared" si="111"/>
        <v>Diskon</v>
      </c>
    </row>
    <row r="1734" spans="1:18" x14ac:dyDescent="0.25">
      <c r="A1734" s="13" t="s">
        <v>1746</v>
      </c>
      <c r="B1734" s="13" t="s">
        <v>2193</v>
      </c>
      <c r="C1734" s="13" t="s">
        <v>2198</v>
      </c>
      <c r="D1734" s="13" t="s">
        <v>2205</v>
      </c>
      <c r="E1734" s="13" t="s">
        <v>2210</v>
      </c>
      <c r="F1734" s="13" t="s">
        <v>2222</v>
      </c>
      <c r="G1734" s="13">
        <v>64.650000000000006</v>
      </c>
      <c r="H1734" s="44">
        <v>26.8</v>
      </c>
      <c r="I1734" s="13">
        <v>47.32</v>
      </c>
      <c r="J1734" s="24">
        <v>45875</v>
      </c>
      <c r="K1734" s="25">
        <v>28</v>
      </c>
      <c r="L1734" s="25">
        <v>4.7</v>
      </c>
      <c r="M1734" s="13" t="b">
        <v>0</v>
      </c>
      <c r="O1734" s="25">
        <f t="shared" si="108"/>
        <v>27</v>
      </c>
      <c r="P1734" s="13">
        <f t="shared" si="109"/>
        <v>750.4</v>
      </c>
      <c r="Q1734" s="13" t="str">
        <f t="shared" si="110"/>
        <v/>
      </c>
      <c r="R1734" s="13" t="str">
        <f t="shared" si="111"/>
        <v>Diskon</v>
      </c>
    </row>
    <row r="1735" spans="1:18" x14ac:dyDescent="0.25">
      <c r="A1735" s="13" t="s">
        <v>1747</v>
      </c>
      <c r="B1735" s="13" t="s">
        <v>2193</v>
      </c>
      <c r="C1735" s="13" t="s">
        <v>2197</v>
      </c>
      <c r="D1735" s="13" t="s">
        <v>2204</v>
      </c>
      <c r="E1735" s="13" t="s">
        <v>2211</v>
      </c>
      <c r="F1735" s="13" t="s">
        <v>2223</v>
      </c>
      <c r="G1735" s="13">
        <v>118.67</v>
      </c>
      <c r="H1735" s="44">
        <v>56</v>
      </c>
      <c r="I1735" s="13">
        <v>52.21</v>
      </c>
      <c r="J1735" s="24">
        <v>45773</v>
      </c>
      <c r="K1735" s="25">
        <v>27</v>
      </c>
      <c r="L1735" s="25">
        <v>3.5</v>
      </c>
      <c r="M1735" s="13" t="b">
        <v>0</v>
      </c>
      <c r="O1735" s="25">
        <f t="shared" si="108"/>
        <v>129</v>
      </c>
      <c r="P1735" s="13">
        <f t="shared" si="109"/>
        <v>1512</v>
      </c>
      <c r="Q1735" s="13" t="str">
        <f t="shared" si="110"/>
        <v/>
      </c>
      <c r="R1735" s="13" t="str">
        <f t="shared" si="111"/>
        <v>Diskon</v>
      </c>
    </row>
    <row r="1736" spans="1:18" x14ac:dyDescent="0.25">
      <c r="A1736" s="13" t="s">
        <v>1748</v>
      </c>
      <c r="B1736" s="13" t="s">
        <v>2195</v>
      </c>
      <c r="C1736" s="13" t="s">
        <v>2198</v>
      </c>
      <c r="D1736" s="13" t="s">
        <v>2204</v>
      </c>
      <c r="E1736" s="13" t="s">
        <v>2212</v>
      </c>
      <c r="F1736" s="13" t="s">
        <v>2217</v>
      </c>
      <c r="G1736" s="13">
        <v>169.32</v>
      </c>
      <c r="H1736" s="44">
        <v>0</v>
      </c>
      <c r="I1736" s="13">
        <v>169.32</v>
      </c>
      <c r="J1736" s="24">
        <v>45643</v>
      </c>
      <c r="K1736" s="25">
        <v>19</v>
      </c>
      <c r="L1736" s="25">
        <v>2.2000000000000002</v>
      </c>
      <c r="M1736" s="13" t="b">
        <v>0</v>
      </c>
      <c r="O1736" s="25">
        <f t="shared" si="108"/>
        <v>259</v>
      </c>
      <c r="P1736" s="13">
        <f t="shared" si="109"/>
        <v>0</v>
      </c>
      <c r="Q1736" s="13" t="str">
        <f t="shared" si="110"/>
        <v/>
      </c>
      <c r="R1736" s="13" t="str">
        <f t="shared" si="111"/>
        <v>Non diskon</v>
      </c>
    </row>
    <row r="1737" spans="1:18" x14ac:dyDescent="0.25">
      <c r="A1737" s="13" t="s">
        <v>1749</v>
      </c>
      <c r="B1737" s="13" t="s">
        <v>2193</v>
      </c>
      <c r="C1737" s="13" t="s">
        <v>2201</v>
      </c>
      <c r="D1737" s="13" t="s">
        <v>2204</v>
      </c>
      <c r="E1737" s="13" t="s">
        <v>2212</v>
      </c>
      <c r="F1737" s="13" t="s">
        <v>2218</v>
      </c>
      <c r="G1737" s="13">
        <v>115.77</v>
      </c>
      <c r="H1737" s="44">
        <v>0</v>
      </c>
      <c r="I1737" s="13">
        <v>115.77</v>
      </c>
      <c r="J1737" s="24">
        <v>45620</v>
      </c>
      <c r="K1737" s="25">
        <v>43</v>
      </c>
      <c r="L1737" s="25">
        <v>3.0068965517241386</v>
      </c>
      <c r="M1737" s="13" t="b">
        <v>0</v>
      </c>
      <c r="O1737" s="25">
        <f t="shared" si="108"/>
        <v>282</v>
      </c>
      <c r="P1737" s="13">
        <f t="shared" si="109"/>
        <v>0</v>
      </c>
      <c r="Q1737" s="13" t="str">
        <f t="shared" si="110"/>
        <v/>
      </c>
      <c r="R1737" s="13" t="str">
        <f t="shared" si="111"/>
        <v>Non diskon</v>
      </c>
    </row>
    <row r="1738" spans="1:18" x14ac:dyDescent="0.25">
      <c r="A1738" s="13" t="s">
        <v>1750</v>
      </c>
      <c r="B1738" s="13" t="s">
        <v>2193</v>
      </c>
      <c r="C1738" s="13" t="s">
        <v>2199</v>
      </c>
      <c r="D1738" s="13" t="s">
        <v>2206</v>
      </c>
      <c r="E1738" s="13" t="s">
        <v>2212</v>
      </c>
      <c r="F1738" s="13" t="s">
        <v>2221</v>
      </c>
      <c r="G1738" s="13">
        <v>139.91</v>
      </c>
      <c r="H1738" s="44">
        <v>0</v>
      </c>
      <c r="I1738" s="13">
        <v>139.91</v>
      </c>
      <c r="J1738" s="24">
        <v>45875</v>
      </c>
      <c r="K1738" s="25">
        <v>9</v>
      </c>
      <c r="L1738" s="25">
        <v>3.7</v>
      </c>
      <c r="M1738" s="13" t="b">
        <v>0</v>
      </c>
      <c r="O1738" s="25">
        <f t="shared" si="108"/>
        <v>27</v>
      </c>
      <c r="P1738" s="13">
        <f t="shared" si="109"/>
        <v>0</v>
      </c>
      <c r="Q1738" s="13" t="str">
        <f t="shared" si="110"/>
        <v/>
      </c>
      <c r="R1738" s="13" t="str">
        <f t="shared" si="111"/>
        <v>Non diskon</v>
      </c>
    </row>
    <row r="1739" spans="1:18" x14ac:dyDescent="0.25">
      <c r="A1739" s="13" t="s">
        <v>1751</v>
      </c>
      <c r="B1739" s="13" t="s">
        <v>2194</v>
      </c>
      <c r="C1739" s="13" t="s">
        <v>2198</v>
      </c>
      <c r="D1739" s="13" t="s">
        <v>2207</v>
      </c>
      <c r="E1739" s="13" t="s">
        <v>2211</v>
      </c>
      <c r="F1739" s="13" t="s">
        <v>2223</v>
      </c>
      <c r="G1739" s="13">
        <v>101.73</v>
      </c>
      <c r="H1739" s="44">
        <v>0</v>
      </c>
      <c r="I1739" s="13">
        <v>101.73</v>
      </c>
      <c r="J1739" s="24">
        <v>45875</v>
      </c>
      <c r="K1739" s="25">
        <v>14</v>
      </c>
      <c r="L1739" s="25">
        <v>4.7</v>
      </c>
      <c r="M1739" s="13" t="b">
        <v>0</v>
      </c>
      <c r="O1739" s="25">
        <f t="shared" si="108"/>
        <v>27</v>
      </c>
      <c r="P1739" s="13">
        <f t="shared" si="109"/>
        <v>0</v>
      </c>
      <c r="Q1739" s="13" t="str">
        <f t="shared" si="110"/>
        <v/>
      </c>
      <c r="R1739" s="13" t="str">
        <f t="shared" si="111"/>
        <v>Non diskon</v>
      </c>
    </row>
    <row r="1740" spans="1:18" x14ac:dyDescent="0.25">
      <c r="A1740" s="13" t="s">
        <v>1752</v>
      </c>
      <c r="B1740" s="13" t="s">
        <v>2191</v>
      </c>
      <c r="C1740" s="13" t="s">
        <v>2203</v>
      </c>
      <c r="D1740" s="13" t="s">
        <v>2207</v>
      </c>
      <c r="F1740" s="13" t="s">
        <v>2215</v>
      </c>
      <c r="G1740" s="13">
        <v>105.85</v>
      </c>
      <c r="H1740" s="44">
        <v>0</v>
      </c>
      <c r="I1740" s="13">
        <v>105.85</v>
      </c>
      <c r="J1740" s="24">
        <v>45875</v>
      </c>
      <c r="K1740" s="25">
        <v>29</v>
      </c>
      <c r="L1740" s="25">
        <v>2.1</v>
      </c>
      <c r="M1740" s="13" t="b">
        <v>0</v>
      </c>
      <c r="O1740" s="25">
        <f t="shared" si="108"/>
        <v>27</v>
      </c>
      <c r="P1740" s="13">
        <f t="shared" si="109"/>
        <v>0</v>
      </c>
      <c r="Q1740" s="13" t="str">
        <f t="shared" si="110"/>
        <v/>
      </c>
      <c r="R1740" s="13" t="str">
        <f t="shared" si="111"/>
        <v>Non diskon</v>
      </c>
    </row>
    <row r="1741" spans="1:18" x14ac:dyDescent="0.25">
      <c r="A1741" s="13" t="s">
        <v>1753</v>
      </c>
      <c r="B1741" s="13" t="s">
        <v>2191</v>
      </c>
      <c r="C1741" s="13" t="s">
        <v>2202</v>
      </c>
      <c r="D1741" s="13" t="s">
        <v>2204</v>
      </c>
      <c r="E1741" s="13" t="s">
        <v>2208</v>
      </c>
      <c r="F1741" s="13" t="s">
        <v>2218</v>
      </c>
      <c r="G1741" s="13">
        <v>105.37</v>
      </c>
      <c r="H1741" s="44">
        <v>0</v>
      </c>
      <c r="I1741" s="13">
        <v>105.37</v>
      </c>
      <c r="J1741" s="24">
        <v>45762</v>
      </c>
      <c r="K1741" s="25">
        <v>24</v>
      </c>
      <c r="L1741" s="25">
        <v>1.2</v>
      </c>
      <c r="M1741" s="13" t="b">
        <v>0</v>
      </c>
      <c r="O1741" s="25">
        <f t="shared" si="108"/>
        <v>140</v>
      </c>
      <c r="P1741" s="13">
        <f t="shared" si="109"/>
        <v>0</v>
      </c>
      <c r="Q1741" s="13" t="str">
        <f t="shared" si="110"/>
        <v/>
      </c>
      <c r="R1741" s="13" t="str">
        <f t="shared" si="111"/>
        <v>Non diskon</v>
      </c>
    </row>
    <row r="1742" spans="1:18" x14ac:dyDescent="0.25">
      <c r="A1742" s="13" t="s">
        <v>1754</v>
      </c>
      <c r="B1742" s="13" t="s">
        <v>2191</v>
      </c>
      <c r="C1742" s="13" t="s">
        <v>2200</v>
      </c>
      <c r="D1742" s="13" t="s">
        <v>2207</v>
      </c>
      <c r="E1742" s="13" t="s">
        <v>2210</v>
      </c>
      <c r="F1742" s="13" t="s">
        <v>2224</v>
      </c>
      <c r="G1742" s="13">
        <v>44.42</v>
      </c>
      <c r="H1742" s="44">
        <v>0</v>
      </c>
      <c r="I1742" s="13">
        <v>44.42</v>
      </c>
      <c r="J1742" s="24">
        <v>45875</v>
      </c>
      <c r="K1742" s="25">
        <v>49</v>
      </c>
      <c r="L1742" s="25">
        <v>2.9657142857142857</v>
      </c>
      <c r="M1742" s="13" t="b">
        <v>0</v>
      </c>
      <c r="O1742" s="25">
        <f t="shared" si="108"/>
        <v>27</v>
      </c>
      <c r="P1742" s="13">
        <f t="shared" si="109"/>
        <v>0</v>
      </c>
      <c r="Q1742" s="13" t="str">
        <f t="shared" si="110"/>
        <v/>
      </c>
      <c r="R1742" s="13" t="str">
        <f t="shared" si="111"/>
        <v>Non diskon</v>
      </c>
    </row>
    <row r="1743" spans="1:18" x14ac:dyDescent="0.25">
      <c r="A1743" s="13" t="s">
        <v>1755</v>
      </c>
      <c r="B1743" s="13" t="s">
        <v>2193</v>
      </c>
      <c r="C1743" s="13" t="s">
        <v>2197</v>
      </c>
      <c r="D1743" s="13" t="s">
        <v>2204</v>
      </c>
      <c r="E1743" s="13" t="s">
        <v>2212</v>
      </c>
      <c r="F1743" s="13" t="s">
        <v>2218</v>
      </c>
      <c r="G1743" s="13">
        <v>164.86</v>
      </c>
      <c r="H1743" s="44">
        <v>14.3</v>
      </c>
      <c r="I1743" s="13">
        <v>141.29</v>
      </c>
      <c r="J1743" s="24">
        <v>45730</v>
      </c>
      <c r="K1743" s="25">
        <v>7</v>
      </c>
      <c r="L1743" s="25">
        <v>2.2999999999999998</v>
      </c>
      <c r="M1743" s="13" t="b">
        <v>0</v>
      </c>
      <c r="O1743" s="25">
        <f t="shared" si="108"/>
        <v>172</v>
      </c>
      <c r="P1743" s="13">
        <f t="shared" si="109"/>
        <v>100.10000000000001</v>
      </c>
      <c r="Q1743" s="13" t="str">
        <f t="shared" si="110"/>
        <v/>
      </c>
      <c r="R1743" s="13" t="str">
        <f t="shared" si="111"/>
        <v>Diskon</v>
      </c>
    </row>
    <row r="1744" spans="1:18" x14ac:dyDescent="0.25">
      <c r="A1744" s="13" t="s">
        <v>1756</v>
      </c>
      <c r="B1744" s="13" t="s">
        <v>2193</v>
      </c>
      <c r="C1744" s="13" t="s">
        <v>2199</v>
      </c>
      <c r="D1744" s="13" t="s">
        <v>2206</v>
      </c>
      <c r="E1744" s="13" t="s">
        <v>2211</v>
      </c>
      <c r="F1744" s="13" t="s">
        <v>2216</v>
      </c>
      <c r="G1744" s="13">
        <v>163.88</v>
      </c>
      <c r="H1744" s="44">
        <v>5.9</v>
      </c>
      <c r="I1744" s="13">
        <v>154.21</v>
      </c>
      <c r="J1744" s="24">
        <v>45875</v>
      </c>
      <c r="K1744" s="25">
        <v>39</v>
      </c>
      <c r="L1744" s="25">
        <v>2.6</v>
      </c>
      <c r="M1744" s="13" t="b">
        <v>0</v>
      </c>
      <c r="O1744" s="25">
        <f t="shared" si="108"/>
        <v>27</v>
      </c>
      <c r="P1744" s="13">
        <f t="shared" si="109"/>
        <v>230.10000000000002</v>
      </c>
      <c r="Q1744" s="13" t="str">
        <f t="shared" si="110"/>
        <v/>
      </c>
      <c r="R1744" s="13" t="str">
        <f t="shared" si="111"/>
        <v>Diskon</v>
      </c>
    </row>
    <row r="1745" spans="1:18" x14ac:dyDescent="0.25">
      <c r="A1745" s="13" t="s">
        <v>1757</v>
      </c>
      <c r="B1745" s="13" t="s">
        <v>2194</v>
      </c>
      <c r="C1745" s="13" t="s">
        <v>2196</v>
      </c>
      <c r="D1745" s="13" t="s">
        <v>2206</v>
      </c>
      <c r="E1745" s="13" t="s">
        <v>2212</v>
      </c>
      <c r="F1745" s="13" t="s">
        <v>2220</v>
      </c>
      <c r="G1745" s="13">
        <v>36.54</v>
      </c>
      <c r="H1745" s="44">
        <v>5.3</v>
      </c>
      <c r="I1745" s="13">
        <v>34.6</v>
      </c>
      <c r="J1745" s="24">
        <v>45875</v>
      </c>
      <c r="K1745" s="25">
        <v>13</v>
      </c>
      <c r="L1745" s="25">
        <v>2.5</v>
      </c>
      <c r="M1745" s="13" t="b">
        <v>0</v>
      </c>
      <c r="O1745" s="25">
        <f t="shared" si="108"/>
        <v>27</v>
      </c>
      <c r="P1745" s="13">
        <f t="shared" si="109"/>
        <v>68.899999999999991</v>
      </c>
      <c r="Q1745" s="13" t="str">
        <f t="shared" si="110"/>
        <v/>
      </c>
      <c r="R1745" s="13" t="str">
        <f t="shared" si="111"/>
        <v>Diskon</v>
      </c>
    </row>
    <row r="1746" spans="1:18" x14ac:dyDescent="0.25">
      <c r="A1746" s="13" t="s">
        <v>1758</v>
      </c>
      <c r="B1746" s="13" t="s">
        <v>2195</v>
      </c>
      <c r="C1746" s="13" t="s">
        <v>2198</v>
      </c>
      <c r="D1746" s="13" t="s">
        <v>2204</v>
      </c>
      <c r="E1746" s="13" t="s">
        <v>2213</v>
      </c>
      <c r="F1746" s="13" t="s">
        <v>2214</v>
      </c>
      <c r="G1746" s="13">
        <v>99.97</v>
      </c>
      <c r="H1746" s="44">
        <v>0</v>
      </c>
      <c r="I1746" s="13">
        <v>99.97</v>
      </c>
      <c r="J1746" s="24">
        <v>45581</v>
      </c>
      <c r="K1746" s="25">
        <v>38</v>
      </c>
      <c r="L1746" s="25">
        <v>1.4</v>
      </c>
      <c r="M1746" s="13" t="b">
        <v>0</v>
      </c>
      <c r="O1746" s="25">
        <f t="shared" si="108"/>
        <v>321</v>
      </c>
      <c r="P1746" s="13">
        <f t="shared" si="109"/>
        <v>0</v>
      </c>
      <c r="Q1746" s="13" t="str">
        <f t="shared" si="110"/>
        <v/>
      </c>
      <c r="R1746" s="13" t="str">
        <f t="shared" si="111"/>
        <v>Non diskon</v>
      </c>
    </row>
    <row r="1747" spans="1:18" x14ac:dyDescent="0.25">
      <c r="A1747" s="13" t="s">
        <v>1759</v>
      </c>
      <c r="B1747" s="13" t="s">
        <v>2190</v>
      </c>
      <c r="C1747" s="13" t="s">
        <v>2201</v>
      </c>
      <c r="D1747" s="13" t="s">
        <v>2207</v>
      </c>
      <c r="E1747" s="13" t="s">
        <v>2208</v>
      </c>
      <c r="F1747" s="13" t="s">
        <v>2214</v>
      </c>
      <c r="G1747" s="13">
        <v>194.78</v>
      </c>
      <c r="H1747" s="44">
        <v>0</v>
      </c>
      <c r="I1747" s="13">
        <v>194.78</v>
      </c>
      <c r="J1747" s="24">
        <v>45875</v>
      </c>
      <c r="K1747" s="25">
        <v>31</v>
      </c>
      <c r="L1747" s="25">
        <v>3.0305555555555546</v>
      </c>
      <c r="M1747" s="13" t="b">
        <v>0</v>
      </c>
      <c r="O1747" s="25">
        <f t="shared" si="108"/>
        <v>27</v>
      </c>
      <c r="P1747" s="13">
        <f t="shared" si="109"/>
        <v>0</v>
      </c>
      <c r="Q1747" s="13" t="str">
        <f t="shared" si="110"/>
        <v/>
      </c>
      <c r="R1747" s="13" t="str">
        <f t="shared" si="111"/>
        <v>Non diskon</v>
      </c>
    </row>
    <row r="1748" spans="1:18" x14ac:dyDescent="0.25">
      <c r="A1748" s="13" t="s">
        <v>1760</v>
      </c>
      <c r="B1748" s="13" t="s">
        <v>2190</v>
      </c>
      <c r="C1748" s="13" t="s">
        <v>2197</v>
      </c>
      <c r="D1748" s="13" t="s">
        <v>2206</v>
      </c>
      <c r="E1748" s="13" t="s">
        <v>2212</v>
      </c>
      <c r="F1748" s="13" t="s">
        <v>2219</v>
      </c>
      <c r="G1748" s="13">
        <v>208.93</v>
      </c>
      <c r="H1748" s="44">
        <v>0</v>
      </c>
      <c r="I1748" s="13">
        <v>208.93</v>
      </c>
      <c r="J1748" s="24">
        <v>45875</v>
      </c>
      <c r="K1748" s="25">
        <v>12</v>
      </c>
      <c r="L1748" s="25">
        <v>2.2999999999999998</v>
      </c>
      <c r="M1748" s="13" t="b">
        <v>0</v>
      </c>
      <c r="O1748" s="25">
        <f t="shared" si="108"/>
        <v>27</v>
      </c>
      <c r="P1748" s="13">
        <f t="shared" si="109"/>
        <v>0</v>
      </c>
      <c r="Q1748" s="13" t="str">
        <f t="shared" si="110"/>
        <v/>
      </c>
      <c r="R1748" s="13" t="str">
        <f t="shared" si="111"/>
        <v>Non diskon</v>
      </c>
    </row>
    <row r="1749" spans="1:18" x14ac:dyDescent="0.25">
      <c r="A1749" s="13" t="s">
        <v>1761</v>
      </c>
      <c r="B1749" s="13" t="s">
        <v>2194</v>
      </c>
      <c r="C1749" s="13" t="s">
        <v>2201</v>
      </c>
      <c r="D1749" s="13" t="s">
        <v>2204</v>
      </c>
      <c r="E1749" s="13" t="s">
        <v>2212</v>
      </c>
      <c r="F1749" s="13" t="s">
        <v>2214</v>
      </c>
      <c r="G1749" s="13">
        <v>68.459999999999994</v>
      </c>
      <c r="H1749" s="44">
        <v>50</v>
      </c>
      <c r="I1749" s="13">
        <v>34.229999999999997</v>
      </c>
      <c r="J1749" s="24">
        <v>45683</v>
      </c>
      <c r="K1749" s="25">
        <v>24</v>
      </c>
      <c r="L1749" s="25">
        <v>1.9</v>
      </c>
      <c r="M1749" s="13" t="b">
        <v>0</v>
      </c>
      <c r="O1749" s="25">
        <f t="shared" si="108"/>
        <v>219</v>
      </c>
      <c r="P1749" s="13">
        <f t="shared" si="109"/>
        <v>1200</v>
      </c>
      <c r="Q1749" s="13" t="str">
        <f t="shared" si="110"/>
        <v/>
      </c>
      <c r="R1749" s="13" t="str">
        <f t="shared" si="111"/>
        <v>Diskon</v>
      </c>
    </row>
    <row r="1750" spans="1:18" x14ac:dyDescent="0.25">
      <c r="A1750" s="13" t="s">
        <v>1762</v>
      </c>
      <c r="B1750" s="13" t="s">
        <v>2192</v>
      </c>
      <c r="C1750" s="13" t="s">
        <v>2198</v>
      </c>
      <c r="D1750" s="13" t="s">
        <v>2205</v>
      </c>
      <c r="F1750" s="13" t="s">
        <v>2223</v>
      </c>
      <c r="G1750" s="13">
        <v>30.26</v>
      </c>
      <c r="H1750" s="44">
        <v>50</v>
      </c>
      <c r="I1750" s="13">
        <v>15.13</v>
      </c>
      <c r="J1750" s="24">
        <v>45875</v>
      </c>
      <c r="K1750" s="25">
        <v>23</v>
      </c>
      <c r="L1750" s="25">
        <v>1.4</v>
      </c>
      <c r="M1750" s="13" t="b">
        <v>0</v>
      </c>
      <c r="O1750" s="25">
        <f t="shared" si="108"/>
        <v>27</v>
      </c>
      <c r="P1750" s="13">
        <f t="shared" si="109"/>
        <v>1150</v>
      </c>
      <c r="Q1750" s="13" t="str">
        <f t="shared" si="110"/>
        <v/>
      </c>
      <c r="R1750" s="13" t="str">
        <f t="shared" si="111"/>
        <v>Diskon</v>
      </c>
    </row>
    <row r="1751" spans="1:18" x14ac:dyDescent="0.25">
      <c r="A1751" s="13" t="s">
        <v>1763</v>
      </c>
      <c r="B1751" s="13" t="s">
        <v>2190</v>
      </c>
      <c r="C1751" s="13" t="s">
        <v>2199</v>
      </c>
      <c r="D1751" s="13" t="s">
        <v>2207</v>
      </c>
      <c r="E1751" s="13" t="s">
        <v>2212</v>
      </c>
      <c r="F1751" s="13" t="s">
        <v>2220</v>
      </c>
      <c r="G1751" s="13">
        <v>186.66</v>
      </c>
      <c r="H1751" s="44">
        <v>30.9</v>
      </c>
      <c r="I1751" s="13">
        <v>128.97999999999999</v>
      </c>
      <c r="J1751" s="24">
        <v>45875</v>
      </c>
      <c r="K1751" s="25">
        <v>7</v>
      </c>
      <c r="L1751" s="25">
        <v>1</v>
      </c>
      <c r="M1751" s="13" t="b">
        <v>0</v>
      </c>
      <c r="O1751" s="25">
        <f t="shared" si="108"/>
        <v>27</v>
      </c>
      <c r="P1751" s="13">
        <f t="shared" si="109"/>
        <v>216.29999999999998</v>
      </c>
      <c r="Q1751" s="13" t="str">
        <f t="shared" si="110"/>
        <v/>
      </c>
      <c r="R1751" s="13" t="str">
        <f t="shared" si="111"/>
        <v>Diskon</v>
      </c>
    </row>
    <row r="1752" spans="1:18" x14ac:dyDescent="0.25">
      <c r="A1752" s="13" t="s">
        <v>1764</v>
      </c>
      <c r="B1752" s="13" t="s">
        <v>2191</v>
      </c>
      <c r="C1752" s="13" t="s">
        <v>2196</v>
      </c>
      <c r="D1752" s="13" t="s">
        <v>2205</v>
      </c>
      <c r="E1752" s="13" t="s">
        <v>2210</v>
      </c>
      <c r="F1752" s="13" t="s">
        <v>2216</v>
      </c>
      <c r="G1752" s="13">
        <v>78.05</v>
      </c>
      <c r="H1752" s="44">
        <v>48.1</v>
      </c>
      <c r="I1752" s="13">
        <v>40.51</v>
      </c>
      <c r="J1752" s="24">
        <v>45875</v>
      </c>
      <c r="K1752" s="25">
        <v>36</v>
      </c>
      <c r="L1752" s="25">
        <v>2.9</v>
      </c>
      <c r="M1752" s="13" t="b">
        <v>1</v>
      </c>
      <c r="N1752" s="13" t="s">
        <v>2229</v>
      </c>
      <c r="O1752" s="25">
        <f t="shared" si="108"/>
        <v>27</v>
      </c>
      <c r="P1752" s="13">
        <f t="shared" si="109"/>
        <v>1731.6000000000001</v>
      </c>
      <c r="Q1752" s="13">
        <f t="shared" si="110"/>
        <v>1</v>
      </c>
      <c r="R1752" s="13" t="str">
        <f t="shared" si="111"/>
        <v>Diskon</v>
      </c>
    </row>
    <row r="1753" spans="1:18" x14ac:dyDescent="0.25">
      <c r="A1753" s="13" t="s">
        <v>1765</v>
      </c>
      <c r="B1753" s="13" t="s">
        <v>2191</v>
      </c>
      <c r="C1753" s="13" t="s">
        <v>2197</v>
      </c>
      <c r="D1753" s="13" t="s">
        <v>2204</v>
      </c>
      <c r="E1753" s="13" t="s">
        <v>2213</v>
      </c>
      <c r="F1753" s="13" t="s">
        <v>2223</v>
      </c>
      <c r="G1753" s="13">
        <v>104.75</v>
      </c>
      <c r="H1753" s="44">
        <v>0</v>
      </c>
      <c r="I1753" s="13">
        <v>104.75</v>
      </c>
      <c r="J1753" s="24">
        <v>45591</v>
      </c>
      <c r="K1753" s="25">
        <v>11</v>
      </c>
      <c r="L1753" s="25">
        <v>3.34</v>
      </c>
      <c r="M1753" s="13" t="b">
        <v>0</v>
      </c>
      <c r="O1753" s="25">
        <f t="shared" si="108"/>
        <v>311</v>
      </c>
      <c r="P1753" s="13">
        <f t="shared" si="109"/>
        <v>0</v>
      </c>
      <c r="Q1753" s="13" t="str">
        <f t="shared" si="110"/>
        <v/>
      </c>
      <c r="R1753" s="13" t="str">
        <f t="shared" si="111"/>
        <v>Non diskon</v>
      </c>
    </row>
    <row r="1754" spans="1:18" x14ac:dyDescent="0.25">
      <c r="A1754" s="13" t="s">
        <v>1766</v>
      </c>
      <c r="B1754" s="13" t="s">
        <v>2193</v>
      </c>
      <c r="C1754" s="13" t="s">
        <v>2197</v>
      </c>
      <c r="D1754" s="13" t="s">
        <v>2207</v>
      </c>
      <c r="E1754" s="13" t="s">
        <v>2213</v>
      </c>
      <c r="F1754" s="13" t="s">
        <v>2224</v>
      </c>
      <c r="G1754" s="13">
        <v>121.33</v>
      </c>
      <c r="H1754" s="44">
        <v>0</v>
      </c>
      <c r="I1754" s="13">
        <v>121.33</v>
      </c>
      <c r="J1754" s="24">
        <v>45875</v>
      </c>
      <c r="K1754" s="25">
        <v>30</v>
      </c>
      <c r="L1754" s="25">
        <v>4.2</v>
      </c>
      <c r="M1754" s="13" t="b">
        <v>0</v>
      </c>
      <c r="O1754" s="25">
        <f t="shared" si="108"/>
        <v>27</v>
      </c>
      <c r="P1754" s="13">
        <f t="shared" si="109"/>
        <v>0</v>
      </c>
      <c r="Q1754" s="13" t="str">
        <f t="shared" si="110"/>
        <v/>
      </c>
      <c r="R1754" s="13" t="str">
        <f t="shared" si="111"/>
        <v>Non diskon</v>
      </c>
    </row>
    <row r="1755" spans="1:18" x14ac:dyDescent="0.25">
      <c r="A1755" s="13" t="s">
        <v>1767</v>
      </c>
      <c r="B1755" s="13" t="s">
        <v>2195</v>
      </c>
      <c r="C1755" s="13" t="s">
        <v>2199</v>
      </c>
      <c r="D1755" s="13" t="s">
        <v>2206</v>
      </c>
      <c r="E1755" s="13" t="s">
        <v>2211</v>
      </c>
      <c r="F1755" s="13" t="s">
        <v>2220</v>
      </c>
      <c r="G1755" s="13">
        <v>78.09</v>
      </c>
      <c r="H1755" s="44">
        <v>0</v>
      </c>
      <c r="I1755" s="13">
        <v>78.09</v>
      </c>
      <c r="J1755" s="24">
        <v>45875</v>
      </c>
      <c r="K1755" s="25">
        <v>6</v>
      </c>
      <c r="L1755" s="25">
        <v>2</v>
      </c>
      <c r="M1755" s="13" t="b">
        <v>0</v>
      </c>
      <c r="O1755" s="25">
        <f t="shared" si="108"/>
        <v>27</v>
      </c>
      <c r="P1755" s="13">
        <f t="shared" si="109"/>
        <v>0</v>
      </c>
      <c r="Q1755" s="13" t="str">
        <f t="shared" si="110"/>
        <v/>
      </c>
      <c r="R1755" s="13" t="str">
        <f t="shared" si="111"/>
        <v>Non diskon</v>
      </c>
    </row>
    <row r="1756" spans="1:18" x14ac:dyDescent="0.25">
      <c r="A1756" s="13" t="s">
        <v>1768</v>
      </c>
      <c r="B1756" s="13" t="s">
        <v>2191</v>
      </c>
      <c r="C1756" s="13" t="s">
        <v>2197</v>
      </c>
      <c r="D1756" s="13" t="s">
        <v>2206</v>
      </c>
      <c r="E1756" s="13" t="s">
        <v>2211</v>
      </c>
      <c r="F1756" s="13" t="s">
        <v>2214</v>
      </c>
      <c r="G1756" s="13">
        <v>109.19</v>
      </c>
      <c r="H1756" s="44">
        <v>0</v>
      </c>
      <c r="I1756" s="13">
        <v>109.19</v>
      </c>
      <c r="J1756" s="24">
        <v>45875</v>
      </c>
      <c r="K1756" s="25">
        <v>47</v>
      </c>
      <c r="L1756" s="25">
        <v>4.5</v>
      </c>
      <c r="M1756" s="13" t="b">
        <v>0</v>
      </c>
      <c r="O1756" s="25">
        <f t="shared" si="108"/>
        <v>27</v>
      </c>
      <c r="P1756" s="13">
        <f t="shared" si="109"/>
        <v>0</v>
      </c>
      <c r="Q1756" s="13" t="str">
        <f t="shared" si="110"/>
        <v/>
      </c>
      <c r="R1756" s="13" t="str">
        <f t="shared" si="111"/>
        <v>Non diskon</v>
      </c>
    </row>
    <row r="1757" spans="1:18" x14ac:dyDescent="0.25">
      <c r="A1757" s="13" t="s">
        <v>1769</v>
      </c>
      <c r="B1757" s="13" t="s">
        <v>2193</v>
      </c>
      <c r="C1757" s="13" t="s">
        <v>2201</v>
      </c>
      <c r="D1757" s="13" t="s">
        <v>2205</v>
      </c>
      <c r="E1757" s="13" t="s">
        <v>2209</v>
      </c>
      <c r="F1757" s="13" t="s">
        <v>2216</v>
      </c>
      <c r="G1757" s="13">
        <v>126.74</v>
      </c>
      <c r="H1757" s="44">
        <v>0</v>
      </c>
      <c r="I1757" s="13">
        <v>126.74</v>
      </c>
      <c r="J1757" s="24">
        <v>45875</v>
      </c>
      <c r="K1757" s="25">
        <v>2</v>
      </c>
      <c r="L1757" s="25">
        <v>2.9</v>
      </c>
      <c r="M1757" s="13" t="b">
        <v>0</v>
      </c>
      <c r="O1757" s="25">
        <f t="shared" si="108"/>
        <v>27</v>
      </c>
      <c r="P1757" s="13">
        <f t="shared" si="109"/>
        <v>0</v>
      </c>
      <c r="Q1757" s="13" t="str">
        <f t="shared" si="110"/>
        <v/>
      </c>
      <c r="R1757" s="13" t="str">
        <f t="shared" si="111"/>
        <v>Non diskon</v>
      </c>
    </row>
    <row r="1758" spans="1:18" x14ac:dyDescent="0.25">
      <c r="A1758" s="13" t="s">
        <v>1770</v>
      </c>
      <c r="B1758" s="13" t="s">
        <v>2193</v>
      </c>
      <c r="C1758" s="13" t="s">
        <v>2200</v>
      </c>
      <c r="D1758" s="13" t="s">
        <v>2204</v>
      </c>
      <c r="E1758" s="13" t="s">
        <v>2208</v>
      </c>
      <c r="F1758" s="13" t="s">
        <v>2216</v>
      </c>
      <c r="G1758" s="13">
        <v>95.85</v>
      </c>
      <c r="H1758" s="44">
        <v>0</v>
      </c>
      <c r="I1758" s="13">
        <v>95.85</v>
      </c>
      <c r="J1758" s="24">
        <v>45703</v>
      </c>
      <c r="K1758" s="25">
        <v>45</v>
      </c>
      <c r="L1758" s="25">
        <v>5</v>
      </c>
      <c r="M1758" s="13" t="b">
        <v>0</v>
      </c>
      <c r="O1758" s="25">
        <f t="shared" si="108"/>
        <v>199</v>
      </c>
      <c r="P1758" s="13">
        <f t="shared" si="109"/>
        <v>0</v>
      </c>
      <c r="Q1758" s="13" t="str">
        <f t="shared" si="110"/>
        <v/>
      </c>
      <c r="R1758" s="13" t="str">
        <f t="shared" si="111"/>
        <v>Non diskon</v>
      </c>
    </row>
    <row r="1759" spans="1:18" x14ac:dyDescent="0.25">
      <c r="A1759" s="13" t="s">
        <v>1771</v>
      </c>
      <c r="B1759" s="13" t="s">
        <v>2190</v>
      </c>
      <c r="C1759" s="13" t="s">
        <v>2199</v>
      </c>
      <c r="D1759" s="13" t="s">
        <v>2207</v>
      </c>
      <c r="E1759" s="13" t="s">
        <v>2210</v>
      </c>
      <c r="F1759" s="13" t="s">
        <v>2219</v>
      </c>
      <c r="G1759" s="13">
        <v>213.98</v>
      </c>
      <c r="H1759" s="44">
        <v>0</v>
      </c>
      <c r="I1759" s="13">
        <v>213.98</v>
      </c>
      <c r="J1759" s="24">
        <v>45875</v>
      </c>
      <c r="K1759" s="25">
        <v>38</v>
      </c>
      <c r="L1759" s="25">
        <v>2.4137931034482762</v>
      </c>
      <c r="M1759" s="13" t="b">
        <v>0</v>
      </c>
      <c r="O1759" s="25">
        <f t="shared" si="108"/>
        <v>27</v>
      </c>
      <c r="P1759" s="13">
        <f t="shared" si="109"/>
        <v>0</v>
      </c>
      <c r="Q1759" s="13" t="str">
        <f t="shared" si="110"/>
        <v/>
      </c>
      <c r="R1759" s="13" t="str">
        <f t="shared" si="111"/>
        <v>Non diskon</v>
      </c>
    </row>
    <row r="1760" spans="1:18" x14ac:dyDescent="0.25">
      <c r="A1760" s="13" t="s">
        <v>1772</v>
      </c>
      <c r="B1760" s="13" t="s">
        <v>2193</v>
      </c>
      <c r="C1760" s="13" t="s">
        <v>2203</v>
      </c>
      <c r="D1760" s="13" t="s">
        <v>2204</v>
      </c>
      <c r="E1760" s="13" t="s">
        <v>2211</v>
      </c>
      <c r="F1760" s="13" t="s">
        <v>2221</v>
      </c>
      <c r="G1760" s="13">
        <v>146.22999999999999</v>
      </c>
      <c r="H1760" s="44">
        <v>40</v>
      </c>
      <c r="I1760" s="13">
        <v>87.74</v>
      </c>
      <c r="J1760" s="24">
        <v>45684</v>
      </c>
      <c r="K1760" s="25">
        <v>17</v>
      </c>
      <c r="L1760" s="25">
        <v>2.6</v>
      </c>
      <c r="M1760" s="13" t="b">
        <v>1</v>
      </c>
      <c r="N1760" s="13" t="s">
        <v>2228</v>
      </c>
      <c r="O1760" s="25">
        <f t="shared" si="108"/>
        <v>218</v>
      </c>
      <c r="P1760" s="13">
        <f t="shared" si="109"/>
        <v>680</v>
      </c>
      <c r="Q1760" s="13">
        <f t="shared" si="110"/>
        <v>1</v>
      </c>
      <c r="R1760" s="13" t="str">
        <f t="shared" si="111"/>
        <v>Diskon</v>
      </c>
    </row>
    <row r="1761" spans="1:18" x14ac:dyDescent="0.25">
      <c r="A1761" s="13" t="s">
        <v>1773</v>
      </c>
      <c r="B1761" s="13" t="s">
        <v>2194</v>
      </c>
      <c r="C1761" s="13" t="s">
        <v>2199</v>
      </c>
      <c r="D1761" s="13" t="s">
        <v>2205</v>
      </c>
      <c r="E1761" s="13" t="s">
        <v>2209</v>
      </c>
      <c r="F1761" s="13" t="s">
        <v>2215</v>
      </c>
      <c r="G1761" s="13">
        <v>115.57</v>
      </c>
      <c r="H1761" s="44">
        <v>16.100000000000001</v>
      </c>
      <c r="I1761" s="13">
        <v>96.96</v>
      </c>
      <c r="J1761" s="24">
        <v>45875</v>
      </c>
      <c r="K1761" s="25">
        <v>32</v>
      </c>
      <c r="L1761" s="25">
        <v>3.1</v>
      </c>
      <c r="M1761" s="13" t="b">
        <v>1</v>
      </c>
      <c r="N1761" s="13" t="s">
        <v>2226</v>
      </c>
      <c r="O1761" s="25">
        <f t="shared" si="108"/>
        <v>27</v>
      </c>
      <c r="P1761" s="13">
        <f t="shared" si="109"/>
        <v>515.20000000000005</v>
      </c>
      <c r="Q1761" s="13">
        <f t="shared" si="110"/>
        <v>1</v>
      </c>
      <c r="R1761" s="13" t="str">
        <f t="shared" si="111"/>
        <v>Diskon</v>
      </c>
    </row>
    <row r="1762" spans="1:18" x14ac:dyDescent="0.25">
      <c r="A1762" s="13" t="s">
        <v>1774</v>
      </c>
      <c r="B1762" s="13" t="s">
        <v>2192</v>
      </c>
      <c r="C1762" s="13" t="s">
        <v>2198</v>
      </c>
      <c r="D1762" s="13" t="s">
        <v>2204</v>
      </c>
      <c r="F1762" s="13" t="s">
        <v>2219</v>
      </c>
      <c r="G1762" s="13">
        <v>66.62</v>
      </c>
      <c r="H1762" s="44">
        <v>0</v>
      </c>
      <c r="I1762" s="13">
        <v>66.62</v>
      </c>
      <c r="J1762" s="24">
        <v>45592</v>
      </c>
      <c r="K1762" s="25">
        <v>37</v>
      </c>
      <c r="L1762" s="25">
        <v>2.8694444444444449</v>
      </c>
      <c r="M1762" s="13" t="b">
        <v>0</v>
      </c>
      <c r="O1762" s="25">
        <f t="shared" si="108"/>
        <v>310</v>
      </c>
      <c r="P1762" s="13">
        <f t="shared" si="109"/>
        <v>0</v>
      </c>
      <c r="Q1762" s="13" t="str">
        <f t="shared" si="110"/>
        <v/>
      </c>
      <c r="R1762" s="13" t="str">
        <f t="shared" si="111"/>
        <v>Non diskon</v>
      </c>
    </row>
    <row r="1763" spans="1:18" x14ac:dyDescent="0.25">
      <c r="A1763" s="13" t="s">
        <v>1775</v>
      </c>
      <c r="B1763" s="13" t="s">
        <v>2195</v>
      </c>
      <c r="C1763" s="13" t="s">
        <v>2198</v>
      </c>
      <c r="D1763" s="13" t="s">
        <v>2204</v>
      </c>
      <c r="E1763" s="13" t="s">
        <v>2212</v>
      </c>
      <c r="F1763" s="13" t="s">
        <v>2223</v>
      </c>
      <c r="G1763" s="13">
        <v>60.37</v>
      </c>
      <c r="H1763" s="44">
        <v>23.1</v>
      </c>
      <c r="I1763" s="13">
        <v>46.42</v>
      </c>
      <c r="J1763" s="24">
        <v>45730</v>
      </c>
      <c r="K1763" s="25">
        <v>30</v>
      </c>
      <c r="L1763" s="25">
        <v>4.8</v>
      </c>
      <c r="M1763" s="13" t="b">
        <v>0</v>
      </c>
      <c r="O1763" s="25">
        <f t="shared" si="108"/>
        <v>172</v>
      </c>
      <c r="P1763" s="13">
        <f t="shared" si="109"/>
        <v>693</v>
      </c>
      <c r="Q1763" s="13" t="str">
        <f t="shared" si="110"/>
        <v/>
      </c>
      <c r="R1763" s="13" t="str">
        <f t="shared" si="111"/>
        <v>Diskon</v>
      </c>
    </row>
    <row r="1764" spans="1:18" x14ac:dyDescent="0.25">
      <c r="A1764" s="13" t="s">
        <v>1776</v>
      </c>
      <c r="B1764" s="13" t="s">
        <v>2193</v>
      </c>
      <c r="C1764" s="13" t="s">
        <v>2200</v>
      </c>
      <c r="D1764" s="13" t="s">
        <v>2205</v>
      </c>
      <c r="E1764" s="13" t="s">
        <v>2213</v>
      </c>
      <c r="F1764" s="13" t="s">
        <v>2219</v>
      </c>
      <c r="G1764" s="13">
        <v>83.2</v>
      </c>
      <c r="H1764" s="44">
        <v>57.1</v>
      </c>
      <c r="I1764" s="13">
        <v>35.69</v>
      </c>
      <c r="J1764" s="24">
        <v>45875</v>
      </c>
      <c r="K1764" s="25">
        <v>10</v>
      </c>
      <c r="L1764" s="25">
        <v>3.3</v>
      </c>
      <c r="M1764" s="13" t="b">
        <v>0</v>
      </c>
      <c r="O1764" s="25">
        <f t="shared" si="108"/>
        <v>27</v>
      </c>
      <c r="P1764" s="13">
        <f t="shared" si="109"/>
        <v>571</v>
      </c>
      <c r="Q1764" s="13" t="str">
        <f t="shared" si="110"/>
        <v/>
      </c>
      <c r="R1764" s="13" t="str">
        <f t="shared" si="111"/>
        <v>Diskon</v>
      </c>
    </row>
    <row r="1765" spans="1:18" x14ac:dyDescent="0.25">
      <c r="A1765" s="13" t="s">
        <v>1777</v>
      </c>
      <c r="B1765" s="13" t="s">
        <v>2190</v>
      </c>
      <c r="C1765" s="13" t="s">
        <v>2197</v>
      </c>
      <c r="D1765" s="13" t="s">
        <v>2207</v>
      </c>
      <c r="E1765" s="13" t="s">
        <v>2210</v>
      </c>
      <c r="F1765" s="13" t="s">
        <v>2222</v>
      </c>
      <c r="G1765" s="13">
        <v>204.47</v>
      </c>
      <c r="H1765" s="44">
        <v>3.6</v>
      </c>
      <c r="I1765" s="13">
        <v>197.11</v>
      </c>
      <c r="J1765" s="24">
        <v>45875</v>
      </c>
      <c r="K1765" s="25">
        <v>26</v>
      </c>
      <c r="L1765" s="25">
        <v>3.15</v>
      </c>
      <c r="M1765" s="13" t="b">
        <v>0</v>
      </c>
      <c r="O1765" s="25">
        <f t="shared" si="108"/>
        <v>27</v>
      </c>
      <c r="P1765" s="13">
        <f t="shared" si="109"/>
        <v>93.600000000000009</v>
      </c>
      <c r="Q1765" s="13" t="str">
        <f t="shared" si="110"/>
        <v/>
      </c>
      <c r="R1765" s="13" t="str">
        <f t="shared" si="111"/>
        <v>Diskon</v>
      </c>
    </row>
    <row r="1766" spans="1:18" x14ac:dyDescent="0.25">
      <c r="A1766" s="13" t="s">
        <v>1778</v>
      </c>
      <c r="B1766" s="13" t="s">
        <v>2192</v>
      </c>
      <c r="C1766" s="13" t="s">
        <v>2199</v>
      </c>
      <c r="D1766" s="13" t="s">
        <v>2206</v>
      </c>
      <c r="F1766" s="13" t="s">
        <v>2223</v>
      </c>
      <c r="G1766" s="13">
        <v>52.73</v>
      </c>
      <c r="H1766" s="44">
        <v>0</v>
      </c>
      <c r="I1766" s="13">
        <v>52.73</v>
      </c>
      <c r="J1766" s="24">
        <v>45875</v>
      </c>
      <c r="K1766" s="25">
        <v>42</v>
      </c>
      <c r="L1766" s="25">
        <v>2.5131578947368416</v>
      </c>
      <c r="M1766" s="13" t="b">
        <v>0</v>
      </c>
      <c r="O1766" s="25">
        <f t="shared" si="108"/>
        <v>27</v>
      </c>
      <c r="P1766" s="13">
        <f t="shared" si="109"/>
        <v>0</v>
      </c>
      <c r="Q1766" s="13" t="str">
        <f t="shared" si="110"/>
        <v/>
      </c>
      <c r="R1766" s="13" t="str">
        <f t="shared" si="111"/>
        <v>Non diskon</v>
      </c>
    </row>
    <row r="1767" spans="1:18" x14ac:dyDescent="0.25">
      <c r="A1767" s="13" t="s">
        <v>1779</v>
      </c>
      <c r="B1767" s="13" t="s">
        <v>2194</v>
      </c>
      <c r="C1767" s="13" t="s">
        <v>2203</v>
      </c>
      <c r="D1767" s="13" t="s">
        <v>2206</v>
      </c>
      <c r="E1767" s="13" t="s">
        <v>2211</v>
      </c>
      <c r="F1767" s="13" t="s">
        <v>2221</v>
      </c>
      <c r="G1767" s="13">
        <v>61.1</v>
      </c>
      <c r="H1767" s="44">
        <v>0</v>
      </c>
      <c r="I1767" s="13">
        <v>61.1</v>
      </c>
      <c r="J1767" s="24">
        <v>45875</v>
      </c>
      <c r="K1767" s="25">
        <v>30</v>
      </c>
      <c r="L1767" s="25">
        <v>4.5999999999999996</v>
      </c>
      <c r="M1767" s="13" t="b">
        <v>0</v>
      </c>
      <c r="O1767" s="25">
        <f t="shared" si="108"/>
        <v>27</v>
      </c>
      <c r="P1767" s="13">
        <f t="shared" si="109"/>
        <v>0</v>
      </c>
      <c r="Q1767" s="13" t="str">
        <f t="shared" si="110"/>
        <v/>
      </c>
      <c r="R1767" s="13" t="str">
        <f t="shared" si="111"/>
        <v>Non diskon</v>
      </c>
    </row>
    <row r="1768" spans="1:18" x14ac:dyDescent="0.25">
      <c r="A1768" s="13" t="s">
        <v>1780</v>
      </c>
      <c r="B1768" s="13" t="s">
        <v>2190</v>
      </c>
      <c r="C1768" s="13" t="s">
        <v>2196</v>
      </c>
      <c r="D1768" s="13" t="s">
        <v>2207</v>
      </c>
      <c r="E1768" s="13" t="s">
        <v>2210</v>
      </c>
      <c r="F1768" s="13" t="s">
        <v>2218</v>
      </c>
      <c r="G1768" s="13">
        <v>227.92</v>
      </c>
      <c r="H1768" s="44">
        <v>0</v>
      </c>
      <c r="I1768" s="13">
        <v>227.92</v>
      </c>
      <c r="J1768" s="24">
        <v>45875</v>
      </c>
      <c r="K1768" s="25">
        <v>34</v>
      </c>
      <c r="L1768" s="25">
        <v>2.7030303030303036</v>
      </c>
      <c r="M1768" s="13" t="b">
        <v>0</v>
      </c>
      <c r="O1768" s="25">
        <f t="shared" si="108"/>
        <v>27</v>
      </c>
      <c r="P1768" s="13">
        <f t="shared" si="109"/>
        <v>0</v>
      </c>
      <c r="Q1768" s="13" t="str">
        <f t="shared" si="110"/>
        <v/>
      </c>
      <c r="R1768" s="13" t="str">
        <f t="shared" si="111"/>
        <v>Non diskon</v>
      </c>
    </row>
    <row r="1769" spans="1:18" x14ac:dyDescent="0.25">
      <c r="A1769" s="13" t="s">
        <v>1781</v>
      </c>
      <c r="B1769" s="13" t="s">
        <v>2195</v>
      </c>
      <c r="C1769" s="13" t="s">
        <v>2200</v>
      </c>
      <c r="D1769" s="13" t="s">
        <v>2206</v>
      </c>
      <c r="E1769" s="13" t="s">
        <v>2209</v>
      </c>
      <c r="F1769" s="13" t="s">
        <v>2219</v>
      </c>
      <c r="G1769" s="13">
        <v>111.55</v>
      </c>
      <c r="H1769" s="44">
        <v>0</v>
      </c>
      <c r="I1769" s="13">
        <v>111.55</v>
      </c>
      <c r="J1769" s="24">
        <v>45875</v>
      </c>
      <c r="K1769" s="25">
        <v>14</v>
      </c>
      <c r="L1769" s="25">
        <v>3.1051282051282048</v>
      </c>
      <c r="M1769" s="13" t="b">
        <v>0</v>
      </c>
      <c r="O1769" s="25">
        <f t="shared" si="108"/>
        <v>27</v>
      </c>
      <c r="P1769" s="13">
        <f t="shared" si="109"/>
        <v>0</v>
      </c>
      <c r="Q1769" s="13" t="str">
        <f t="shared" si="110"/>
        <v/>
      </c>
      <c r="R1769" s="13" t="str">
        <f t="shared" si="111"/>
        <v>Non diskon</v>
      </c>
    </row>
    <row r="1770" spans="1:18" x14ac:dyDescent="0.25">
      <c r="A1770" s="13" t="s">
        <v>1782</v>
      </c>
      <c r="B1770" s="13" t="s">
        <v>2194</v>
      </c>
      <c r="C1770" s="13" t="s">
        <v>2203</v>
      </c>
      <c r="D1770" s="13" t="s">
        <v>2206</v>
      </c>
      <c r="E1770" s="13" t="s">
        <v>2212</v>
      </c>
      <c r="F1770" s="13" t="s">
        <v>2215</v>
      </c>
      <c r="G1770" s="13">
        <v>29.09</v>
      </c>
      <c r="H1770" s="44">
        <v>29.6</v>
      </c>
      <c r="I1770" s="13">
        <v>20.48</v>
      </c>
      <c r="J1770" s="24">
        <v>45875</v>
      </c>
      <c r="K1770" s="25">
        <v>25</v>
      </c>
      <c r="L1770" s="25">
        <v>4.8</v>
      </c>
      <c r="M1770" s="13" t="b">
        <v>0</v>
      </c>
      <c r="O1770" s="25">
        <f t="shared" si="108"/>
        <v>27</v>
      </c>
      <c r="P1770" s="13">
        <f t="shared" si="109"/>
        <v>740</v>
      </c>
      <c r="Q1770" s="13" t="str">
        <f t="shared" si="110"/>
        <v/>
      </c>
      <c r="R1770" s="13" t="str">
        <f t="shared" si="111"/>
        <v>Diskon</v>
      </c>
    </row>
    <row r="1771" spans="1:18" x14ac:dyDescent="0.25">
      <c r="A1771" s="13" t="s">
        <v>1783</v>
      </c>
      <c r="B1771" s="13" t="s">
        <v>2195</v>
      </c>
      <c r="C1771" s="13" t="s">
        <v>2200</v>
      </c>
      <c r="D1771" s="13" t="s">
        <v>2206</v>
      </c>
      <c r="E1771" s="13" t="s">
        <v>2213</v>
      </c>
      <c r="F1771" s="13" t="s">
        <v>2215</v>
      </c>
      <c r="G1771" s="13">
        <v>179.71</v>
      </c>
      <c r="H1771" s="44">
        <v>0</v>
      </c>
      <c r="I1771" s="13">
        <v>179.71</v>
      </c>
      <c r="J1771" s="24">
        <v>45875</v>
      </c>
      <c r="K1771" s="25">
        <v>9</v>
      </c>
      <c r="L1771" s="25">
        <v>3.9</v>
      </c>
      <c r="M1771" s="13" t="b">
        <v>0</v>
      </c>
      <c r="O1771" s="25">
        <f t="shared" si="108"/>
        <v>27</v>
      </c>
      <c r="P1771" s="13">
        <f t="shared" si="109"/>
        <v>0</v>
      </c>
      <c r="Q1771" s="13" t="str">
        <f t="shared" si="110"/>
        <v/>
      </c>
      <c r="R1771" s="13" t="str">
        <f t="shared" si="111"/>
        <v>Non diskon</v>
      </c>
    </row>
    <row r="1772" spans="1:18" x14ac:dyDescent="0.25">
      <c r="A1772" s="13" t="s">
        <v>1784</v>
      </c>
      <c r="B1772" s="13" t="s">
        <v>2192</v>
      </c>
      <c r="C1772" s="13" t="s">
        <v>2200</v>
      </c>
      <c r="D1772" s="13" t="s">
        <v>2207</v>
      </c>
      <c r="F1772" s="13" t="s">
        <v>2215</v>
      </c>
      <c r="G1772" s="13">
        <v>52.76</v>
      </c>
      <c r="H1772" s="44">
        <v>39.4</v>
      </c>
      <c r="I1772" s="13">
        <v>31.97</v>
      </c>
      <c r="J1772" s="24">
        <v>45875</v>
      </c>
      <c r="K1772" s="25">
        <v>0</v>
      </c>
      <c r="L1772" s="25">
        <v>1.4</v>
      </c>
      <c r="M1772" s="13" t="b">
        <v>0</v>
      </c>
      <c r="O1772" s="25">
        <f t="shared" si="108"/>
        <v>27</v>
      </c>
      <c r="P1772" s="13">
        <f t="shared" si="109"/>
        <v>0</v>
      </c>
      <c r="Q1772" s="13" t="str">
        <f t="shared" si="110"/>
        <v/>
      </c>
      <c r="R1772" s="13" t="str">
        <f t="shared" si="111"/>
        <v>Diskon</v>
      </c>
    </row>
    <row r="1773" spans="1:18" x14ac:dyDescent="0.25">
      <c r="A1773" s="13" t="s">
        <v>1785</v>
      </c>
      <c r="B1773" s="13" t="s">
        <v>2192</v>
      </c>
      <c r="C1773" s="13" t="s">
        <v>2197</v>
      </c>
      <c r="D1773" s="13" t="s">
        <v>2204</v>
      </c>
      <c r="F1773" s="13" t="s">
        <v>2220</v>
      </c>
      <c r="G1773" s="13">
        <v>67.900000000000006</v>
      </c>
      <c r="H1773" s="44">
        <v>0</v>
      </c>
      <c r="I1773" s="13">
        <v>67.900000000000006</v>
      </c>
      <c r="J1773" s="24">
        <v>45657</v>
      </c>
      <c r="K1773" s="25">
        <v>1</v>
      </c>
      <c r="L1773" s="25">
        <v>1.3</v>
      </c>
      <c r="M1773" s="13" t="b">
        <v>0</v>
      </c>
      <c r="O1773" s="25">
        <f t="shared" si="108"/>
        <v>245</v>
      </c>
      <c r="P1773" s="13">
        <f t="shared" si="109"/>
        <v>0</v>
      </c>
      <c r="Q1773" s="13" t="str">
        <f t="shared" si="110"/>
        <v/>
      </c>
      <c r="R1773" s="13" t="str">
        <f t="shared" si="111"/>
        <v>Non diskon</v>
      </c>
    </row>
    <row r="1774" spans="1:18" x14ac:dyDescent="0.25">
      <c r="A1774" s="13" t="s">
        <v>1786</v>
      </c>
      <c r="B1774" s="13" t="s">
        <v>2192</v>
      </c>
      <c r="C1774" s="13" t="s">
        <v>2197</v>
      </c>
      <c r="D1774" s="13" t="s">
        <v>2206</v>
      </c>
      <c r="F1774" s="13" t="s">
        <v>2222</v>
      </c>
      <c r="G1774" s="13">
        <v>46.77</v>
      </c>
      <c r="H1774" s="44">
        <v>40.799999999999997</v>
      </c>
      <c r="I1774" s="13">
        <v>27.69</v>
      </c>
      <c r="J1774" s="24">
        <v>45875</v>
      </c>
      <c r="K1774" s="25">
        <v>25</v>
      </c>
      <c r="L1774" s="25">
        <v>2.6</v>
      </c>
      <c r="M1774" s="13" t="b">
        <v>0</v>
      </c>
      <c r="O1774" s="25">
        <f t="shared" si="108"/>
        <v>27</v>
      </c>
      <c r="P1774" s="13">
        <f t="shared" si="109"/>
        <v>1019.9999999999999</v>
      </c>
      <c r="Q1774" s="13" t="str">
        <f t="shared" si="110"/>
        <v/>
      </c>
      <c r="R1774" s="13" t="str">
        <f t="shared" si="111"/>
        <v>Diskon</v>
      </c>
    </row>
    <row r="1775" spans="1:18" x14ac:dyDescent="0.25">
      <c r="A1775" s="13" t="s">
        <v>1787</v>
      </c>
      <c r="B1775" s="13" t="s">
        <v>2191</v>
      </c>
      <c r="C1775" s="13" t="s">
        <v>2197</v>
      </c>
      <c r="D1775" s="13" t="s">
        <v>2205</v>
      </c>
      <c r="E1775" s="13" t="s">
        <v>2208</v>
      </c>
      <c r="F1775" s="13" t="s">
        <v>2222</v>
      </c>
      <c r="G1775" s="13">
        <v>91.6</v>
      </c>
      <c r="H1775" s="44">
        <v>0</v>
      </c>
      <c r="I1775" s="13">
        <v>91.6</v>
      </c>
      <c r="J1775" s="24">
        <v>45875</v>
      </c>
      <c r="K1775" s="25">
        <v>6</v>
      </c>
      <c r="L1775" s="25">
        <v>2.7</v>
      </c>
      <c r="M1775" s="13" t="b">
        <v>0</v>
      </c>
      <c r="O1775" s="25">
        <f t="shared" si="108"/>
        <v>27</v>
      </c>
      <c r="P1775" s="13">
        <f t="shared" si="109"/>
        <v>0</v>
      </c>
      <c r="Q1775" s="13" t="str">
        <f t="shared" si="110"/>
        <v/>
      </c>
      <c r="R1775" s="13" t="str">
        <f t="shared" si="111"/>
        <v>Non diskon</v>
      </c>
    </row>
    <row r="1776" spans="1:18" x14ac:dyDescent="0.25">
      <c r="A1776" s="13" t="s">
        <v>1788</v>
      </c>
      <c r="B1776" s="13" t="s">
        <v>2190</v>
      </c>
      <c r="C1776" s="13" t="s">
        <v>2197</v>
      </c>
      <c r="D1776" s="13" t="s">
        <v>2204</v>
      </c>
      <c r="E1776" s="13" t="s">
        <v>2212</v>
      </c>
      <c r="F1776" s="13" t="s">
        <v>2215</v>
      </c>
      <c r="G1776" s="13">
        <v>230.39</v>
      </c>
      <c r="H1776" s="44">
        <v>4.2</v>
      </c>
      <c r="I1776" s="13">
        <v>220.71</v>
      </c>
      <c r="J1776" s="24">
        <v>45580</v>
      </c>
      <c r="K1776" s="25">
        <v>34</v>
      </c>
      <c r="L1776" s="25">
        <v>3.5</v>
      </c>
      <c r="M1776" s="13" t="b">
        <v>0</v>
      </c>
      <c r="O1776" s="25">
        <f t="shared" si="108"/>
        <v>322</v>
      </c>
      <c r="P1776" s="13">
        <f t="shared" si="109"/>
        <v>142.80000000000001</v>
      </c>
      <c r="Q1776" s="13" t="str">
        <f t="shared" si="110"/>
        <v/>
      </c>
      <c r="R1776" s="13" t="str">
        <f t="shared" si="111"/>
        <v>Diskon</v>
      </c>
    </row>
    <row r="1777" spans="1:18" x14ac:dyDescent="0.25">
      <c r="A1777" s="13" t="s">
        <v>1789</v>
      </c>
      <c r="B1777" s="13" t="s">
        <v>2190</v>
      </c>
      <c r="C1777" s="13" t="s">
        <v>2201</v>
      </c>
      <c r="D1777" s="13" t="s">
        <v>2206</v>
      </c>
      <c r="E1777" s="13" t="s">
        <v>2213</v>
      </c>
      <c r="F1777" s="13" t="s">
        <v>2219</v>
      </c>
      <c r="G1777" s="13">
        <v>118.37</v>
      </c>
      <c r="H1777" s="44">
        <v>0</v>
      </c>
      <c r="I1777" s="13">
        <v>118.37</v>
      </c>
      <c r="J1777" s="24">
        <v>45875</v>
      </c>
      <c r="K1777" s="25">
        <v>45</v>
      </c>
      <c r="L1777" s="25">
        <v>3.0305555555555546</v>
      </c>
      <c r="M1777" s="13" t="b">
        <v>0</v>
      </c>
      <c r="O1777" s="25">
        <f t="shared" si="108"/>
        <v>27</v>
      </c>
      <c r="P1777" s="13">
        <f t="shared" si="109"/>
        <v>0</v>
      </c>
      <c r="Q1777" s="13" t="str">
        <f t="shared" si="110"/>
        <v/>
      </c>
      <c r="R1777" s="13" t="str">
        <f t="shared" si="111"/>
        <v>Non diskon</v>
      </c>
    </row>
    <row r="1778" spans="1:18" x14ac:dyDescent="0.25">
      <c r="A1778" s="13" t="s">
        <v>1790</v>
      </c>
      <c r="B1778" s="13" t="s">
        <v>2193</v>
      </c>
      <c r="C1778" s="13" t="s">
        <v>2202</v>
      </c>
      <c r="D1778" s="13" t="s">
        <v>2205</v>
      </c>
      <c r="E1778" s="13" t="s">
        <v>2213</v>
      </c>
      <c r="F1778" s="13" t="s">
        <v>2214</v>
      </c>
      <c r="G1778" s="13">
        <v>81.260000000000005</v>
      </c>
      <c r="H1778" s="44">
        <v>32.700000000000003</v>
      </c>
      <c r="I1778" s="13">
        <v>54.69</v>
      </c>
      <c r="J1778" s="24">
        <v>45875</v>
      </c>
      <c r="K1778" s="25">
        <v>2</v>
      </c>
      <c r="L1778" s="25">
        <v>3.3</v>
      </c>
      <c r="M1778" s="13" t="b">
        <v>0</v>
      </c>
      <c r="O1778" s="25">
        <f t="shared" si="108"/>
        <v>27</v>
      </c>
      <c r="P1778" s="13">
        <f t="shared" si="109"/>
        <v>65.400000000000006</v>
      </c>
      <c r="Q1778" s="13" t="str">
        <f t="shared" si="110"/>
        <v/>
      </c>
      <c r="R1778" s="13" t="str">
        <f t="shared" si="111"/>
        <v>Diskon</v>
      </c>
    </row>
    <row r="1779" spans="1:18" x14ac:dyDescent="0.25">
      <c r="A1779" s="13" t="s">
        <v>1791</v>
      </c>
      <c r="B1779" s="13" t="s">
        <v>2192</v>
      </c>
      <c r="C1779" s="13" t="s">
        <v>2200</v>
      </c>
      <c r="D1779" s="13" t="s">
        <v>2206</v>
      </c>
      <c r="F1779" s="13" t="s">
        <v>2223</v>
      </c>
      <c r="G1779" s="13">
        <v>57.21</v>
      </c>
      <c r="H1779" s="44">
        <v>18</v>
      </c>
      <c r="I1779" s="13">
        <v>46.91</v>
      </c>
      <c r="J1779" s="24">
        <v>45875</v>
      </c>
      <c r="K1779" s="25">
        <v>7</v>
      </c>
      <c r="L1779" s="25">
        <v>2.5</v>
      </c>
      <c r="M1779" s="13" t="b">
        <v>0</v>
      </c>
      <c r="O1779" s="25">
        <f t="shared" si="108"/>
        <v>27</v>
      </c>
      <c r="P1779" s="13">
        <f t="shared" si="109"/>
        <v>126</v>
      </c>
      <c r="Q1779" s="13" t="str">
        <f t="shared" si="110"/>
        <v/>
      </c>
      <c r="R1779" s="13" t="str">
        <f t="shared" si="111"/>
        <v>Diskon</v>
      </c>
    </row>
    <row r="1780" spans="1:18" x14ac:dyDescent="0.25">
      <c r="A1780" s="13" t="s">
        <v>1792</v>
      </c>
      <c r="B1780" s="13" t="s">
        <v>2195</v>
      </c>
      <c r="C1780" s="13" t="s">
        <v>2203</v>
      </c>
      <c r="D1780" s="13" t="s">
        <v>2207</v>
      </c>
      <c r="E1780" s="13" t="s">
        <v>2208</v>
      </c>
      <c r="F1780" s="13" t="s">
        <v>2224</v>
      </c>
      <c r="G1780" s="13">
        <v>74.53</v>
      </c>
      <c r="H1780" s="44">
        <v>0</v>
      </c>
      <c r="I1780" s="13">
        <v>74.53</v>
      </c>
      <c r="J1780" s="24">
        <v>45875</v>
      </c>
      <c r="K1780" s="25">
        <v>9</v>
      </c>
      <c r="L1780" s="25">
        <v>2.9636363636363638</v>
      </c>
      <c r="M1780" s="13" t="b">
        <v>0</v>
      </c>
      <c r="O1780" s="25">
        <f t="shared" si="108"/>
        <v>27</v>
      </c>
      <c r="P1780" s="13">
        <f t="shared" si="109"/>
        <v>0</v>
      </c>
      <c r="Q1780" s="13" t="str">
        <f t="shared" si="110"/>
        <v/>
      </c>
      <c r="R1780" s="13" t="str">
        <f t="shared" si="111"/>
        <v>Non diskon</v>
      </c>
    </row>
    <row r="1781" spans="1:18" x14ac:dyDescent="0.25">
      <c r="A1781" s="13" t="s">
        <v>1793</v>
      </c>
      <c r="B1781" s="13" t="s">
        <v>2195</v>
      </c>
      <c r="C1781" s="13" t="s">
        <v>2198</v>
      </c>
      <c r="D1781" s="13" t="s">
        <v>2207</v>
      </c>
      <c r="E1781" s="13" t="s">
        <v>2213</v>
      </c>
      <c r="F1781" s="13" t="s">
        <v>2214</v>
      </c>
      <c r="G1781" s="13">
        <v>69.540000000000006</v>
      </c>
      <c r="H1781" s="44">
        <v>0</v>
      </c>
      <c r="I1781" s="13">
        <v>69.540000000000006</v>
      </c>
      <c r="J1781" s="24">
        <v>45875</v>
      </c>
      <c r="K1781" s="25">
        <v>40</v>
      </c>
      <c r="L1781" s="25">
        <v>3.2</v>
      </c>
      <c r="M1781" s="13" t="b">
        <v>1</v>
      </c>
      <c r="N1781" s="13" t="s">
        <v>2226</v>
      </c>
      <c r="O1781" s="25">
        <f t="shared" si="108"/>
        <v>27</v>
      </c>
      <c r="P1781" s="13">
        <f t="shared" si="109"/>
        <v>0</v>
      </c>
      <c r="Q1781" s="13">
        <f t="shared" si="110"/>
        <v>1</v>
      </c>
      <c r="R1781" s="13" t="str">
        <f t="shared" si="111"/>
        <v>Non diskon</v>
      </c>
    </row>
    <row r="1782" spans="1:18" x14ac:dyDescent="0.25">
      <c r="A1782" s="13" t="s">
        <v>1794</v>
      </c>
      <c r="B1782" s="13" t="s">
        <v>2195</v>
      </c>
      <c r="C1782" s="13" t="s">
        <v>2201</v>
      </c>
      <c r="D1782" s="13" t="s">
        <v>2207</v>
      </c>
      <c r="E1782" s="13" t="s">
        <v>2208</v>
      </c>
      <c r="F1782" s="13" t="s">
        <v>2224</v>
      </c>
      <c r="G1782" s="13">
        <v>102.71</v>
      </c>
      <c r="H1782" s="44">
        <v>55.9</v>
      </c>
      <c r="I1782" s="13">
        <v>45.3</v>
      </c>
      <c r="J1782" s="24">
        <v>45875</v>
      </c>
      <c r="K1782" s="25">
        <v>31</v>
      </c>
      <c r="L1782" s="25">
        <v>4.5999999999999996</v>
      </c>
      <c r="M1782" s="13" t="b">
        <v>0</v>
      </c>
      <c r="O1782" s="25">
        <f t="shared" si="108"/>
        <v>27</v>
      </c>
      <c r="P1782" s="13">
        <f t="shared" si="109"/>
        <v>1732.8999999999999</v>
      </c>
      <c r="Q1782" s="13" t="str">
        <f t="shared" si="110"/>
        <v/>
      </c>
      <c r="R1782" s="13" t="str">
        <f t="shared" si="111"/>
        <v>Diskon</v>
      </c>
    </row>
    <row r="1783" spans="1:18" x14ac:dyDescent="0.25">
      <c r="A1783" s="13" t="s">
        <v>1795</v>
      </c>
      <c r="B1783" s="13" t="s">
        <v>2193</v>
      </c>
      <c r="C1783" s="13" t="s">
        <v>2202</v>
      </c>
      <c r="D1783" s="13" t="s">
        <v>2207</v>
      </c>
      <c r="E1783" s="13" t="s">
        <v>2209</v>
      </c>
      <c r="F1783" s="13" t="s">
        <v>2221</v>
      </c>
      <c r="G1783" s="13">
        <v>117.82</v>
      </c>
      <c r="H1783" s="44">
        <v>0</v>
      </c>
      <c r="I1783" s="13">
        <v>117.82</v>
      </c>
      <c r="J1783" s="24">
        <v>45875</v>
      </c>
      <c r="K1783" s="25">
        <v>7</v>
      </c>
      <c r="L1783" s="25">
        <v>4.9000000000000004</v>
      </c>
      <c r="M1783" s="13" t="b">
        <v>0</v>
      </c>
      <c r="O1783" s="25">
        <f t="shared" si="108"/>
        <v>27</v>
      </c>
      <c r="P1783" s="13">
        <f t="shared" si="109"/>
        <v>0</v>
      </c>
      <c r="Q1783" s="13" t="str">
        <f t="shared" si="110"/>
        <v/>
      </c>
      <c r="R1783" s="13" t="str">
        <f t="shared" si="111"/>
        <v>Non diskon</v>
      </c>
    </row>
    <row r="1784" spans="1:18" x14ac:dyDescent="0.25">
      <c r="A1784" s="13" t="s">
        <v>1796</v>
      </c>
      <c r="B1784" s="13" t="s">
        <v>2192</v>
      </c>
      <c r="C1784" s="13" t="s">
        <v>2202</v>
      </c>
      <c r="D1784" s="13" t="s">
        <v>2204</v>
      </c>
      <c r="F1784" s="13" t="s">
        <v>2223</v>
      </c>
      <c r="G1784" s="13">
        <v>61.01</v>
      </c>
      <c r="H1784" s="44">
        <v>0</v>
      </c>
      <c r="I1784" s="13">
        <v>61.01</v>
      </c>
      <c r="J1784" s="24">
        <v>45772</v>
      </c>
      <c r="K1784" s="25">
        <v>30</v>
      </c>
      <c r="L1784" s="25">
        <v>3.4</v>
      </c>
      <c r="M1784" s="13" t="b">
        <v>0</v>
      </c>
      <c r="O1784" s="25">
        <f t="shared" si="108"/>
        <v>130</v>
      </c>
      <c r="P1784" s="13">
        <f t="shared" si="109"/>
        <v>0</v>
      </c>
      <c r="Q1784" s="13" t="str">
        <f t="shared" si="110"/>
        <v/>
      </c>
      <c r="R1784" s="13" t="str">
        <f t="shared" si="111"/>
        <v>Non diskon</v>
      </c>
    </row>
    <row r="1785" spans="1:18" x14ac:dyDescent="0.25">
      <c r="A1785" s="13" t="s">
        <v>1797</v>
      </c>
      <c r="B1785" s="13" t="s">
        <v>2190</v>
      </c>
      <c r="C1785" s="13" t="s">
        <v>2203</v>
      </c>
      <c r="D1785" s="13" t="s">
        <v>2205</v>
      </c>
      <c r="E1785" s="13" t="s">
        <v>2208</v>
      </c>
      <c r="F1785" s="13" t="s">
        <v>2215</v>
      </c>
      <c r="G1785" s="13">
        <v>222.01</v>
      </c>
      <c r="H1785" s="44">
        <v>0</v>
      </c>
      <c r="I1785" s="13">
        <v>222.01</v>
      </c>
      <c r="J1785" s="24">
        <v>45875</v>
      </c>
      <c r="K1785" s="25">
        <v>27</v>
      </c>
      <c r="L1785" s="25">
        <v>2.1</v>
      </c>
      <c r="M1785" s="13" t="b">
        <v>0</v>
      </c>
      <c r="O1785" s="25">
        <f t="shared" si="108"/>
        <v>27</v>
      </c>
      <c r="P1785" s="13">
        <f t="shared" si="109"/>
        <v>0</v>
      </c>
      <c r="Q1785" s="13" t="str">
        <f t="shared" si="110"/>
        <v/>
      </c>
      <c r="R1785" s="13" t="str">
        <f t="shared" si="111"/>
        <v>Non diskon</v>
      </c>
    </row>
    <row r="1786" spans="1:18" x14ac:dyDescent="0.25">
      <c r="A1786" s="13" t="s">
        <v>1798</v>
      </c>
      <c r="B1786" s="13" t="s">
        <v>2190</v>
      </c>
      <c r="C1786" s="13" t="s">
        <v>2200</v>
      </c>
      <c r="D1786" s="13" t="s">
        <v>2207</v>
      </c>
      <c r="E1786" s="13" t="s">
        <v>2209</v>
      </c>
      <c r="F1786" s="13" t="s">
        <v>2224</v>
      </c>
      <c r="G1786" s="13">
        <v>123.55</v>
      </c>
      <c r="H1786" s="44">
        <v>0</v>
      </c>
      <c r="I1786" s="13">
        <v>123.55</v>
      </c>
      <c r="J1786" s="24">
        <v>45875</v>
      </c>
      <c r="K1786" s="25">
        <v>28</v>
      </c>
      <c r="L1786" s="25">
        <v>1.2</v>
      </c>
      <c r="M1786" s="13" t="b">
        <v>0</v>
      </c>
      <c r="O1786" s="25">
        <f t="shared" si="108"/>
        <v>27</v>
      </c>
      <c r="P1786" s="13">
        <f t="shared" si="109"/>
        <v>0</v>
      </c>
      <c r="Q1786" s="13" t="str">
        <f t="shared" si="110"/>
        <v/>
      </c>
      <c r="R1786" s="13" t="str">
        <f t="shared" si="111"/>
        <v>Non diskon</v>
      </c>
    </row>
    <row r="1787" spans="1:18" x14ac:dyDescent="0.25">
      <c r="A1787" s="13" t="s">
        <v>1799</v>
      </c>
      <c r="B1787" s="13" t="s">
        <v>2192</v>
      </c>
      <c r="C1787" s="13" t="s">
        <v>2196</v>
      </c>
      <c r="D1787" s="13" t="s">
        <v>2206</v>
      </c>
      <c r="F1787" s="13" t="s">
        <v>2216</v>
      </c>
      <c r="G1787" s="13">
        <v>24.65</v>
      </c>
      <c r="H1787" s="44">
        <v>0</v>
      </c>
      <c r="I1787" s="13">
        <v>24.65</v>
      </c>
      <c r="J1787" s="24">
        <v>45875</v>
      </c>
      <c r="K1787" s="25">
        <v>43</v>
      </c>
      <c r="L1787" s="25">
        <v>1.1000000000000001</v>
      </c>
      <c r="M1787" s="13" t="b">
        <v>0</v>
      </c>
      <c r="O1787" s="25">
        <f t="shared" si="108"/>
        <v>27</v>
      </c>
      <c r="P1787" s="13">
        <f t="shared" si="109"/>
        <v>0</v>
      </c>
      <c r="Q1787" s="13" t="str">
        <f t="shared" si="110"/>
        <v/>
      </c>
      <c r="R1787" s="13" t="str">
        <f t="shared" si="111"/>
        <v>Non diskon</v>
      </c>
    </row>
    <row r="1788" spans="1:18" x14ac:dyDescent="0.25">
      <c r="A1788" s="13" t="s">
        <v>1800</v>
      </c>
      <c r="B1788" s="13" t="s">
        <v>2190</v>
      </c>
      <c r="C1788" s="13" t="s">
        <v>2198</v>
      </c>
      <c r="D1788" s="13" t="s">
        <v>2206</v>
      </c>
      <c r="E1788" s="13" t="s">
        <v>2211</v>
      </c>
      <c r="F1788" s="13" t="s">
        <v>2222</v>
      </c>
      <c r="G1788" s="13">
        <v>168.8</v>
      </c>
      <c r="H1788" s="44">
        <v>0</v>
      </c>
      <c r="I1788" s="13">
        <v>168.8</v>
      </c>
      <c r="J1788" s="24">
        <v>45875</v>
      </c>
      <c r="K1788" s="25">
        <v>1</v>
      </c>
      <c r="L1788" s="25">
        <v>1</v>
      </c>
      <c r="M1788" s="13" t="b">
        <v>0</v>
      </c>
      <c r="O1788" s="25">
        <f t="shared" si="108"/>
        <v>27</v>
      </c>
      <c r="P1788" s="13">
        <f t="shared" si="109"/>
        <v>0</v>
      </c>
      <c r="Q1788" s="13" t="str">
        <f t="shared" si="110"/>
        <v/>
      </c>
      <c r="R1788" s="13" t="str">
        <f t="shared" si="111"/>
        <v>Non diskon</v>
      </c>
    </row>
    <row r="1789" spans="1:18" x14ac:dyDescent="0.25">
      <c r="A1789" s="13" t="s">
        <v>1801</v>
      </c>
      <c r="B1789" s="13" t="s">
        <v>2191</v>
      </c>
      <c r="C1789" s="13" t="s">
        <v>2202</v>
      </c>
      <c r="D1789" s="13" t="s">
        <v>2206</v>
      </c>
      <c r="E1789" s="13" t="s">
        <v>2210</v>
      </c>
      <c r="F1789" s="13" t="s">
        <v>2220</v>
      </c>
      <c r="G1789" s="13">
        <v>39.159999999999997</v>
      </c>
      <c r="H1789" s="44">
        <v>40.1</v>
      </c>
      <c r="I1789" s="13">
        <v>23.46</v>
      </c>
      <c r="J1789" s="24">
        <v>45875</v>
      </c>
      <c r="K1789" s="25">
        <v>4</v>
      </c>
      <c r="L1789" s="25">
        <v>2.8</v>
      </c>
      <c r="M1789" s="13" t="b">
        <v>0</v>
      </c>
      <c r="O1789" s="25">
        <f t="shared" si="108"/>
        <v>27</v>
      </c>
      <c r="P1789" s="13">
        <f t="shared" si="109"/>
        <v>160.4</v>
      </c>
      <c r="Q1789" s="13" t="str">
        <f t="shared" si="110"/>
        <v/>
      </c>
      <c r="R1789" s="13" t="str">
        <f t="shared" si="111"/>
        <v>Diskon</v>
      </c>
    </row>
    <row r="1790" spans="1:18" x14ac:dyDescent="0.25">
      <c r="A1790" s="13" t="s">
        <v>1802</v>
      </c>
      <c r="B1790" s="13" t="s">
        <v>2194</v>
      </c>
      <c r="C1790" s="13" t="s">
        <v>2200</v>
      </c>
      <c r="D1790" s="13" t="s">
        <v>2206</v>
      </c>
      <c r="F1790" s="13" t="s">
        <v>2224</v>
      </c>
      <c r="G1790" s="13">
        <v>74.760000000000005</v>
      </c>
      <c r="H1790" s="44">
        <v>0</v>
      </c>
      <c r="I1790" s="13">
        <v>74.760000000000005</v>
      </c>
      <c r="J1790" s="24">
        <v>45875</v>
      </c>
      <c r="K1790" s="25">
        <v>50</v>
      </c>
      <c r="L1790" s="25">
        <v>4.4000000000000004</v>
      </c>
      <c r="M1790" s="13" t="b">
        <v>1</v>
      </c>
      <c r="N1790" s="13" t="s">
        <v>2225</v>
      </c>
      <c r="O1790" s="25">
        <f t="shared" si="108"/>
        <v>27</v>
      </c>
      <c r="P1790" s="13">
        <f t="shared" si="109"/>
        <v>0</v>
      </c>
      <c r="Q1790" s="13">
        <f t="shared" si="110"/>
        <v>1</v>
      </c>
      <c r="R1790" s="13" t="str">
        <f t="shared" si="111"/>
        <v>Non diskon</v>
      </c>
    </row>
    <row r="1791" spans="1:18" x14ac:dyDescent="0.25">
      <c r="A1791" s="13" t="s">
        <v>1803</v>
      </c>
      <c r="B1791" s="13" t="s">
        <v>2192</v>
      </c>
      <c r="C1791" s="13" t="s">
        <v>2202</v>
      </c>
      <c r="D1791" s="13" t="s">
        <v>2205</v>
      </c>
      <c r="F1791" s="13" t="s">
        <v>2222</v>
      </c>
      <c r="G1791" s="13">
        <v>37</v>
      </c>
      <c r="H1791" s="44">
        <v>0</v>
      </c>
      <c r="I1791" s="13">
        <v>37</v>
      </c>
      <c r="J1791" s="24">
        <v>45875</v>
      </c>
      <c r="K1791" s="25">
        <v>5</v>
      </c>
      <c r="L1791" s="25">
        <v>4.9000000000000004</v>
      </c>
      <c r="M1791" s="13" t="b">
        <v>0</v>
      </c>
      <c r="O1791" s="25">
        <f t="shared" si="108"/>
        <v>27</v>
      </c>
      <c r="P1791" s="13">
        <f t="shared" si="109"/>
        <v>0</v>
      </c>
      <c r="Q1791" s="13" t="str">
        <f t="shared" si="110"/>
        <v/>
      </c>
      <c r="R1791" s="13" t="str">
        <f t="shared" si="111"/>
        <v>Non diskon</v>
      </c>
    </row>
    <row r="1792" spans="1:18" x14ac:dyDescent="0.25">
      <c r="A1792" s="13" t="s">
        <v>1804</v>
      </c>
      <c r="B1792" s="13" t="s">
        <v>2192</v>
      </c>
      <c r="C1792" s="13" t="s">
        <v>2199</v>
      </c>
      <c r="D1792" s="13" t="s">
        <v>2205</v>
      </c>
      <c r="F1792" s="13" t="s">
        <v>2216</v>
      </c>
      <c r="G1792" s="13">
        <v>67.38</v>
      </c>
      <c r="H1792" s="44">
        <v>0</v>
      </c>
      <c r="I1792" s="13">
        <v>67.38</v>
      </c>
      <c r="J1792" s="24">
        <v>45875</v>
      </c>
      <c r="K1792" s="25">
        <v>15</v>
      </c>
      <c r="L1792" s="25">
        <v>1.6</v>
      </c>
      <c r="M1792" s="13" t="b">
        <v>0</v>
      </c>
      <c r="O1792" s="25">
        <f t="shared" si="108"/>
        <v>27</v>
      </c>
      <c r="P1792" s="13">
        <f t="shared" si="109"/>
        <v>0</v>
      </c>
      <c r="Q1792" s="13" t="str">
        <f t="shared" si="110"/>
        <v/>
      </c>
      <c r="R1792" s="13" t="str">
        <f t="shared" si="111"/>
        <v>Non diskon</v>
      </c>
    </row>
    <row r="1793" spans="1:18" x14ac:dyDescent="0.25">
      <c r="A1793" s="13" t="s">
        <v>1805</v>
      </c>
      <c r="B1793" s="13" t="s">
        <v>2194</v>
      </c>
      <c r="C1793" s="13" t="s">
        <v>2200</v>
      </c>
      <c r="D1793" s="13" t="s">
        <v>2207</v>
      </c>
      <c r="E1793" s="13" t="s">
        <v>2212</v>
      </c>
      <c r="F1793" s="13" t="s">
        <v>2217</v>
      </c>
      <c r="G1793" s="13">
        <v>77.44</v>
      </c>
      <c r="H1793" s="44">
        <v>1.4</v>
      </c>
      <c r="I1793" s="13">
        <v>76.36</v>
      </c>
      <c r="J1793" s="24">
        <v>45875</v>
      </c>
      <c r="K1793" s="25">
        <v>18</v>
      </c>
      <c r="L1793" s="25">
        <v>3.3</v>
      </c>
      <c r="M1793" s="13" t="b">
        <v>0</v>
      </c>
      <c r="O1793" s="25">
        <f t="shared" si="108"/>
        <v>27</v>
      </c>
      <c r="P1793" s="13">
        <f t="shared" si="109"/>
        <v>25.2</v>
      </c>
      <c r="Q1793" s="13" t="str">
        <f t="shared" si="110"/>
        <v/>
      </c>
      <c r="R1793" s="13" t="str">
        <f t="shared" si="111"/>
        <v>Diskon</v>
      </c>
    </row>
    <row r="1794" spans="1:18" x14ac:dyDescent="0.25">
      <c r="A1794" s="13" t="s">
        <v>1806</v>
      </c>
      <c r="B1794" s="13" t="s">
        <v>2190</v>
      </c>
      <c r="C1794" s="13" t="s">
        <v>2200</v>
      </c>
      <c r="D1794" s="13" t="s">
        <v>2207</v>
      </c>
      <c r="E1794" s="13" t="s">
        <v>2212</v>
      </c>
      <c r="F1794" s="13" t="s">
        <v>2218</v>
      </c>
      <c r="G1794" s="13">
        <v>215.06</v>
      </c>
      <c r="H1794" s="44">
        <v>0</v>
      </c>
      <c r="I1794" s="13">
        <v>215.06</v>
      </c>
      <c r="J1794" s="24">
        <v>45875</v>
      </c>
      <c r="K1794" s="25">
        <v>50</v>
      </c>
      <c r="L1794" s="25">
        <v>1.6</v>
      </c>
      <c r="M1794" s="13" t="b">
        <v>0</v>
      </c>
      <c r="O1794" s="25">
        <f t="shared" si="108"/>
        <v>27</v>
      </c>
      <c r="P1794" s="13">
        <f t="shared" si="109"/>
        <v>0</v>
      </c>
      <c r="Q1794" s="13" t="str">
        <f t="shared" si="110"/>
        <v/>
      </c>
      <c r="R1794" s="13" t="str">
        <f t="shared" si="111"/>
        <v>Non diskon</v>
      </c>
    </row>
    <row r="1795" spans="1:18" x14ac:dyDescent="0.25">
      <c r="A1795" s="13" t="s">
        <v>1807</v>
      </c>
      <c r="B1795" s="13" t="s">
        <v>2190</v>
      </c>
      <c r="C1795" s="13" t="s">
        <v>2198</v>
      </c>
      <c r="D1795" s="13" t="s">
        <v>2205</v>
      </c>
      <c r="E1795" s="13" t="s">
        <v>2212</v>
      </c>
      <c r="F1795" s="13" t="s">
        <v>2218</v>
      </c>
      <c r="G1795" s="13">
        <v>141.44</v>
      </c>
      <c r="H1795" s="44">
        <v>0</v>
      </c>
      <c r="I1795" s="13">
        <v>141.44</v>
      </c>
      <c r="J1795" s="24">
        <v>45875</v>
      </c>
      <c r="K1795" s="25">
        <v>34</v>
      </c>
      <c r="L1795" s="25">
        <v>2.4</v>
      </c>
      <c r="M1795" s="13" t="b">
        <v>0</v>
      </c>
      <c r="O1795" s="25">
        <f t="shared" ref="O1795:O1858" si="112">DATE(2025,9,2)-J1795</f>
        <v>27</v>
      </c>
      <c r="P1795" s="13">
        <f t="shared" ref="P1795:P1858" si="113">H1795*K1795</f>
        <v>0</v>
      </c>
      <c r="Q1795" s="13" t="str">
        <f t="shared" ref="Q1795:Q1858" si="114">IF(M1795=FALSE,"",1)</f>
        <v/>
      </c>
      <c r="R1795" s="13" t="str">
        <f t="shared" ref="R1795:R1858" si="115">IF(H1795=0,"Non diskon","Diskon")</f>
        <v>Non diskon</v>
      </c>
    </row>
    <row r="1796" spans="1:18" x14ac:dyDescent="0.25">
      <c r="A1796" s="13" t="s">
        <v>1808</v>
      </c>
      <c r="B1796" s="13" t="s">
        <v>2195</v>
      </c>
      <c r="C1796" s="13" t="s">
        <v>2201</v>
      </c>
      <c r="D1796" s="13" t="s">
        <v>2204</v>
      </c>
      <c r="E1796" s="13" t="s">
        <v>2211</v>
      </c>
      <c r="F1796" s="13" t="s">
        <v>2217</v>
      </c>
      <c r="G1796" s="13">
        <v>151.83000000000001</v>
      </c>
      <c r="H1796" s="44">
        <v>0</v>
      </c>
      <c r="I1796" s="13">
        <v>151.83000000000001</v>
      </c>
      <c r="J1796" s="24">
        <v>45825</v>
      </c>
      <c r="K1796" s="25">
        <v>24</v>
      </c>
      <c r="L1796" s="25">
        <v>4.3</v>
      </c>
      <c r="M1796" s="13" t="b">
        <v>1</v>
      </c>
      <c r="N1796" s="13" t="s">
        <v>2230</v>
      </c>
      <c r="O1796" s="25">
        <f t="shared" si="112"/>
        <v>77</v>
      </c>
      <c r="P1796" s="13">
        <f t="shared" si="113"/>
        <v>0</v>
      </c>
      <c r="Q1796" s="13">
        <f t="shared" si="114"/>
        <v>1</v>
      </c>
      <c r="R1796" s="13" t="str">
        <f t="shared" si="115"/>
        <v>Non diskon</v>
      </c>
    </row>
    <row r="1797" spans="1:18" x14ac:dyDescent="0.25">
      <c r="A1797" s="13" t="s">
        <v>1809</v>
      </c>
      <c r="B1797" s="13" t="s">
        <v>2190</v>
      </c>
      <c r="C1797" s="13" t="s">
        <v>2202</v>
      </c>
      <c r="D1797" s="13" t="s">
        <v>2205</v>
      </c>
      <c r="E1797" s="13" t="s">
        <v>2208</v>
      </c>
      <c r="F1797" s="13" t="s">
        <v>2218</v>
      </c>
      <c r="G1797" s="13">
        <v>140.07</v>
      </c>
      <c r="H1797" s="44">
        <v>0</v>
      </c>
      <c r="I1797" s="13">
        <v>140.07</v>
      </c>
      <c r="J1797" s="24">
        <v>45875</v>
      </c>
      <c r="K1797" s="25">
        <v>23</v>
      </c>
      <c r="L1797" s="25">
        <v>2.7</v>
      </c>
      <c r="M1797" s="13" t="b">
        <v>0</v>
      </c>
      <c r="O1797" s="25">
        <f t="shared" si="112"/>
        <v>27</v>
      </c>
      <c r="P1797" s="13">
        <f t="shared" si="113"/>
        <v>0</v>
      </c>
      <c r="Q1797" s="13" t="str">
        <f t="shared" si="114"/>
        <v/>
      </c>
      <c r="R1797" s="13" t="str">
        <f t="shared" si="115"/>
        <v>Non diskon</v>
      </c>
    </row>
    <row r="1798" spans="1:18" x14ac:dyDescent="0.25">
      <c r="A1798" s="13" t="s">
        <v>1810</v>
      </c>
      <c r="B1798" s="13" t="s">
        <v>2195</v>
      </c>
      <c r="C1798" s="13" t="s">
        <v>2199</v>
      </c>
      <c r="D1798" s="13" t="s">
        <v>2207</v>
      </c>
      <c r="E1798" s="13" t="s">
        <v>2211</v>
      </c>
      <c r="F1798" s="13" t="s">
        <v>2215</v>
      </c>
      <c r="G1798" s="13">
        <v>94.26</v>
      </c>
      <c r="H1798" s="44">
        <v>28.9</v>
      </c>
      <c r="I1798" s="13">
        <v>67.02</v>
      </c>
      <c r="J1798" s="24">
        <v>45875</v>
      </c>
      <c r="K1798" s="25">
        <v>44</v>
      </c>
      <c r="L1798" s="25">
        <v>3.6</v>
      </c>
      <c r="M1798" s="13" t="b">
        <v>0</v>
      </c>
      <c r="O1798" s="25">
        <f t="shared" si="112"/>
        <v>27</v>
      </c>
      <c r="P1798" s="13">
        <f t="shared" si="113"/>
        <v>1271.5999999999999</v>
      </c>
      <c r="Q1798" s="13" t="str">
        <f t="shared" si="114"/>
        <v/>
      </c>
      <c r="R1798" s="13" t="str">
        <f t="shared" si="115"/>
        <v>Diskon</v>
      </c>
    </row>
    <row r="1799" spans="1:18" x14ac:dyDescent="0.25">
      <c r="A1799" s="13" t="s">
        <v>1811</v>
      </c>
      <c r="B1799" s="13" t="s">
        <v>2192</v>
      </c>
      <c r="C1799" s="13" t="s">
        <v>2201</v>
      </c>
      <c r="D1799" s="13" t="s">
        <v>2205</v>
      </c>
      <c r="F1799" s="13" t="s">
        <v>2220</v>
      </c>
      <c r="G1799" s="13">
        <v>55.79</v>
      </c>
      <c r="H1799" s="44">
        <v>27.3</v>
      </c>
      <c r="I1799" s="13">
        <v>40.56</v>
      </c>
      <c r="J1799" s="24">
        <v>45875</v>
      </c>
      <c r="K1799" s="25">
        <v>39</v>
      </c>
      <c r="L1799" s="25">
        <v>4.9000000000000004</v>
      </c>
      <c r="M1799" s="13" t="b">
        <v>0</v>
      </c>
      <c r="O1799" s="25">
        <f t="shared" si="112"/>
        <v>27</v>
      </c>
      <c r="P1799" s="13">
        <f t="shared" si="113"/>
        <v>1064.7</v>
      </c>
      <c r="Q1799" s="13" t="str">
        <f t="shared" si="114"/>
        <v/>
      </c>
      <c r="R1799" s="13" t="str">
        <f t="shared" si="115"/>
        <v>Diskon</v>
      </c>
    </row>
    <row r="1800" spans="1:18" x14ac:dyDescent="0.25">
      <c r="A1800" s="13" t="s">
        <v>1812</v>
      </c>
      <c r="B1800" s="13" t="s">
        <v>2192</v>
      </c>
      <c r="C1800" s="13" t="s">
        <v>2202</v>
      </c>
      <c r="D1800" s="13" t="s">
        <v>2205</v>
      </c>
      <c r="F1800" s="13" t="s">
        <v>2216</v>
      </c>
      <c r="G1800" s="13">
        <v>58.99</v>
      </c>
      <c r="H1800" s="44">
        <v>0</v>
      </c>
      <c r="I1800" s="13">
        <v>58.99</v>
      </c>
      <c r="J1800" s="24">
        <v>45875</v>
      </c>
      <c r="K1800" s="25">
        <v>50</v>
      </c>
      <c r="L1800" s="25">
        <v>2.7</v>
      </c>
      <c r="M1800" s="13" t="b">
        <v>0</v>
      </c>
      <c r="O1800" s="25">
        <f t="shared" si="112"/>
        <v>27</v>
      </c>
      <c r="P1800" s="13">
        <f t="shared" si="113"/>
        <v>0</v>
      </c>
      <c r="Q1800" s="13" t="str">
        <f t="shared" si="114"/>
        <v/>
      </c>
      <c r="R1800" s="13" t="str">
        <f t="shared" si="115"/>
        <v>Non diskon</v>
      </c>
    </row>
    <row r="1801" spans="1:18" x14ac:dyDescent="0.25">
      <c r="A1801" s="13" t="s">
        <v>1813</v>
      </c>
      <c r="B1801" s="13" t="s">
        <v>2194</v>
      </c>
      <c r="C1801" s="13" t="s">
        <v>2203</v>
      </c>
      <c r="D1801" s="13" t="s">
        <v>2207</v>
      </c>
      <c r="E1801" s="13" t="s">
        <v>2211</v>
      </c>
      <c r="F1801" s="13" t="s">
        <v>2223</v>
      </c>
      <c r="G1801" s="13">
        <v>61.96</v>
      </c>
      <c r="H1801" s="44">
        <v>0</v>
      </c>
      <c r="I1801" s="13">
        <v>61.96</v>
      </c>
      <c r="J1801" s="24">
        <v>45875</v>
      </c>
      <c r="K1801" s="25">
        <v>13</v>
      </c>
      <c r="L1801" s="25">
        <v>3.9</v>
      </c>
      <c r="M1801" s="13" t="b">
        <v>0</v>
      </c>
      <c r="O1801" s="25">
        <f t="shared" si="112"/>
        <v>27</v>
      </c>
      <c r="P1801" s="13">
        <f t="shared" si="113"/>
        <v>0</v>
      </c>
      <c r="Q1801" s="13" t="str">
        <f t="shared" si="114"/>
        <v/>
      </c>
      <c r="R1801" s="13" t="str">
        <f t="shared" si="115"/>
        <v>Non diskon</v>
      </c>
    </row>
    <row r="1802" spans="1:18" x14ac:dyDescent="0.25">
      <c r="A1802" s="13" t="s">
        <v>1814</v>
      </c>
      <c r="B1802" s="13" t="s">
        <v>2194</v>
      </c>
      <c r="C1802" s="13" t="s">
        <v>2196</v>
      </c>
      <c r="D1802" s="13" t="s">
        <v>2206</v>
      </c>
      <c r="E1802" s="13" t="s">
        <v>2209</v>
      </c>
      <c r="F1802" s="13" t="s">
        <v>2224</v>
      </c>
      <c r="G1802" s="13">
        <v>104.25</v>
      </c>
      <c r="H1802" s="44">
        <v>0</v>
      </c>
      <c r="I1802" s="13">
        <v>104.25</v>
      </c>
      <c r="J1802" s="24">
        <v>45875</v>
      </c>
      <c r="K1802" s="25">
        <v>35</v>
      </c>
      <c r="L1802" s="25">
        <v>3.1</v>
      </c>
      <c r="M1802" s="13" t="b">
        <v>0</v>
      </c>
      <c r="O1802" s="25">
        <f t="shared" si="112"/>
        <v>27</v>
      </c>
      <c r="P1802" s="13">
        <f t="shared" si="113"/>
        <v>0</v>
      </c>
      <c r="Q1802" s="13" t="str">
        <f t="shared" si="114"/>
        <v/>
      </c>
      <c r="R1802" s="13" t="str">
        <f t="shared" si="115"/>
        <v>Non diskon</v>
      </c>
    </row>
    <row r="1803" spans="1:18" x14ac:dyDescent="0.25">
      <c r="A1803" s="13" t="s">
        <v>1815</v>
      </c>
      <c r="B1803" s="13" t="s">
        <v>2190</v>
      </c>
      <c r="C1803" s="13" t="s">
        <v>2200</v>
      </c>
      <c r="D1803" s="13" t="s">
        <v>2205</v>
      </c>
      <c r="E1803" s="13" t="s">
        <v>2209</v>
      </c>
      <c r="F1803" s="13" t="s">
        <v>2218</v>
      </c>
      <c r="G1803" s="13">
        <v>102.68</v>
      </c>
      <c r="H1803" s="44">
        <v>0</v>
      </c>
      <c r="I1803" s="13">
        <v>102.68</v>
      </c>
      <c r="J1803" s="24">
        <v>45875</v>
      </c>
      <c r="K1803" s="25">
        <v>18</v>
      </c>
      <c r="L1803" s="25">
        <v>1.9</v>
      </c>
      <c r="M1803" s="13" t="b">
        <v>0</v>
      </c>
      <c r="O1803" s="25">
        <f t="shared" si="112"/>
        <v>27</v>
      </c>
      <c r="P1803" s="13">
        <f t="shared" si="113"/>
        <v>0</v>
      </c>
      <c r="Q1803" s="13" t="str">
        <f t="shared" si="114"/>
        <v/>
      </c>
      <c r="R1803" s="13" t="str">
        <f t="shared" si="115"/>
        <v>Non diskon</v>
      </c>
    </row>
    <row r="1804" spans="1:18" x14ac:dyDescent="0.25">
      <c r="A1804" s="13" t="s">
        <v>1816</v>
      </c>
      <c r="B1804" s="13" t="s">
        <v>2195</v>
      </c>
      <c r="C1804" s="13" t="s">
        <v>2202</v>
      </c>
      <c r="D1804" s="13" t="s">
        <v>2205</v>
      </c>
      <c r="E1804" s="13" t="s">
        <v>2211</v>
      </c>
      <c r="F1804" s="13" t="s">
        <v>2221</v>
      </c>
      <c r="G1804" s="13">
        <v>131.05000000000001</v>
      </c>
      <c r="H1804" s="44">
        <v>32.6</v>
      </c>
      <c r="I1804" s="13">
        <v>88.33</v>
      </c>
      <c r="J1804" s="24">
        <v>45875</v>
      </c>
      <c r="K1804" s="25">
        <v>9</v>
      </c>
      <c r="L1804" s="25">
        <v>2.980952380952381</v>
      </c>
      <c r="M1804" s="13" t="b">
        <v>0</v>
      </c>
      <c r="O1804" s="25">
        <f t="shared" si="112"/>
        <v>27</v>
      </c>
      <c r="P1804" s="13">
        <f t="shared" si="113"/>
        <v>293.40000000000003</v>
      </c>
      <c r="Q1804" s="13" t="str">
        <f t="shared" si="114"/>
        <v/>
      </c>
      <c r="R1804" s="13" t="str">
        <f t="shared" si="115"/>
        <v>Diskon</v>
      </c>
    </row>
    <row r="1805" spans="1:18" x14ac:dyDescent="0.25">
      <c r="A1805" s="13" t="s">
        <v>1817</v>
      </c>
      <c r="B1805" s="13" t="s">
        <v>2190</v>
      </c>
      <c r="C1805" s="13" t="s">
        <v>2198</v>
      </c>
      <c r="D1805" s="13" t="s">
        <v>2204</v>
      </c>
      <c r="E1805" s="13" t="s">
        <v>2212</v>
      </c>
      <c r="F1805" s="13" t="s">
        <v>2222</v>
      </c>
      <c r="G1805" s="13">
        <v>139.72999999999999</v>
      </c>
      <c r="H1805" s="44">
        <v>54.3</v>
      </c>
      <c r="I1805" s="13">
        <v>63.86</v>
      </c>
      <c r="J1805" s="24">
        <v>45743</v>
      </c>
      <c r="K1805" s="25">
        <v>38</v>
      </c>
      <c r="L1805" s="25">
        <v>3.0177777777777774</v>
      </c>
      <c r="M1805" s="13" t="b">
        <v>1</v>
      </c>
      <c r="N1805" s="13" t="s">
        <v>2229</v>
      </c>
      <c r="O1805" s="25">
        <f t="shared" si="112"/>
        <v>159</v>
      </c>
      <c r="P1805" s="13">
        <f t="shared" si="113"/>
        <v>2063.4</v>
      </c>
      <c r="Q1805" s="13">
        <f t="shared" si="114"/>
        <v>1</v>
      </c>
      <c r="R1805" s="13" t="str">
        <f t="shared" si="115"/>
        <v>Diskon</v>
      </c>
    </row>
    <row r="1806" spans="1:18" x14ac:dyDescent="0.25">
      <c r="A1806" s="13" t="s">
        <v>1818</v>
      </c>
      <c r="B1806" s="13" t="s">
        <v>2192</v>
      </c>
      <c r="C1806" s="13" t="s">
        <v>2203</v>
      </c>
      <c r="D1806" s="13" t="s">
        <v>2205</v>
      </c>
      <c r="F1806" s="13" t="s">
        <v>2222</v>
      </c>
      <c r="G1806" s="13">
        <v>17.59</v>
      </c>
      <c r="H1806" s="44">
        <v>0</v>
      </c>
      <c r="I1806" s="13">
        <v>17.59</v>
      </c>
      <c r="J1806" s="24">
        <v>45875</v>
      </c>
      <c r="K1806" s="25">
        <v>14</v>
      </c>
      <c r="L1806" s="25">
        <v>2.8636363636363633</v>
      </c>
      <c r="M1806" s="13" t="b">
        <v>0</v>
      </c>
      <c r="O1806" s="25">
        <f t="shared" si="112"/>
        <v>27</v>
      </c>
      <c r="P1806" s="13">
        <f t="shared" si="113"/>
        <v>0</v>
      </c>
      <c r="Q1806" s="13" t="str">
        <f t="shared" si="114"/>
        <v/>
      </c>
      <c r="R1806" s="13" t="str">
        <f t="shared" si="115"/>
        <v>Non diskon</v>
      </c>
    </row>
    <row r="1807" spans="1:18" x14ac:dyDescent="0.25">
      <c r="A1807" s="13" t="s">
        <v>1819</v>
      </c>
      <c r="B1807" s="13" t="s">
        <v>2193</v>
      </c>
      <c r="C1807" s="13" t="s">
        <v>2196</v>
      </c>
      <c r="D1807" s="13" t="s">
        <v>2206</v>
      </c>
      <c r="E1807" s="13" t="s">
        <v>2209</v>
      </c>
      <c r="F1807" s="13" t="s">
        <v>2214</v>
      </c>
      <c r="G1807" s="13">
        <v>115.09</v>
      </c>
      <c r="H1807" s="44">
        <v>0</v>
      </c>
      <c r="I1807" s="13">
        <v>115.09</v>
      </c>
      <c r="J1807" s="24">
        <v>45875</v>
      </c>
      <c r="K1807" s="25">
        <v>10</v>
      </c>
      <c r="L1807" s="25">
        <v>2.5</v>
      </c>
      <c r="M1807" s="13" t="b">
        <v>0</v>
      </c>
      <c r="O1807" s="25">
        <f t="shared" si="112"/>
        <v>27</v>
      </c>
      <c r="P1807" s="13">
        <f t="shared" si="113"/>
        <v>0</v>
      </c>
      <c r="Q1807" s="13" t="str">
        <f t="shared" si="114"/>
        <v/>
      </c>
      <c r="R1807" s="13" t="str">
        <f t="shared" si="115"/>
        <v>Non diskon</v>
      </c>
    </row>
    <row r="1808" spans="1:18" x14ac:dyDescent="0.25">
      <c r="A1808" s="13" t="s">
        <v>1820</v>
      </c>
      <c r="B1808" s="13" t="s">
        <v>2192</v>
      </c>
      <c r="C1808" s="13" t="s">
        <v>2196</v>
      </c>
      <c r="D1808" s="13" t="s">
        <v>2207</v>
      </c>
      <c r="F1808" s="13" t="s">
        <v>2216</v>
      </c>
      <c r="G1808" s="13">
        <v>73.75</v>
      </c>
      <c r="H1808" s="44">
        <v>0</v>
      </c>
      <c r="I1808" s="13">
        <v>73.75</v>
      </c>
      <c r="J1808" s="24">
        <v>45875</v>
      </c>
      <c r="K1808" s="25">
        <v>23</v>
      </c>
      <c r="L1808" s="25">
        <v>4.5</v>
      </c>
      <c r="M1808" s="13" t="b">
        <v>0</v>
      </c>
      <c r="O1808" s="25">
        <f t="shared" si="112"/>
        <v>27</v>
      </c>
      <c r="P1808" s="13">
        <f t="shared" si="113"/>
        <v>0</v>
      </c>
      <c r="Q1808" s="13" t="str">
        <f t="shared" si="114"/>
        <v/>
      </c>
      <c r="R1808" s="13" t="str">
        <f t="shared" si="115"/>
        <v>Non diskon</v>
      </c>
    </row>
    <row r="1809" spans="1:18" x14ac:dyDescent="0.25">
      <c r="A1809" s="13" t="s">
        <v>1821</v>
      </c>
      <c r="B1809" s="13" t="s">
        <v>2192</v>
      </c>
      <c r="C1809" s="13" t="s">
        <v>2201</v>
      </c>
      <c r="D1809" s="13" t="s">
        <v>2205</v>
      </c>
      <c r="F1809" s="13" t="s">
        <v>2222</v>
      </c>
      <c r="G1809" s="13">
        <v>66.77</v>
      </c>
      <c r="H1809" s="44">
        <v>0</v>
      </c>
      <c r="I1809" s="13">
        <v>66.77</v>
      </c>
      <c r="J1809" s="24">
        <v>45875</v>
      </c>
      <c r="K1809" s="25">
        <v>28</v>
      </c>
      <c r="L1809" s="25">
        <v>5</v>
      </c>
      <c r="M1809" s="13" t="b">
        <v>1</v>
      </c>
      <c r="N1809" s="13" t="s">
        <v>2226</v>
      </c>
      <c r="O1809" s="25">
        <f t="shared" si="112"/>
        <v>27</v>
      </c>
      <c r="P1809" s="13">
        <f t="shared" si="113"/>
        <v>0</v>
      </c>
      <c r="Q1809" s="13">
        <f t="shared" si="114"/>
        <v>1</v>
      </c>
      <c r="R1809" s="13" t="str">
        <f t="shared" si="115"/>
        <v>Non diskon</v>
      </c>
    </row>
    <row r="1810" spans="1:18" x14ac:dyDescent="0.25">
      <c r="A1810" s="13" t="s">
        <v>1822</v>
      </c>
      <c r="B1810" s="13" t="s">
        <v>2191</v>
      </c>
      <c r="C1810" s="13" t="s">
        <v>2200</v>
      </c>
      <c r="D1810" s="13" t="s">
        <v>2206</v>
      </c>
      <c r="E1810" s="13" t="s">
        <v>2209</v>
      </c>
      <c r="F1810" s="13" t="s">
        <v>2217</v>
      </c>
      <c r="G1810" s="13">
        <v>63.92</v>
      </c>
      <c r="H1810" s="44">
        <v>0</v>
      </c>
      <c r="I1810" s="13">
        <v>63.92</v>
      </c>
      <c r="J1810" s="24">
        <v>45875</v>
      </c>
      <c r="K1810" s="25">
        <v>10</v>
      </c>
      <c r="L1810" s="25">
        <v>4.4000000000000004</v>
      </c>
      <c r="M1810" s="13" t="b">
        <v>0</v>
      </c>
      <c r="O1810" s="25">
        <f t="shared" si="112"/>
        <v>27</v>
      </c>
      <c r="P1810" s="13">
        <f t="shared" si="113"/>
        <v>0</v>
      </c>
      <c r="Q1810" s="13" t="str">
        <f t="shared" si="114"/>
        <v/>
      </c>
      <c r="R1810" s="13" t="str">
        <f t="shared" si="115"/>
        <v>Non diskon</v>
      </c>
    </row>
    <row r="1811" spans="1:18" x14ac:dyDescent="0.25">
      <c r="A1811" s="13" t="s">
        <v>1823</v>
      </c>
      <c r="B1811" s="13" t="s">
        <v>2192</v>
      </c>
      <c r="C1811" s="13" t="s">
        <v>2200</v>
      </c>
      <c r="D1811" s="13" t="s">
        <v>2206</v>
      </c>
      <c r="F1811" s="13" t="s">
        <v>2220</v>
      </c>
      <c r="G1811" s="13">
        <v>26.26</v>
      </c>
      <c r="H1811" s="44">
        <v>0</v>
      </c>
      <c r="I1811" s="13">
        <v>26.26</v>
      </c>
      <c r="J1811" s="24">
        <v>45875</v>
      </c>
      <c r="K1811" s="25">
        <v>27</v>
      </c>
      <c r="L1811" s="25">
        <v>2.7333333333333334</v>
      </c>
      <c r="M1811" s="13" t="b">
        <v>0</v>
      </c>
      <c r="O1811" s="25">
        <f t="shared" si="112"/>
        <v>27</v>
      </c>
      <c r="P1811" s="13">
        <f t="shared" si="113"/>
        <v>0</v>
      </c>
      <c r="Q1811" s="13" t="str">
        <f t="shared" si="114"/>
        <v/>
      </c>
      <c r="R1811" s="13" t="str">
        <f t="shared" si="115"/>
        <v>Non diskon</v>
      </c>
    </row>
    <row r="1812" spans="1:18" x14ac:dyDescent="0.25">
      <c r="A1812" s="13" t="s">
        <v>1824</v>
      </c>
      <c r="B1812" s="13" t="s">
        <v>2192</v>
      </c>
      <c r="C1812" s="13" t="s">
        <v>2200</v>
      </c>
      <c r="D1812" s="13" t="s">
        <v>2204</v>
      </c>
      <c r="F1812" s="13" t="s">
        <v>2217</v>
      </c>
      <c r="G1812" s="13">
        <v>62.58</v>
      </c>
      <c r="H1812" s="44">
        <v>8.8000000000000007</v>
      </c>
      <c r="I1812" s="13">
        <v>57.07</v>
      </c>
      <c r="J1812" s="24">
        <v>45602</v>
      </c>
      <c r="K1812" s="25">
        <v>1</v>
      </c>
      <c r="L1812" s="25">
        <v>1.7</v>
      </c>
      <c r="M1812" s="13" t="b">
        <v>0</v>
      </c>
      <c r="O1812" s="25">
        <f t="shared" si="112"/>
        <v>300</v>
      </c>
      <c r="P1812" s="13">
        <f t="shared" si="113"/>
        <v>8.8000000000000007</v>
      </c>
      <c r="Q1812" s="13" t="str">
        <f t="shared" si="114"/>
        <v/>
      </c>
      <c r="R1812" s="13" t="str">
        <f t="shared" si="115"/>
        <v>Diskon</v>
      </c>
    </row>
    <row r="1813" spans="1:18" x14ac:dyDescent="0.25">
      <c r="A1813" s="13" t="s">
        <v>1825</v>
      </c>
      <c r="B1813" s="13" t="s">
        <v>2193</v>
      </c>
      <c r="C1813" s="13" t="s">
        <v>2198</v>
      </c>
      <c r="D1813" s="13" t="s">
        <v>2207</v>
      </c>
      <c r="E1813" s="13" t="s">
        <v>2210</v>
      </c>
      <c r="F1813" s="13" t="s">
        <v>2220</v>
      </c>
      <c r="G1813" s="13">
        <v>143.88</v>
      </c>
      <c r="H1813" s="44">
        <v>0</v>
      </c>
      <c r="I1813" s="13">
        <v>143.88</v>
      </c>
      <c r="J1813" s="24">
        <v>45875</v>
      </c>
      <c r="K1813" s="25">
        <v>1</v>
      </c>
      <c r="L1813" s="25">
        <v>3.1</v>
      </c>
      <c r="M1813" s="13" t="b">
        <v>0</v>
      </c>
      <c r="O1813" s="25">
        <f t="shared" si="112"/>
        <v>27</v>
      </c>
      <c r="P1813" s="13">
        <f t="shared" si="113"/>
        <v>0</v>
      </c>
      <c r="Q1813" s="13" t="str">
        <f t="shared" si="114"/>
        <v/>
      </c>
      <c r="R1813" s="13" t="str">
        <f t="shared" si="115"/>
        <v>Non diskon</v>
      </c>
    </row>
    <row r="1814" spans="1:18" x14ac:dyDescent="0.25">
      <c r="A1814" s="13" t="s">
        <v>1826</v>
      </c>
      <c r="B1814" s="13" t="s">
        <v>2190</v>
      </c>
      <c r="C1814" s="13" t="s">
        <v>2196</v>
      </c>
      <c r="D1814" s="13" t="s">
        <v>2204</v>
      </c>
      <c r="E1814" s="13" t="s">
        <v>2208</v>
      </c>
      <c r="F1814" s="13" t="s">
        <v>2219</v>
      </c>
      <c r="G1814" s="13">
        <v>226.24</v>
      </c>
      <c r="H1814" s="44">
        <v>1.2</v>
      </c>
      <c r="I1814" s="13">
        <v>223.53</v>
      </c>
      <c r="J1814" s="24">
        <v>45708</v>
      </c>
      <c r="K1814" s="25">
        <v>24</v>
      </c>
      <c r="L1814" s="25">
        <v>4.5</v>
      </c>
      <c r="M1814" s="13" t="b">
        <v>0</v>
      </c>
      <c r="O1814" s="25">
        <f t="shared" si="112"/>
        <v>194</v>
      </c>
      <c r="P1814" s="13">
        <f t="shared" si="113"/>
        <v>28.799999999999997</v>
      </c>
      <c r="Q1814" s="13" t="str">
        <f t="shared" si="114"/>
        <v/>
      </c>
      <c r="R1814" s="13" t="str">
        <f t="shared" si="115"/>
        <v>Diskon</v>
      </c>
    </row>
    <row r="1815" spans="1:18" x14ac:dyDescent="0.25">
      <c r="A1815" s="13" t="s">
        <v>1827</v>
      </c>
      <c r="B1815" s="13" t="s">
        <v>2193</v>
      </c>
      <c r="C1815" s="13" t="s">
        <v>2202</v>
      </c>
      <c r="D1815" s="13" t="s">
        <v>2204</v>
      </c>
      <c r="E1815" s="13" t="s">
        <v>2211</v>
      </c>
      <c r="F1815" s="13" t="s">
        <v>2216</v>
      </c>
      <c r="G1815" s="13">
        <v>164.75</v>
      </c>
      <c r="H1815" s="44">
        <v>0</v>
      </c>
      <c r="I1815" s="13">
        <v>164.75</v>
      </c>
      <c r="J1815" s="24">
        <v>45779</v>
      </c>
      <c r="K1815" s="25">
        <v>8</v>
      </c>
      <c r="L1815" s="25">
        <v>3.7</v>
      </c>
      <c r="M1815" s="13" t="b">
        <v>0</v>
      </c>
      <c r="O1815" s="25">
        <f t="shared" si="112"/>
        <v>123</v>
      </c>
      <c r="P1815" s="13">
        <f t="shared" si="113"/>
        <v>0</v>
      </c>
      <c r="Q1815" s="13" t="str">
        <f t="shared" si="114"/>
        <v/>
      </c>
      <c r="R1815" s="13" t="str">
        <f t="shared" si="115"/>
        <v>Non diskon</v>
      </c>
    </row>
    <row r="1816" spans="1:18" x14ac:dyDescent="0.25">
      <c r="A1816" s="13" t="s">
        <v>1828</v>
      </c>
      <c r="B1816" s="13" t="s">
        <v>2194</v>
      </c>
      <c r="C1816" s="13" t="s">
        <v>2196</v>
      </c>
      <c r="D1816" s="13" t="s">
        <v>2207</v>
      </c>
      <c r="E1816" s="13" t="s">
        <v>2209</v>
      </c>
      <c r="F1816" s="13" t="s">
        <v>2222</v>
      </c>
      <c r="G1816" s="13">
        <v>56.14</v>
      </c>
      <c r="H1816" s="44">
        <v>0</v>
      </c>
      <c r="I1816" s="13">
        <v>56.14</v>
      </c>
      <c r="J1816" s="24">
        <v>45875</v>
      </c>
      <c r="K1816" s="25">
        <v>16</v>
      </c>
      <c r="L1816" s="25">
        <v>4.3</v>
      </c>
      <c r="M1816" s="13" t="b">
        <v>0</v>
      </c>
      <c r="O1816" s="25">
        <f t="shared" si="112"/>
        <v>27</v>
      </c>
      <c r="P1816" s="13">
        <f t="shared" si="113"/>
        <v>0</v>
      </c>
      <c r="Q1816" s="13" t="str">
        <f t="shared" si="114"/>
        <v/>
      </c>
      <c r="R1816" s="13" t="str">
        <f t="shared" si="115"/>
        <v>Non diskon</v>
      </c>
    </row>
    <row r="1817" spans="1:18" x14ac:dyDescent="0.25">
      <c r="A1817" s="13" t="s">
        <v>1829</v>
      </c>
      <c r="B1817" s="13" t="s">
        <v>2192</v>
      </c>
      <c r="C1817" s="13" t="s">
        <v>2200</v>
      </c>
      <c r="D1817" s="13" t="s">
        <v>2205</v>
      </c>
      <c r="F1817" s="13" t="s">
        <v>2214</v>
      </c>
      <c r="G1817" s="13">
        <v>39.96</v>
      </c>
      <c r="H1817" s="44">
        <v>0</v>
      </c>
      <c r="I1817" s="13">
        <v>39.96</v>
      </c>
      <c r="J1817" s="24">
        <v>45875</v>
      </c>
      <c r="K1817" s="25">
        <v>49</v>
      </c>
      <c r="L1817" s="25">
        <v>2.7333333333333334</v>
      </c>
      <c r="M1817" s="13" t="b">
        <v>0</v>
      </c>
      <c r="O1817" s="25">
        <f t="shared" si="112"/>
        <v>27</v>
      </c>
      <c r="P1817" s="13">
        <f t="shared" si="113"/>
        <v>0</v>
      </c>
      <c r="Q1817" s="13" t="str">
        <f t="shared" si="114"/>
        <v/>
      </c>
      <c r="R1817" s="13" t="str">
        <f t="shared" si="115"/>
        <v>Non diskon</v>
      </c>
    </row>
    <row r="1818" spans="1:18" x14ac:dyDescent="0.25">
      <c r="A1818" s="13" t="s">
        <v>1830</v>
      </c>
      <c r="B1818" s="13" t="s">
        <v>2194</v>
      </c>
      <c r="C1818" s="13" t="s">
        <v>2201</v>
      </c>
      <c r="D1818" s="13" t="s">
        <v>2207</v>
      </c>
      <c r="E1818" s="13" t="s">
        <v>2209</v>
      </c>
      <c r="F1818" s="13" t="s">
        <v>2222</v>
      </c>
      <c r="G1818" s="13">
        <v>26.5</v>
      </c>
      <c r="H1818" s="44">
        <v>57.9</v>
      </c>
      <c r="I1818" s="13">
        <v>11.16</v>
      </c>
      <c r="J1818" s="24">
        <v>45875</v>
      </c>
      <c r="K1818" s="25">
        <v>8</v>
      </c>
      <c r="L1818" s="25">
        <v>1.7</v>
      </c>
      <c r="M1818" s="13" t="b">
        <v>0</v>
      </c>
      <c r="O1818" s="25">
        <f t="shared" si="112"/>
        <v>27</v>
      </c>
      <c r="P1818" s="13">
        <f t="shared" si="113"/>
        <v>463.2</v>
      </c>
      <c r="Q1818" s="13" t="str">
        <f t="shared" si="114"/>
        <v/>
      </c>
      <c r="R1818" s="13" t="str">
        <f t="shared" si="115"/>
        <v>Diskon</v>
      </c>
    </row>
    <row r="1819" spans="1:18" x14ac:dyDescent="0.25">
      <c r="A1819" s="13" t="s">
        <v>1831</v>
      </c>
      <c r="B1819" s="13" t="s">
        <v>2193</v>
      </c>
      <c r="C1819" s="13" t="s">
        <v>2200</v>
      </c>
      <c r="D1819" s="13" t="s">
        <v>2204</v>
      </c>
      <c r="E1819" s="13" t="s">
        <v>2211</v>
      </c>
      <c r="F1819" s="13" t="s">
        <v>2224</v>
      </c>
      <c r="G1819" s="13">
        <v>118.53</v>
      </c>
      <c r="H1819" s="44">
        <v>55</v>
      </c>
      <c r="I1819" s="13">
        <v>53.34</v>
      </c>
      <c r="J1819" s="24">
        <v>45772</v>
      </c>
      <c r="K1819" s="25">
        <v>2</v>
      </c>
      <c r="L1819" s="25">
        <v>4.9000000000000004</v>
      </c>
      <c r="M1819" s="13" t="b">
        <v>0</v>
      </c>
      <c r="O1819" s="25">
        <f t="shared" si="112"/>
        <v>130</v>
      </c>
      <c r="P1819" s="13">
        <f t="shared" si="113"/>
        <v>110</v>
      </c>
      <c r="Q1819" s="13" t="str">
        <f t="shared" si="114"/>
        <v/>
      </c>
      <c r="R1819" s="13" t="str">
        <f t="shared" si="115"/>
        <v>Diskon</v>
      </c>
    </row>
    <row r="1820" spans="1:18" x14ac:dyDescent="0.25">
      <c r="A1820" s="13" t="s">
        <v>1832</v>
      </c>
      <c r="B1820" s="13" t="s">
        <v>2195</v>
      </c>
      <c r="C1820" s="13" t="s">
        <v>2199</v>
      </c>
      <c r="D1820" s="13" t="s">
        <v>2207</v>
      </c>
      <c r="E1820" s="13" t="s">
        <v>2208</v>
      </c>
      <c r="F1820" s="13" t="s">
        <v>2223</v>
      </c>
      <c r="G1820" s="13">
        <v>58.08</v>
      </c>
      <c r="H1820" s="44">
        <v>0</v>
      </c>
      <c r="I1820" s="13">
        <v>58.08</v>
      </c>
      <c r="J1820" s="24">
        <v>45875</v>
      </c>
      <c r="K1820" s="25">
        <v>42</v>
      </c>
      <c r="L1820" s="25">
        <v>1.6</v>
      </c>
      <c r="M1820" s="13" t="b">
        <v>0</v>
      </c>
      <c r="O1820" s="25">
        <f t="shared" si="112"/>
        <v>27</v>
      </c>
      <c r="P1820" s="13">
        <f t="shared" si="113"/>
        <v>0</v>
      </c>
      <c r="Q1820" s="13" t="str">
        <f t="shared" si="114"/>
        <v/>
      </c>
      <c r="R1820" s="13" t="str">
        <f t="shared" si="115"/>
        <v>Non diskon</v>
      </c>
    </row>
    <row r="1821" spans="1:18" x14ac:dyDescent="0.25">
      <c r="A1821" s="13" t="s">
        <v>1833</v>
      </c>
      <c r="B1821" s="13" t="s">
        <v>2193</v>
      </c>
      <c r="C1821" s="13" t="s">
        <v>2200</v>
      </c>
      <c r="D1821" s="13" t="s">
        <v>2207</v>
      </c>
      <c r="E1821" s="13" t="s">
        <v>2210</v>
      </c>
      <c r="F1821" s="13" t="s">
        <v>2222</v>
      </c>
      <c r="G1821" s="13">
        <v>138.85</v>
      </c>
      <c r="H1821" s="44">
        <v>15</v>
      </c>
      <c r="I1821" s="13">
        <v>118.02</v>
      </c>
      <c r="J1821" s="24">
        <v>45875</v>
      </c>
      <c r="K1821" s="25">
        <v>17</v>
      </c>
      <c r="L1821" s="25">
        <v>3.3021276595744684</v>
      </c>
      <c r="M1821" s="13" t="b">
        <v>0</v>
      </c>
      <c r="O1821" s="25">
        <f t="shared" si="112"/>
        <v>27</v>
      </c>
      <c r="P1821" s="13">
        <f t="shared" si="113"/>
        <v>255</v>
      </c>
      <c r="Q1821" s="13" t="str">
        <f t="shared" si="114"/>
        <v/>
      </c>
      <c r="R1821" s="13" t="str">
        <f t="shared" si="115"/>
        <v>Diskon</v>
      </c>
    </row>
    <row r="1822" spans="1:18" x14ac:dyDescent="0.25">
      <c r="A1822" s="13" t="s">
        <v>1834</v>
      </c>
      <c r="B1822" s="13" t="s">
        <v>2194</v>
      </c>
      <c r="C1822" s="13" t="s">
        <v>2198</v>
      </c>
      <c r="D1822" s="13" t="s">
        <v>2207</v>
      </c>
      <c r="E1822" s="13" t="s">
        <v>2212</v>
      </c>
      <c r="F1822" s="13" t="s">
        <v>2218</v>
      </c>
      <c r="G1822" s="13">
        <v>73.33</v>
      </c>
      <c r="H1822" s="44">
        <v>0</v>
      </c>
      <c r="I1822" s="13">
        <v>73.33</v>
      </c>
      <c r="J1822" s="24">
        <v>45875</v>
      </c>
      <c r="K1822" s="25">
        <v>3</v>
      </c>
      <c r="L1822" s="25">
        <v>3.1</v>
      </c>
      <c r="M1822" s="13" t="b">
        <v>1</v>
      </c>
      <c r="N1822" s="13" t="s">
        <v>2229</v>
      </c>
      <c r="O1822" s="25">
        <f t="shared" si="112"/>
        <v>27</v>
      </c>
      <c r="P1822" s="13">
        <f t="shared" si="113"/>
        <v>0</v>
      </c>
      <c r="Q1822" s="13">
        <f t="shared" si="114"/>
        <v>1</v>
      </c>
      <c r="R1822" s="13" t="str">
        <f t="shared" si="115"/>
        <v>Non diskon</v>
      </c>
    </row>
    <row r="1823" spans="1:18" x14ac:dyDescent="0.25">
      <c r="A1823" s="13" t="s">
        <v>1835</v>
      </c>
      <c r="B1823" s="13" t="s">
        <v>2190</v>
      </c>
      <c r="C1823" s="13" t="s">
        <v>2203</v>
      </c>
      <c r="D1823" s="13" t="s">
        <v>2205</v>
      </c>
      <c r="E1823" s="13" t="s">
        <v>2210</v>
      </c>
      <c r="F1823" s="13" t="s">
        <v>2220</v>
      </c>
      <c r="G1823" s="13">
        <v>167.73</v>
      </c>
      <c r="H1823" s="44">
        <v>0</v>
      </c>
      <c r="I1823" s="13">
        <v>167.73</v>
      </c>
      <c r="J1823" s="24">
        <v>45875</v>
      </c>
      <c r="K1823" s="25">
        <v>4</v>
      </c>
      <c r="L1823" s="25">
        <v>4.9000000000000004</v>
      </c>
      <c r="M1823" s="13" t="b">
        <v>0</v>
      </c>
      <c r="O1823" s="25">
        <f t="shared" si="112"/>
        <v>27</v>
      </c>
      <c r="P1823" s="13">
        <f t="shared" si="113"/>
        <v>0</v>
      </c>
      <c r="Q1823" s="13" t="str">
        <f t="shared" si="114"/>
        <v/>
      </c>
      <c r="R1823" s="13" t="str">
        <f t="shared" si="115"/>
        <v>Non diskon</v>
      </c>
    </row>
    <row r="1824" spans="1:18" x14ac:dyDescent="0.25">
      <c r="A1824" s="13" t="s">
        <v>1836</v>
      </c>
      <c r="B1824" s="13" t="s">
        <v>2191</v>
      </c>
      <c r="C1824" s="13" t="s">
        <v>2200</v>
      </c>
      <c r="D1824" s="13" t="s">
        <v>2205</v>
      </c>
      <c r="E1824" s="13" t="s">
        <v>2211</v>
      </c>
      <c r="F1824" s="13" t="s">
        <v>2216</v>
      </c>
      <c r="G1824" s="13">
        <v>79.47</v>
      </c>
      <c r="H1824" s="44">
        <v>0</v>
      </c>
      <c r="I1824" s="13">
        <v>79.47</v>
      </c>
      <c r="J1824" s="24">
        <v>45875</v>
      </c>
      <c r="K1824" s="25">
        <v>31</v>
      </c>
      <c r="L1824" s="25">
        <v>3.7</v>
      </c>
      <c r="M1824" s="13" t="b">
        <v>0</v>
      </c>
      <c r="O1824" s="25">
        <f t="shared" si="112"/>
        <v>27</v>
      </c>
      <c r="P1824" s="13">
        <f t="shared" si="113"/>
        <v>0</v>
      </c>
      <c r="Q1824" s="13" t="str">
        <f t="shared" si="114"/>
        <v/>
      </c>
      <c r="R1824" s="13" t="str">
        <f t="shared" si="115"/>
        <v>Non diskon</v>
      </c>
    </row>
    <row r="1825" spans="1:18" x14ac:dyDescent="0.25">
      <c r="A1825" s="13" t="s">
        <v>1837</v>
      </c>
      <c r="B1825" s="13" t="s">
        <v>2195</v>
      </c>
      <c r="C1825" s="13" t="s">
        <v>2203</v>
      </c>
      <c r="D1825" s="13" t="s">
        <v>2207</v>
      </c>
      <c r="E1825" s="13" t="s">
        <v>2208</v>
      </c>
      <c r="F1825" s="13" t="s">
        <v>2217</v>
      </c>
      <c r="G1825" s="13">
        <v>69.12</v>
      </c>
      <c r="H1825" s="44">
        <v>49.4</v>
      </c>
      <c r="I1825" s="13">
        <v>34.97</v>
      </c>
      <c r="J1825" s="24">
        <v>45875</v>
      </c>
      <c r="K1825" s="25">
        <v>45</v>
      </c>
      <c r="L1825" s="25">
        <v>2.2999999999999998</v>
      </c>
      <c r="M1825" s="13" t="b">
        <v>0</v>
      </c>
      <c r="O1825" s="25">
        <f t="shared" si="112"/>
        <v>27</v>
      </c>
      <c r="P1825" s="13">
        <f t="shared" si="113"/>
        <v>2223</v>
      </c>
      <c r="Q1825" s="13" t="str">
        <f t="shared" si="114"/>
        <v/>
      </c>
      <c r="R1825" s="13" t="str">
        <f t="shared" si="115"/>
        <v>Diskon</v>
      </c>
    </row>
    <row r="1826" spans="1:18" x14ac:dyDescent="0.25">
      <c r="A1826" s="13" t="s">
        <v>1838</v>
      </c>
      <c r="B1826" s="13" t="s">
        <v>2194</v>
      </c>
      <c r="C1826" s="13" t="s">
        <v>2199</v>
      </c>
      <c r="D1826" s="13" t="s">
        <v>2207</v>
      </c>
      <c r="E1826" s="13" t="s">
        <v>2210</v>
      </c>
      <c r="F1826" s="13" t="s">
        <v>2223</v>
      </c>
      <c r="G1826" s="13">
        <v>56.18</v>
      </c>
      <c r="H1826" s="44">
        <v>6.7</v>
      </c>
      <c r="I1826" s="13">
        <v>52.42</v>
      </c>
      <c r="J1826" s="24">
        <v>45875</v>
      </c>
      <c r="K1826" s="25">
        <v>35</v>
      </c>
      <c r="L1826" s="25">
        <v>2.6</v>
      </c>
      <c r="M1826" s="13" t="b">
        <v>1</v>
      </c>
      <c r="N1826" s="13" t="s">
        <v>2229</v>
      </c>
      <c r="O1826" s="25">
        <f t="shared" si="112"/>
        <v>27</v>
      </c>
      <c r="P1826" s="13">
        <f t="shared" si="113"/>
        <v>234.5</v>
      </c>
      <c r="Q1826" s="13">
        <f t="shared" si="114"/>
        <v>1</v>
      </c>
      <c r="R1826" s="13" t="str">
        <f t="shared" si="115"/>
        <v>Diskon</v>
      </c>
    </row>
    <row r="1827" spans="1:18" x14ac:dyDescent="0.25">
      <c r="A1827" s="13" t="s">
        <v>1839</v>
      </c>
      <c r="B1827" s="13" t="s">
        <v>2191</v>
      </c>
      <c r="C1827" s="13" t="s">
        <v>2202</v>
      </c>
      <c r="D1827" s="13" t="s">
        <v>2205</v>
      </c>
      <c r="E1827" s="13" t="s">
        <v>2212</v>
      </c>
      <c r="F1827" s="13" t="s">
        <v>2218</v>
      </c>
      <c r="G1827" s="13">
        <v>51.28</v>
      </c>
      <c r="H1827" s="44">
        <v>48.3</v>
      </c>
      <c r="I1827" s="13">
        <v>26.51</v>
      </c>
      <c r="J1827" s="24">
        <v>45875</v>
      </c>
      <c r="K1827" s="25">
        <v>9</v>
      </c>
      <c r="L1827" s="25">
        <v>1.1000000000000001</v>
      </c>
      <c r="M1827" s="13" t="b">
        <v>1</v>
      </c>
      <c r="N1827" s="13" t="s">
        <v>2229</v>
      </c>
      <c r="O1827" s="25">
        <f t="shared" si="112"/>
        <v>27</v>
      </c>
      <c r="P1827" s="13">
        <f t="shared" si="113"/>
        <v>434.7</v>
      </c>
      <c r="Q1827" s="13">
        <f t="shared" si="114"/>
        <v>1</v>
      </c>
      <c r="R1827" s="13" t="str">
        <f t="shared" si="115"/>
        <v>Diskon</v>
      </c>
    </row>
    <row r="1828" spans="1:18" x14ac:dyDescent="0.25">
      <c r="A1828" s="13" t="s">
        <v>1840</v>
      </c>
      <c r="B1828" s="13" t="s">
        <v>2190</v>
      </c>
      <c r="C1828" s="13" t="s">
        <v>2202</v>
      </c>
      <c r="D1828" s="13" t="s">
        <v>2204</v>
      </c>
      <c r="F1828" s="13" t="s">
        <v>2220</v>
      </c>
      <c r="G1828" s="13">
        <v>111.73</v>
      </c>
      <c r="H1828" s="44">
        <v>16.8</v>
      </c>
      <c r="I1828" s="13">
        <v>92.96</v>
      </c>
      <c r="J1828" s="24">
        <v>45806</v>
      </c>
      <c r="K1828" s="25">
        <v>41</v>
      </c>
      <c r="L1828" s="25">
        <v>1.2</v>
      </c>
      <c r="M1828" s="13" t="b">
        <v>0</v>
      </c>
      <c r="O1828" s="25">
        <f t="shared" si="112"/>
        <v>96</v>
      </c>
      <c r="P1828" s="13">
        <f t="shared" si="113"/>
        <v>688.80000000000007</v>
      </c>
      <c r="Q1828" s="13" t="str">
        <f t="shared" si="114"/>
        <v/>
      </c>
      <c r="R1828" s="13" t="str">
        <f t="shared" si="115"/>
        <v>Diskon</v>
      </c>
    </row>
    <row r="1829" spans="1:18" x14ac:dyDescent="0.25">
      <c r="A1829" s="13" t="s">
        <v>1841</v>
      </c>
      <c r="B1829" s="13" t="s">
        <v>2194</v>
      </c>
      <c r="C1829" s="13" t="s">
        <v>2201</v>
      </c>
      <c r="D1829" s="13" t="s">
        <v>2206</v>
      </c>
      <c r="E1829" s="13" t="s">
        <v>2211</v>
      </c>
      <c r="F1829" s="13" t="s">
        <v>2218</v>
      </c>
      <c r="G1829" s="13">
        <v>49.08</v>
      </c>
      <c r="H1829" s="44">
        <v>19.899999999999999</v>
      </c>
      <c r="I1829" s="13">
        <v>39.31</v>
      </c>
      <c r="J1829" s="24">
        <v>45875</v>
      </c>
      <c r="K1829" s="25">
        <v>46</v>
      </c>
      <c r="L1829" s="25">
        <v>1</v>
      </c>
      <c r="M1829" s="13" t="b">
        <v>1</v>
      </c>
      <c r="N1829" s="13" t="s">
        <v>2229</v>
      </c>
      <c r="O1829" s="25">
        <f t="shared" si="112"/>
        <v>27</v>
      </c>
      <c r="P1829" s="13">
        <f t="shared" si="113"/>
        <v>915.4</v>
      </c>
      <c r="Q1829" s="13">
        <f t="shared" si="114"/>
        <v>1</v>
      </c>
      <c r="R1829" s="13" t="str">
        <f t="shared" si="115"/>
        <v>Diskon</v>
      </c>
    </row>
    <row r="1830" spans="1:18" x14ac:dyDescent="0.25">
      <c r="A1830" s="13" t="s">
        <v>1842</v>
      </c>
      <c r="B1830" s="13" t="s">
        <v>2193</v>
      </c>
      <c r="C1830" s="13" t="s">
        <v>2203</v>
      </c>
      <c r="D1830" s="13" t="s">
        <v>2205</v>
      </c>
      <c r="E1830" s="13" t="s">
        <v>2213</v>
      </c>
      <c r="F1830" s="13" t="s">
        <v>2215</v>
      </c>
      <c r="G1830" s="13">
        <v>182.47</v>
      </c>
      <c r="H1830" s="44">
        <v>27.1</v>
      </c>
      <c r="I1830" s="13">
        <v>133.02000000000001</v>
      </c>
      <c r="J1830" s="24">
        <v>45875</v>
      </c>
      <c r="K1830" s="25">
        <v>40</v>
      </c>
      <c r="L1830" s="25">
        <v>3.2576923076923077</v>
      </c>
      <c r="M1830" s="13" t="b">
        <v>0</v>
      </c>
      <c r="O1830" s="25">
        <f t="shared" si="112"/>
        <v>27</v>
      </c>
      <c r="P1830" s="13">
        <f t="shared" si="113"/>
        <v>1084</v>
      </c>
      <c r="Q1830" s="13" t="str">
        <f t="shared" si="114"/>
        <v/>
      </c>
      <c r="R1830" s="13" t="str">
        <f t="shared" si="115"/>
        <v>Diskon</v>
      </c>
    </row>
    <row r="1831" spans="1:18" x14ac:dyDescent="0.25">
      <c r="A1831" s="13" t="s">
        <v>1843</v>
      </c>
      <c r="B1831" s="13" t="s">
        <v>2190</v>
      </c>
      <c r="C1831" s="13" t="s">
        <v>2203</v>
      </c>
      <c r="D1831" s="13" t="s">
        <v>2207</v>
      </c>
      <c r="E1831" s="13" t="s">
        <v>2212</v>
      </c>
      <c r="F1831" s="13" t="s">
        <v>2223</v>
      </c>
      <c r="G1831" s="13">
        <v>241.22</v>
      </c>
      <c r="H1831" s="44">
        <v>5.9</v>
      </c>
      <c r="I1831" s="13">
        <v>226.99</v>
      </c>
      <c r="J1831" s="24">
        <v>45875</v>
      </c>
      <c r="K1831" s="25">
        <v>13</v>
      </c>
      <c r="L1831" s="25">
        <v>1.2</v>
      </c>
      <c r="M1831" s="13" t="b">
        <v>0</v>
      </c>
      <c r="O1831" s="25">
        <f t="shared" si="112"/>
        <v>27</v>
      </c>
      <c r="P1831" s="13">
        <f t="shared" si="113"/>
        <v>76.7</v>
      </c>
      <c r="Q1831" s="13" t="str">
        <f t="shared" si="114"/>
        <v/>
      </c>
      <c r="R1831" s="13" t="str">
        <f t="shared" si="115"/>
        <v>Diskon</v>
      </c>
    </row>
    <row r="1832" spans="1:18" x14ac:dyDescent="0.25">
      <c r="A1832" s="13" t="s">
        <v>1844</v>
      </c>
      <c r="B1832" s="13" t="s">
        <v>2195</v>
      </c>
      <c r="C1832" s="13" t="s">
        <v>2201</v>
      </c>
      <c r="D1832" s="13" t="s">
        <v>2204</v>
      </c>
      <c r="E1832" s="13" t="s">
        <v>2211</v>
      </c>
      <c r="F1832" s="13" t="s">
        <v>2219</v>
      </c>
      <c r="G1832" s="13">
        <v>78.3</v>
      </c>
      <c r="H1832" s="44">
        <v>0</v>
      </c>
      <c r="I1832" s="13">
        <v>78.3</v>
      </c>
      <c r="J1832" s="24">
        <v>45730</v>
      </c>
      <c r="K1832" s="25">
        <v>19</v>
      </c>
      <c r="L1832" s="25">
        <v>3</v>
      </c>
      <c r="M1832" s="13" t="b">
        <v>0</v>
      </c>
      <c r="O1832" s="25">
        <f t="shared" si="112"/>
        <v>172</v>
      </c>
      <c r="P1832" s="13">
        <f t="shared" si="113"/>
        <v>0</v>
      </c>
      <c r="Q1832" s="13" t="str">
        <f t="shared" si="114"/>
        <v/>
      </c>
      <c r="R1832" s="13" t="str">
        <f t="shared" si="115"/>
        <v>Non diskon</v>
      </c>
    </row>
    <row r="1833" spans="1:18" x14ac:dyDescent="0.25">
      <c r="A1833" s="13" t="s">
        <v>1845</v>
      </c>
      <c r="B1833" s="13" t="s">
        <v>2193</v>
      </c>
      <c r="C1833" s="13" t="s">
        <v>2198</v>
      </c>
      <c r="D1833" s="13" t="s">
        <v>2205</v>
      </c>
      <c r="E1833" s="13" t="s">
        <v>2213</v>
      </c>
      <c r="F1833" s="13" t="s">
        <v>2223</v>
      </c>
      <c r="G1833" s="13">
        <v>73.930000000000007</v>
      </c>
      <c r="H1833" s="44">
        <v>0</v>
      </c>
      <c r="I1833" s="13">
        <v>73.930000000000007</v>
      </c>
      <c r="J1833" s="24">
        <v>45875</v>
      </c>
      <c r="K1833" s="25">
        <v>0</v>
      </c>
      <c r="L1833" s="25">
        <v>3.1936170212765949</v>
      </c>
      <c r="M1833" s="13" t="b">
        <v>0</v>
      </c>
      <c r="O1833" s="25">
        <f t="shared" si="112"/>
        <v>27</v>
      </c>
      <c r="P1833" s="13">
        <f t="shared" si="113"/>
        <v>0</v>
      </c>
      <c r="Q1833" s="13" t="str">
        <f t="shared" si="114"/>
        <v/>
      </c>
      <c r="R1833" s="13" t="str">
        <f t="shared" si="115"/>
        <v>Non diskon</v>
      </c>
    </row>
    <row r="1834" spans="1:18" x14ac:dyDescent="0.25">
      <c r="A1834" s="13" t="s">
        <v>1846</v>
      </c>
      <c r="B1834" s="13" t="s">
        <v>2194</v>
      </c>
      <c r="C1834" s="13" t="s">
        <v>2200</v>
      </c>
      <c r="D1834" s="13" t="s">
        <v>2207</v>
      </c>
      <c r="E1834" s="13" t="s">
        <v>2211</v>
      </c>
      <c r="F1834" s="13" t="s">
        <v>2220</v>
      </c>
      <c r="G1834" s="13">
        <v>97.5</v>
      </c>
      <c r="H1834" s="44">
        <v>0</v>
      </c>
      <c r="I1834" s="13">
        <v>97.5</v>
      </c>
      <c r="J1834" s="24">
        <v>45875</v>
      </c>
      <c r="K1834" s="25">
        <v>43</v>
      </c>
      <c r="L1834" s="25">
        <v>1.6</v>
      </c>
      <c r="M1834" s="13" t="b">
        <v>0</v>
      </c>
      <c r="O1834" s="25">
        <f t="shared" si="112"/>
        <v>27</v>
      </c>
      <c r="P1834" s="13">
        <f t="shared" si="113"/>
        <v>0</v>
      </c>
      <c r="Q1834" s="13" t="str">
        <f t="shared" si="114"/>
        <v/>
      </c>
      <c r="R1834" s="13" t="str">
        <f t="shared" si="115"/>
        <v>Non diskon</v>
      </c>
    </row>
    <row r="1835" spans="1:18" x14ac:dyDescent="0.25">
      <c r="A1835" s="13" t="s">
        <v>1847</v>
      </c>
      <c r="B1835" s="13" t="s">
        <v>2191</v>
      </c>
      <c r="C1835" s="13" t="s">
        <v>2201</v>
      </c>
      <c r="D1835" s="13" t="s">
        <v>2207</v>
      </c>
      <c r="E1835" s="13" t="s">
        <v>2212</v>
      </c>
      <c r="F1835" s="13" t="s">
        <v>2220</v>
      </c>
      <c r="G1835" s="13">
        <v>38.9</v>
      </c>
      <c r="H1835" s="44">
        <v>0</v>
      </c>
      <c r="I1835" s="13">
        <v>38.9</v>
      </c>
      <c r="J1835" s="24">
        <v>45875</v>
      </c>
      <c r="K1835" s="25">
        <v>1</v>
      </c>
      <c r="L1835" s="25">
        <v>5</v>
      </c>
      <c r="M1835" s="13" t="b">
        <v>0</v>
      </c>
      <c r="O1835" s="25">
        <f t="shared" si="112"/>
        <v>27</v>
      </c>
      <c r="P1835" s="13">
        <f t="shared" si="113"/>
        <v>0</v>
      </c>
      <c r="Q1835" s="13" t="str">
        <f t="shared" si="114"/>
        <v/>
      </c>
      <c r="R1835" s="13" t="str">
        <f t="shared" si="115"/>
        <v>Non diskon</v>
      </c>
    </row>
    <row r="1836" spans="1:18" x14ac:dyDescent="0.25">
      <c r="A1836" s="13" t="s">
        <v>1848</v>
      </c>
      <c r="B1836" s="13" t="s">
        <v>2193</v>
      </c>
      <c r="C1836" s="13" t="s">
        <v>2198</v>
      </c>
      <c r="D1836" s="13" t="s">
        <v>2207</v>
      </c>
      <c r="E1836" s="13" t="s">
        <v>2210</v>
      </c>
      <c r="F1836" s="13" t="s">
        <v>2219</v>
      </c>
      <c r="G1836" s="13">
        <v>95.52</v>
      </c>
      <c r="H1836" s="44">
        <v>0</v>
      </c>
      <c r="I1836" s="13">
        <v>95.52</v>
      </c>
      <c r="J1836" s="24">
        <v>45875</v>
      </c>
      <c r="K1836" s="25">
        <v>47</v>
      </c>
      <c r="L1836" s="25">
        <v>3.9</v>
      </c>
      <c r="M1836" s="13" t="b">
        <v>0</v>
      </c>
      <c r="O1836" s="25">
        <f t="shared" si="112"/>
        <v>27</v>
      </c>
      <c r="P1836" s="13">
        <f t="shared" si="113"/>
        <v>0</v>
      </c>
      <c r="Q1836" s="13" t="str">
        <f t="shared" si="114"/>
        <v/>
      </c>
      <c r="R1836" s="13" t="str">
        <f t="shared" si="115"/>
        <v>Non diskon</v>
      </c>
    </row>
    <row r="1837" spans="1:18" x14ac:dyDescent="0.25">
      <c r="A1837" s="13" t="s">
        <v>1849</v>
      </c>
      <c r="B1837" s="13" t="s">
        <v>2190</v>
      </c>
      <c r="C1837" s="13" t="s">
        <v>2196</v>
      </c>
      <c r="D1837" s="13" t="s">
        <v>2206</v>
      </c>
      <c r="E1837" s="13" t="s">
        <v>2213</v>
      </c>
      <c r="F1837" s="13" t="s">
        <v>2214</v>
      </c>
      <c r="G1837" s="13">
        <v>158.63999999999999</v>
      </c>
      <c r="H1837" s="44">
        <v>50.2</v>
      </c>
      <c r="I1837" s="13">
        <v>79</v>
      </c>
      <c r="J1837" s="24">
        <v>45875</v>
      </c>
      <c r="K1837" s="25">
        <v>7</v>
      </c>
      <c r="L1837" s="25">
        <v>3</v>
      </c>
      <c r="M1837" s="13" t="b">
        <v>1</v>
      </c>
      <c r="N1837" s="13" t="s">
        <v>2229</v>
      </c>
      <c r="O1837" s="25">
        <f t="shared" si="112"/>
        <v>27</v>
      </c>
      <c r="P1837" s="13">
        <f t="shared" si="113"/>
        <v>351.40000000000003</v>
      </c>
      <c r="Q1837" s="13">
        <f t="shared" si="114"/>
        <v>1</v>
      </c>
      <c r="R1837" s="13" t="str">
        <f t="shared" si="115"/>
        <v>Diskon</v>
      </c>
    </row>
    <row r="1838" spans="1:18" x14ac:dyDescent="0.25">
      <c r="A1838" s="13" t="s">
        <v>1850</v>
      </c>
      <c r="B1838" s="13" t="s">
        <v>2191</v>
      </c>
      <c r="C1838" s="13" t="s">
        <v>2199</v>
      </c>
      <c r="D1838" s="13" t="s">
        <v>2206</v>
      </c>
      <c r="E1838" s="13" t="s">
        <v>2208</v>
      </c>
      <c r="F1838" s="13" t="s">
        <v>2222</v>
      </c>
      <c r="G1838" s="13">
        <v>26.11</v>
      </c>
      <c r="H1838" s="44">
        <v>0</v>
      </c>
      <c r="I1838" s="13">
        <v>26.11</v>
      </c>
      <c r="J1838" s="24">
        <v>45875</v>
      </c>
      <c r="K1838" s="25">
        <v>41</v>
      </c>
      <c r="L1838" s="25">
        <v>4.3</v>
      </c>
      <c r="M1838" s="13" t="b">
        <v>0</v>
      </c>
      <c r="O1838" s="25">
        <f t="shared" si="112"/>
        <v>27</v>
      </c>
      <c r="P1838" s="13">
        <f t="shared" si="113"/>
        <v>0</v>
      </c>
      <c r="Q1838" s="13" t="str">
        <f t="shared" si="114"/>
        <v/>
      </c>
      <c r="R1838" s="13" t="str">
        <f t="shared" si="115"/>
        <v>Non diskon</v>
      </c>
    </row>
    <row r="1839" spans="1:18" x14ac:dyDescent="0.25">
      <c r="A1839" s="13" t="s">
        <v>1851</v>
      </c>
      <c r="B1839" s="13" t="s">
        <v>2193</v>
      </c>
      <c r="C1839" s="13" t="s">
        <v>2203</v>
      </c>
      <c r="D1839" s="13" t="s">
        <v>2204</v>
      </c>
      <c r="F1839" s="13" t="s">
        <v>2217</v>
      </c>
      <c r="G1839" s="13">
        <v>107.09</v>
      </c>
      <c r="H1839" s="44">
        <v>43.1</v>
      </c>
      <c r="I1839" s="13">
        <v>60.93</v>
      </c>
      <c r="J1839" s="24">
        <v>45702</v>
      </c>
      <c r="K1839" s="25">
        <v>16</v>
      </c>
      <c r="L1839" s="25">
        <v>4.7</v>
      </c>
      <c r="M1839" s="13" t="b">
        <v>1</v>
      </c>
      <c r="N1839" s="13" t="s">
        <v>2229</v>
      </c>
      <c r="O1839" s="25">
        <f t="shared" si="112"/>
        <v>200</v>
      </c>
      <c r="P1839" s="13">
        <f t="shared" si="113"/>
        <v>689.6</v>
      </c>
      <c r="Q1839" s="13">
        <f t="shared" si="114"/>
        <v>1</v>
      </c>
      <c r="R1839" s="13" t="str">
        <f t="shared" si="115"/>
        <v>Diskon</v>
      </c>
    </row>
    <row r="1840" spans="1:18" x14ac:dyDescent="0.25">
      <c r="A1840" s="13" t="s">
        <v>1852</v>
      </c>
      <c r="B1840" s="13" t="s">
        <v>2192</v>
      </c>
      <c r="C1840" s="13" t="s">
        <v>2202</v>
      </c>
      <c r="D1840" s="13" t="s">
        <v>2207</v>
      </c>
      <c r="F1840" s="13" t="s">
        <v>2216</v>
      </c>
      <c r="G1840" s="13">
        <v>71.42</v>
      </c>
      <c r="H1840" s="44">
        <v>38</v>
      </c>
      <c r="I1840" s="13">
        <v>44.28</v>
      </c>
      <c r="J1840" s="24">
        <v>45875</v>
      </c>
      <c r="K1840" s="25">
        <v>49</v>
      </c>
      <c r="L1840" s="25">
        <v>2.8</v>
      </c>
      <c r="M1840" s="13" t="b">
        <v>0</v>
      </c>
      <c r="O1840" s="25">
        <f t="shared" si="112"/>
        <v>27</v>
      </c>
      <c r="P1840" s="13">
        <f t="shared" si="113"/>
        <v>1862</v>
      </c>
      <c r="Q1840" s="13" t="str">
        <f t="shared" si="114"/>
        <v/>
      </c>
      <c r="R1840" s="13" t="str">
        <f t="shared" si="115"/>
        <v>Diskon</v>
      </c>
    </row>
    <row r="1841" spans="1:18" x14ac:dyDescent="0.25">
      <c r="A1841" s="13" t="s">
        <v>1853</v>
      </c>
      <c r="B1841" s="13" t="s">
        <v>2193</v>
      </c>
      <c r="C1841" s="13" t="s">
        <v>2196</v>
      </c>
      <c r="D1841" s="13" t="s">
        <v>2207</v>
      </c>
      <c r="E1841" s="13" t="s">
        <v>2208</v>
      </c>
      <c r="F1841" s="13" t="s">
        <v>2214</v>
      </c>
      <c r="G1841" s="13">
        <v>124.56</v>
      </c>
      <c r="H1841" s="44">
        <v>0</v>
      </c>
      <c r="I1841" s="13">
        <v>124.56</v>
      </c>
      <c r="J1841" s="24">
        <v>45875</v>
      </c>
      <c r="K1841" s="25">
        <v>18</v>
      </c>
      <c r="L1841" s="25">
        <v>3</v>
      </c>
      <c r="M1841" s="13" t="b">
        <v>0</v>
      </c>
      <c r="O1841" s="25">
        <f t="shared" si="112"/>
        <v>27</v>
      </c>
      <c r="P1841" s="13">
        <f t="shared" si="113"/>
        <v>0</v>
      </c>
      <c r="Q1841" s="13" t="str">
        <f t="shared" si="114"/>
        <v/>
      </c>
      <c r="R1841" s="13" t="str">
        <f t="shared" si="115"/>
        <v>Non diskon</v>
      </c>
    </row>
    <row r="1842" spans="1:18" x14ac:dyDescent="0.25">
      <c r="A1842" s="13" t="s">
        <v>1854</v>
      </c>
      <c r="B1842" s="13" t="s">
        <v>2194</v>
      </c>
      <c r="C1842" s="13" t="s">
        <v>2197</v>
      </c>
      <c r="D1842" s="13" t="s">
        <v>2207</v>
      </c>
      <c r="E1842" s="13" t="s">
        <v>2209</v>
      </c>
      <c r="F1842" s="13" t="s">
        <v>2223</v>
      </c>
      <c r="G1842" s="13">
        <v>30.91</v>
      </c>
      <c r="H1842" s="44">
        <v>0</v>
      </c>
      <c r="I1842" s="13">
        <v>30.91</v>
      </c>
      <c r="J1842" s="24">
        <v>45875</v>
      </c>
      <c r="K1842" s="25">
        <v>45</v>
      </c>
      <c r="L1842" s="25">
        <v>1.8</v>
      </c>
      <c r="M1842" s="13" t="b">
        <v>0</v>
      </c>
      <c r="O1842" s="25">
        <f t="shared" si="112"/>
        <v>27</v>
      </c>
      <c r="P1842" s="13">
        <f t="shared" si="113"/>
        <v>0</v>
      </c>
      <c r="Q1842" s="13" t="str">
        <f t="shared" si="114"/>
        <v/>
      </c>
      <c r="R1842" s="13" t="str">
        <f t="shared" si="115"/>
        <v>Non diskon</v>
      </c>
    </row>
    <row r="1843" spans="1:18" x14ac:dyDescent="0.25">
      <c r="A1843" s="13" t="s">
        <v>1855</v>
      </c>
      <c r="B1843" s="13" t="s">
        <v>2191</v>
      </c>
      <c r="C1843" s="13" t="s">
        <v>2196</v>
      </c>
      <c r="D1843" s="13" t="s">
        <v>2205</v>
      </c>
      <c r="E1843" s="13" t="s">
        <v>2212</v>
      </c>
      <c r="F1843" s="13" t="s">
        <v>2221</v>
      </c>
      <c r="G1843" s="13">
        <v>53.37</v>
      </c>
      <c r="H1843" s="44">
        <v>0</v>
      </c>
      <c r="I1843" s="13">
        <v>53.37</v>
      </c>
      <c r="J1843" s="24">
        <v>45875</v>
      </c>
      <c r="K1843" s="25">
        <v>15</v>
      </c>
      <c r="L1843" s="25">
        <v>1.1000000000000001</v>
      </c>
      <c r="M1843" s="13" t="b">
        <v>0</v>
      </c>
      <c r="O1843" s="25">
        <f t="shared" si="112"/>
        <v>27</v>
      </c>
      <c r="P1843" s="13">
        <f t="shared" si="113"/>
        <v>0</v>
      </c>
      <c r="Q1843" s="13" t="str">
        <f t="shared" si="114"/>
        <v/>
      </c>
      <c r="R1843" s="13" t="str">
        <f t="shared" si="115"/>
        <v>Non diskon</v>
      </c>
    </row>
    <row r="1844" spans="1:18" x14ac:dyDescent="0.25">
      <c r="A1844" s="13" t="s">
        <v>1856</v>
      </c>
      <c r="B1844" s="13" t="s">
        <v>2193</v>
      </c>
      <c r="C1844" s="13" t="s">
        <v>2202</v>
      </c>
      <c r="D1844" s="13" t="s">
        <v>2207</v>
      </c>
      <c r="E1844" s="13" t="s">
        <v>2208</v>
      </c>
      <c r="F1844" s="13" t="s">
        <v>2220</v>
      </c>
      <c r="G1844" s="13">
        <v>159.16</v>
      </c>
      <c r="H1844" s="44">
        <v>0</v>
      </c>
      <c r="I1844" s="13">
        <v>159.16</v>
      </c>
      <c r="J1844" s="24">
        <v>45875</v>
      </c>
      <c r="K1844" s="25">
        <v>40</v>
      </c>
      <c r="L1844" s="25">
        <v>2.9083333333333328</v>
      </c>
      <c r="M1844" s="13" t="b">
        <v>1</v>
      </c>
      <c r="N1844" s="13" t="s">
        <v>2229</v>
      </c>
      <c r="O1844" s="25">
        <f t="shared" si="112"/>
        <v>27</v>
      </c>
      <c r="P1844" s="13">
        <f t="shared" si="113"/>
        <v>0</v>
      </c>
      <c r="Q1844" s="13">
        <f t="shared" si="114"/>
        <v>1</v>
      </c>
      <c r="R1844" s="13" t="str">
        <f t="shared" si="115"/>
        <v>Non diskon</v>
      </c>
    </row>
    <row r="1845" spans="1:18" x14ac:dyDescent="0.25">
      <c r="A1845" s="13" t="s">
        <v>1857</v>
      </c>
      <c r="B1845" s="13" t="s">
        <v>2195</v>
      </c>
      <c r="C1845" s="13" t="s">
        <v>2199</v>
      </c>
      <c r="D1845" s="13" t="s">
        <v>2206</v>
      </c>
      <c r="E1845" s="13" t="s">
        <v>2210</v>
      </c>
      <c r="F1845" s="13" t="s">
        <v>2215</v>
      </c>
      <c r="G1845" s="13">
        <v>169.64</v>
      </c>
      <c r="H1845" s="44">
        <v>0</v>
      </c>
      <c r="I1845" s="13">
        <v>169.64</v>
      </c>
      <c r="J1845" s="24">
        <v>45875</v>
      </c>
      <c r="K1845" s="25">
        <v>5</v>
      </c>
      <c r="L1845" s="25">
        <v>1.6</v>
      </c>
      <c r="M1845" s="13" t="b">
        <v>0</v>
      </c>
      <c r="O1845" s="25">
        <f t="shared" si="112"/>
        <v>27</v>
      </c>
      <c r="P1845" s="13">
        <f t="shared" si="113"/>
        <v>0</v>
      </c>
      <c r="Q1845" s="13" t="str">
        <f t="shared" si="114"/>
        <v/>
      </c>
      <c r="R1845" s="13" t="str">
        <f t="shared" si="115"/>
        <v>Non diskon</v>
      </c>
    </row>
    <row r="1846" spans="1:18" x14ac:dyDescent="0.25">
      <c r="A1846" s="13" t="s">
        <v>1858</v>
      </c>
      <c r="B1846" s="13" t="s">
        <v>2192</v>
      </c>
      <c r="C1846" s="13" t="s">
        <v>2202</v>
      </c>
      <c r="D1846" s="13" t="s">
        <v>2207</v>
      </c>
      <c r="F1846" s="13" t="s">
        <v>2219</v>
      </c>
      <c r="G1846" s="13">
        <v>59.94</v>
      </c>
      <c r="H1846" s="44">
        <v>0</v>
      </c>
      <c r="I1846" s="13">
        <v>59.94</v>
      </c>
      <c r="J1846" s="24">
        <v>45875</v>
      </c>
      <c r="K1846" s="25">
        <v>7</v>
      </c>
      <c r="L1846" s="25">
        <v>4</v>
      </c>
      <c r="M1846" s="13" t="b">
        <v>0</v>
      </c>
      <c r="O1846" s="25">
        <f t="shared" si="112"/>
        <v>27</v>
      </c>
      <c r="P1846" s="13">
        <f t="shared" si="113"/>
        <v>0</v>
      </c>
      <c r="Q1846" s="13" t="str">
        <f t="shared" si="114"/>
        <v/>
      </c>
      <c r="R1846" s="13" t="str">
        <f t="shared" si="115"/>
        <v>Non diskon</v>
      </c>
    </row>
    <row r="1847" spans="1:18" x14ac:dyDescent="0.25">
      <c r="A1847" s="13" t="s">
        <v>1859</v>
      </c>
      <c r="B1847" s="13" t="s">
        <v>2195</v>
      </c>
      <c r="C1847" s="13" t="s">
        <v>2202</v>
      </c>
      <c r="D1847" s="13" t="s">
        <v>2206</v>
      </c>
      <c r="E1847" s="13" t="s">
        <v>2208</v>
      </c>
      <c r="F1847" s="13" t="s">
        <v>2223</v>
      </c>
      <c r="G1847" s="13">
        <v>92.59</v>
      </c>
      <c r="H1847" s="44">
        <v>0</v>
      </c>
      <c r="I1847" s="13">
        <v>92.59</v>
      </c>
      <c r="J1847" s="24">
        <v>45875</v>
      </c>
      <c r="K1847" s="25">
        <v>29</v>
      </c>
      <c r="L1847" s="25">
        <v>3.5</v>
      </c>
      <c r="M1847" s="13" t="b">
        <v>1</v>
      </c>
      <c r="N1847" s="13" t="s">
        <v>2226</v>
      </c>
      <c r="O1847" s="25">
        <f t="shared" si="112"/>
        <v>27</v>
      </c>
      <c r="P1847" s="13">
        <f t="shared" si="113"/>
        <v>0</v>
      </c>
      <c r="Q1847" s="13">
        <f t="shared" si="114"/>
        <v>1</v>
      </c>
      <c r="R1847" s="13" t="str">
        <f t="shared" si="115"/>
        <v>Non diskon</v>
      </c>
    </row>
    <row r="1848" spans="1:18" x14ac:dyDescent="0.25">
      <c r="A1848" s="13" t="s">
        <v>1860</v>
      </c>
      <c r="B1848" s="13" t="s">
        <v>2194</v>
      </c>
      <c r="C1848" s="13" t="s">
        <v>2200</v>
      </c>
      <c r="D1848" s="13" t="s">
        <v>2204</v>
      </c>
      <c r="E1848" s="13" t="s">
        <v>2210</v>
      </c>
      <c r="F1848" s="13" t="s">
        <v>2217</v>
      </c>
      <c r="G1848" s="13">
        <v>64.069999999999993</v>
      </c>
      <c r="H1848" s="44">
        <v>0</v>
      </c>
      <c r="I1848" s="13">
        <v>64.069999999999993</v>
      </c>
      <c r="J1848" s="24">
        <v>45734</v>
      </c>
      <c r="K1848" s="25">
        <v>10</v>
      </c>
      <c r="L1848" s="25">
        <v>3.0659090909090896</v>
      </c>
      <c r="M1848" s="13" t="b">
        <v>0</v>
      </c>
      <c r="O1848" s="25">
        <f t="shared" si="112"/>
        <v>168</v>
      </c>
      <c r="P1848" s="13">
        <f t="shared" si="113"/>
        <v>0</v>
      </c>
      <c r="Q1848" s="13" t="str">
        <f t="shared" si="114"/>
        <v/>
      </c>
      <c r="R1848" s="13" t="str">
        <f t="shared" si="115"/>
        <v>Non diskon</v>
      </c>
    </row>
    <row r="1849" spans="1:18" x14ac:dyDescent="0.25">
      <c r="A1849" s="13" t="s">
        <v>1861</v>
      </c>
      <c r="B1849" s="13" t="s">
        <v>2195</v>
      </c>
      <c r="C1849" s="13" t="s">
        <v>2203</v>
      </c>
      <c r="D1849" s="13" t="s">
        <v>2206</v>
      </c>
      <c r="E1849" s="13" t="s">
        <v>2212</v>
      </c>
      <c r="F1849" s="13" t="s">
        <v>2219</v>
      </c>
      <c r="G1849" s="13">
        <v>127.87</v>
      </c>
      <c r="H1849" s="44">
        <v>54.6</v>
      </c>
      <c r="I1849" s="13">
        <v>58.05</v>
      </c>
      <c r="J1849" s="24">
        <v>45875</v>
      </c>
      <c r="K1849" s="25">
        <v>14</v>
      </c>
      <c r="L1849" s="25">
        <v>4.4000000000000004</v>
      </c>
      <c r="M1849" s="13" t="b">
        <v>0</v>
      </c>
      <c r="O1849" s="25">
        <f t="shared" si="112"/>
        <v>27</v>
      </c>
      <c r="P1849" s="13">
        <f t="shared" si="113"/>
        <v>764.4</v>
      </c>
      <c r="Q1849" s="13" t="str">
        <f t="shared" si="114"/>
        <v/>
      </c>
      <c r="R1849" s="13" t="str">
        <f t="shared" si="115"/>
        <v>Diskon</v>
      </c>
    </row>
    <row r="1850" spans="1:18" x14ac:dyDescent="0.25">
      <c r="A1850" s="13" t="s">
        <v>1862</v>
      </c>
      <c r="B1850" s="13" t="s">
        <v>2194</v>
      </c>
      <c r="C1850" s="13" t="s">
        <v>2198</v>
      </c>
      <c r="D1850" s="13" t="s">
        <v>2206</v>
      </c>
      <c r="E1850" s="13" t="s">
        <v>2213</v>
      </c>
      <c r="F1850" s="13" t="s">
        <v>2219</v>
      </c>
      <c r="G1850" s="13">
        <v>32.46</v>
      </c>
      <c r="H1850" s="44">
        <v>12.9</v>
      </c>
      <c r="I1850" s="13">
        <v>28.27</v>
      </c>
      <c r="J1850" s="24">
        <v>45875</v>
      </c>
      <c r="K1850" s="25">
        <v>9</v>
      </c>
      <c r="L1850" s="25">
        <v>3.0384615384615379</v>
      </c>
      <c r="M1850" s="13" t="b">
        <v>0</v>
      </c>
      <c r="O1850" s="25">
        <f t="shared" si="112"/>
        <v>27</v>
      </c>
      <c r="P1850" s="13">
        <f t="shared" si="113"/>
        <v>116.10000000000001</v>
      </c>
      <c r="Q1850" s="13" t="str">
        <f t="shared" si="114"/>
        <v/>
      </c>
      <c r="R1850" s="13" t="str">
        <f t="shared" si="115"/>
        <v>Diskon</v>
      </c>
    </row>
    <row r="1851" spans="1:18" x14ac:dyDescent="0.25">
      <c r="A1851" s="13" t="s">
        <v>1863</v>
      </c>
      <c r="B1851" s="13" t="s">
        <v>2194</v>
      </c>
      <c r="C1851" s="13" t="s">
        <v>2200</v>
      </c>
      <c r="D1851" s="13" t="s">
        <v>2207</v>
      </c>
      <c r="E1851" s="13" t="s">
        <v>2211</v>
      </c>
      <c r="F1851" s="13" t="s">
        <v>2215</v>
      </c>
      <c r="G1851" s="13">
        <v>40.31</v>
      </c>
      <c r="H1851" s="44">
        <v>43</v>
      </c>
      <c r="I1851" s="13">
        <v>22.98</v>
      </c>
      <c r="J1851" s="24">
        <v>45875</v>
      </c>
      <c r="K1851" s="25">
        <v>30</v>
      </c>
      <c r="L1851" s="25">
        <v>3.5</v>
      </c>
      <c r="M1851" s="13" t="b">
        <v>1</v>
      </c>
      <c r="N1851" s="13" t="s">
        <v>2225</v>
      </c>
      <c r="O1851" s="25">
        <f t="shared" si="112"/>
        <v>27</v>
      </c>
      <c r="P1851" s="13">
        <f t="shared" si="113"/>
        <v>1290</v>
      </c>
      <c r="Q1851" s="13">
        <f t="shared" si="114"/>
        <v>1</v>
      </c>
      <c r="R1851" s="13" t="str">
        <f t="shared" si="115"/>
        <v>Diskon</v>
      </c>
    </row>
    <row r="1852" spans="1:18" x14ac:dyDescent="0.25">
      <c r="A1852" s="13" t="s">
        <v>1864</v>
      </c>
      <c r="B1852" s="13" t="s">
        <v>2192</v>
      </c>
      <c r="C1852" s="13" t="s">
        <v>2201</v>
      </c>
      <c r="D1852" s="13" t="s">
        <v>2205</v>
      </c>
      <c r="F1852" s="13" t="s">
        <v>2220</v>
      </c>
      <c r="G1852" s="13">
        <v>51.3</v>
      </c>
      <c r="H1852" s="44">
        <v>6.1</v>
      </c>
      <c r="I1852" s="13">
        <v>48.17</v>
      </c>
      <c r="J1852" s="24">
        <v>45875</v>
      </c>
      <c r="K1852" s="25">
        <v>31</v>
      </c>
      <c r="L1852" s="25">
        <v>3.2731707317073173</v>
      </c>
      <c r="M1852" s="13" t="b">
        <v>0</v>
      </c>
      <c r="O1852" s="25">
        <f t="shared" si="112"/>
        <v>27</v>
      </c>
      <c r="P1852" s="13">
        <f t="shared" si="113"/>
        <v>189.1</v>
      </c>
      <c r="Q1852" s="13" t="str">
        <f t="shared" si="114"/>
        <v/>
      </c>
      <c r="R1852" s="13" t="str">
        <f t="shared" si="115"/>
        <v>Diskon</v>
      </c>
    </row>
    <row r="1853" spans="1:18" x14ac:dyDescent="0.25">
      <c r="A1853" s="13" t="s">
        <v>1865</v>
      </c>
      <c r="B1853" s="13" t="s">
        <v>2194</v>
      </c>
      <c r="C1853" s="13" t="s">
        <v>2202</v>
      </c>
      <c r="D1853" s="13" t="s">
        <v>2205</v>
      </c>
      <c r="E1853" s="13" t="s">
        <v>2212</v>
      </c>
      <c r="F1853" s="13" t="s">
        <v>2215</v>
      </c>
      <c r="G1853" s="13">
        <v>28.62</v>
      </c>
      <c r="H1853" s="44">
        <v>0</v>
      </c>
      <c r="I1853" s="13">
        <v>28.62</v>
      </c>
      <c r="J1853" s="24">
        <v>45875</v>
      </c>
      <c r="K1853" s="25">
        <v>41</v>
      </c>
      <c r="L1853" s="25">
        <v>4</v>
      </c>
      <c r="M1853" s="13" t="b">
        <v>0</v>
      </c>
      <c r="O1853" s="25">
        <f t="shared" si="112"/>
        <v>27</v>
      </c>
      <c r="P1853" s="13">
        <f t="shared" si="113"/>
        <v>0</v>
      </c>
      <c r="Q1853" s="13" t="str">
        <f t="shared" si="114"/>
        <v/>
      </c>
      <c r="R1853" s="13" t="str">
        <f t="shared" si="115"/>
        <v>Non diskon</v>
      </c>
    </row>
    <row r="1854" spans="1:18" x14ac:dyDescent="0.25">
      <c r="A1854" s="13" t="s">
        <v>1866</v>
      </c>
      <c r="B1854" s="13" t="s">
        <v>2192</v>
      </c>
      <c r="C1854" s="13" t="s">
        <v>2202</v>
      </c>
      <c r="D1854" s="13" t="s">
        <v>2206</v>
      </c>
      <c r="F1854" s="13" t="s">
        <v>2220</v>
      </c>
      <c r="G1854" s="13">
        <v>59.03</v>
      </c>
      <c r="H1854" s="44">
        <v>6.4</v>
      </c>
      <c r="I1854" s="13">
        <v>55.25</v>
      </c>
      <c r="J1854" s="24">
        <v>45875</v>
      </c>
      <c r="K1854" s="25">
        <v>45</v>
      </c>
      <c r="L1854" s="25">
        <v>3.2720930232558145</v>
      </c>
      <c r="M1854" s="13" t="b">
        <v>0</v>
      </c>
      <c r="O1854" s="25">
        <f t="shared" si="112"/>
        <v>27</v>
      </c>
      <c r="P1854" s="13">
        <f t="shared" si="113"/>
        <v>288</v>
      </c>
      <c r="Q1854" s="13" t="str">
        <f t="shared" si="114"/>
        <v/>
      </c>
      <c r="R1854" s="13" t="str">
        <f t="shared" si="115"/>
        <v>Diskon</v>
      </c>
    </row>
    <row r="1855" spans="1:18" x14ac:dyDescent="0.25">
      <c r="A1855" s="13" t="s">
        <v>1867</v>
      </c>
      <c r="B1855" s="13" t="s">
        <v>2191</v>
      </c>
      <c r="C1855" s="13" t="s">
        <v>2201</v>
      </c>
      <c r="D1855" s="13" t="s">
        <v>2207</v>
      </c>
      <c r="E1855" s="13" t="s">
        <v>2210</v>
      </c>
      <c r="F1855" s="13" t="s">
        <v>2224</v>
      </c>
      <c r="G1855" s="13">
        <v>99.65</v>
      </c>
      <c r="H1855" s="44">
        <v>7.4</v>
      </c>
      <c r="I1855" s="13">
        <v>92.28</v>
      </c>
      <c r="J1855" s="24">
        <v>45875</v>
      </c>
      <c r="K1855" s="25">
        <v>31</v>
      </c>
      <c r="L1855" s="25">
        <v>3.8</v>
      </c>
      <c r="M1855" s="13" t="b">
        <v>0</v>
      </c>
      <c r="O1855" s="25">
        <f t="shared" si="112"/>
        <v>27</v>
      </c>
      <c r="P1855" s="13">
        <f t="shared" si="113"/>
        <v>229.4</v>
      </c>
      <c r="Q1855" s="13" t="str">
        <f t="shared" si="114"/>
        <v/>
      </c>
      <c r="R1855" s="13" t="str">
        <f t="shared" si="115"/>
        <v>Diskon</v>
      </c>
    </row>
    <row r="1856" spans="1:18" x14ac:dyDescent="0.25">
      <c r="A1856" s="13" t="s">
        <v>1868</v>
      </c>
      <c r="B1856" s="13" t="s">
        <v>2195</v>
      </c>
      <c r="C1856" s="13" t="s">
        <v>2203</v>
      </c>
      <c r="D1856" s="13" t="s">
        <v>2205</v>
      </c>
      <c r="F1856" s="13" t="s">
        <v>2219</v>
      </c>
      <c r="G1856" s="13">
        <v>128.55000000000001</v>
      </c>
      <c r="H1856" s="44">
        <v>0</v>
      </c>
      <c r="I1856" s="13">
        <v>128.55000000000001</v>
      </c>
      <c r="J1856" s="24">
        <v>45875</v>
      </c>
      <c r="K1856" s="25">
        <v>1</v>
      </c>
      <c r="L1856" s="25">
        <v>3.7</v>
      </c>
      <c r="M1856" s="13" t="b">
        <v>0</v>
      </c>
      <c r="O1856" s="25">
        <f t="shared" si="112"/>
        <v>27</v>
      </c>
      <c r="P1856" s="13">
        <f t="shared" si="113"/>
        <v>0</v>
      </c>
      <c r="Q1856" s="13" t="str">
        <f t="shared" si="114"/>
        <v/>
      </c>
      <c r="R1856" s="13" t="str">
        <f t="shared" si="115"/>
        <v>Non diskon</v>
      </c>
    </row>
    <row r="1857" spans="1:18" x14ac:dyDescent="0.25">
      <c r="A1857" s="13" t="s">
        <v>1869</v>
      </c>
      <c r="B1857" s="13" t="s">
        <v>2194</v>
      </c>
      <c r="C1857" s="13" t="s">
        <v>2199</v>
      </c>
      <c r="D1857" s="13" t="s">
        <v>2204</v>
      </c>
      <c r="E1857" s="13" t="s">
        <v>2209</v>
      </c>
      <c r="F1857" s="13" t="s">
        <v>2223</v>
      </c>
      <c r="G1857" s="13">
        <v>78.09</v>
      </c>
      <c r="H1857" s="44">
        <v>56.3</v>
      </c>
      <c r="I1857" s="13">
        <v>34.130000000000003</v>
      </c>
      <c r="J1857" s="24">
        <v>45770</v>
      </c>
      <c r="K1857" s="25">
        <v>20</v>
      </c>
      <c r="L1857" s="25">
        <v>1.3</v>
      </c>
      <c r="M1857" s="13" t="b">
        <v>0</v>
      </c>
      <c r="O1857" s="25">
        <f t="shared" si="112"/>
        <v>132</v>
      </c>
      <c r="P1857" s="13">
        <f t="shared" si="113"/>
        <v>1126</v>
      </c>
      <c r="Q1857" s="13" t="str">
        <f t="shared" si="114"/>
        <v/>
      </c>
      <c r="R1857" s="13" t="str">
        <f t="shared" si="115"/>
        <v>Diskon</v>
      </c>
    </row>
    <row r="1858" spans="1:18" x14ac:dyDescent="0.25">
      <c r="A1858" s="13" t="s">
        <v>1870</v>
      </c>
      <c r="B1858" s="13" t="s">
        <v>2194</v>
      </c>
      <c r="C1858" s="13" t="s">
        <v>2199</v>
      </c>
      <c r="D1858" s="13" t="s">
        <v>2207</v>
      </c>
      <c r="E1858" s="13" t="s">
        <v>2211</v>
      </c>
      <c r="F1858" s="13" t="s">
        <v>2222</v>
      </c>
      <c r="G1858" s="13">
        <v>108.89</v>
      </c>
      <c r="H1858" s="44">
        <v>0</v>
      </c>
      <c r="I1858" s="13">
        <v>108.89</v>
      </c>
      <c r="J1858" s="24">
        <v>45875</v>
      </c>
      <c r="K1858" s="25">
        <v>50</v>
      </c>
      <c r="L1858" s="25">
        <v>2.9</v>
      </c>
      <c r="M1858" s="13" t="b">
        <v>0</v>
      </c>
      <c r="O1858" s="25">
        <f t="shared" si="112"/>
        <v>27</v>
      </c>
      <c r="P1858" s="13">
        <f t="shared" si="113"/>
        <v>0</v>
      </c>
      <c r="Q1858" s="13" t="str">
        <f t="shared" si="114"/>
        <v/>
      </c>
      <c r="R1858" s="13" t="str">
        <f t="shared" si="115"/>
        <v>Non diskon</v>
      </c>
    </row>
    <row r="1859" spans="1:18" x14ac:dyDescent="0.25">
      <c r="A1859" s="13" t="s">
        <v>1871</v>
      </c>
      <c r="B1859" s="13" t="s">
        <v>2194</v>
      </c>
      <c r="C1859" s="13" t="s">
        <v>2201</v>
      </c>
      <c r="D1859" s="13" t="s">
        <v>2204</v>
      </c>
      <c r="F1859" s="13" t="s">
        <v>2218</v>
      </c>
      <c r="G1859" s="13">
        <v>35.21</v>
      </c>
      <c r="H1859" s="44">
        <v>14.7</v>
      </c>
      <c r="I1859" s="13">
        <v>30.03</v>
      </c>
      <c r="J1859" s="24">
        <v>45649</v>
      </c>
      <c r="K1859" s="25">
        <v>15</v>
      </c>
      <c r="L1859" s="25">
        <v>3.1</v>
      </c>
      <c r="M1859" s="13" t="b">
        <v>1</v>
      </c>
      <c r="N1859" s="13" t="s">
        <v>2228</v>
      </c>
      <c r="O1859" s="25">
        <f t="shared" ref="O1859:O1922" si="116">DATE(2025,9,2)-J1859</f>
        <v>253</v>
      </c>
      <c r="P1859" s="13">
        <f t="shared" ref="P1859:P1922" si="117">H1859*K1859</f>
        <v>220.5</v>
      </c>
      <c r="Q1859" s="13">
        <f t="shared" ref="Q1859:Q1922" si="118">IF(M1859=FALSE,"",1)</f>
        <v>1</v>
      </c>
      <c r="R1859" s="13" t="str">
        <f t="shared" ref="R1859:R1922" si="119">IF(H1859=0,"Non diskon","Diskon")</f>
        <v>Diskon</v>
      </c>
    </row>
    <row r="1860" spans="1:18" x14ac:dyDescent="0.25">
      <c r="A1860" s="13" t="s">
        <v>1872</v>
      </c>
      <c r="B1860" s="13" t="s">
        <v>2195</v>
      </c>
      <c r="C1860" s="13" t="s">
        <v>2202</v>
      </c>
      <c r="D1860" s="13" t="s">
        <v>2207</v>
      </c>
      <c r="E1860" s="13" t="s">
        <v>2211</v>
      </c>
      <c r="F1860" s="13" t="s">
        <v>2224</v>
      </c>
      <c r="G1860" s="13">
        <v>129.16</v>
      </c>
      <c r="H1860" s="44">
        <v>34</v>
      </c>
      <c r="I1860" s="13">
        <v>85.25</v>
      </c>
      <c r="J1860" s="24">
        <v>45875</v>
      </c>
      <c r="K1860" s="25">
        <v>24</v>
      </c>
      <c r="L1860" s="25">
        <v>1.7</v>
      </c>
      <c r="M1860" s="13" t="b">
        <v>0</v>
      </c>
      <c r="O1860" s="25">
        <f t="shared" si="116"/>
        <v>27</v>
      </c>
      <c r="P1860" s="13">
        <f t="shared" si="117"/>
        <v>816</v>
      </c>
      <c r="Q1860" s="13" t="str">
        <f t="shared" si="118"/>
        <v/>
      </c>
      <c r="R1860" s="13" t="str">
        <f t="shared" si="119"/>
        <v>Diskon</v>
      </c>
    </row>
    <row r="1861" spans="1:18" x14ac:dyDescent="0.25">
      <c r="A1861" s="13" t="s">
        <v>1873</v>
      </c>
      <c r="B1861" s="13" t="s">
        <v>2195</v>
      </c>
      <c r="C1861" s="13" t="s">
        <v>2201</v>
      </c>
      <c r="D1861" s="13" t="s">
        <v>2207</v>
      </c>
      <c r="E1861" s="13" t="s">
        <v>2210</v>
      </c>
      <c r="F1861" s="13" t="s">
        <v>2218</v>
      </c>
      <c r="G1861" s="13">
        <v>142.43</v>
      </c>
      <c r="H1861" s="44">
        <v>0</v>
      </c>
      <c r="I1861" s="13">
        <v>142.43</v>
      </c>
      <c r="J1861" s="24">
        <v>45875</v>
      </c>
      <c r="K1861" s="25">
        <v>15</v>
      </c>
      <c r="L1861" s="25">
        <v>4.0999999999999996</v>
      </c>
      <c r="M1861" s="13" t="b">
        <v>1</v>
      </c>
      <c r="N1861" s="13" t="s">
        <v>2226</v>
      </c>
      <c r="O1861" s="25">
        <f t="shared" si="116"/>
        <v>27</v>
      </c>
      <c r="P1861" s="13">
        <f t="shared" si="117"/>
        <v>0</v>
      </c>
      <c r="Q1861" s="13">
        <f t="shared" si="118"/>
        <v>1</v>
      </c>
      <c r="R1861" s="13" t="str">
        <f t="shared" si="119"/>
        <v>Non diskon</v>
      </c>
    </row>
    <row r="1862" spans="1:18" x14ac:dyDescent="0.25">
      <c r="A1862" s="13" t="s">
        <v>1874</v>
      </c>
      <c r="B1862" s="13" t="s">
        <v>2192</v>
      </c>
      <c r="C1862" s="13" t="s">
        <v>2203</v>
      </c>
      <c r="D1862" s="13" t="s">
        <v>2204</v>
      </c>
      <c r="F1862" s="13" t="s">
        <v>2222</v>
      </c>
      <c r="G1862" s="13">
        <v>45.19</v>
      </c>
      <c r="H1862" s="44">
        <v>0</v>
      </c>
      <c r="I1862" s="13">
        <v>45.19</v>
      </c>
      <c r="J1862" s="24">
        <v>45716</v>
      </c>
      <c r="K1862" s="25">
        <v>38</v>
      </c>
      <c r="L1862" s="25">
        <v>1.6</v>
      </c>
      <c r="M1862" s="13" t="b">
        <v>1</v>
      </c>
      <c r="N1862" s="13" t="s">
        <v>2230</v>
      </c>
      <c r="O1862" s="25">
        <f t="shared" si="116"/>
        <v>186</v>
      </c>
      <c r="P1862" s="13">
        <f t="shared" si="117"/>
        <v>0</v>
      </c>
      <c r="Q1862" s="13">
        <f t="shared" si="118"/>
        <v>1</v>
      </c>
      <c r="R1862" s="13" t="str">
        <f t="shared" si="119"/>
        <v>Non diskon</v>
      </c>
    </row>
    <row r="1863" spans="1:18" x14ac:dyDescent="0.25">
      <c r="A1863" s="13" t="s">
        <v>1875</v>
      </c>
      <c r="B1863" s="13" t="s">
        <v>2194</v>
      </c>
      <c r="C1863" s="13" t="s">
        <v>2200</v>
      </c>
      <c r="D1863" s="13" t="s">
        <v>2206</v>
      </c>
      <c r="E1863" s="13" t="s">
        <v>2210</v>
      </c>
      <c r="F1863" s="13" t="s">
        <v>2223</v>
      </c>
      <c r="G1863" s="13">
        <v>47.66</v>
      </c>
      <c r="H1863" s="44">
        <v>0</v>
      </c>
      <c r="I1863" s="13">
        <v>47.66</v>
      </c>
      <c r="J1863" s="24">
        <v>45875</v>
      </c>
      <c r="K1863" s="25">
        <v>0</v>
      </c>
      <c r="L1863" s="25">
        <v>4.8</v>
      </c>
      <c r="M1863" s="13" t="b">
        <v>1</v>
      </c>
      <c r="N1863" s="13" t="s">
        <v>2226</v>
      </c>
      <c r="O1863" s="25">
        <f t="shared" si="116"/>
        <v>27</v>
      </c>
      <c r="P1863" s="13">
        <f t="shared" si="117"/>
        <v>0</v>
      </c>
      <c r="Q1863" s="13">
        <f t="shared" si="118"/>
        <v>1</v>
      </c>
      <c r="R1863" s="13" t="str">
        <f t="shared" si="119"/>
        <v>Non diskon</v>
      </c>
    </row>
    <row r="1864" spans="1:18" x14ac:dyDescent="0.25">
      <c r="A1864" s="13" t="s">
        <v>1876</v>
      </c>
      <c r="B1864" s="13" t="s">
        <v>2194</v>
      </c>
      <c r="C1864" s="13" t="s">
        <v>2197</v>
      </c>
      <c r="D1864" s="13" t="s">
        <v>2207</v>
      </c>
      <c r="E1864" s="13" t="s">
        <v>2212</v>
      </c>
      <c r="F1864" s="13" t="s">
        <v>2221</v>
      </c>
      <c r="G1864" s="13">
        <v>115.05</v>
      </c>
      <c r="H1864" s="44">
        <v>40</v>
      </c>
      <c r="I1864" s="13">
        <v>69.03</v>
      </c>
      <c r="J1864" s="24">
        <v>45875</v>
      </c>
      <c r="K1864" s="25">
        <v>48</v>
      </c>
      <c r="L1864" s="25">
        <v>3.1</v>
      </c>
      <c r="M1864" s="13" t="b">
        <v>0</v>
      </c>
      <c r="O1864" s="25">
        <f t="shared" si="116"/>
        <v>27</v>
      </c>
      <c r="P1864" s="13">
        <f t="shared" si="117"/>
        <v>1920</v>
      </c>
      <c r="Q1864" s="13" t="str">
        <f t="shared" si="118"/>
        <v/>
      </c>
      <c r="R1864" s="13" t="str">
        <f t="shared" si="119"/>
        <v>Diskon</v>
      </c>
    </row>
    <row r="1865" spans="1:18" x14ac:dyDescent="0.25">
      <c r="A1865" s="13" t="s">
        <v>1877</v>
      </c>
      <c r="B1865" s="13" t="s">
        <v>2194</v>
      </c>
      <c r="C1865" s="13" t="s">
        <v>2198</v>
      </c>
      <c r="D1865" s="13" t="s">
        <v>2207</v>
      </c>
      <c r="E1865" s="13" t="s">
        <v>2208</v>
      </c>
      <c r="F1865" s="13" t="s">
        <v>2224</v>
      </c>
      <c r="G1865" s="13">
        <v>87.84</v>
      </c>
      <c r="H1865" s="44">
        <v>0</v>
      </c>
      <c r="I1865" s="13">
        <v>87.84</v>
      </c>
      <c r="J1865" s="24">
        <v>45875</v>
      </c>
      <c r="K1865" s="25">
        <v>29</v>
      </c>
      <c r="L1865" s="25">
        <v>1.3</v>
      </c>
      <c r="M1865" s="13" t="b">
        <v>0</v>
      </c>
      <c r="O1865" s="25">
        <f t="shared" si="116"/>
        <v>27</v>
      </c>
      <c r="P1865" s="13">
        <f t="shared" si="117"/>
        <v>0</v>
      </c>
      <c r="Q1865" s="13" t="str">
        <f t="shared" si="118"/>
        <v/>
      </c>
      <c r="R1865" s="13" t="str">
        <f t="shared" si="119"/>
        <v>Non diskon</v>
      </c>
    </row>
    <row r="1866" spans="1:18" x14ac:dyDescent="0.25">
      <c r="A1866" s="13" t="s">
        <v>1878</v>
      </c>
      <c r="B1866" s="13" t="s">
        <v>2195</v>
      </c>
      <c r="C1866" s="13" t="s">
        <v>2203</v>
      </c>
      <c r="D1866" s="13" t="s">
        <v>2206</v>
      </c>
      <c r="E1866" s="13" t="s">
        <v>2210</v>
      </c>
      <c r="F1866" s="13" t="s">
        <v>2219</v>
      </c>
      <c r="G1866" s="13">
        <v>73.42</v>
      </c>
      <c r="H1866" s="44">
        <v>35</v>
      </c>
      <c r="I1866" s="13">
        <v>47.72</v>
      </c>
      <c r="J1866" s="24">
        <v>45875</v>
      </c>
      <c r="K1866" s="25">
        <v>44</v>
      </c>
      <c r="L1866" s="25">
        <v>2.9636363636363638</v>
      </c>
      <c r="M1866" s="13" t="b">
        <v>0</v>
      </c>
      <c r="O1866" s="25">
        <f t="shared" si="116"/>
        <v>27</v>
      </c>
      <c r="P1866" s="13">
        <f t="shared" si="117"/>
        <v>1540</v>
      </c>
      <c r="Q1866" s="13" t="str">
        <f t="shared" si="118"/>
        <v/>
      </c>
      <c r="R1866" s="13" t="str">
        <f t="shared" si="119"/>
        <v>Diskon</v>
      </c>
    </row>
    <row r="1867" spans="1:18" x14ac:dyDescent="0.25">
      <c r="A1867" s="13" t="s">
        <v>1879</v>
      </c>
      <c r="B1867" s="13" t="s">
        <v>2193</v>
      </c>
      <c r="C1867" s="13" t="s">
        <v>2202</v>
      </c>
      <c r="D1867" s="13" t="s">
        <v>2206</v>
      </c>
      <c r="E1867" s="13" t="s">
        <v>2209</v>
      </c>
      <c r="F1867" s="13" t="s">
        <v>2222</v>
      </c>
      <c r="G1867" s="13">
        <v>181.58</v>
      </c>
      <c r="H1867" s="44">
        <v>21.6</v>
      </c>
      <c r="I1867" s="13">
        <v>142.36000000000001</v>
      </c>
      <c r="J1867" s="24">
        <v>45875</v>
      </c>
      <c r="K1867" s="25">
        <v>14</v>
      </c>
      <c r="L1867" s="25">
        <v>4.7</v>
      </c>
      <c r="M1867" s="13" t="b">
        <v>0</v>
      </c>
      <c r="O1867" s="25">
        <f t="shared" si="116"/>
        <v>27</v>
      </c>
      <c r="P1867" s="13">
        <f t="shared" si="117"/>
        <v>302.40000000000003</v>
      </c>
      <c r="Q1867" s="13" t="str">
        <f t="shared" si="118"/>
        <v/>
      </c>
      <c r="R1867" s="13" t="str">
        <f t="shared" si="119"/>
        <v>Diskon</v>
      </c>
    </row>
    <row r="1868" spans="1:18" x14ac:dyDescent="0.25">
      <c r="A1868" s="13" t="s">
        <v>1880</v>
      </c>
      <c r="B1868" s="13" t="s">
        <v>2191</v>
      </c>
      <c r="C1868" s="13" t="s">
        <v>2200</v>
      </c>
      <c r="D1868" s="13" t="s">
        <v>2204</v>
      </c>
      <c r="E1868" s="13" t="s">
        <v>2209</v>
      </c>
      <c r="F1868" s="13" t="s">
        <v>2216</v>
      </c>
      <c r="G1868" s="13">
        <v>71.680000000000007</v>
      </c>
      <c r="H1868" s="44">
        <v>0</v>
      </c>
      <c r="I1868" s="13">
        <v>71.680000000000007</v>
      </c>
      <c r="J1868" s="24">
        <v>45874</v>
      </c>
      <c r="K1868" s="25">
        <v>0</v>
      </c>
      <c r="L1868" s="25">
        <v>1.5</v>
      </c>
      <c r="M1868" s="13" t="b">
        <v>0</v>
      </c>
      <c r="O1868" s="25">
        <f t="shared" si="116"/>
        <v>28</v>
      </c>
      <c r="P1868" s="13">
        <f t="shared" si="117"/>
        <v>0</v>
      </c>
      <c r="Q1868" s="13" t="str">
        <f t="shared" si="118"/>
        <v/>
      </c>
      <c r="R1868" s="13" t="str">
        <f t="shared" si="119"/>
        <v>Non diskon</v>
      </c>
    </row>
    <row r="1869" spans="1:18" x14ac:dyDescent="0.25">
      <c r="A1869" s="13" t="s">
        <v>1881</v>
      </c>
      <c r="B1869" s="13" t="s">
        <v>2191</v>
      </c>
      <c r="C1869" s="13" t="s">
        <v>2198</v>
      </c>
      <c r="D1869" s="13" t="s">
        <v>2205</v>
      </c>
      <c r="E1869" s="13" t="s">
        <v>2211</v>
      </c>
      <c r="F1869" s="13" t="s">
        <v>2221</v>
      </c>
      <c r="G1869" s="13">
        <v>25.63</v>
      </c>
      <c r="H1869" s="44">
        <v>0</v>
      </c>
      <c r="I1869" s="13">
        <v>25.63</v>
      </c>
      <c r="J1869" s="24">
        <v>45875</v>
      </c>
      <c r="K1869" s="25">
        <v>27</v>
      </c>
      <c r="L1869" s="25">
        <v>1.2</v>
      </c>
      <c r="M1869" s="13" t="b">
        <v>0</v>
      </c>
      <c r="O1869" s="25">
        <f t="shared" si="116"/>
        <v>27</v>
      </c>
      <c r="P1869" s="13">
        <f t="shared" si="117"/>
        <v>0</v>
      </c>
      <c r="Q1869" s="13" t="str">
        <f t="shared" si="118"/>
        <v/>
      </c>
      <c r="R1869" s="13" t="str">
        <f t="shared" si="119"/>
        <v>Non diskon</v>
      </c>
    </row>
    <row r="1870" spans="1:18" x14ac:dyDescent="0.25">
      <c r="A1870" s="13" t="s">
        <v>1882</v>
      </c>
      <c r="B1870" s="13" t="s">
        <v>2191</v>
      </c>
      <c r="C1870" s="13" t="s">
        <v>2203</v>
      </c>
      <c r="D1870" s="13" t="s">
        <v>2205</v>
      </c>
      <c r="F1870" s="13" t="s">
        <v>2224</v>
      </c>
      <c r="G1870" s="13">
        <v>31.34</v>
      </c>
      <c r="H1870" s="44">
        <v>48.5</v>
      </c>
      <c r="I1870" s="13">
        <v>16.14</v>
      </c>
      <c r="J1870" s="24">
        <v>45875</v>
      </c>
      <c r="K1870" s="25">
        <v>36</v>
      </c>
      <c r="L1870" s="25">
        <v>1.6</v>
      </c>
      <c r="M1870" s="13" t="b">
        <v>1</v>
      </c>
      <c r="N1870" s="13" t="s">
        <v>2226</v>
      </c>
      <c r="O1870" s="25">
        <f t="shared" si="116"/>
        <v>27</v>
      </c>
      <c r="P1870" s="13">
        <f t="shared" si="117"/>
        <v>1746</v>
      </c>
      <c r="Q1870" s="13">
        <f t="shared" si="118"/>
        <v>1</v>
      </c>
      <c r="R1870" s="13" t="str">
        <f t="shared" si="119"/>
        <v>Diskon</v>
      </c>
    </row>
    <row r="1871" spans="1:18" x14ac:dyDescent="0.25">
      <c r="A1871" s="13" t="s">
        <v>1883</v>
      </c>
      <c r="B1871" s="13" t="s">
        <v>2195</v>
      </c>
      <c r="C1871" s="13" t="s">
        <v>2200</v>
      </c>
      <c r="D1871" s="13" t="s">
        <v>2206</v>
      </c>
      <c r="E1871" s="13" t="s">
        <v>2209</v>
      </c>
      <c r="F1871" s="13" t="s">
        <v>2221</v>
      </c>
      <c r="G1871" s="13">
        <v>98.91</v>
      </c>
      <c r="H1871" s="44">
        <v>33.799999999999997</v>
      </c>
      <c r="I1871" s="13">
        <v>65.48</v>
      </c>
      <c r="J1871" s="24">
        <v>45875</v>
      </c>
      <c r="K1871" s="25">
        <v>33</v>
      </c>
      <c r="L1871" s="25">
        <v>3.1051282051282048</v>
      </c>
      <c r="M1871" s="13" t="b">
        <v>1</v>
      </c>
      <c r="N1871" s="13" t="s">
        <v>2225</v>
      </c>
      <c r="O1871" s="25">
        <f t="shared" si="116"/>
        <v>27</v>
      </c>
      <c r="P1871" s="13">
        <f t="shared" si="117"/>
        <v>1115.3999999999999</v>
      </c>
      <c r="Q1871" s="13">
        <f t="shared" si="118"/>
        <v>1</v>
      </c>
      <c r="R1871" s="13" t="str">
        <f t="shared" si="119"/>
        <v>Diskon</v>
      </c>
    </row>
    <row r="1872" spans="1:18" x14ac:dyDescent="0.25">
      <c r="A1872" s="13" t="s">
        <v>1884</v>
      </c>
      <c r="B1872" s="13" t="s">
        <v>2192</v>
      </c>
      <c r="C1872" s="13" t="s">
        <v>2196</v>
      </c>
      <c r="D1872" s="13" t="s">
        <v>2205</v>
      </c>
      <c r="F1872" s="13" t="s">
        <v>2214</v>
      </c>
      <c r="G1872" s="13">
        <v>43.33</v>
      </c>
      <c r="H1872" s="44">
        <v>7.8</v>
      </c>
      <c r="I1872" s="13">
        <v>39.950000000000003</v>
      </c>
      <c r="J1872" s="24">
        <v>45875</v>
      </c>
      <c r="K1872" s="25">
        <v>4</v>
      </c>
      <c r="L1872" s="25">
        <v>1.3</v>
      </c>
      <c r="M1872" s="13" t="b">
        <v>0</v>
      </c>
      <c r="O1872" s="25">
        <f t="shared" si="116"/>
        <v>27</v>
      </c>
      <c r="P1872" s="13">
        <f t="shared" si="117"/>
        <v>31.2</v>
      </c>
      <c r="Q1872" s="13" t="str">
        <f t="shared" si="118"/>
        <v/>
      </c>
      <c r="R1872" s="13" t="str">
        <f t="shared" si="119"/>
        <v>Diskon</v>
      </c>
    </row>
    <row r="1873" spans="1:18" x14ac:dyDescent="0.25">
      <c r="A1873" s="13" t="s">
        <v>1885</v>
      </c>
      <c r="B1873" s="13" t="s">
        <v>2193</v>
      </c>
      <c r="C1873" s="13" t="s">
        <v>2202</v>
      </c>
      <c r="D1873" s="13" t="s">
        <v>2207</v>
      </c>
      <c r="E1873" s="13" t="s">
        <v>2213</v>
      </c>
      <c r="F1873" s="13" t="s">
        <v>2216</v>
      </c>
      <c r="G1873" s="13">
        <v>70.709999999999994</v>
      </c>
      <c r="H1873" s="44">
        <v>0</v>
      </c>
      <c r="I1873" s="13">
        <v>70.709999999999994</v>
      </c>
      <c r="J1873" s="24">
        <v>45875</v>
      </c>
      <c r="K1873" s="25">
        <v>8</v>
      </c>
      <c r="L1873" s="25">
        <v>2.2999999999999998</v>
      </c>
      <c r="M1873" s="13" t="b">
        <v>0</v>
      </c>
      <c r="O1873" s="25">
        <f t="shared" si="116"/>
        <v>27</v>
      </c>
      <c r="P1873" s="13">
        <f t="shared" si="117"/>
        <v>0</v>
      </c>
      <c r="Q1873" s="13" t="str">
        <f t="shared" si="118"/>
        <v/>
      </c>
      <c r="R1873" s="13" t="str">
        <f t="shared" si="119"/>
        <v>Non diskon</v>
      </c>
    </row>
    <row r="1874" spans="1:18" x14ac:dyDescent="0.25">
      <c r="A1874" s="13" t="s">
        <v>1886</v>
      </c>
      <c r="B1874" s="13" t="s">
        <v>2190</v>
      </c>
      <c r="C1874" s="13" t="s">
        <v>2200</v>
      </c>
      <c r="D1874" s="13" t="s">
        <v>2205</v>
      </c>
      <c r="E1874" s="13" t="s">
        <v>2210</v>
      </c>
      <c r="F1874" s="13" t="s">
        <v>2223</v>
      </c>
      <c r="G1874" s="13">
        <v>215.99</v>
      </c>
      <c r="H1874" s="44">
        <v>38.1</v>
      </c>
      <c r="I1874" s="13">
        <v>133.69999999999999</v>
      </c>
      <c r="J1874" s="24">
        <v>45875</v>
      </c>
      <c r="K1874" s="25">
        <v>14</v>
      </c>
      <c r="L1874" s="25">
        <v>3.9</v>
      </c>
      <c r="M1874" s="13" t="b">
        <v>0</v>
      </c>
      <c r="O1874" s="25">
        <f t="shared" si="116"/>
        <v>27</v>
      </c>
      <c r="P1874" s="13">
        <f t="shared" si="117"/>
        <v>533.4</v>
      </c>
      <c r="Q1874" s="13" t="str">
        <f t="shared" si="118"/>
        <v/>
      </c>
      <c r="R1874" s="13" t="str">
        <f t="shared" si="119"/>
        <v>Diskon</v>
      </c>
    </row>
    <row r="1875" spans="1:18" x14ac:dyDescent="0.25">
      <c r="A1875" s="13" t="s">
        <v>1887</v>
      </c>
      <c r="B1875" s="13" t="s">
        <v>2195</v>
      </c>
      <c r="C1875" s="13" t="s">
        <v>2198</v>
      </c>
      <c r="D1875" s="13" t="s">
        <v>2205</v>
      </c>
      <c r="E1875" s="13" t="s">
        <v>2208</v>
      </c>
      <c r="F1875" s="13" t="s">
        <v>2220</v>
      </c>
      <c r="G1875" s="13">
        <v>145.57</v>
      </c>
      <c r="H1875" s="44">
        <v>5.0999999999999996</v>
      </c>
      <c r="I1875" s="13">
        <v>138.15</v>
      </c>
      <c r="J1875" s="24">
        <v>45875</v>
      </c>
      <c r="K1875" s="25">
        <v>8</v>
      </c>
      <c r="L1875" s="25">
        <v>4.4000000000000004</v>
      </c>
      <c r="M1875" s="13" t="b">
        <v>0</v>
      </c>
      <c r="O1875" s="25">
        <f t="shared" si="116"/>
        <v>27</v>
      </c>
      <c r="P1875" s="13">
        <f t="shared" si="117"/>
        <v>40.799999999999997</v>
      </c>
      <c r="Q1875" s="13" t="str">
        <f t="shared" si="118"/>
        <v/>
      </c>
      <c r="R1875" s="13" t="str">
        <f t="shared" si="119"/>
        <v>Diskon</v>
      </c>
    </row>
    <row r="1876" spans="1:18" x14ac:dyDescent="0.25">
      <c r="A1876" s="13" t="s">
        <v>1888</v>
      </c>
      <c r="B1876" s="13" t="s">
        <v>2193</v>
      </c>
      <c r="C1876" s="13" t="s">
        <v>2198</v>
      </c>
      <c r="D1876" s="13" t="s">
        <v>2206</v>
      </c>
      <c r="E1876" s="13" t="s">
        <v>2212</v>
      </c>
      <c r="F1876" s="13" t="s">
        <v>2222</v>
      </c>
      <c r="G1876" s="13">
        <v>195.03</v>
      </c>
      <c r="H1876" s="44">
        <v>0</v>
      </c>
      <c r="I1876" s="13">
        <v>195.03</v>
      </c>
      <c r="J1876" s="24">
        <v>45875</v>
      </c>
      <c r="K1876" s="25">
        <v>44</v>
      </c>
      <c r="L1876" s="25">
        <v>4.4000000000000004</v>
      </c>
      <c r="M1876" s="13" t="b">
        <v>0</v>
      </c>
      <c r="O1876" s="25">
        <f t="shared" si="116"/>
        <v>27</v>
      </c>
      <c r="P1876" s="13">
        <f t="shared" si="117"/>
        <v>0</v>
      </c>
      <c r="Q1876" s="13" t="str">
        <f t="shared" si="118"/>
        <v/>
      </c>
      <c r="R1876" s="13" t="str">
        <f t="shared" si="119"/>
        <v>Non diskon</v>
      </c>
    </row>
    <row r="1877" spans="1:18" x14ac:dyDescent="0.25">
      <c r="A1877" s="13" t="s">
        <v>1889</v>
      </c>
      <c r="B1877" s="13" t="s">
        <v>2194</v>
      </c>
      <c r="C1877" s="13" t="s">
        <v>2201</v>
      </c>
      <c r="D1877" s="13" t="s">
        <v>2205</v>
      </c>
      <c r="E1877" s="13" t="s">
        <v>2212</v>
      </c>
      <c r="F1877" s="13" t="s">
        <v>2216</v>
      </c>
      <c r="G1877" s="13">
        <v>74.88</v>
      </c>
      <c r="H1877" s="44">
        <v>9.6999999999999993</v>
      </c>
      <c r="I1877" s="13">
        <v>67.62</v>
      </c>
      <c r="J1877" s="24">
        <v>45875</v>
      </c>
      <c r="K1877" s="25">
        <v>23</v>
      </c>
      <c r="L1877" s="25">
        <v>2.6</v>
      </c>
      <c r="M1877" s="13" t="b">
        <v>0</v>
      </c>
      <c r="O1877" s="25">
        <f t="shared" si="116"/>
        <v>27</v>
      </c>
      <c r="P1877" s="13">
        <f t="shared" si="117"/>
        <v>223.1</v>
      </c>
      <c r="Q1877" s="13" t="str">
        <f t="shared" si="118"/>
        <v/>
      </c>
      <c r="R1877" s="13" t="str">
        <f t="shared" si="119"/>
        <v>Diskon</v>
      </c>
    </row>
    <row r="1878" spans="1:18" x14ac:dyDescent="0.25">
      <c r="A1878" s="13" t="s">
        <v>1890</v>
      </c>
      <c r="B1878" s="13" t="s">
        <v>2191</v>
      </c>
      <c r="C1878" s="13" t="s">
        <v>2202</v>
      </c>
      <c r="D1878" s="13" t="s">
        <v>2204</v>
      </c>
      <c r="E1878" s="13" t="s">
        <v>2209</v>
      </c>
      <c r="F1878" s="13" t="s">
        <v>2215</v>
      </c>
      <c r="G1878" s="13">
        <v>50.3</v>
      </c>
      <c r="H1878" s="44">
        <v>0</v>
      </c>
      <c r="I1878" s="13">
        <v>50.3</v>
      </c>
      <c r="J1878" s="24">
        <v>45522</v>
      </c>
      <c r="K1878" s="25">
        <v>23</v>
      </c>
      <c r="L1878" s="25">
        <v>1.3</v>
      </c>
      <c r="M1878" s="13" t="b">
        <v>0</v>
      </c>
      <c r="O1878" s="25">
        <f t="shared" si="116"/>
        <v>380</v>
      </c>
      <c r="P1878" s="13">
        <f t="shared" si="117"/>
        <v>0</v>
      </c>
      <c r="Q1878" s="13" t="str">
        <f t="shared" si="118"/>
        <v/>
      </c>
      <c r="R1878" s="13" t="str">
        <f t="shared" si="119"/>
        <v>Non diskon</v>
      </c>
    </row>
    <row r="1879" spans="1:18" x14ac:dyDescent="0.25">
      <c r="A1879" s="13" t="s">
        <v>1891</v>
      </c>
      <c r="B1879" s="13" t="s">
        <v>2190</v>
      </c>
      <c r="C1879" s="13" t="s">
        <v>2201</v>
      </c>
      <c r="D1879" s="13" t="s">
        <v>2207</v>
      </c>
      <c r="E1879" s="13" t="s">
        <v>2211</v>
      </c>
      <c r="F1879" s="13" t="s">
        <v>2214</v>
      </c>
      <c r="G1879" s="13">
        <v>130.65</v>
      </c>
      <c r="H1879" s="44">
        <v>0</v>
      </c>
      <c r="I1879" s="13">
        <v>130.65</v>
      </c>
      <c r="J1879" s="24">
        <v>45875</v>
      </c>
      <c r="K1879" s="25">
        <v>20</v>
      </c>
      <c r="L1879" s="25">
        <v>2.6</v>
      </c>
      <c r="M1879" s="13" t="b">
        <v>0</v>
      </c>
      <c r="O1879" s="25">
        <f t="shared" si="116"/>
        <v>27</v>
      </c>
      <c r="P1879" s="13">
        <f t="shared" si="117"/>
        <v>0</v>
      </c>
      <c r="Q1879" s="13" t="str">
        <f t="shared" si="118"/>
        <v/>
      </c>
      <c r="R1879" s="13" t="str">
        <f t="shared" si="119"/>
        <v>Non diskon</v>
      </c>
    </row>
    <row r="1880" spans="1:18" x14ac:dyDescent="0.25">
      <c r="A1880" s="13" t="s">
        <v>1892</v>
      </c>
      <c r="B1880" s="13" t="s">
        <v>2195</v>
      </c>
      <c r="C1880" s="13" t="s">
        <v>2203</v>
      </c>
      <c r="D1880" s="13" t="s">
        <v>2204</v>
      </c>
      <c r="E1880" s="13" t="s">
        <v>2211</v>
      </c>
      <c r="F1880" s="13" t="s">
        <v>2220</v>
      </c>
      <c r="G1880" s="13">
        <v>94.56</v>
      </c>
      <c r="H1880" s="44">
        <v>40.299999999999997</v>
      </c>
      <c r="I1880" s="13">
        <v>56.45</v>
      </c>
      <c r="J1880" s="24">
        <v>45822</v>
      </c>
      <c r="K1880" s="25">
        <v>41</v>
      </c>
      <c r="L1880" s="25">
        <v>4.7</v>
      </c>
      <c r="M1880" s="13" t="b">
        <v>0</v>
      </c>
      <c r="O1880" s="25">
        <f t="shared" si="116"/>
        <v>80</v>
      </c>
      <c r="P1880" s="13">
        <f t="shared" si="117"/>
        <v>1652.3</v>
      </c>
      <c r="Q1880" s="13" t="str">
        <f t="shared" si="118"/>
        <v/>
      </c>
      <c r="R1880" s="13" t="str">
        <f t="shared" si="119"/>
        <v>Diskon</v>
      </c>
    </row>
    <row r="1881" spans="1:18" x14ac:dyDescent="0.25">
      <c r="A1881" s="13" t="s">
        <v>1893</v>
      </c>
      <c r="B1881" s="13" t="s">
        <v>2190</v>
      </c>
      <c r="C1881" s="13" t="s">
        <v>2197</v>
      </c>
      <c r="D1881" s="13" t="s">
        <v>2204</v>
      </c>
      <c r="E1881" s="13" t="s">
        <v>2210</v>
      </c>
      <c r="F1881" s="13" t="s">
        <v>2224</v>
      </c>
      <c r="G1881" s="13">
        <v>138.97999999999999</v>
      </c>
      <c r="H1881" s="44">
        <v>10.199999999999999</v>
      </c>
      <c r="I1881" s="13">
        <v>124.8</v>
      </c>
      <c r="J1881" s="24">
        <v>45860</v>
      </c>
      <c r="K1881" s="25">
        <v>36</v>
      </c>
      <c r="L1881" s="25">
        <v>1.4</v>
      </c>
      <c r="M1881" s="13" t="b">
        <v>0</v>
      </c>
      <c r="O1881" s="25">
        <f t="shared" si="116"/>
        <v>42</v>
      </c>
      <c r="P1881" s="13">
        <f t="shared" si="117"/>
        <v>367.2</v>
      </c>
      <c r="Q1881" s="13" t="str">
        <f t="shared" si="118"/>
        <v/>
      </c>
      <c r="R1881" s="13" t="str">
        <f t="shared" si="119"/>
        <v>Diskon</v>
      </c>
    </row>
    <row r="1882" spans="1:18" x14ac:dyDescent="0.25">
      <c r="A1882" s="13" t="s">
        <v>1894</v>
      </c>
      <c r="B1882" s="13" t="s">
        <v>2192</v>
      </c>
      <c r="C1882" s="13" t="s">
        <v>2200</v>
      </c>
      <c r="D1882" s="13" t="s">
        <v>2205</v>
      </c>
      <c r="F1882" s="13" t="s">
        <v>2220</v>
      </c>
      <c r="G1882" s="13">
        <v>52.57</v>
      </c>
      <c r="H1882" s="44">
        <v>0</v>
      </c>
      <c r="I1882" s="13">
        <v>52.57</v>
      </c>
      <c r="J1882" s="24">
        <v>45875</v>
      </c>
      <c r="K1882" s="25">
        <v>50</v>
      </c>
      <c r="L1882" s="25">
        <v>2.5</v>
      </c>
      <c r="M1882" s="13" t="b">
        <v>1</v>
      </c>
      <c r="N1882" s="13" t="s">
        <v>2227</v>
      </c>
      <c r="O1882" s="25">
        <f t="shared" si="116"/>
        <v>27</v>
      </c>
      <c r="P1882" s="13">
        <f t="shared" si="117"/>
        <v>0</v>
      </c>
      <c r="Q1882" s="13">
        <f t="shared" si="118"/>
        <v>1</v>
      </c>
      <c r="R1882" s="13" t="str">
        <f t="shared" si="119"/>
        <v>Non diskon</v>
      </c>
    </row>
    <row r="1883" spans="1:18" x14ac:dyDescent="0.25">
      <c r="A1883" s="13" t="s">
        <v>1895</v>
      </c>
      <c r="B1883" s="13" t="s">
        <v>2190</v>
      </c>
      <c r="C1883" s="13" t="s">
        <v>2200</v>
      </c>
      <c r="D1883" s="13" t="s">
        <v>2204</v>
      </c>
      <c r="F1883" s="13" t="s">
        <v>2217</v>
      </c>
      <c r="G1883" s="13">
        <v>151.62</v>
      </c>
      <c r="H1883" s="44">
        <v>0</v>
      </c>
      <c r="I1883" s="13">
        <v>151.62</v>
      </c>
      <c r="J1883" s="24">
        <v>45849</v>
      </c>
      <c r="K1883" s="25">
        <v>41</v>
      </c>
      <c r="L1883" s="25">
        <v>3.5</v>
      </c>
      <c r="M1883" s="13" t="b">
        <v>0</v>
      </c>
      <c r="O1883" s="25">
        <f t="shared" si="116"/>
        <v>53</v>
      </c>
      <c r="P1883" s="13">
        <f t="shared" si="117"/>
        <v>0</v>
      </c>
      <c r="Q1883" s="13" t="str">
        <f t="shared" si="118"/>
        <v/>
      </c>
      <c r="R1883" s="13" t="str">
        <f t="shared" si="119"/>
        <v>Non diskon</v>
      </c>
    </row>
    <row r="1884" spans="1:18" x14ac:dyDescent="0.25">
      <c r="A1884" s="13" t="s">
        <v>1896</v>
      </c>
      <c r="B1884" s="13" t="s">
        <v>2192</v>
      </c>
      <c r="C1884" s="13" t="s">
        <v>2197</v>
      </c>
      <c r="D1884" s="13" t="s">
        <v>2204</v>
      </c>
      <c r="F1884" s="13" t="s">
        <v>2219</v>
      </c>
      <c r="G1884" s="13">
        <v>26.7</v>
      </c>
      <c r="H1884" s="44">
        <v>0</v>
      </c>
      <c r="I1884" s="13">
        <v>26.7</v>
      </c>
      <c r="J1884" s="24">
        <v>45804</v>
      </c>
      <c r="K1884" s="25">
        <v>48</v>
      </c>
      <c r="L1884" s="25">
        <v>3.1</v>
      </c>
      <c r="M1884" s="13" t="b">
        <v>0</v>
      </c>
      <c r="O1884" s="25">
        <f t="shared" si="116"/>
        <v>98</v>
      </c>
      <c r="P1884" s="13">
        <f t="shared" si="117"/>
        <v>0</v>
      </c>
      <c r="Q1884" s="13" t="str">
        <f t="shared" si="118"/>
        <v/>
      </c>
      <c r="R1884" s="13" t="str">
        <f t="shared" si="119"/>
        <v>Non diskon</v>
      </c>
    </row>
    <row r="1885" spans="1:18" x14ac:dyDescent="0.25">
      <c r="A1885" s="13" t="s">
        <v>1897</v>
      </c>
      <c r="B1885" s="13" t="s">
        <v>2190</v>
      </c>
      <c r="C1885" s="13" t="s">
        <v>2201</v>
      </c>
      <c r="D1885" s="13" t="s">
        <v>2207</v>
      </c>
      <c r="E1885" s="13" t="s">
        <v>2210</v>
      </c>
      <c r="F1885" s="13" t="s">
        <v>2224</v>
      </c>
      <c r="G1885" s="13">
        <v>147.5</v>
      </c>
      <c r="H1885" s="44">
        <v>0</v>
      </c>
      <c r="I1885" s="13">
        <v>147.5</v>
      </c>
      <c r="J1885" s="24">
        <v>45875</v>
      </c>
      <c r="K1885" s="25">
        <v>4</v>
      </c>
      <c r="L1885" s="25">
        <v>2.4</v>
      </c>
      <c r="M1885" s="13" t="b">
        <v>0</v>
      </c>
      <c r="O1885" s="25">
        <f t="shared" si="116"/>
        <v>27</v>
      </c>
      <c r="P1885" s="13">
        <f t="shared" si="117"/>
        <v>0</v>
      </c>
      <c r="Q1885" s="13" t="str">
        <f t="shared" si="118"/>
        <v/>
      </c>
      <c r="R1885" s="13" t="str">
        <f t="shared" si="119"/>
        <v>Non diskon</v>
      </c>
    </row>
    <row r="1886" spans="1:18" x14ac:dyDescent="0.25">
      <c r="A1886" s="13" t="s">
        <v>1898</v>
      </c>
      <c r="B1886" s="13" t="s">
        <v>2191</v>
      </c>
      <c r="C1886" s="13" t="s">
        <v>2199</v>
      </c>
      <c r="D1886" s="13" t="s">
        <v>2206</v>
      </c>
      <c r="E1886" s="13" t="s">
        <v>2210</v>
      </c>
      <c r="F1886" s="13" t="s">
        <v>2222</v>
      </c>
      <c r="G1886" s="13">
        <v>66</v>
      </c>
      <c r="H1886" s="44">
        <v>2.7</v>
      </c>
      <c r="I1886" s="13">
        <v>64.22</v>
      </c>
      <c r="J1886" s="24">
        <v>45875</v>
      </c>
      <c r="K1886" s="25">
        <v>42</v>
      </c>
      <c r="L1886" s="25">
        <v>4.4000000000000004</v>
      </c>
      <c r="M1886" s="13" t="b">
        <v>0</v>
      </c>
      <c r="O1886" s="25">
        <f t="shared" si="116"/>
        <v>27</v>
      </c>
      <c r="P1886" s="13">
        <f t="shared" si="117"/>
        <v>113.4</v>
      </c>
      <c r="Q1886" s="13" t="str">
        <f t="shared" si="118"/>
        <v/>
      </c>
      <c r="R1886" s="13" t="str">
        <f t="shared" si="119"/>
        <v>Diskon</v>
      </c>
    </row>
    <row r="1887" spans="1:18" x14ac:dyDescent="0.25">
      <c r="A1887" s="13" t="s">
        <v>1899</v>
      </c>
      <c r="B1887" s="13" t="s">
        <v>2190</v>
      </c>
      <c r="C1887" s="13" t="s">
        <v>2196</v>
      </c>
      <c r="D1887" s="13" t="s">
        <v>2206</v>
      </c>
      <c r="E1887" s="13" t="s">
        <v>2212</v>
      </c>
      <c r="F1887" s="13" t="s">
        <v>2214</v>
      </c>
      <c r="G1887" s="13">
        <v>183.6</v>
      </c>
      <c r="H1887" s="44">
        <v>0</v>
      </c>
      <c r="I1887" s="13">
        <v>183.6</v>
      </c>
      <c r="J1887" s="24">
        <v>45875</v>
      </c>
      <c r="K1887" s="25">
        <v>10</v>
      </c>
      <c r="L1887" s="25">
        <v>2.7030303030303036</v>
      </c>
      <c r="M1887" s="13" t="b">
        <v>0</v>
      </c>
      <c r="O1887" s="25">
        <f t="shared" si="116"/>
        <v>27</v>
      </c>
      <c r="P1887" s="13">
        <f t="shared" si="117"/>
        <v>0</v>
      </c>
      <c r="Q1887" s="13" t="str">
        <f t="shared" si="118"/>
        <v/>
      </c>
      <c r="R1887" s="13" t="str">
        <f t="shared" si="119"/>
        <v>Non diskon</v>
      </c>
    </row>
    <row r="1888" spans="1:18" x14ac:dyDescent="0.25">
      <c r="A1888" s="13" t="s">
        <v>1900</v>
      </c>
      <c r="B1888" s="13" t="s">
        <v>2193</v>
      </c>
      <c r="C1888" s="13" t="s">
        <v>2197</v>
      </c>
      <c r="D1888" s="13" t="s">
        <v>2207</v>
      </c>
      <c r="E1888" s="13" t="s">
        <v>2209</v>
      </c>
      <c r="F1888" s="13" t="s">
        <v>2219</v>
      </c>
      <c r="G1888" s="13">
        <v>195.83</v>
      </c>
      <c r="H1888" s="44">
        <v>0</v>
      </c>
      <c r="I1888" s="13">
        <v>195.83</v>
      </c>
      <c r="J1888" s="24">
        <v>45875</v>
      </c>
      <c r="K1888" s="25">
        <v>14</v>
      </c>
      <c r="L1888" s="25">
        <v>2.1</v>
      </c>
      <c r="M1888" s="13" t="b">
        <v>0</v>
      </c>
      <c r="O1888" s="25">
        <f t="shared" si="116"/>
        <v>27</v>
      </c>
      <c r="P1888" s="13">
        <f t="shared" si="117"/>
        <v>0</v>
      </c>
      <c r="Q1888" s="13" t="str">
        <f t="shared" si="118"/>
        <v/>
      </c>
      <c r="R1888" s="13" t="str">
        <f t="shared" si="119"/>
        <v>Non diskon</v>
      </c>
    </row>
    <row r="1889" spans="1:18" x14ac:dyDescent="0.25">
      <c r="A1889" s="13" t="s">
        <v>1901</v>
      </c>
      <c r="B1889" s="13" t="s">
        <v>2194</v>
      </c>
      <c r="C1889" s="13" t="s">
        <v>2201</v>
      </c>
      <c r="D1889" s="13" t="s">
        <v>2205</v>
      </c>
      <c r="E1889" s="13" t="s">
        <v>2210</v>
      </c>
      <c r="F1889" s="13" t="s">
        <v>2221</v>
      </c>
      <c r="G1889" s="13">
        <v>75.53</v>
      </c>
      <c r="H1889" s="44">
        <v>58.1</v>
      </c>
      <c r="I1889" s="13">
        <v>31.65</v>
      </c>
      <c r="J1889" s="24">
        <v>45875</v>
      </c>
      <c r="K1889" s="25">
        <v>33</v>
      </c>
      <c r="L1889" s="25">
        <v>4</v>
      </c>
      <c r="M1889" s="13" t="b">
        <v>0</v>
      </c>
      <c r="O1889" s="25">
        <f t="shared" si="116"/>
        <v>27</v>
      </c>
      <c r="P1889" s="13">
        <f t="shared" si="117"/>
        <v>1917.3</v>
      </c>
      <c r="Q1889" s="13" t="str">
        <f t="shared" si="118"/>
        <v/>
      </c>
      <c r="R1889" s="13" t="str">
        <f t="shared" si="119"/>
        <v>Diskon</v>
      </c>
    </row>
    <row r="1890" spans="1:18" x14ac:dyDescent="0.25">
      <c r="A1890" s="13" t="s">
        <v>1902</v>
      </c>
      <c r="B1890" s="13" t="s">
        <v>2191</v>
      </c>
      <c r="C1890" s="13" t="s">
        <v>2199</v>
      </c>
      <c r="D1890" s="13" t="s">
        <v>2204</v>
      </c>
      <c r="E1890" s="13" t="s">
        <v>2208</v>
      </c>
      <c r="F1890" s="13" t="s">
        <v>2221</v>
      </c>
      <c r="G1890" s="13">
        <v>30.78</v>
      </c>
      <c r="H1890" s="44">
        <v>0</v>
      </c>
      <c r="I1890" s="13">
        <v>30.78</v>
      </c>
      <c r="J1890" s="24">
        <v>45821</v>
      </c>
      <c r="K1890" s="25">
        <v>28</v>
      </c>
      <c r="L1890" s="25">
        <v>3.9</v>
      </c>
      <c r="M1890" s="13" t="b">
        <v>0</v>
      </c>
      <c r="O1890" s="25">
        <f t="shared" si="116"/>
        <v>81</v>
      </c>
      <c r="P1890" s="13">
        <f t="shared" si="117"/>
        <v>0</v>
      </c>
      <c r="Q1890" s="13" t="str">
        <f t="shared" si="118"/>
        <v/>
      </c>
      <c r="R1890" s="13" t="str">
        <f t="shared" si="119"/>
        <v>Non diskon</v>
      </c>
    </row>
    <row r="1891" spans="1:18" x14ac:dyDescent="0.25">
      <c r="A1891" s="13" t="s">
        <v>1903</v>
      </c>
      <c r="B1891" s="13" t="s">
        <v>2193</v>
      </c>
      <c r="C1891" s="13" t="s">
        <v>2198</v>
      </c>
      <c r="D1891" s="13" t="s">
        <v>2205</v>
      </c>
      <c r="E1891" s="13" t="s">
        <v>2209</v>
      </c>
      <c r="F1891" s="13" t="s">
        <v>2217</v>
      </c>
      <c r="G1891" s="13">
        <v>150.96</v>
      </c>
      <c r="H1891" s="44">
        <v>0</v>
      </c>
      <c r="I1891" s="13">
        <v>150.96</v>
      </c>
      <c r="J1891" s="24">
        <v>45875</v>
      </c>
      <c r="K1891" s="25">
        <v>18</v>
      </c>
      <c r="L1891" s="25">
        <v>4.5999999999999996</v>
      </c>
      <c r="M1891" s="13" t="b">
        <v>0</v>
      </c>
      <c r="O1891" s="25">
        <f t="shared" si="116"/>
        <v>27</v>
      </c>
      <c r="P1891" s="13">
        <f t="shared" si="117"/>
        <v>0</v>
      </c>
      <c r="Q1891" s="13" t="str">
        <f t="shared" si="118"/>
        <v/>
      </c>
      <c r="R1891" s="13" t="str">
        <f t="shared" si="119"/>
        <v>Non diskon</v>
      </c>
    </row>
    <row r="1892" spans="1:18" x14ac:dyDescent="0.25">
      <c r="A1892" s="13" t="s">
        <v>1904</v>
      </c>
      <c r="B1892" s="13" t="s">
        <v>2194</v>
      </c>
      <c r="C1892" s="13" t="s">
        <v>2203</v>
      </c>
      <c r="D1892" s="13" t="s">
        <v>2207</v>
      </c>
      <c r="E1892" s="13" t="s">
        <v>2209</v>
      </c>
      <c r="F1892" s="13" t="s">
        <v>2216</v>
      </c>
      <c r="G1892" s="13">
        <v>58.98</v>
      </c>
      <c r="H1892" s="44">
        <v>18.100000000000001</v>
      </c>
      <c r="I1892" s="13">
        <v>48.3</v>
      </c>
      <c r="J1892" s="24">
        <v>45875</v>
      </c>
      <c r="K1892" s="25">
        <v>23</v>
      </c>
      <c r="L1892" s="25">
        <v>2.8</v>
      </c>
      <c r="M1892" s="13" t="b">
        <v>0</v>
      </c>
      <c r="O1892" s="25">
        <f t="shared" si="116"/>
        <v>27</v>
      </c>
      <c r="P1892" s="13">
        <f t="shared" si="117"/>
        <v>416.3</v>
      </c>
      <c r="Q1892" s="13" t="str">
        <f t="shared" si="118"/>
        <v/>
      </c>
      <c r="R1892" s="13" t="str">
        <f t="shared" si="119"/>
        <v>Diskon</v>
      </c>
    </row>
    <row r="1893" spans="1:18" x14ac:dyDescent="0.25">
      <c r="A1893" s="13" t="s">
        <v>1905</v>
      </c>
      <c r="B1893" s="13" t="s">
        <v>2190</v>
      </c>
      <c r="C1893" s="13" t="s">
        <v>2203</v>
      </c>
      <c r="D1893" s="13" t="s">
        <v>2204</v>
      </c>
      <c r="E1893" s="13" t="s">
        <v>2209</v>
      </c>
      <c r="F1893" s="13" t="s">
        <v>2223</v>
      </c>
      <c r="G1893" s="13">
        <v>224.91</v>
      </c>
      <c r="H1893" s="44">
        <v>18.899999999999999</v>
      </c>
      <c r="I1893" s="13">
        <v>182.4</v>
      </c>
      <c r="J1893" s="24">
        <v>45554</v>
      </c>
      <c r="K1893" s="25">
        <v>50</v>
      </c>
      <c r="L1893" s="25">
        <v>2.9718749999999998</v>
      </c>
      <c r="M1893" s="13" t="b">
        <v>0</v>
      </c>
      <c r="O1893" s="25">
        <f t="shared" si="116"/>
        <v>348</v>
      </c>
      <c r="P1893" s="13">
        <f t="shared" si="117"/>
        <v>944.99999999999989</v>
      </c>
      <c r="Q1893" s="13" t="str">
        <f t="shared" si="118"/>
        <v/>
      </c>
      <c r="R1893" s="13" t="str">
        <f t="shared" si="119"/>
        <v>Diskon</v>
      </c>
    </row>
    <row r="1894" spans="1:18" x14ac:dyDescent="0.25">
      <c r="A1894" s="13" t="s">
        <v>1906</v>
      </c>
      <c r="B1894" s="13" t="s">
        <v>2190</v>
      </c>
      <c r="C1894" s="13" t="s">
        <v>2198</v>
      </c>
      <c r="D1894" s="13" t="s">
        <v>2204</v>
      </c>
      <c r="E1894" s="13" t="s">
        <v>2208</v>
      </c>
      <c r="F1894" s="13" t="s">
        <v>2224</v>
      </c>
      <c r="G1894" s="13">
        <v>155.75</v>
      </c>
      <c r="H1894" s="44">
        <v>0</v>
      </c>
      <c r="I1894" s="13">
        <v>155.75</v>
      </c>
      <c r="J1894" s="24">
        <v>45741</v>
      </c>
      <c r="K1894" s="25">
        <v>0</v>
      </c>
      <c r="L1894" s="25">
        <v>2.4</v>
      </c>
      <c r="M1894" s="13" t="b">
        <v>0</v>
      </c>
      <c r="O1894" s="25">
        <f t="shared" si="116"/>
        <v>161</v>
      </c>
      <c r="P1894" s="13">
        <f t="shared" si="117"/>
        <v>0</v>
      </c>
      <c r="Q1894" s="13" t="str">
        <f t="shared" si="118"/>
        <v/>
      </c>
      <c r="R1894" s="13" t="str">
        <f t="shared" si="119"/>
        <v>Non diskon</v>
      </c>
    </row>
    <row r="1895" spans="1:18" x14ac:dyDescent="0.25">
      <c r="A1895" s="13" t="s">
        <v>1907</v>
      </c>
      <c r="B1895" s="13" t="s">
        <v>2193</v>
      </c>
      <c r="C1895" s="13" t="s">
        <v>2200</v>
      </c>
      <c r="D1895" s="13" t="s">
        <v>2205</v>
      </c>
      <c r="E1895" s="13" t="s">
        <v>2208</v>
      </c>
      <c r="F1895" s="13" t="s">
        <v>2219</v>
      </c>
      <c r="G1895" s="13">
        <v>194.4</v>
      </c>
      <c r="H1895" s="44">
        <v>16.2</v>
      </c>
      <c r="I1895" s="13">
        <v>162.91</v>
      </c>
      <c r="J1895" s="24">
        <v>45875</v>
      </c>
      <c r="K1895" s="25">
        <v>36</v>
      </c>
      <c r="L1895" s="25">
        <v>1.5</v>
      </c>
      <c r="M1895" s="13" t="b">
        <v>0</v>
      </c>
      <c r="O1895" s="25">
        <f t="shared" si="116"/>
        <v>27</v>
      </c>
      <c r="P1895" s="13">
        <f t="shared" si="117"/>
        <v>583.19999999999993</v>
      </c>
      <c r="Q1895" s="13" t="str">
        <f t="shared" si="118"/>
        <v/>
      </c>
      <c r="R1895" s="13" t="str">
        <f t="shared" si="119"/>
        <v>Diskon</v>
      </c>
    </row>
    <row r="1896" spans="1:18" x14ac:dyDescent="0.25">
      <c r="A1896" s="13" t="s">
        <v>1908</v>
      </c>
      <c r="B1896" s="13" t="s">
        <v>2193</v>
      </c>
      <c r="C1896" s="13" t="s">
        <v>2198</v>
      </c>
      <c r="D1896" s="13" t="s">
        <v>2206</v>
      </c>
      <c r="E1896" s="13" t="s">
        <v>2209</v>
      </c>
      <c r="F1896" s="13" t="s">
        <v>2214</v>
      </c>
      <c r="G1896" s="13">
        <v>169.77</v>
      </c>
      <c r="H1896" s="44">
        <v>0</v>
      </c>
      <c r="I1896" s="13">
        <v>169.77</v>
      </c>
      <c r="J1896" s="24">
        <v>45875</v>
      </c>
      <c r="K1896" s="25">
        <v>39</v>
      </c>
      <c r="L1896" s="25">
        <v>4.4000000000000004</v>
      </c>
      <c r="M1896" s="13" t="b">
        <v>0</v>
      </c>
      <c r="O1896" s="25">
        <f t="shared" si="116"/>
        <v>27</v>
      </c>
      <c r="P1896" s="13">
        <f t="shared" si="117"/>
        <v>0</v>
      </c>
      <c r="Q1896" s="13" t="str">
        <f t="shared" si="118"/>
        <v/>
      </c>
      <c r="R1896" s="13" t="str">
        <f t="shared" si="119"/>
        <v>Non diskon</v>
      </c>
    </row>
    <row r="1897" spans="1:18" x14ac:dyDescent="0.25">
      <c r="A1897" s="13" t="s">
        <v>1909</v>
      </c>
      <c r="B1897" s="13" t="s">
        <v>2192</v>
      </c>
      <c r="C1897" s="13" t="s">
        <v>2197</v>
      </c>
      <c r="D1897" s="13" t="s">
        <v>2205</v>
      </c>
      <c r="F1897" s="13" t="s">
        <v>2219</v>
      </c>
      <c r="G1897" s="13">
        <v>41.52</v>
      </c>
      <c r="H1897" s="44">
        <v>27.3</v>
      </c>
      <c r="I1897" s="13">
        <v>30.19</v>
      </c>
      <c r="J1897" s="24">
        <v>45875</v>
      </c>
      <c r="K1897" s="25">
        <v>48</v>
      </c>
      <c r="L1897" s="25">
        <v>3.4</v>
      </c>
      <c r="M1897" s="13" t="b">
        <v>0</v>
      </c>
      <c r="O1897" s="25">
        <f t="shared" si="116"/>
        <v>27</v>
      </c>
      <c r="P1897" s="13">
        <f t="shared" si="117"/>
        <v>1310.4000000000001</v>
      </c>
      <c r="Q1897" s="13" t="str">
        <f t="shared" si="118"/>
        <v/>
      </c>
      <c r="R1897" s="13" t="str">
        <f t="shared" si="119"/>
        <v>Diskon</v>
      </c>
    </row>
    <row r="1898" spans="1:18" x14ac:dyDescent="0.25">
      <c r="A1898" s="13" t="s">
        <v>1910</v>
      </c>
      <c r="B1898" s="13" t="s">
        <v>2194</v>
      </c>
      <c r="C1898" s="13" t="s">
        <v>2197</v>
      </c>
      <c r="D1898" s="13" t="s">
        <v>2205</v>
      </c>
      <c r="E1898" s="13" t="s">
        <v>2210</v>
      </c>
      <c r="F1898" s="13" t="s">
        <v>2220</v>
      </c>
      <c r="G1898" s="13">
        <v>29.5</v>
      </c>
      <c r="H1898" s="44">
        <v>0</v>
      </c>
      <c r="I1898" s="13">
        <v>29.5</v>
      </c>
      <c r="J1898" s="24">
        <v>45875</v>
      </c>
      <c r="K1898" s="25">
        <v>36</v>
      </c>
      <c r="L1898" s="25">
        <v>2.6</v>
      </c>
      <c r="M1898" s="13" t="b">
        <v>0</v>
      </c>
      <c r="O1898" s="25">
        <f t="shared" si="116"/>
        <v>27</v>
      </c>
      <c r="P1898" s="13">
        <f t="shared" si="117"/>
        <v>0</v>
      </c>
      <c r="Q1898" s="13" t="str">
        <f t="shared" si="118"/>
        <v/>
      </c>
      <c r="R1898" s="13" t="str">
        <f t="shared" si="119"/>
        <v>Non diskon</v>
      </c>
    </row>
    <row r="1899" spans="1:18" x14ac:dyDescent="0.25">
      <c r="A1899" s="13" t="s">
        <v>1911</v>
      </c>
      <c r="B1899" s="13" t="s">
        <v>2190</v>
      </c>
      <c r="C1899" s="13" t="s">
        <v>2198</v>
      </c>
      <c r="D1899" s="13" t="s">
        <v>2204</v>
      </c>
      <c r="E1899" s="13" t="s">
        <v>2210</v>
      </c>
      <c r="F1899" s="13" t="s">
        <v>2218</v>
      </c>
      <c r="G1899" s="13">
        <v>224.47</v>
      </c>
      <c r="H1899" s="44">
        <v>2.7</v>
      </c>
      <c r="I1899" s="13">
        <v>218.41</v>
      </c>
      <c r="J1899" s="24">
        <v>45684</v>
      </c>
      <c r="K1899" s="25">
        <v>15</v>
      </c>
      <c r="L1899" s="25">
        <v>3.5</v>
      </c>
      <c r="M1899" s="13" t="b">
        <v>0</v>
      </c>
      <c r="O1899" s="25">
        <f t="shared" si="116"/>
        <v>218</v>
      </c>
      <c r="P1899" s="13">
        <f t="shared" si="117"/>
        <v>40.5</v>
      </c>
      <c r="Q1899" s="13" t="str">
        <f t="shared" si="118"/>
        <v/>
      </c>
      <c r="R1899" s="13" t="str">
        <f t="shared" si="119"/>
        <v>Diskon</v>
      </c>
    </row>
    <row r="1900" spans="1:18" x14ac:dyDescent="0.25">
      <c r="A1900" s="13" t="s">
        <v>1912</v>
      </c>
      <c r="B1900" s="13" t="s">
        <v>2194</v>
      </c>
      <c r="C1900" s="13" t="s">
        <v>2203</v>
      </c>
      <c r="D1900" s="13" t="s">
        <v>2207</v>
      </c>
      <c r="E1900" s="13" t="s">
        <v>2210</v>
      </c>
      <c r="F1900" s="13" t="s">
        <v>2218</v>
      </c>
      <c r="G1900" s="13">
        <v>101.45</v>
      </c>
      <c r="H1900" s="44">
        <v>7.8</v>
      </c>
      <c r="I1900" s="13">
        <v>93.54</v>
      </c>
      <c r="J1900" s="24">
        <v>45875</v>
      </c>
      <c r="K1900" s="25">
        <v>4</v>
      </c>
      <c r="L1900" s="25">
        <v>1.1000000000000001</v>
      </c>
      <c r="M1900" s="13" t="b">
        <v>0</v>
      </c>
      <c r="O1900" s="25">
        <f t="shared" si="116"/>
        <v>27</v>
      </c>
      <c r="P1900" s="13">
        <f t="shared" si="117"/>
        <v>31.2</v>
      </c>
      <c r="Q1900" s="13" t="str">
        <f t="shared" si="118"/>
        <v/>
      </c>
      <c r="R1900" s="13" t="str">
        <f t="shared" si="119"/>
        <v>Diskon</v>
      </c>
    </row>
    <row r="1901" spans="1:18" x14ac:dyDescent="0.25">
      <c r="A1901" s="13" t="s">
        <v>1913</v>
      </c>
      <c r="B1901" s="13" t="s">
        <v>2193</v>
      </c>
      <c r="C1901" s="13" t="s">
        <v>2198</v>
      </c>
      <c r="D1901" s="13" t="s">
        <v>2204</v>
      </c>
      <c r="E1901" s="13" t="s">
        <v>2211</v>
      </c>
      <c r="F1901" s="13" t="s">
        <v>2214</v>
      </c>
      <c r="G1901" s="13">
        <v>84.65</v>
      </c>
      <c r="H1901" s="44">
        <v>0</v>
      </c>
      <c r="I1901" s="13">
        <v>84.65</v>
      </c>
      <c r="J1901" s="24">
        <v>45864</v>
      </c>
      <c r="K1901" s="25">
        <v>49</v>
      </c>
      <c r="L1901" s="25">
        <v>3.6</v>
      </c>
      <c r="M1901" s="13" t="b">
        <v>0</v>
      </c>
      <c r="O1901" s="25">
        <f t="shared" si="116"/>
        <v>38</v>
      </c>
      <c r="P1901" s="13">
        <f t="shared" si="117"/>
        <v>0</v>
      </c>
      <c r="Q1901" s="13" t="str">
        <f t="shared" si="118"/>
        <v/>
      </c>
      <c r="R1901" s="13" t="str">
        <f t="shared" si="119"/>
        <v>Non diskon</v>
      </c>
    </row>
    <row r="1902" spans="1:18" x14ac:dyDescent="0.25">
      <c r="A1902" s="13" t="s">
        <v>1914</v>
      </c>
      <c r="B1902" s="13" t="s">
        <v>2190</v>
      </c>
      <c r="C1902" s="13" t="s">
        <v>2201</v>
      </c>
      <c r="D1902" s="13" t="s">
        <v>2207</v>
      </c>
      <c r="E1902" s="13" t="s">
        <v>2210</v>
      </c>
      <c r="F1902" s="13" t="s">
        <v>2221</v>
      </c>
      <c r="G1902" s="13">
        <v>155.85</v>
      </c>
      <c r="H1902" s="44">
        <v>0</v>
      </c>
      <c r="I1902" s="13">
        <v>155.85</v>
      </c>
      <c r="J1902" s="24">
        <v>45875</v>
      </c>
      <c r="K1902" s="25">
        <v>38</v>
      </c>
      <c r="L1902" s="25">
        <v>3.0305555555555546</v>
      </c>
      <c r="M1902" s="13" t="b">
        <v>0</v>
      </c>
      <c r="O1902" s="25">
        <f t="shared" si="116"/>
        <v>27</v>
      </c>
      <c r="P1902" s="13">
        <f t="shared" si="117"/>
        <v>0</v>
      </c>
      <c r="Q1902" s="13" t="str">
        <f t="shared" si="118"/>
        <v/>
      </c>
      <c r="R1902" s="13" t="str">
        <f t="shared" si="119"/>
        <v>Non diskon</v>
      </c>
    </row>
    <row r="1903" spans="1:18" x14ac:dyDescent="0.25">
      <c r="A1903" s="13" t="s">
        <v>1915</v>
      </c>
      <c r="B1903" s="13" t="s">
        <v>2191</v>
      </c>
      <c r="C1903" s="13" t="s">
        <v>2196</v>
      </c>
      <c r="D1903" s="13" t="s">
        <v>2205</v>
      </c>
      <c r="E1903" s="13" t="s">
        <v>2208</v>
      </c>
      <c r="F1903" s="13" t="s">
        <v>2219</v>
      </c>
      <c r="G1903" s="13">
        <v>89.62</v>
      </c>
      <c r="H1903" s="44">
        <v>0</v>
      </c>
      <c r="I1903" s="13">
        <v>89.62</v>
      </c>
      <c r="J1903" s="24">
        <v>45875</v>
      </c>
      <c r="K1903" s="25">
        <v>0</v>
      </c>
      <c r="L1903" s="25">
        <v>4.5999999999999996</v>
      </c>
      <c r="M1903" s="13" t="b">
        <v>1</v>
      </c>
      <c r="N1903" s="13" t="s">
        <v>2225</v>
      </c>
      <c r="O1903" s="25">
        <f t="shared" si="116"/>
        <v>27</v>
      </c>
      <c r="P1903" s="13">
        <f t="shared" si="117"/>
        <v>0</v>
      </c>
      <c r="Q1903" s="13">
        <f t="shared" si="118"/>
        <v>1</v>
      </c>
      <c r="R1903" s="13" t="str">
        <f t="shared" si="119"/>
        <v>Non diskon</v>
      </c>
    </row>
    <row r="1904" spans="1:18" x14ac:dyDescent="0.25">
      <c r="A1904" s="13" t="s">
        <v>1916</v>
      </c>
      <c r="B1904" s="13" t="s">
        <v>2191</v>
      </c>
      <c r="C1904" s="13" t="s">
        <v>2202</v>
      </c>
      <c r="D1904" s="13" t="s">
        <v>2207</v>
      </c>
      <c r="E1904" s="13" t="s">
        <v>2209</v>
      </c>
      <c r="F1904" s="13" t="s">
        <v>2220</v>
      </c>
      <c r="G1904" s="13">
        <v>62.79</v>
      </c>
      <c r="H1904" s="44">
        <v>37.700000000000003</v>
      </c>
      <c r="I1904" s="13">
        <v>39.119999999999997</v>
      </c>
      <c r="J1904" s="24">
        <v>45875</v>
      </c>
      <c r="K1904" s="25">
        <v>5</v>
      </c>
      <c r="L1904" s="25">
        <v>2.6</v>
      </c>
      <c r="M1904" s="13" t="b">
        <v>0</v>
      </c>
      <c r="O1904" s="25">
        <f t="shared" si="116"/>
        <v>27</v>
      </c>
      <c r="P1904" s="13">
        <f t="shared" si="117"/>
        <v>188.5</v>
      </c>
      <c r="Q1904" s="13" t="str">
        <f t="shared" si="118"/>
        <v/>
      </c>
      <c r="R1904" s="13" t="str">
        <f t="shared" si="119"/>
        <v>Diskon</v>
      </c>
    </row>
    <row r="1905" spans="1:18" x14ac:dyDescent="0.25">
      <c r="A1905" s="13" t="s">
        <v>1917</v>
      </c>
      <c r="B1905" s="13" t="s">
        <v>2194</v>
      </c>
      <c r="C1905" s="13" t="s">
        <v>2202</v>
      </c>
      <c r="D1905" s="13" t="s">
        <v>2207</v>
      </c>
      <c r="E1905" s="13" t="s">
        <v>2208</v>
      </c>
      <c r="F1905" s="13" t="s">
        <v>2221</v>
      </c>
      <c r="G1905" s="13">
        <v>84.72</v>
      </c>
      <c r="H1905" s="44">
        <v>24.2</v>
      </c>
      <c r="I1905" s="13">
        <v>64.22</v>
      </c>
      <c r="J1905" s="24">
        <v>45875</v>
      </c>
      <c r="K1905" s="25">
        <v>44</v>
      </c>
      <c r="L1905" s="25">
        <v>3.1799999999999997</v>
      </c>
      <c r="M1905" s="13" t="b">
        <v>1</v>
      </c>
      <c r="N1905" s="13" t="s">
        <v>2225</v>
      </c>
      <c r="O1905" s="25">
        <f t="shared" si="116"/>
        <v>27</v>
      </c>
      <c r="P1905" s="13">
        <f t="shared" si="117"/>
        <v>1064.8</v>
      </c>
      <c r="Q1905" s="13">
        <f t="shared" si="118"/>
        <v>1</v>
      </c>
      <c r="R1905" s="13" t="str">
        <f t="shared" si="119"/>
        <v>Diskon</v>
      </c>
    </row>
    <row r="1906" spans="1:18" x14ac:dyDescent="0.25">
      <c r="A1906" s="13" t="s">
        <v>1918</v>
      </c>
      <c r="B1906" s="13" t="s">
        <v>2191</v>
      </c>
      <c r="C1906" s="13" t="s">
        <v>2199</v>
      </c>
      <c r="D1906" s="13" t="s">
        <v>2206</v>
      </c>
      <c r="E1906" s="13" t="s">
        <v>2208</v>
      </c>
      <c r="F1906" s="13" t="s">
        <v>2215</v>
      </c>
      <c r="G1906" s="13">
        <v>50.9</v>
      </c>
      <c r="H1906" s="44">
        <v>0</v>
      </c>
      <c r="I1906" s="13">
        <v>50.9</v>
      </c>
      <c r="J1906" s="24">
        <v>45875</v>
      </c>
      <c r="K1906" s="25">
        <v>1</v>
      </c>
      <c r="L1906" s="25">
        <v>1.8</v>
      </c>
      <c r="M1906" s="13" t="b">
        <v>0</v>
      </c>
      <c r="O1906" s="25">
        <f t="shared" si="116"/>
        <v>27</v>
      </c>
      <c r="P1906" s="13">
        <f t="shared" si="117"/>
        <v>0</v>
      </c>
      <c r="Q1906" s="13" t="str">
        <f t="shared" si="118"/>
        <v/>
      </c>
      <c r="R1906" s="13" t="str">
        <f t="shared" si="119"/>
        <v>Non diskon</v>
      </c>
    </row>
    <row r="1907" spans="1:18" x14ac:dyDescent="0.25">
      <c r="A1907" s="13" t="s">
        <v>1919</v>
      </c>
      <c r="B1907" s="13" t="s">
        <v>2192</v>
      </c>
      <c r="C1907" s="13" t="s">
        <v>2196</v>
      </c>
      <c r="D1907" s="13" t="s">
        <v>2205</v>
      </c>
      <c r="F1907" s="13" t="s">
        <v>2215</v>
      </c>
      <c r="G1907" s="13">
        <v>31.23</v>
      </c>
      <c r="H1907" s="44">
        <v>0</v>
      </c>
      <c r="I1907" s="13">
        <v>31.23</v>
      </c>
      <c r="J1907" s="24">
        <v>45875</v>
      </c>
      <c r="K1907" s="25">
        <v>25</v>
      </c>
      <c r="L1907" s="25">
        <v>2.8</v>
      </c>
      <c r="M1907" s="13" t="b">
        <v>0</v>
      </c>
      <c r="O1907" s="25">
        <f t="shared" si="116"/>
        <v>27</v>
      </c>
      <c r="P1907" s="13">
        <f t="shared" si="117"/>
        <v>0</v>
      </c>
      <c r="Q1907" s="13" t="str">
        <f t="shared" si="118"/>
        <v/>
      </c>
      <c r="R1907" s="13" t="str">
        <f t="shared" si="119"/>
        <v>Non diskon</v>
      </c>
    </row>
    <row r="1908" spans="1:18" x14ac:dyDescent="0.25">
      <c r="A1908" s="13" t="s">
        <v>1920</v>
      </c>
      <c r="B1908" s="13" t="s">
        <v>2191</v>
      </c>
      <c r="C1908" s="13" t="s">
        <v>2196</v>
      </c>
      <c r="D1908" s="13" t="s">
        <v>2204</v>
      </c>
      <c r="E1908" s="13" t="s">
        <v>2211</v>
      </c>
      <c r="F1908" s="13" t="s">
        <v>2214</v>
      </c>
      <c r="G1908" s="13">
        <v>105.1</v>
      </c>
      <c r="H1908" s="44">
        <v>0</v>
      </c>
      <c r="I1908" s="13">
        <v>105.1</v>
      </c>
      <c r="J1908" s="24">
        <v>45532</v>
      </c>
      <c r="K1908" s="25">
        <v>39</v>
      </c>
      <c r="L1908" s="25">
        <v>4.4000000000000004</v>
      </c>
      <c r="M1908" s="13" t="b">
        <v>0</v>
      </c>
      <c r="O1908" s="25">
        <f t="shared" si="116"/>
        <v>370</v>
      </c>
      <c r="P1908" s="13">
        <f t="shared" si="117"/>
        <v>0</v>
      </c>
      <c r="Q1908" s="13" t="str">
        <f t="shared" si="118"/>
        <v/>
      </c>
      <c r="R1908" s="13" t="str">
        <f t="shared" si="119"/>
        <v>Non diskon</v>
      </c>
    </row>
    <row r="1909" spans="1:18" x14ac:dyDescent="0.25">
      <c r="A1909" s="13" t="s">
        <v>1921</v>
      </c>
      <c r="B1909" s="13" t="s">
        <v>2195</v>
      </c>
      <c r="C1909" s="13" t="s">
        <v>2203</v>
      </c>
      <c r="D1909" s="13" t="s">
        <v>2207</v>
      </c>
      <c r="E1909" s="13" t="s">
        <v>2212</v>
      </c>
      <c r="F1909" s="13" t="s">
        <v>2224</v>
      </c>
      <c r="G1909" s="13">
        <v>160.38</v>
      </c>
      <c r="H1909" s="44">
        <v>0</v>
      </c>
      <c r="I1909" s="13">
        <v>160.38</v>
      </c>
      <c r="J1909" s="24">
        <v>45875</v>
      </c>
      <c r="K1909" s="25">
        <v>27</v>
      </c>
      <c r="L1909" s="25">
        <v>2.7</v>
      </c>
      <c r="M1909" s="13" t="b">
        <v>1</v>
      </c>
      <c r="N1909" s="13" t="s">
        <v>2230</v>
      </c>
      <c r="O1909" s="25">
        <f t="shared" si="116"/>
        <v>27</v>
      </c>
      <c r="P1909" s="13">
        <f t="shared" si="117"/>
        <v>0</v>
      </c>
      <c r="Q1909" s="13">
        <f t="shared" si="118"/>
        <v>1</v>
      </c>
      <c r="R1909" s="13" t="str">
        <f t="shared" si="119"/>
        <v>Non diskon</v>
      </c>
    </row>
    <row r="1910" spans="1:18" x14ac:dyDescent="0.25">
      <c r="A1910" s="13" t="s">
        <v>1922</v>
      </c>
      <c r="B1910" s="13" t="s">
        <v>2194</v>
      </c>
      <c r="C1910" s="13" t="s">
        <v>2197</v>
      </c>
      <c r="D1910" s="13" t="s">
        <v>2204</v>
      </c>
      <c r="E1910" s="13" t="s">
        <v>2212</v>
      </c>
      <c r="F1910" s="13" t="s">
        <v>2215</v>
      </c>
      <c r="G1910" s="13">
        <v>96.68</v>
      </c>
      <c r="H1910" s="44">
        <v>26</v>
      </c>
      <c r="I1910" s="13">
        <v>71.540000000000006</v>
      </c>
      <c r="J1910" s="24">
        <v>45556</v>
      </c>
      <c r="K1910" s="25">
        <v>16</v>
      </c>
      <c r="L1910" s="25">
        <v>3.0846153846153843</v>
      </c>
      <c r="M1910" s="13" t="b">
        <v>0</v>
      </c>
      <c r="O1910" s="25">
        <f t="shared" si="116"/>
        <v>346</v>
      </c>
      <c r="P1910" s="13">
        <f t="shared" si="117"/>
        <v>416</v>
      </c>
      <c r="Q1910" s="13" t="str">
        <f t="shared" si="118"/>
        <v/>
      </c>
      <c r="R1910" s="13" t="str">
        <f t="shared" si="119"/>
        <v>Diskon</v>
      </c>
    </row>
    <row r="1911" spans="1:18" x14ac:dyDescent="0.25">
      <c r="A1911" s="13" t="s">
        <v>1923</v>
      </c>
      <c r="B1911" s="13" t="s">
        <v>2192</v>
      </c>
      <c r="C1911" s="13" t="s">
        <v>2203</v>
      </c>
      <c r="D1911" s="13" t="s">
        <v>2207</v>
      </c>
      <c r="F1911" s="13" t="s">
        <v>2221</v>
      </c>
      <c r="G1911" s="13">
        <v>16.64</v>
      </c>
      <c r="H1911" s="44">
        <v>0</v>
      </c>
      <c r="I1911" s="13">
        <v>16.64</v>
      </c>
      <c r="J1911" s="24">
        <v>45875</v>
      </c>
      <c r="K1911" s="25">
        <v>8</v>
      </c>
      <c r="L1911" s="25">
        <v>4.8</v>
      </c>
      <c r="M1911" s="13" t="b">
        <v>0</v>
      </c>
      <c r="O1911" s="25">
        <f t="shared" si="116"/>
        <v>27</v>
      </c>
      <c r="P1911" s="13">
        <f t="shared" si="117"/>
        <v>0</v>
      </c>
      <c r="Q1911" s="13" t="str">
        <f t="shared" si="118"/>
        <v/>
      </c>
      <c r="R1911" s="13" t="str">
        <f t="shared" si="119"/>
        <v>Non diskon</v>
      </c>
    </row>
    <row r="1912" spans="1:18" x14ac:dyDescent="0.25">
      <c r="A1912" s="13" t="s">
        <v>1924</v>
      </c>
      <c r="B1912" s="13" t="s">
        <v>2190</v>
      </c>
      <c r="C1912" s="13" t="s">
        <v>2201</v>
      </c>
      <c r="D1912" s="13" t="s">
        <v>2206</v>
      </c>
      <c r="E1912" s="13" t="s">
        <v>2210</v>
      </c>
      <c r="F1912" s="13" t="s">
        <v>2221</v>
      </c>
      <c r="G1912" s="13">
        <v>160.05000000000001</v>
      </c>
      <c r="H1912" s="44">
        <v>53.7</v>
      </c>
      <c r="I1912" s="13">
        <v>74.099999999999994</v>
      </c>
      <c r="J1912" s="24">
        <v>45875</v>
      </c>
      <c r="K1912" s="25">
        <v>2</v>
      </c>
      <c r="L1912" s="25">
        <v>3.2</v>
      </c>
      <c r="M1912" s="13" t="b">
        <v>1</v>
      </c>
      <c r="N1912" s="13" t="s">
        <v>2228</v>
      </c>
      <c r="O1912" s="25">
        <f t="shared" si="116"/>
        <v>27</v>
      </c>
      <c r="P1912" s="13">
        <f t="shared" si="117"/>
        <v>107.4</v>
      </c>
      <c r="Q1912" s="13">
        <f t="shared" si="118"/>
        <v>1</v>
      </c>
      <c r="R1912" s="13" t="str">
        <f t="shared" si="119"/>
        <v>Diskon</v>
      </c>
    </row>
    <row r="1913" spans="1:18" x14ac:dyDescent="0.25">
      <c r="A1913" s="13" t="s">
        <v>1925</v>
      </c>
      <c r="B1913" s="13" t="s">
        <v>2192</v>
      </c>
      <c r="C1913" s="13" t="s">
        <v>2199</v>
      </c>
      <c r="D1913" s="13" t="s">
        <v>2206</v>
      </c>
      <c r="F1913" s="13" t="s">
        <v>2218</v>
      </c>
      <c r="G1913" s="13">
        <v>23.56</v>
      </c>
      <c r="H1913" s="44">
        <v>0</v>
      </c>
      <c r="I1913" s="13">
        <v>23.56</v>
      </c>
      <c r="J1913" s="24">
        <v>45875</v>
      </c>
      <c r="K1913" s="25">
        <v>16</v>
      </c>
      <c r="L1913" s="25">
        <v>4.4000000000000004</v>
      </c>
      <c r="M1913" s="13" t="b">
        <v>0</v>
      </c>
      <c r="O1913" s="25">
        <f t="shared" si="116"/>
        <v>27</v>
      </c>
      <c r="P1913" s="13">
        <f t="shared" si="117"/>
        <v>0</v>
      </c>
      <c r="Q1913" s="13" t="str">
        <f t="shared" si="118"/>
        <v/>
      </c>
      <c r="R1913" s="13" t="str">
        <f t="shared" si="119"/>
        <v>Non diskon</v>
      </c>
    </row>
    <row r="1914" spans="1:18" x14ac:dyDescent="0.25">
      <c r="A1914" s="13" t="s">
        <v>1926</v>
      </c>
      <c r="B1914" s="13" t="s">
        <v>2193</v>
      </c>
      <c r="C1914" s="13" t="s">
        <v>2196</v>
      </c>
      <c r="D1914" s="13" t="s">
        <v>2206</v>
      </c>
      <c r="E1914" s="13" t="s">
        <v>2212</v>
      </c>
      <c r="F1914" s="13" t="s">
        <v>2216</v>
      </c>
      <c r="G1914" s="13">
        <v>68.37</v>
      </c>
      <c r="H1914" s="44">
        <v>24.2</v>
      </c>
      <c r="I1914" s="13">
        <v>51.82</v>
      </c>
      <c r="J1914" s="24">
        <v>45875</v>
      </c>
      <c r="K1914" s="25">
        <v>8</v>
      </c>
      <c r="L1914" s="25">
        <v>3.7</v>
      </c>
      <c r="M1914" s="13" t="b">
        <v>0</v>
      </c>
      <c r="O1914" s="25">
        <f t="shared" si="116"/>
        <v>27</v>
      </c>
      <c r="P1914" s="13">
        <f t="shared" si="117"/>
        <v>193.6</v>
      </c>
      <c r="Q1914" s="13" t="str">
        <f t="shared" si="118"/>
        <v/>
      </c>
      <c r="R1914" s="13" t="str">
        <f t="shared" si="119"/>
        <v>Diskon</v>
      </c>
    </row>
    <row r="1915" spans="1:18" x14ac:dyDescent="0.25">
      <c r="A1915" s="13" t="s">
        <v>1927</v>
      </c>
      <c r="B1915" s="13" t="s">
        <v>2190</v>
      </c>
      <c r="C1915" s="13" t="s">
        <v>2199</v>
      </c>
      <c r="D1915" s="13" t="s">
        <v>2206</v>
      </c>
      <c r="E1915" s="13" t="s">
        <v>2210</v>
      </c>
      <c r="F1915" s="13" t="s">
        <v>2220</v>
      </c>
      <c r="G1915" s="13">
        <v>184.24</v>
      </c>
      <c r="H1915" s="44">
        <v>0</v>
      </c>
      <c r="I1915" s="13">
        <v>184.24</v>
      </c>
      <c r="J1915" s="24">
        <v>45875</v>
      </c>
      <c r="K1915" s="25">
        <v>49</v>
      </c>
      <c r="L1915" s="25">
        <v>4</v>
      </c>
      <c r="M1915" s="13" t="b">
        <v>0</v>
      </c>
      <c r="O1915" s="25">
        <f t="shared" si="116"/>
        <v>27</v>
      </c>
      <c r="P1915" s="13">
        <f t="shared" si="117"/>
        <v>0</v>
      </c>
      <c r="Q1915" s="13" t="str">
        <f t="shared" si="118"/>
        <v/>
      </c>
      <c r="R1915" s="13" t="str">
        <f t="shared" si="119"/>
        <v>Non diskon</v>
      </c>
    </row>
    <row r="1916" spans="1:18" x14ac:dyDescent="0.25">
      <c r="A1916" s="13" t="s">
        <v>1928</v>
      </c>
      <c r="B1916" s="13" t="s">
        <v>2193</v>
      </c>
      <c r="C1916" s="13" t="s">
        <v>2198</v>
      </c>
      <c r="D1916" s="13" t="s">
        <v>2204</v>
      </c>
      <c r="E1916" s="13" t="s">
        <v>2212</v>
      </c>
      <c r="F1916" s="13" t="s">
        <v>2220</v>
      </c>
      <c r="G1916" s="13">
        <v>94.83</v>
      </c>
      <c r="H1916" s="44">
        <v>0</v>
      </c>
      <c r="I1916" s="13">
        <v>94.83</v>
      </c>
      <c r="J1916" s="24">
        <v>45543</v>
      </c>
      <c r="K1916" s="25">
        <v>23</v>
      </c>
      <c r="L1916" s="25">
        <v>2.9</v>
      </c>
      <c r="M1916" s="13" t="b">
        <v>0</v>
      </c>
      <c r="O1916" s="25">
        <f t="shared" si="116"/>
        <v>359</v>
      </c>
      <c r="P1916" s="13">
        <f t="shared" si="117"/>
        <v>0</v>
      </c>
      <c r="Q1916" s="13" t="str">
        <f t="shared" si="118"/>
        <v/>
      </c>
      <c r="R1916" s="13" t="str">
        <f t="shared" si="119"/>
        <v>Non diskon</v>
      </c>
    </row>
    <row r="1917" spans="1:18" x14ac:dyDescent="0.25">
      <c r="A1917" s="13" t="s">
        <v>1929</v>
      </c>
      <c r="B1917" s="13" t="s">
        <v>2191</v>
      </c>
      <c r="C1917" s="13" t="s">
        <v>2201</v>
      </c>
      <c r="D1917" s="13" t="s">
        <v>2207</v>
      </c>
      <c r="E1917" s="13" t="s">
        <v>2213</v>
      </c>
      <c r="F1917" s="13" t="s">
        <v>2215</v>
      </c>
      <c r="G1917" s="13">
        <v>115.58</v>
      </c>
      <c r="H1917" s="44">
        <v>0</v>
      </c>
      <c r="I1917" s="13">
        <v>115.58</v>
      </c>
      <c r="J1917" s="24">
        <v>45875</v>
      </c>
      <c r="K1917" s="25">
        <v>37</v>
      </c>
      <c r="L1917" s="25">
        <v>2.2000000000000002</v>
      </c>
      <c r="M1917" s="13" t="b">
        <v>0</v>
      </c>
      <c r="O1917" s="25">
        <f t="shared" si="116"/>
        <v>27</v>
      </c>
      <c r="P1917" s="13">
        <f t="shared" si="117"/>
        <v>0</v>
      </c>
      <c r="Q1917" s="13" t="str">
        <f t="shared" si="118"/>
        <v/>
      </c>
      <c r="R1917" s="13" t="str">
        <f t="shared" si="119"/>
        <v>Non diskon</v>
      </c>
    </row>
    <row r="1918" spans="1:18" x14ac:dyDescent="0.25">
      <c r="A1918" s="13" t="s">
        <v>1930</v>
      </c>
      <c r="B1918" s="13" t="s">
        <v>2190</v>
      </c>
      <c r="C1918" s="13" t="s">
        <v>2196</v>
      </c>
      <c r="D1918" s="13" t="s">
        <v>2205</v>
      </c>
      <c r="E1918" s="13" t="s">
        <v>2211</v>
      </c>
      <c r="F1918" s="13" t="s">
        <v>2220</v>
      </c>
      <c r="G1918" s="13">
        <v>116.29</v>
      </c>
      <c r="H1918" s="44">
        <v>58.7</v>
      </c>
      <c r="I1918" s="13">
        <v>48.03</v>
      </c>
      <c r="J1918" s="24">
        <v>45875</v>
      </c>
      <c r="K1918" s="25">
        <v>34</v>
      </c>
      <c r="L1918" s="25">
        <v>3.3</v>
      </c>
      <c r="M1918" s="13" t="b">
        <v>0</v>
      </c>
      <c r="O1918" s="25">
        <f t="shared" si="116"/>
        <v>27</v>
      </c>
      <c r="P1918" s="13">
        <f t="shared" si="117"/>
        <v>1995.8000000000002</v>
      </c>
      <c r="Q1918" s="13" t="str">
        <f t="shared" si="118"/>
        <v/>
      </c>
      <c r="R1918" s="13" t="str">
        <f t="shared" si="119"/>
        <v>Diskon</v>
      </c>
    </row>
    <row r="1919" spans="1:18" x14ac:dyDescent="0.25">
      <c r="A1919" s="13" t="s">
        <v>1931</v>
      </c>
      <c r="B1919" s="13" t="s">
        <v>2192</v>
      </c>
      <c r="C1919" s="13" t="s">
        <v>2198</v>
      </c>
      <c r="D1919" s="13" t="s">
        <v>2207</v>
      </c>
      <c r="F1919" s="13" t="s">
        <v>2220</v>
      </c>
      <c r="G1919" s="13">
        <v>24.55</v>
      </c>
      <c r="H1919" s="44">
        <v>0</v>
      </c>
      <c r="I1919" s="13">
        <v>24.55</v>
      </c>
      <c r="J1919" s="24">
        <v>45875</v>
      </c>
      <c r="K1919" s="25">
        <v>43</v>
      </c>
      <c r="L1919" s="25">
        <v>2.2999999999999998</v>
      </c>
      <c r="M1919" s="13" t="b">
        <v>0</v>
      </c>
      <c r="O1919" s="25">
        <f t="shared" si="116"/>
        <v>27</v>
      </c>
      <c r="P1919" s="13">
        <f t="shared" si="117"/>
        <v>0</v>
      </c>
      <c r="Q1919" s="13" t="str">
        <f t="shared" si="118"/>
        <v/>
      </c>
      <c r="R1919" s="13" t="str">
        <f t="shared" si="119"/>
        <v>Non diskon</v>
      </c>
    </row>
    <row r="1920" spans="1:18" x14ac:dyDescent="0.25">
      <c r="A1920" s="13" t="s">
        <v>1932</v>
      </c>
      <c r="B1920" s="13" t="s">
        <v>2195</v>
      </c>
      <c r="C1920" s="13" t="s">
        <v>2196</v>
      </c>
      <c r="D1920" s="13" t="s">
        <v>2204</v>
      </c>
      <c r="F1920" s="13" t="s">
        <v>2222</v>
      </c>
      <c r="G1920" s="13">
        <v>81.56</v>
      </c>
      <c r="H1920" s="44">
        <v>0</v>
      </c>
      <c r="I1920" s="13">
        <v>81.56</v>
      </c>
      <c r="J1920" s="24">
        <v>45666</v>
      </c>
      <c r="K1920" s="25">
        <v>28</v>
      </c>
      <c r="L1920" s="25">
        <v>3</v>
      </c>
      <c r="M1920" s="13" t="b">
        <v>0</v>
      </c>
      <c r="O1920" s="25">
        <f t="shared" si="116"/>
        <v>236</v>
      </c>
      <c r="P1920" s="13">
        <f t="shared" si="117"/>
        <v>0</v>
      </c>
      <c r="Q1920" s="13" t="str">
        <f t="shared" si="118"/>
        <v/>
      </c>
      <c r="R1920" s="13" t="str">
        <f t="shared" si="119"/>
        <v>Non diskon</v>
      </c>
    </row>
    <row r="1921" spans="1:18" x14ac:dyDescent="0.25">
      <c r="A1921" s="13" t="s">
        <v>1933</v>
      </c>
      <c r="B1921" s="13" t="s">
        <v>2190</v>
      </c>
      <c r="C1921" s="13" t="s">
        <v>2198</v>
      </c>
      <c r="D1921" s="13" t="s">
        <v>2204</v>
      </c>
      <c r="E1921" s="13" t="s">
        <v>2213</v>
      </c>
      <c r="F1921" s="13" t="s">
        <v>2217</v>
      </c>
      <c r="G1921" s="13">
        <v>234.63</v>
      </c>
      <c r="H1921" s="44">
        <v>0</v>
      </c>
      <c r="I1921" s="13">
        <v>234.63</v>
      </c>
      <c r="J1921" s="24">
        <v>45695</v>
      </c>
      <c r="K1921" s="25">
        <v>30</v>
      </c>
      <c r="L1921" s="25">
        <v>4.3</v>
      </c>
      <c r="M1921" s="13" t="b">
        <v>0</v>
      </c>
      <c r="O1921" s="25">
        <f t="shared" si="116"/>
        <v>207</v>
      </c>
      <c r="P1921" s="13">
        <f t="shared" si="117"/>
        <v>0</v>
      </c>
      <c r="Q1921" s="13" t="str">
        <f t="shared" si="118"/>
        <v/>
      </c>
      <c r="R1921" s="13" t="str">
        <f t="shared" si="119"/>
        <v>Non diskon</v>
      </c>
    </row>
    <row r="1922" spans="1:18" x14ac:dyDescent="0.25">
      <c r="A1922" s="13" t="s">
        <v>1934</v>
      </c>
      <c r="B1922" s="13" t="s">
        <v>2192</v>
      </c>
      <c r="C1922" s="13" t="s">
        <v>2196</v>
      </c>
      <c r="D1922" s="13" t="s">
        <v>2206</v>
      </c>
      <c r="F1922" s="13" t="s">
        <v>2217</v>
      </c>
      <c r="G1922" s="13">
        <v>27.6</v>
      </c>
      <c r="H1922" s="44">
        <v>0</v>
      </c>
      <c r="I1922" s="13">
        <v>27.6</v>
      </c>
      <c r="J1922" s="24">
        <v>45875</v>
      </c>
      <c r="K1922" s="25">
        <v>33</v>
      </c>
      <c r="L1922" s="25">
        <v>2.8</v>
      </c>
      <c r="M1922" s="13" t="b">
        <v>0</v>
      </c>
      <c r="O1922" s="25">
        <f t="shared" si="116"/>
        <v>27</v>
      </c>
      <c r="P1922" s="13">
        <f t="shared" si="117"/>
        <v>0</v>
      </c>
      <c r="Q1922" s="13" t="str">
        <f t="shared" si="118"/>
        <v/>
      </c>
      <c r="R1922" s="13" t="str">
        <f t="shared" si="119"/>
        <v>Non diskon</v>
      </c>
    </row>
    <row r="1923" spans="1:18" x14ac:dyDescent="0.25">
      <c r="A1923" s="13" t="s">
        <v>1935</v>
      </c>
      <c r="B1923" s="13" t="s">
        <v>2191</v>
      </c>
      <c r="C1923" s="13" t="s">
        <v>2201</v>
      </c>
      <c r="D1923" s="13" t="s">
        <v>2206</v>
      </c>
      <c r="E1923" s="13" t="s">
        <v>2212</v>
      </c>
      <c r="F1923" s="13" t="s">
        <v>2218</v>
      </c>
      <c r="G1923" s="13">
        <v>114.76</v>
      </c>
      <c r="H1923" s="44">
        <v>24.3</v>
      </c>
      <c r="I1923" s="13">
        <v>86.87</v>
      </c>
      <c r="J1923" s="24">
        <v>45875</v>
      </c>
      <c r="K1923" s="25">
        <v>10</v>
      </c>
      <c r="L1923" s="25">
        <v>3.4</v>
      </c>
      <c r="M1923" s="13" t="b">
        <v>0</v>
      </c>
      <c r="O1923" s="25">
        <f t="shared" ref="O1923:O1986" si="120">DATE(2025,9,2)-J1923</f>
        <v>27</v>
      </c>
      <c r="P1923" s="13">
        <f t="shared" ref="P1923:P1986" si="121">H1923*K1923</f>
        <v>243</v>
      </c>
      <c r="Q1923" s="13" t="str">
        <f t="shared" ref="Q1923:Q1986" si="122">IF(M1923=FALSE,"",1)</f>
        <v/>
      </c>
      <c r="R1923" s="13" t="str">
        <f t="shared" ref="R1923:R1986" si="123">IF(H1923=0,"Non diskon","Diskon")</f>
        <v>Diskon</v>
      </c>
    </row>
    <row r="1924" spans="1:18" x14ac:dyDescent="0.25">
      <c r="A1924" s="13" t="s">
        <v>1936</v>
      </c>
      <c r="B1924" s="13" t="s">
        <v>2193</v>
      </c>
      <c r="C1924" s="13" t="s">
        <v>2196</v>
      </c>
      <c r="D1924" s="13" t="s">
        <v>2204</v>
      </c>
      <c r="E1924" s="13" t="s">
        <v>2210</v>
      </c>
      <c r="F1924" s="13" t="s">
        <v>2220</v>
      </c>
      <c r="G1924" s="13">
        <v>133.52000000000001</v>
      </c>
      <c r="H1924" s="44">
        <v>0</v>
      </c>
      <c r="I1924" s="13">
        <v>133.52000000000001</v>
      </c>
      <c r="J1924" s="24">
        <v>45569</v>
      </c>
      <c r="K1924" s="25">
        <v>32</v>
      </c>
      <c r="L1924" s="25">
        <v>2.9153846153846157</v>
      </c>
      <c r="M1924" s="13" t="b">
        <v>0</v>
      </c>
      <c r="O1924" s="25">
        <f t="shared" si="120"/>
        <v>333</v>
      </c>
      <c r="P1924" s="13">
        <f t="shared" si="121"/>
        <v>0</v>
      </c>
      <c r="Q1924" s="13" t="str">
        <f t="shared" si="122"/>
        <v/>
      </c>
      <c r="R1924" s="13" t="str">
        <f t="shared" si="123"/>
        <v>Non diskon</v>
      </c>
    </row>
    <row r="1925" spans="1:18" x14ac:dyDescent="0.25">
      <c r="A1925" s="13" t="s">
        <v>1937</v>
      </c>
      <c r="B1925" s="13" t="s">
        <v>2191</v>
      </c>
      <c r="C1925" s="13" t="s">
        <v>2198</v>
      </c>
      <c r="D1925" s="13" t="s">
        <v>2205</v>
      </c>
      <c r="E1925" s="13" t="s">
        <v>2212</v>
      </c>
      <c r="F1925" s="13" t="s">
        <v>2219</v>
      </c>
      <c r="G1925" s="13">
        <v>64.34</v>
      </c>
      <c r="H1925" s="44">
        <v>59.3</v>
      </c>
      <c r="I1925" s="13">
        <v>26.19</v>
      </c>
      <c r="J1925" s="24">
        <v>45875</v>
      </c>
      <c r="K1925" s="25">
        <v>34</v>
      </c>
      <c r="L1925" s="25">
        <v>1.2</v>
      </c>
      <c r="M1925" s="13" t="b">
        <v>0</v>
      </c>
      <c r="O1925" s="25">
        <f t="shared" si="120"/>
        <v>27</v>
      </c>
      <c r="P1925" s="13">
        <f t="shared" si="121"/>
        <v>2016.1999999999998</v>
      </c>
      <c r="Q1925" s="13" t="str">
        <f t="shared" si="122"/>
        <v/>
      </c>
      <c r="R1925" s="13" t="str">
        <f t="shared" si="123"/>
        <v>Diskon</v>
      </c>
    </row>
    <row r="1926" spans="1:18" x14ac:dyDescent="0.25">
      <c r="A1926" s="13" t="s">
        <v>1938</v>
      </c>
      <c r="B1926" s="13" t="s">
        <v>2194</v>
      </c>
      <c r="C1926" s="13" t="s">
        <v>2203</v>
      </c>
      <c r="D1926" s="13" t="s">
        <v>2206</v>
      </c>
      <c r="E1926" s="13" t="s">
        <v>2209</v>
      </c>
      <c r="F1926" s="13" t="s">
        <v>2223</v>
      </c>
      <c r="G1926" s="13">
        <v>117.81</v>
      </c>
      <c r="H1926" s="44">
        <v>0</v>
      </c>
      <c r="I1926" s="13">
        <v>117.81</v>
      </c>
      <c r="J1926" s="24">
        <v>45875</v>
      </c>
      <c r="K1926" s="25">
        <v>22</v>
      </c>
      <c r="L1926" s="25">
        <v>4.9000000000000004</v>
      </c>
      <c r="M1926" s="13" t="b">
        <v>0</v>
      </c>
      <c r="O1926" s="25">
        <f t="shared" si="120"/>
        <v>27</v>
      </c>
      <c r="P1926" s="13">
        <f t="shared" si="121"/>
        <v>0</v>
      </c>
      <c r="Q1926" s="13" t="str">
        <f t="shared" si="122"/>
        <v/>
      </c>
      <c r="R1926" s="13" t="str">
        <f t="shared" si="123"/>
        <v>Non diskon</v>
      </c>
    </row>
    <row r="1927" spans="1:18" x14ac:dyDescent="0.25">
      <c r="A1927" s="13" t="s">
        <v>1939</v>
      </c>
      <c r="B1927" s="13" t="s">
        <v>2192</v>
      </c>
      <c r="C1927" s="13" t="s">
        <v>2201</v>
      </c>
      <c r="D1927" s="13" t="s">
        <v>2204</v>
      </c>
      <c r="F1927" s="13" t="s">
        <v>2219</v>
      </c>
      <c r="G1927" s="13">
        <v>29.19</v>
      </c>
      <c r="H1927" s="44">
        <v>0</v>
      </c>
      <c r="I1927" s="13">
        <v>29.19</v>
      </c>
      <c r="J1927" s="24">
        <v>45731</v>
      </c>
      <c r="K1927" s="25">
        <v>20</v>
      </c>
      <c r="L1927" s="25">
        <v>1.9</v>
      </c>
      <c r="M1927" s="13" t="b">
        <v>0</v>
      </c>
      <c r="O1927" s="25">
        <f t="shared" si="120"/>
        <v>171</v>
      </c>
      <c r="P1927" s="13">
        <f t="shared" si="121"/>
        <v>0</v>
      </c>
      <c r="Q1927" s="13" t="str">
        <f t="shared" si="122"/>
        <v/>
      </c>
      <c r="R1927" s="13" t="str">
        <f t="shared" si="123"/>
        <v>Non diskon</v>
      </c>
    </row>
    <row r="1928" spans="1:18" x14ac:dyDescent="0.25">
      <c r="A1928" s="13" t="s">
        <v>1940</v>
      </c>
      <c r="B1928" s="13" t="s">
        <v>2191</v>
      </c>
      <c r="C1928" s="13" t="s">
        <v>2197</v>
      </c>
      <c r="D1928" s="13" t="s">
        <v>2206</v>
      </c>
      <c r="E1928" s="13" t="s">
        <v>2213</v>
      </c>
      <c r="F1928" s="13" t="s">
        <v>2223</v>
      </c>
      <c r="G1928" s="13">
        <v>34.72</v>
      </c>
      <c r="H1928" s="44">
        <v>0</v>
      </c>
      <c r="I1928" s="13">
        <v>34.72</v>
      </c>
      <c r="J1928" s="24">
        <v>45875</v>
      </c>
      <c r="K1928" s="25">
        <v>7</v>
      </c>
      <c r="L1928" s="25">
        <v>3.34</v>
      </c>
      <c r="M1928" s="13" t="b">
        <v>0</v>
      </c>
      <c r="O1928" s="25">
        <f t="shared" si="120"/>
        <v>27</v>
      </c>
      <c r="P1928" s="13">
        <f t="shared" si="121"/>
        <v>0</v>
      </c>
      <c r="Q1928" s="13" t="str">
        <f t="shared" si="122"/>
        <v/>
      </c>
      <c r="R1928" s="13" t="str">
        <f t="shared" si="123"/>
        <v>Non diskon</v>
      </c>
    </row>
    <row r="1929" spans="1:18" x14ac:dyDescent="0.25">
      <c r="A1929" s="13" t="s">
        <v>1941</v>
      </c>
      <c r="B1929" s="13" t="s">
        <v>2195</v>
      </c>
      <c r="C1929" s="13" t="s">
        <v>2202</v>
      </c>
      <c r="D1929" s="13" t="s">
        <v>2206</v>
      </c>
      <c r="E1929" s="13" t="s">
        <v>2208</v>
      </c>
      <c r="F1929" s="13" t="s">
        <v>2218</v>
      </c>
      <c r="G1929" s="13">
        <v>107.49</v>
      </c>
      <c r="H1929" s="44">
        <v>0</v>
      </c>
      <c r="I1929" s="13">
        <v>107.49</v>
      </c>
      <c r="J1929" s="24">
        <v>45875</v>
      </c>
      <c r="K1929" s="25">
        <v>49</v>
      </c>
      <c r="L1929" s="25">
        <v>3.3</v>
      </c>
      <c r="M1929" s="13" t="b">
        <v>0</v>
      </c>
      <c r="O1929" s="25">
        <f t="shared" si="120"/>
        <v>27</v>
      </c>
      <c r="P1929" s="13">
        <f t="shared" si="121"/>
        <v>0</v>
      </c>
      <c r="Q1929" s="13" t="str">
        <f t="shared" si="122"/>
        <v/>
      </c>
      <c r="R1929" s="13" t="str">
        <f t="shared" si="123"/>
        <v>Non diskon</v>
      </c>
    </row>
    <row r="1930" spans="1:18" x14ac:dyDescent="0.25">
      <c r="A1930" s="13" t="s">
        <v>1942</v>
      </c>
      <c r="B1930" s="13" t="s">
        <v>2194</v>
      </c>
      <c r="C1930" s="13" t="s">
        <v>2197</v>
      </c>
      <c r="D1930" s="13" t="s">
        <v>2205</v>
      </c>
      <c r="E1930" s="13" t="s">
        <v>2211</v>
      </c>
      <c r="F1930" s="13" t="s">
        <v>2219</v>
      </c>
      <c r="G1930" s="13">
        <v>38.700000000000003</v>
      </c>
      <c r="H1930" s="44">
        <v>0</v>
      </c>
      <c r="I1930" s="13">
        <v>38.700000000000003</v>
      </c>
      <c r="J1930" s="24">
        <v>45875</v>
      </c>
      <c r="K1930" s="25">
        <v>11</v>
      </c>
      <c r="L1930" s="25">
        <v>4</v>
      </c>
      <c r="M1930" s="13" t="b">
        <v>0</v>
      </c>
      <c r="O1930" s="25">
        <f t="shared" si="120"/>
        <v>27</v>
      </c>
      <c r="P1930" s="13">
        <f t="shared" si="121"/>
        <v>0</v>
      </c>
      <c r="Q1930" s="13" t="str">
        <f t="shared" si="122"/>
        <v/>
      </c>
      <c r="R1930" s="13" t="str">
        <f t="shared" si="123"/>
        <v>Non diskon</v>
      </c>
    </row>
    <row r="1931" spans="1:18" x14ac:dyDescent="0.25">
      <c r="A1931" s="13" t="s">
        <v>1943</v>
      </c>
      <c r="B1931" s="13" t="s">
        <v>2190</v>
      </c>
      <c r="C1931" s="13" t="s">
        <v>2201</v>
      </c>
      <c r="D1931" s="13" t="s">
        <v>2204</v>
      </c>
      <c r="E1931" s="13" t="s">
        <v>2212</v>
      </c>
      <c r="F1931" s="13" t="s">
        <v>2224</v>
      </c>
      <c r="G1931" s="13">
        <v>152.63999999999999</v>
      </c>
      <c r="H1931" s="44">
        <v>0</v>
      </c>
      <c r="I1931" s="13">
        <v>152.63999999999999</v>
      </c>
      <c r="J1931" s="24">
        <v>45752</v>
      </c>
      <c r="K1931" s="25">
        <v>19</v>
      </c>
      <c r="L1931" s="25">
        <v>4.0999999999999996</v>
      </c>
      <c r="M1931" s="13" t="b">
        <v>0</v>
      </c>
      <c r="O1931" s="25">
        <f t="shared" si="120"/>
        <v>150</v>
      </c>
      <c r="P1931" s="13">
        <f t="shared" si="121"/>
        <v>0</v>
      </c>
      <c r="Q1931" s="13" t="str">
        <f t="shared" si="122"/>
        <v/>
      </c>
      <c r="R1931" s="13" t="str">
        <f t="shared" si="123"/>
        <v>Non diskon</v>
      </c>
    </row>
    <row r="1932" spans="1:18" x14ac:dyDescent="0.25">
      <c r="A1932" s="13" t="s">
        <v>1944</v>
      </c>
      <c r="B1932" s="13" t="s">
        <v>2190</v>
      </c>
      <c r="C1932" s="13" t="s">
        <v>2199</v>
      </c>
      <c r="D1932" s="13" t="s">
        <v>2206</v>
      </c>
      <c r="E1932" s="13" t="s">
        <v>2212</v>
      </c>
      <c r="F1932" s="13" t="s">
        <v>2223</v>
      </c>
      <c r="G1932" s="13">
        <v>181.66</v>
      </c>
      <c r="H1932" s="44">
        <v>56.4</v>
      </c>
      <c r="I1932" s="13">
        <v>79.2</v>
      </c>
      <c r="J1932" s="24">
        <v>45875</v>
      </c>
      <c r="K1932" s="25">
        <v>43</v>
      </c>
      <c r="L1932" s="25">
        <v>1.2</v>
      </c>
      <c r="M1932" s="13" t="b">
        <v>0</v>
      </c>
      <c r="O1932" s="25">
        <f t="shared" si="120"/>
        <v>27</v>
      </c>
      <c r="P1932" s="13">
        <f t="shared" si="121"/>
        <v>2425.1999999999998</v>
      </c>
      <c r="Q1932" s="13" t="str">
        <f t="shared" si="122"/>
        <v/>
      </c>
      <c r="R1932" s="13" t="str">
        <f t="shared" si="123"/>
        <v>Diskon</v>
      </c>
    </row>
    <row r="1933" spans="1:18" x14ac:dyDescent="0.25">
      <c r="A1933" s="13" t="s">
        <v>1945</v>
      </c>
      <c r="B1933" s="13" t="s">
        <v>2191</v>
      </c>
      <c r="C1933" s="13" t="s">
        <v>2197</v>
      </c>
      <c r="D1933" s="13" t="s">
        <v>2204</v>
      </c>
      <c r="E1933" s="13" t="s">
        <v>2208</v>
      </c>
      <c r="F1933" s="13" t="s">
        <v>2220</v>
      </c>
      <c r="G1933" s="13">
        <v>114.8</v>
      </c>
      <c r="H1933" s="44">
        <v>17.399999999999999</v>
      </c>
      <c r="I1933" s="13">
        <v>94.82</v>
      </c>
      <c r="J1933" s="24">
        <v>45794</v>
      </c>
      <c r="K1933" s="25">
        <v>4</v>
      </c>
      <c r="L1933" s="25">
        <v>1.8</v>
      </c>
      <c r="M1933" s="13" t="b">
        <v>0</v>
      </c>
      <c r="O1933" s="25">
        <f t="shared" si="120"/>
        <v>108</v>
      </c>
      <c r="P1933" s="13">
        <f t="shared" si="121"/>
        <v>69.599999999999994</v>
      </c>
      <c r="Q1933" s="13" t="str">
        <f t="shared" si="122"/>
        <v/>
      </c>
      <c r="R1933" s="13" t="str">
        <f t="shared" si="123"/>
        <v>Diskon</v>
      </c>
    </row>
    <row r="1934" spans="1:18" x14ac:dyDescent="0.25">
      <c r="A1934" s="13" t="s">
        <v>1946</v>
      </c>
      <c r="B1934" s="13" t="s">
        <v>2193</v>
      </c>
      <c r="C1934" s="13" t="s">
        <v>2197</v>
      </c>
      <c r="D1934" s="13" t="s">
        <v>2205</v>
      </c>
      <c r="E1934" s="13" t="s">
        <v>2211</v>
      </c>
      <c r="F1934" s="13" t="s">
        <v>2220</v>
      </c>
      <c r="G1934" s="13">
        <v>102.95</v>
      </c>
      <c r="H1934" s="44">
        <v>0</v>
      </c>
      <c r="I1934" s="13">
        <v>102.95</v>
      </c>
      <c r="J1934" s="24">
        <v>45875</v>
      </c>
      <c r="K1934" s="25">
        <v>38</v>
      </c>
      <c r="L1934" s="25">
        <v>3.8</v>
      </c>
      <c r="M1934" s="13" t="b">
        <v>0</v>
      </c>
      <c r="O1934" s="25">
        <f t="shared" si="120"/>
        <v>27</v>
      </c>
      <c r="P1934" s="13">
        <f t="shared" si="121"/>
        <v>0</v>
      </c>
      <c r="Q1934" s="13" t="str">
        <f t="shared" si="122"/>
        <v/>
      </c>
      <c r="R1934" s="13" t="str">
        <f t="shared" si="123"/>
        <v>Non diskon</v>
      </c>
    </row>
    <row r="1935" spans="1:18" x14ac:dyDescent="0.25">
      <c r="A1935" s="13" t="s">
        <v>1947</v>
      </c>
      <c r="B1935" s="13" t="s">
        <v>2191</v>
      </c>
      <c r="C1935" s="13" t="s">
        <v>2203</v>
      </c>
      <c r="D1935" s="13" t="s">
        <v>2205</v>
      </c>
      <c r="E1935" s="13" t="s">
        <v>2211</v>
      </c>
      <c r="F1935" s="13" t="s">
        <v>2220</v>
      </c>
      <c r="G1935" s="13">
        <v>86.82</v>
      </c>
      <c r="H1935" s="44">
        <v>0</v>
      </c>
      <c r="I1935" s="13">
        <v>86.82</v>
      </c>
      <c r="J1935" s="24">
        <v>45875</v>
      </c>
      <c r="K1935" s="25">
        <v>0</v>
      </c>
      <c r="L1935" s="25">
        <v>4.8</v>
      </c>
      <c r="M1935" s="13" t="b">
        <v>0</v>
      </c>
      <c r="O1935" s="25">
        <f t="shared" si="120"/>
        <v>27</v>
      </c>
      <c r="P1935" s="13">
        <f t="shared" si="121"/>
        <v>0</v>
      </c>
      <c r="Q1935" s="13" t="str">
        <f t="shared" si="122"/>
        <v/>
      </c>
      <c r="R1935" s="13" t="str">
        <f t="shared" si="123"/>
        <v>Non diskon</v>
      </c>
    </row>
    <row r="1936" spans="1:18" x14ac:dyDescent="0.25">
      <c r="A1936" s="13" t="s">
        <v>1948</v>
      </c>
      <c r="B1936" s="13" t="s">
        <v>2190</v>
      </c>
      <c r="C1936" s="13" t="s">
        <v>2200</v>
      </c>
      <c r="D1936" s="13" t="s">
        <v>2207</v>
      </c>
      <c r="E1936" s="13" t="s">
        <v>2209</v>
      </c>
      <c r="F1936" s="13" t="s">
        <v>2214</v>
      </c>
      <c r="G1936" s="13">
        <v>83.68</v>
      </c>
      <c r="H1936" s="44">
        <v>28.1</v>
      </c>
      <c r="I1936" s="13">
        <v>60.17</v>
      </c>
      <c r="J1936" s="24">
        <v>45875</v>
      </c>
      <c r="K1936" s="25">
        <v>46</v>
      </c>
      <c r="L1936" s="25">
        <v>2.9228571428571426</v>
      </c>
      <c r="M1936" s="13" t="b">
        <v>1</v>
      </c>
      <c r="N1936" s="13" t="s">
        <v>2228</v>
      </c>
      <c r="O1936" s="25">
        <f t="shared" si="120"/>
        <v>27</v>
      </c>
      <c r="P1936" s="13">
        <f t="shared" si="121"/>
        <v>1292.6000000000001</v>
      </c>
      <c r="Q1936" s="13">
        <f t="shared" si="122"/>
        <v>1</v>
      </c>
      <c r="R1936" s="13" t="str">
        <f t="shared" si="123"/>
        <v>Diskon</v>
      </c>
    </row>
    <row r="1937" spans="1:18" x14ac:dyDescent="0.25">
      <c r="A1937" s="13" t="s">
        <v>1949</v>
      </c>
      <c r="B1937" s="13" t="s">
        <v>2190</v>
      </c>
      <c r="C1937" s="13" t="s">
        <v>2198</v>
      </c>
      <c r="D1937" s="13" t="s">
        <v>2206</v>
      </c>
      <c r="E1937" s="13" t="s">
        <v>2210</v>
      </c>
      <c r="F1937" s="13" t="s">
        <v>2215</v>
      </c>
      <c r="G1937" s="13">
        <v>167.31</v>
      </c>
      <c r="H1937" s="44">
        <v>50.7</v>
      </c>
      <c r="I1937" s="13">
        <v>82.48</v>
      </c>
      <c r="J1937" s="24">
        <v>45875</v>
      </c>
      <c r="K1937" s="25">
        <v>9</v>
      </c>
      <c r="L1937" s="25">
        <v>3.2</v>
      </c>
      <c r="M1937" s="13" t="b">
        <v>0</v>
      </c>
      <c r="O1937" s="25">
        <f t="shared" si="120"/>
        <v>27</v>
      </c>
      <c r="P1937" s="13">
        <f t="shared" si="121"/>
        <v>456.3</v>
      </c>
      <c r="Q1937" s="13" t="str">
        <f t="shared" si="122"/>
        <v/>
      </c>
      <c r="R1937" s="13" t="str">
        <f t="shared" si="123"/>
        <v>Diskon</v>
      </c>
    </row>
    <row r="1938" spans="1:18" x14ac:dyDescent="0.25">
      <c r="A1938" s="13" t="s">
        <v>1950</v>
      </c>
      <c r="B1938" s="13" t="s">
        <v>2194</v>
      </c>
      <c r="C1938" s="13" t="s">
        <v>2200</v>
      </c>
      <c r="D1938" s="13" t="s">
        <v>2206</v>
      </c>
      <c r="E1938" s="13" t="s">
        <v>2212</v>
      </c>
      <c r="F1938" s="13" t="s">
        <v>2218</v>
      </c>
      <c r="G1938" s="13">
        <v>114.64</v>
      </c>
      <c r="H1938" s="44">
        <v>5.0999999999999996</v>
      </c>
      <c r="I1938" s="13">
        <v>108.79</v>
      </c>
      <c r="J1938" s="24">
        <v>45875</v>
      </c>
      <c r="K1938" s="25">
        <v>21</v>
      </c>
      <c r="L1938" s="25">
        <v>2</v>
      </c>
      <c r="M1938" s="13" t="b">
        <v>0</v>
      </c>
      <c r="O1938" s="25">
        <f t="shared" si="120"/>
        <v>27</v>
      </c>
      <c r="P1938" s="13">
        <f t="shared" si="121"/>
        <v>107.1</v>
      </c>
      <c r="Q1938" s="13" t="str">
        <f t="shared" si="122"/>
        <v/>
      </c>
      <c r="R1938" s="13" t="str">
        <f t="shared" si="123"/>
        <v>Diskon</v>
      </c>
    </row>
    <row r="1939" spans="1:18" x14ac:dyDescent="0.25">
      <c r="A1939" s="13" t="s">
        <v>1951</v>
      </c>
      <c r="B1939" s="13" t="s">
        <v>2190</v>
      </c>
      <c r="C1939" s="13" t="s">
        <v>2200</v>
      </c>
      <c r="D1939" s="13" t="s">
        <v>2204</v>
      </c>
      <c r="E1939" s="13" t="s">
        <v>2211</v>
      </c>
      <c r="F1939" s="13" t="s">
        <v>2217</v>
      </c>
      <c r="G1939" s="13">
        <v>109.53</v>
      </c>
      <c r="H1939" s="44">
        <v>29.3</v>
      </c>
      <c r="I1939" s="13">
        <v>77.44</v>
      </c>
      <c r="J1939" s="24">
        <v>45598</v>
      </c>
      <c r="K1939" s="25">
        <v>35</v>
      </c>
      <c r="L1939" s="25">
        <v>1.3</v>
      </c>
      <c r="M1939" s="13" t="b">
        <v>0</v>
      </c>
      <c r="O1939" s="25">
        <f t="shared" si="120"/>
        <v>304</v>
      </c>
      <c r="P1939" s="13">
        <f t="shared" si="121"/>
        <v>1025.5</v>
      </c>
      <c r="Q1939" s="13" t="str">
        <f t="shared" si="122"/>
        <v/>
      </c>
      <c r="R1939" s="13" t="str">
        <f t="shared" si="123"/>
        <v>Diskon</v>
      </c>
    </row>
    <row r="1940" spans="1:18" x14ac:dyDescent="0.25">
      <c r="A1940" s="13" t="s">
        <v>1952</v>
      </c>
      <c r="B1940" s="13" t="s">
        <v>2192</v>
      </c>
      <c r="C1940" s="13" t="s">
        <v>2201</v>
      </c>
      <c r="D1940" s="13" t="s">
        <v>2207</v>
      </c>
      <c r="F1940" s="13" t="s">
        <v>2221</v>
      </c>
      <c r="G1940" s="13">
        <v>51.02</v>
      </c>
      <c r="H1940" s="44">
        <v>57.9</v>
      </c>
      <c r="I1940" s="13">
        <v>21.48</v>
      </c>
      <c r="J1940" s="24">
        <v>45875</v>
      </c>
      <c r="K1940" s="25">
        <v>36</v>
      </c>
      <c r="L1940" s="25">
        <v>3.2731707317073173</v>
      </c>
      <c r="M1940" s="13" t="b">
        <v>0</v>
      </c>
      <c r="O1940" s="25">
        <f t="shared" si="120"/>
        <v>27</v>
      </c>
      <c r="P1940" s="13">
        <f t="shared" si="121"/>
        <v>2084.4</v>
      </c>
      <c r="Q1940" s="13" t="str">
        <f t="shared" si="122"/>
        <v/>
      </c>
      <c r="R1940" s="13" t="str">
        <f t="shared" si="123"/>
        <v>Diskon</v>
      </c>
    </row>
    <row r="1941" spans="1:18" x14ac:dyDescent="0.25">
      <c r="A1941" s="13" t="s">
        <v>1953</v>
      </c>
      <c r="B1941" s="13" t="s">
        <v>2193</v>
      </c>
      <c r="C1941" s="13" t="s">
        <v>2200</v>
      </c>
      <c r="D1941" s="13" t="s">
        <v>2206</v>
      </c>
      <c r="E1941" s="13" t="s">
        <v>2213</v>
      </c>
      <c r="F1941" s="13" t="s">
        <v>2220</v>
      </c>
      <c r="G1941" s="13">
        <v>77.45</v>
      </c>
      <c r="H1941" s="44">
        <v>52.8</v>
      </c>
      <c r="I1941" s="13">
        <v>36.56</v>
      </c>
      <c r="J1941" s="24">
        <v>45875</v>
      </c>
      <c r="K1941" s="25">
        <v>6</v>
      </c>
      <c r="L1941" s="25">
        <v>2.7</v>
      </c>
      <c r="M1941" s="13" t="b">
        <v>0</v>
      </c>
      <c r="O1941" s="25">
        <f t="shared" si="120"/>
        <v>27</v>
      </c>
      <c r="P1941" s="13">
        <f t="shared" si="121"/>
        <v>316.79999999999995</v>
      </c>
      <c r="Q1941" s="13" t="str">
        <f t="shared" si="122"/>
        <v/>
      </c>
      <c r="R1941" s="13" t="str">
        <f t="shared" si="123"/>
        <v>Diskon</v>
      </c>
    </row>
    <row r="1942" spans="1:18" x14ac:dyDescent="0.25">
      <c r="A1942" s="13" t="s">
        <v>1954</v>
      </c>
      <c r="B1942" s="13" t="s">
        <v>2193</v>
      </c>
      <c r="C1942" s="13" t="s">
        <v>2201</v>
      </c>
      <c r="D1942" s="13" t="s">
        <v>2206</v>
      </c>
      <c r="E1942" s="13" t="s">
        <v>2212</v>
      </c>
      <c r="F1942" s="13" t="s">
        <v>2217</v>
      </c>
      <c r="G1942" s="13">
        <v>142.87</v>
      </c>
      <c r="H1942" s="44">
        <v>45.4</v>
      </c>
      <c r="I1942" s="13">
        <v>78.010000000000005</v>
      </c>
      <c r="J1942" s="24">
        <v>45875</v>
      </c>
      <c r="K1942" s="25">
        <v>20</v>
      </c>
      <c r="L1942" s="25">
        <v>1.7</v>
      </c>
      <c r="M1942" s="13" t="b">
        <v>0</v>
      </c>
      <c r="O1942" s="25">
        <f t="shared" si="120"/>
        <v>27</v>
      </c>
      <c r="P1942" s="13">
        <f t="shared" si="121"/>
        <v>908</v>
      </c>
      <c r="Q1942" s="13" t="str">
        <f t="shared" si="122"/>
        <v/>
      </c>
      <c r="R1942" s="13" t="str">
        <f t="shared" si="123"/>
        <v>Diskon</v>
      </c>
    </row>
    <row r="1943" spans="1:18" x14ac:dyDescent="0.25">
      <c r="A1943" s="13" t="s">
        <v>1955</v>
      </c>
      <c r="B1943" s="13" t="s">
        <v>2190</v>
      </c>
      <c r="C1943" s="13" t="s">
        <v>2198</v>
      </c>
      <c r="D1943" s="13" t="s">
        <v>2205</v>
      </c>
      <c r="E1943" s="13" t="s">
        <v>2212</v>
      </c>
      <c r="F1943" s="13" t="s">
        <v>2217</v>
      </c>
      <c r="G1943" s="13">
        <v>138.87</v>
      </c>
      <c r="H1943" s="44">
        <v>0</v>
      </c>
      <c r="I1943" s="13">
        <v>138.87</v>
      </c>
      <c r="J1943" s="24">
        <v>45875</v>
      </c>
      <c r="K1943" s="25">
        <v>37</v>
      </c>
      <c r="L1943" s="25">
        <v>3.2</v>
      </c>
      <c r="M1943" s="13" t="b">
        <v>0</v>
      </c>
      <c r="O1943" s="25">
        <f t="shared" si="120"/>
        <v>27</v>
      </c>
      <c r="P1943" s="13">
        <f t="shared" si="121"/>
        <v>0</v>
      </c>
      <c r="Q1943" s="13" t="str">
        <f t="shared" si="122"/>
        <v/>
      </c>
      <c r="R1943" s="13" t="str">
        <f t="shared" si="123"/>
        <v>Non diskon</v>
      </c>
    </row>
    <row r="1944" spans="1:18" x14ac:dyDescent="0.25">
      <c r="A1944" s="13" t="s">
        <v>1956</v>
      </c>
      <c r="B1944" s="13" t="s">
        <v>2193</v>
      </c>
      <c r="C1944" s="13" t="s">
        <v>2201</v>
      </c>
      <c r="D1944" s="13" t="s">
        <v>2204</v>
      </c>
      <c r="E1944" s="13" t="s">
        <v>2210</v>
      </c>
      <c r="F1944" s="13" t="s">
        <v>2214</v>
      </c>
      <c r="G1944" s="13">
        <v>132.82</v>
      </c>
      <c r="H1944" s="44">
        <v>0</v>
      </c>
      <c r="I1944" s="13">
        <v>132.82</v>
      </c>
      <c r="J1944" s="24">
        <v>45733</v>
      </c>
      <c r="K1944" s="25">
        <v>40</v>
      </c>
      <c r="L1944" s="25">
        <v>3.0068965517241386</v>
      </c>
      <c r="M1944" s="13" t="b">
        <v>1</v>
      </c>
      <c r="N1944" s="13" t="s">
        <v>2229</v>
      </c>
      <c r="O1944" s="25">
        <f t="shared" si="120"/>
        <v>169</v>
      </c>
      <c r="P1944" s="13">
        <f t="shared" si="121"/>
        <v>0</v>
      </c>
      <c r="Q1944" s="13">
        <f t="shared" si="122"/>
        <v>1</v>
      </c>
      <c r="R1944" s="13" t="str">
        <f t="shared" si="123"/>
        <v>Non diskon</v>
      </c>
    </row>
    <row r="1945" spans="1:18" x14ac:dyDescent="0.25">
      <c r="A1945" s="13" t="s">
        <v>1957</v>
      </c>
      <c r="B1945" s="13" t="s">
        <v>2193</v>
      </c>
      <c r="C1945" s="13" t="s">
        <v>2200</v>
      </c>
      <c r="D1945" s="13" t="s">
        <v>2207</v>
      </c>
      <c r="E1945" s="13" t="s">
        <v>2209</v>
      </c>
      <c r="F1945" s="13" t="s">
        <v>2222</v>
      </c>
      <c r="G1945" s="13">
        <v>110.54</v>
      </c>
      <c r="H1945" s="44">
        <v>0</v>
      </c>
      <c r="I1945" s="13">
        <v>110.54</v>
      </c>
      <c r="J1945" s="24">
        <v>45875</v>
      </c>
      <c r="K1945" s="25">
        <v>24</v>
      </c>
      <c r="L1945" s="25">
        <v>3.3021276595744684</v>
      </c>
      <c r="M1945" s="13" t="b">
        <v>1</v>
      </c>
      <c r="N1945" s="13" t="s">
        <v>2226</v>
      </c>
      <c r="O1945" s="25">
        <f t="shared" si="120"/>
        <v>27</v>
      </c>
      <c r="P1945" s="13">
        <f t="shared" si="121"/>
        <v>0</v>
      </c>
      <c r="Q1945" s="13">
        <f t="shared" si="122"/>
        <v>1</v>
      </c>
      <c r="R1945" s="13" t="str">
        <f t="shared" si="123"/>
        <v>Non diskon</v>
      </c>
    </row>
    <row r="1946" spans="1:18" x14ac:dyDescent="0.25">
      <c r="A1946" s="13" t="s">
        <v>1958</v>
      </c>
      <c r="B1946" s="13" t="s">
        <v>2194</v>
      </c>
      <c r="C1946" s="13" t="s">
        <v>2196</v>
      </c>
      <c r="D1946" s="13" t="s">
        <v>2207</v>
      </c>
      <c r="E1946" s="13" t="s">
        <v>2208</v>
      </c>
      <c r="F1946" s="13" t="s">
        <v>2221</v>
      </c>
      <c r="G1946" s="13">
        <v>29.07</v>
      </c>
      <c r="H1946" s="44">
        <v>0</v>
      </c>
      <c r="I1946" s="13">
        <v>29.07</v>
      </c>
      <c r="J1946" s="24">
        <v>45875</v>
      </c>
      <c r="K1946" s="25">
        <v>41</v>
      </c>
      <c r="L1946" s="25">
        <v>2.8</v>
      </c>
      <c r="M1946" s="13" t="b">
        <v>0</v>
      </c>
      <c r="O1946" s="25">
        <f t="shared" si="120"/>
        <v>27</v>
      </c>
      <c r="P1946" s="13">
        <f t="shared" si="121"/>
        <v>0</v>
      </c>
      <c r="Q1946" s="13" t="str">
        <f t="shared" si="122"/>
        <v/>
      </c>
      <c r="R1946" s="13" t="str">
        <f t="shared" si="123"/>
        <v>Non diskon</v>
      </c>
    </row>
    <row r="1947" spans="1:18" x14ac:dyDescent="0.25">
      <c r="A1947" s="13" t="s">
        <v>1959</v>
      </c>
      <c r="B1947" s="13" t="s">
        <v>2190</v>
      </c>
      <c r="C1947" s="13" t="s">
        <v>2202</v>
      </c>
      <c r="D1947" s="13" t="s">
        <v>2207</v>
      </c>
      <c r="E1947" s="13" t="s">
        <v>2210</v>
      </c>
      <c r="F1947" s="13" t="s">
        <v>2222</v>
      </c>
      <c r="G1947" s="13">
        <v>141.91999999999999</v>
      </c>
      <c r="H1947" s="44">
        <v>0</v>
      </c>
      <c r="I1947" s="13">
        <v>141.91999999999999</v>
      </c>
      <c r="J1947" s="24">
        <v>45875</v>
      </c>
      <c r="K1947" s="25">
        <v>37</v>
      </c>
      <c r="L1947" s="25">
        <v>1.7</v>
      </c>
      <c r="M1947" s="13" t="b">
        <v>0</v>
      </c>
      <c r="O1947" s="25">
        <f t="shared" si="120"/>
        <v>27</v>
      </c>
      <c r="P1947" s="13">
        <f t="shared" si="121"/>
        <v>0</v>
      </c>
      <c r="Q1947" s="13" t="str">
        <f t="shared" si="122"/>
        <v/>
      </c>
      <c r="R1947" s="13" t="str">
        <f t="shared" si="123"/>
        <v>Non diskon</v>
      </c>
    </row>
    <row r="1948" spans="1:18" x14ac:dyDescent="0.25">
      <c r="A1948" s="13" t="s">
        <v>1960</v>
      </c>
      <c r="B1948" s="13" t="s">
        <v>2193</v>
      </c>
      <c r="C1948" s="13" t="s">
        <v>2198</v>
      </c>
      <c r="D1948" s="13" t="s">
        <v>2207</v>
      </c>
      <c r="E1948" s="13" t="s">
        <v>2208</v>
      </c>
      <c r="F1948" s="13" t="s">
        <v>2214</v>
      </c>
      <c r="G1948" s="13">
        <v>67.84</v>
      </c>
      <c r="H1948" s="44">
        <v>0</v>
      </c>
      <c r="I1948" s="13">
        <v>67.84</v>
      </c>
      <c r="J1948" s="24">
        <v>45875</v>
      </c>
      <c r="K1948" s="25">
        <v>24</v>
      </c>
      <c r="L1948" s="25">
        <v>1.2</v>
      </c>
      <c r="M1948" s="13" t="b">
        <v>0</v>
      </c>
      <c r="O1948" s="25">
        <f t="shared" si="120"/>
        <v>27</v>
      </c>
      <c r="P1948" s="13">
        <f t="shared" si="121"/>
        <v>0</v>
      </c>
      <c r="Q1948" s="13" t="str">
        <f t="shared" si="122"/>
        <v/>
      </c>
      <c r="R1948" s="13" t="str">
        <f t="shared" si="123"/>
        <v>Non diskon</v>
      </c>
    </row>
    <row r="1949" spans="1:18" x14ac:dyDescent="0.25">
      <c r="A1949" s="13" t="s">
        <v>1961</v>
      </c>
      <c r="B1949" s="13" t="s">
        <v>2193</v>
      </c>
      <c r="C1949" s="13" t="s">
        <v>2199</v>
      </c>
      <c r="D1949" s="13" t="s">
        <v>2205</v>
      </c>
      <c r="E1949" s="13" t="s">
        <v>2210</v>
      </c>
      <c r="F1949" s="13" t="s">
        <v>2224</v>
      </c>
      <c r="G1949" s="13">
        <v>143.27000000000001</v>
      </c>
      <c r="H1949" s="44">
        <v>0</v>
      </c>
      <c r="I1949" s="13">
        <v>143.27000000000001</v>
      </c>
      <c r="J1949" s="24">
        <v>45875</v>
      </c>
      <c r="K1949" s="25">
        <v>0</v>
      </c>
      <c r="L1949" s="25">
        <v>2.9804347826086954</v>
      </c>
      <c r="M1949" s="13" t="b">
        <v>0</v>
      </c>
      <c r="O1949" s="25">
        <f t="shared" si="120"/>
        <v>27</v>
      </c>
      <c r="P1949" s="13">
        <f t="shared" si="121"/>
        <v>0</v>
      </c>
      <c r="Q1949" s="13" t="str">
        <f t="shared" si="122"/>
        <v/>
      </c>
      <c r="R1949" s="13" t="str">
        <f t="shared" si="123"/>
        <v>Non diskon</v>
      </c>
    </row>
    <row r="1950" spans="1:18" x14ac:dyDescent="0.25">
      <c r="A1950" s="13" t="s">
        <v>1962</v>
      </c>
      <c r="B1950" s="13" t="s">
        <v>2192</v>
      </c>
      <c r="C1950" s="13" t="s">
        <v>2198</v>
      </c>
      <c r="D1950" s="13" t="s">
        <v>2205</v>
      </c>
      <c r="F1950" s="13" t="s">
        <v>2224</v>
      </c>
      <c r="G1950" s="13">
        <v>20.97</v>
      </c>
      <c r="H1950" s="44">
        <v>0</v>
      </c>
      <c r="I1950" s="13">
        <v>20.97</v>
      </c>
      <c r="J1950" s="24">
        <v>45875</v>
      </c>
      <c r="K1950" s="25">
        <v>44</v>
      </c>
      <c r="L1950" s="25">
        <v>4.5999999999999996</v>
      </c>
      <c r="M1950" s="13" t="b">
        <v>0</v>
      </c>
      <c r="O1950" s="25">
        <f t="shared" si="120"/>
        <v>27</v>
      </c>
      <c r="P1950" s="13">
        <f t="shared" si="121"/>
        <v>0</v>
      </c>
      <c r="Q1950" s="13" t="str">
        <f t="shared" si="122"/>
        <v/>
      </c>
      <c r="R1950" s="13" t="str">
        <f t="shared" si="123"/>
        <v>Non diskon</v>
      </c>
    </row>
    <row r="1951" spans="1:18" x14ac:dyDescent="0.25">
      <c r="A1951" s="13" t="s">
        <v>1963</v>
      </c>
      <c r="B1951" s="13" t="s">
        <v>2195</v>
      </c>
      <c r="C1951" s="13" t="s">
        <v>2196</v>
      </c>
      <c r="D1951" s="13" t="s">
        <v>2207</v>
      </c>
      <c r="E1951" s="13" t="s">
        <v>2208</v>
      </c>
      <c r="F1951" s="13" t="s">
        <v>2223</v>
      </c>
      <c r="G1951" s="13">
        <v>105.5</v>
      </c>
      <c r="H1951" s="44">
        <v>59.8</v>
      </c>
      <c r="I1951" s="13">
        <v>42.41</v>
      </c>
      <c r="J1951" s="24">
        <v>45875</v>
      </c>
      <c r="K1951" s="25">
        <v>34</v>
      </c>
      <c r="L1951" s="25">
        <v>3.0424242424242425</v>
      </c>
      <c r="M1951" s="13" t="b">
        <v>0</v>
      </c>
      <c r="O1951" s="25">
        <f t="shared" si="120"/>
        <v>27</v>
      </c>
      <c r="P1951" s="13">
        <f t="shared" si="121"/>
        <v>2033.1999999999998</v>
      </c>
      <c r="Q1951" s="13" t="str">
        <f t="shared" si="122"/>
        <v/>
      </c>
      <c r="R1951" s="13" t="str">
        <f t="shared" si="123"/>
        <v>Diskon</v>
      </c>
    </row>
    <row r="1952" spans="1:18" x14ac:dyDescent="0.25">
      <c r="A1952" s="13" t="s">
        <v>1964</v>
      </c>
      <c r="B1952" s="13" t="s">
        <v>2193</v>
      </c>
      <c r="C1952" s="13" t="s">
        <v>2198</v>
      </c>
      <c r="D1952" s="13" t="s">
        <v>2204</v>
      </c>
      <c r="E1952" s="13" t="s">
        <v>2211</v>
      </c>
      <c r="F1952" s="13" t="s">
        <v>2220</v>
      </c>
      <c r="G1952" s="13">
        <v>184.7</v>
      </c>
      <c r="H1952" s="44">
        <v>0</v>
      </c>
      <c r="I1952" s="13">
        <v>184.7</v>
      </c>
      <c r="J1952" s="24">
        <v>45554</v>
      </c>
      <c r="K1952" s="25">
        <v>39</v>
      </c>
      <c r="L1952" s="25">
        <v>2.1</v>
      </c>
      <c r="M1952" s="13" t="b">
        <v>1</v>
      </c>
      <c r="N1952" s="13" t="s">
        <v>2226</v>
      </c>
      <c r="O1952" s="25">
        <f t="shared" si="120"/>
        <v>348</v>
      </c>
      <c r="P1952" s="13">
        <f t="shared" si="121"/>
        <v>0</v>
      </c>
      <c r="Q1952" s="13">
        <f t="shared" si="122"/>
        <v>1</v>
      </c>
      <c r="R1952" s="13" t="str">
        <f t="shared" si="123"/>
        <v>Non diskon</v>
      </c>
    </row>
    <row r="1953" spans="1:18" x14ac:dyDescent="0.25">
      <c r="A1953" s="13" t="s">
        <v>1965</v>
      </c>
      <c r="B1953" s="13" t="s">
        <v>2193</v>
      </c>
      <c r="C1953" s="13" t="s">
        <v>2200</v>
      </c>
      <c r="D1953" s="13" t="s">
        <v>2204</v>
      </c>
      <c r="E1953" s="13" t="s">
        <v>2212</v>
      </c>
      <c r="F1953" s="13" t="s">
        <v>2219</v>
      </c>
      <c r="G1953" s="13">
        <v>81.47</v>
      </c>
      <c r="H1953" s="44">
        <v>32</v>
      </c>
      <c r="I1953" s="13">
        <v>55.4</v>
      </c>
      <c r="J1953" s="24">
        <v>45536</v>
      </c>
      <c r="K1953" s="25">
        <v>2</v>
      </c>
      <c r="L1953" s="25">
        <v>1.1000000000000001</v>
      </c>
      <c r="M1953" s="13" t="b">
        <v>0</v>
      </c>
      <c r="O1953" s="25">
        <f t="shared" si="120"/>
        <v>366</v>
      </c>
      <c r="P1953" s="13">
        <f t="shared" si="121"/>
        <v>64</v>
      </c>
      <c r="Q1953" s="13" t="str">
        <f t="shared" si="122"/>
        <v/>
      </c>
      <c r="R1953" s="13" t="str">
        <f t="shared" si="123"/>
        <v>Diskon</v>
      </c>
    </row>
    <row r="1954" spans="1:18" x14ac:dyDescent="0.25">
      <c r="A1954" s="13" t="s">
        <v>1966</v>
      </c>
      <c r="B1954" s="13" t="s">
        <v>2190</v>
      </c>
      <c r="C1954" s="13" t="s">
        <v>2198</v>
      </c>
      <c r="D1954" s="13" t="s">
        <v>2205</v>
      </c>
      <c r="E1954" s="13" t="s">
        <v>2209</v>
      </c>
      <c r="F1954" s="13" t="s">
        <v>2219</v>
      </c>
      <c r="G1954" s="13">
        <v>107.67</v>
      </c>
      <c r="H1954" s="44">
        <v>20.3</v>
      </c>
      <c r="I1954" s="13">
        <v>85.81</v>
      </c>
      <c r="J1954" s="24">
        <v>45875</v>
      </c>
      <c r="K1954" s="25">
        <v>16</v>
      </c>
      <c r="L1954" s="25">
        <v>4.3</v>
      </c>
      <c r="M1954" s="13" t="b">
        <v>0</v>
      </c>
      <c r="O1954" s="25">
        <f t="shared" si="120"/>
        <v>27</v>
      </c>
      <c r="P1954" s="13">
        <f t="shared" si="121"/>
        <v>324.8</v>
      </c>
      <c r="Q1954" s="13" t="str">
        <f t="shared" si="122"/>
        <v/>
      </c>
      <c r="R1954" s="13" t="str">
        <f t="shared" si="123"/>
        <v>Diskon</v>
      </c>
    </row>
    <row r="1955" spans="1:18" x14ac:dyDescent="0.25">
      <c r="A1955" s="13" t="s">
        <v>1967</v>
      </c>
      <c r="B1955" s="13" t="s">
        <v>2191</v>
      </c>
      <c r="C1955" s="13" t="s">
        <v>2198</v>
      </c>
      <c r="D1955" s="13" t="s">
        <v>2207</v>
      </c>
      <c r="E1955" s="13" t="s">
        <v>2208</v>
      </c>
      <c r="F1955" s="13" t="s">
        <v>2223</v>
      </c>
      <c r="G1955" s="13">
        <v>88.64</v>
      </c>
      <c r="H1955" s="44">
        <v>0</v>
      </c>
      <c r="I1955" s="13">
        <v>88.64</v>
      </c>
      <c r="J1955" s="24">
        <v>45875</v>
      </c>
      <c r="K1955" s="25">
        <v>33</v>
      </c>
      <c r="L1955" s="25">
        <v>2.953125</v>
      </c>
      <c r="M1955" s="13" t="b">
        <v>0</v>
      </c>
      <c r="O1955" s="25">
        <f t="shared" si="120"/>
        <v>27</v>
      </c>
      <c r="P1955" s="13">
        <f t="shared" si="121"/>
        <v>0</v>
      </c>
      <c r="Q1955" s="13" t="str">
        <f t="shared" si="122"/>
        <v/>
      </c>
      <c r="R1955" s="13" t="str">
        <f t="shared" si="123"/>
        <v>Non diskon</v>
      </c>
    </row>
    <row r="1956" spans="1:18" x14ac:dyDescent="0.25">
      <c r="A1956" s="13" t="s">
        <v>1968</v>
      </c>
      <c r="B1956" s="13" t="s">
        <v>2192</v>
      </c>
      <c r="C1956" s="13" t="s">
        <v>2196</v>
      </c>
      <c r="D1956" s="13" t="s">
        <v>2205</v>
      </c>
      <c r="F1956" s="13" t="s">
        <v>2214</v>
      </c>
      <c r="G1956" s="13">
        <v>17.5</v>
      </c>
      <c r="H1956" s="44">
        <v>14.4</v>
      </c>
      <c r="I1956" s="13">
        <v>14.98</v>
      </c>
      <c r="J1956" s="24">
        <v>45875</v>
      </c>
      <c r="K1956" s="25">
        <v>16</v>
      </c>
      <c r="L1956" s="25">
        <v>3.1</v>
      </c>
      <c r="M1956" s="13" t="b">
        <v>0</v>
      </c>
      <c r="O1956" s="25">
        <f t="shared" si="120"/>
        <v>27</v>
      </c>
      <c r="P1956" s="13">
        <f t="shared" si="121"/>
        <v>230.4</v>
      </c>
      <c r="Q1956" s="13" t="str">
        <f t="shared" si="122"/>
        <v/>
      </c>
      <c r="R1956" s="13" t="str">
        <f t="shared" si="123"/>
        <v>Diskon</v>
      </c>
    </row>
    <row r="1957" spans="1:18" x14ac:dyDescent="0.25">
      <c r="A1957" s="13" t="s">
        <v>1969</v>
      </c>
      <c r="B1957" s="13" t="s">
        <v>2190</v>
      </c>
      <c r="C1957" s="13" t="s">
        <v>2200</v>
      </c>
      <c r="D1957" s="13" t="s">
        <v>2205</v>
      </c>
      <c r="E1957" s="13" t="s">
        <v>2208</v>
      </c>
      <c r="F1957" s="13" t="s">
        <v>2218</v>
      </c>
      <c r="G1957" s="13">
        <v>205.37</v>
      </c>
      <c r="H1957" s="44">
        <v>0</v>
      </c>
      <c r="I1957" s="13">
        <v>205.37</v>
      </c>
      <c r="J1957" s="24">
        <v>45875</v>
      </c>
      <c r="K1957" s="25">
        <v>25</v>
      </c>
      <c r="L1957" s="25">
        <v>2</v>
      </c>
      <c r="M1957" s="13" t="b">
        <v>1</v>
      </c>
      <c r="N1957" s="13" t="s">
        <v>2227</v>
      </c>
      <c r="O1957" s="25">
        <f t="shared" si="120"/>
        <v>27</v>
      </c>
      <c r="P1957" s="13">
        <f t="shared" si="121"/>
        <v>0</v>
      </c>
      <c r="Q1957" s="13">
        <f t="shared" si="122"/>
        <v>1</v>
      </c>
      <c r="R1957" s="13" t="str">
        <f t="shared" si="123"/>
        <v>Non diskon</v>
      </c>
    </row>
    <row r="1958" spans="1:18" x14ac:dyDescent="0.25">
      <c r="A1958" s="13" t="s">
        <v>1970</v>
      </c>
      <c r="B1958" s="13" t="s">
        <v>2195</v>
      </c>
      <c r="C1958" s="13" t="s">
        <v>2199</v>
      </c>
      <c r="D1958" s="13" t="s">
        <v>2205</v>
      </c>
      <c r="E1958" s="13" t="s">
        <v>2212</v>
      </c>
      <c r="F1958" s="13" t="s">
        <v>2221</v>
      </c>
      <c r="G1958" s="13">
        <v>111.66</v>
      </c>
      <c r="H1958" s="44">
        <v>0</v>
      </c>
      <c r="I1958" s="13">
        <v>111.66</v>
      </c>
      <c r="J1958" s="24">
        <v>45875</v>
      </c>
      <c r="K1958" s="25">
        <v>26</v>
      </c>
      <c r="L1958" s="25">
        <v>1.4</v>
      </c>
      <c r="M1958" s="13" t="b">
        <v>0</v>
      </c>
      <c r="O1958" s="25">
        <f t="shared" si="120"/>
        <v>27</v>
      </c>
      <c r="P1958" s="13">
        <f t="shared" si="121"/>
        <v>0</v>
      </c>
      <c r="Q1958" s="13" t="str">
        <f t="shared" si="122"/>
        <v/>
      </c>
      <c r="R1958" s="13" t="str">
        <f t="shared" si="123"/>
        <v>Non diskon</v>
      </c>
    </row>
    <row r="1959" spans="1:18" x14ac:dyDescent="0.25">
      <c r="A1959" s="13" t="s">
        <v>1971</v>
      </c>
      <c r="B1959" s="13" t="s">
        <v>2193</v>
      </c>
      <c r="C1959" s="13" t="s">
        <v>2199</v>
      </c>
      <c r="D1959" s="13" t="s">
        <v>2207</v>
      </c>
      <c r="E1959" s="13" t="s">
        <v>2210</v>
      </c>
      <c r="F1959" s="13" t="s">
        <v>2215</v>
      </c>
      <c r="G1959" s="13">
        <v>184.87</v>
      </c>
      <c r="H1959" s="44">
        <v>56.4</v>
      </c>
      <c r="I1959" s="13">
        <v>80.599999999999994</v>
      </c>
      <c r="J1959" s="24">
        <v>45875</v>
      </c>
      <c r="K1959" s="25">
        <v>10</v>
      </c>
      <c r="L1959" s="25">
        <v>3.7</v>
      </c>
      <c r="M1959" s="13" t="b">
        <v>0</v>
      </c>
      <c r="O1959" s="25">
        <f t="shared" si="120"/>
        <v>27</v>
      </c>
      <c r="P1959" s="13">
        <f t="shared" si="121"/>
        <v>564</v>
      </c>
      <c r="Q1959" s="13" t="str">
        <f t="shared" si="122"/>
        <v/>
      </c>
      <c r="R1959" s="13" t="str">
        <f t="shared" si="123"/>
        <v>Diskon</v>
      </c>
    </row>
    <row r="1960" spans="1:18" x14ac:dyDescent="0.25">
      <c r="A1960" s="13" t="s">
        <v>1972</v>
      </c>
      <c r="B1960" s="13" t="s">
        <v>2194</v>
      </c>
      <c r="C1960" s="13" t="s">
        <v>2196</v>
      </c>
      <c r="D1960" s="13" t="s">
        <v>2204</v>
      </c>
      <c r="E1960" s="13" t="s">
        <v>2209</v>
      </c>
      <c r="F1960" s="13" t="s">
        <v>2220</v>
      </c>
      <c r="G1960" s="13">
        <v>84.58</v>
      </c>
      <c r="H1960" s="44">
        <v>0</v>
      </c>
      <c r="I1960" s="13">
        <v>84.58</v>
      </c>
      <c r="J1960" s="24">
        <v>45674</v>
      </c>
      <c r="K1960" s="25">
        <v>33</v>
      </c>
      <c r="L1960" s="25">
        <v>4.5</v>
      </c>
      <c r="M1960" s="13" t="b">
        <v>0</v>
      </c>
      <c r="O1960" s="25">
        <f t="shared" si="120"/>
        <v>228</v>
      </c>
      <c r="P1960" s="13">
        <f t="shared" si="121"/>
        <v>0</v>
      </c>
      <c r="Q1960" s="13" t="str">
        <f t="shared" si="122"/>
        <v/>
      </c>
      <c r="R1960" s="13" t="str">
        <f t="shared" si="123"/>
        <v>Non diskon</v>
      </c>
    </row>
    <row r="1961" spans="1:18" x14ac:dyDescent="0.25">
      <c r="A1961" s="13" t="s">
        <v>1973</v>
      </c>
      <c r="B1961" s="13" t="s">
        <v>2194</v>
      </c>
      <c r="C1961" s="13" t="s">
        <v>2203</v>
      </c>
      <c r="D1961" s="13" t="s">
        <v>2207</v>
      </c>
      <c r="E1961" s="13" t="s">
        <v>2211</v>
      </c>
      <c r="F1961" s="13" t="s">
        <v>2217</v>
      </c>
      <c r="G1961" s="13">
        <v>66.739999999999995</v>
      </c>
      <c r="H1961" s="44">
        <v>0</v>
      </c>
      <c r="I1961" s="13">
        <v>66.739999999999995</v>
      </c>
      <c r="J1961" s="24">
        <v>45875</v>
      </c>
      <c r="K1961" s="25">
        <v>26</v>
      </c>
      <c r="L1961" s="25">
        <v>4.5999999999999996</v>
      </c>
      <c r="M1961" s="13" t="b">
        <v>0</v>
      </c>
      <c r="O1961" s="25">
        <f t="shared" si="120"/>
        <v>27</v>
      </c>
      <c r="P1961" s="13">
        <f t="shared" si="121"/>
        <v>0</v>
      </c>
      <c r="Q1961" s="13" t="str">
        <f t="shared" si="122"/>
        <v/>
      </c>
      <c r="R1961" s="13" t="str">
        <f t="shared" si="123"/>
        <v>Non diskon</v>
      </c>
    </row>
    <row r="1962" spans="1:18" x14ac:dyDescent="0.25">
      <c r="A1962" s="13" t="s">
        <v>1974</v>
      </c>
      <c r="B1962" s="13" t="s">
        <v>2193</v>
      </c>
      <c r="C1962" s="13" t="s">
        <v>2200</v>
      </c>
      <c r="D1962" s="13" t="s">
        <v>2207</v>
      </c>
      <c r="E1962" s="13" t="s">
        <v>2213</v>
      </c>
      <c r="F1962" s="13" t="s">
        <v>2220</v>
      </c>
      <c r="G1962" s="13">
        <v>104.19</v>
      </c>
      <c r="H1962" s="44">
        <v>0</v>
      </c>
      <c r="I1962" s="13">
        <v>104.19</v>
      </c>
      <c r="J1962" s="24">
        <v>45875</v>
      </c>
      <c r="K1962" s="25">
        <v>4</v>
      </c>
      <c r="L1962" s="25">
        <v>4.7</v>
      </c>
      <c r="M1962" s="13" t="b">
        <v>0</v>
      </c>
      <c r="O1962" s="25">
        <f t="shared" si="120"/>
        <v>27</v>
      </c>
      <c r="P1962" s="13">
        <f t="shared" si="121"/>
        <v>0</v>
      </c>
      <c r="Q1962" s="13" t="str">
        <f t="shared" si="122"/>
        <v/>
      </c>
      <c r="R1962" s="13" t="str">
        <f t="shared" si="123"/>
        <v>Non diskon</v>
      </c>
    </row>
    <row r="1963" spans="1:18" x14ac:dyDescent="0.25">
      <c r="A1963" s="13" t="s">
        <v>1975</v>
      </c>
      <c r="B1963" s="13" t="s">
        <v>2190</v>
      </c>
      <c r="C1963" s="13" t="s">
        <v>2197</v>
      </c>
      <c r="D1963" s="13" t="s">
        <v>2207</v>
      </c>
      <c r="E1963" s="13" t="s">
        <v>2213</v>
      </c>
      <c r="F1963" s="13" t="s">
        <v>2220</v>
      </c>
      <c r="G1963" s="13">
        <v>216.73</v>
      </c>
      <c r="H1963" s="44">
        <v>0</v>
      </c>
      <c r="I1963" s="13">
        <v>216.73</v>
      </c>
      <c r="J1963" s="24">
        <v>45875</v>
      </c>
      <c r="K1963" s="25">
        <v>5</v>
      </c>
      <c r="L1963" s="25">
        <v>2.7</v>
      </c>
      <c r="M1963" s="13" t="b">
        <v>1</v>
      </c>
      <c r="N1963" s="13" t="s">
        <v>2230</v>
      </c>
      <c r="O1963" s="25">
        <f t="shared" si="120"/>
        <v>27</v>
      </c>
      <c r="P1963" s="13">
        <f t="shared" si="121"/>
        <v>0</v>
      </c>
      <c r="Q1963" s="13">
        <f t="shared" si="122"/>
        <v>1</v>
      </c>
      <c r="R1963" s="13" t="str">
        <f t="shared" si="123"/>
        <v>Non diskon</v>
      </c>
    </row>
    <row r="1964" spans="1:18" x14ac:dyDescent="0.25">
      <c r="A1964" s="13" t="s">
        <v>1976</v>
      </c>
      <c r="B1964" s="13" t="s">
        <v>2195</v>
      </c>
      <c r="C1964" s="13" t="s">
        <v>2199</v>
      </c>
      <c r="D1964" s="13" t="s">
        <v>2207</v>
      </c>
      <c r="E1964" s="13" t="s">
        <v>2211</v>
      </c>
      <c r="F1964" s="13" t="s">
        <v>2221</v>
      </c>
      <c r="G1964" s="13">
        <v>87.82</v>
      </c>
      <c r="H1964" s="44">
        <v>0</v>
      </c>
      <c r="I1964" s="13">
        <v>87.82</v>
      </c>
      <c r="J1964" s="24">
        <v>45875</v>
      </c>
      <c r="K1964" s="25">
        <v>24</v>
      </c>
      <c r="L1964" s="25">
        <v>4.2</v>
      </c>
      <c r="M1964" s="13" t="b">
        <v>0</v>
      </c>
      <c r="O1964" s="25">
        <f t="shared" si="120"/>
        <v>27</v>
      </c>
      <c r="P1964" s="13">
        <f t="shared" si="121"/>
        <v>0</v>
      </c>
      <c r="Q1964" s="13" t="str">
        <f t="shared" si="122"/>
        <v/>
      </c>
      <c r="R1964" s="13" t="str">
        <f t="shared" si="123"/>
        <v>Non diskon</v>
      </c>
    </row>
    <row r="1965" spans="1:18" x14ac:dyDescent="0.25">
      <c r="A1965" s="13" t="s">
        <v>1977</v>
      </c>
      <c r="B1965" s="13" t="s">
        <v>2193</v>
      </c>
      <c r="C1965" s="13" t="s">
        <v>2196</v>
      </c>
      <c r="D1965" s="13" t="s">
        <v>2207</v>
      </c>
      <c r="E1965" s="13" t="s">
        <v>2209</v>
      </c>
      <c r="F1965" s="13" t="s">
        <v>2220</v>
      </c>
      <c r="G1965" s="13">
        <v>81.59</v>
      </c>
      <c r="H1965" s="44">
        <v>0</v>
      </c>
      <c r="I1965" s="13">
        <v>81.59</v>
      </c>
      <c r="J1965" s="24">
        <v>45875</v>
      </c>
      <c r="K1965" s="25">
        <v>5</v>
      </c>
      <c r="L1965" s="25">
        <v>2.5</v>
      </c>
      <c r="M1965" s="13" t="b">
        <v>0</v>
      </c>
      <c r="O1965" s="25">
        <f t="shared" si="120"/>
        <v>27</v>
      </c>
      <c r="P1965" s="13">
        <f t="shared" si="121"/>
        <v>0</v>
      </c>
      <c r="Q1965" s="13" t="str">
        <f t="shared" si="122"/>
        <v/>
      </c>
      <c r="R1965" s="13" t="str">
        <f t="shared" si="123"/>
        <v>Non diskon</v>
      </c>
    </row>
    <row r="1966" spans="1:18" x14ac:dyDescent="0.25">
      <c r="A1966" s="13" t="s">
        <v>1978</v>
      </c>
      <c r="B1966" s="13" t="s">
        <v>2190</v>
      </c>
      <c r="C1966" s="13" t="s">
        <v>2202</v>
      </c>
      <c r="D1966" s="13" t="s">
        <v>2207</v>
      </c>
      <c r="F1966" s="13" t="s">
        <v>2219</v>
      </c>
      <c r="G1966" s="13">
        <v>93.14</v>
      </c>
      <c r="H1966" s="44">
        <v>32.799999999999997</v>
      </c>
      <c r="I1966" s="13">
        <v>62.59</v>
      </c>
      <c r="J1966" s="24">
        <v>45875</v>
      </c>
      <c r="K1966" s="25">
        <v>45</v>
      </c>
      <c r="L1966" s="25">
        <v>4.5</v>
      </c>
      <c r="M1966" s="13" t="b">
        <v>0</v>
      </c>
      <c r="O1966" s="25">
        <f t="shared" si="120"/>
        <v>27</v>
      </c>
      <c r="P1966" s="13">
        <f t="shared" si="121"/>
        <v>1475.9999999999998</v>
      </c>
      <c r="Q1966" s="13" t="str">
        <f t="shared" si="122"/>
        <v/>
      </c>
      <c r="R1966" s="13" t="str">
        <f t="shared" si="123"/>
        <v>Diskon</v>
      </c>
    </row>
    <row r="1967" spans="1:18" x14ac:dyDescent="0.25">
      <c r="A1967" s="13" t="s">
        <v>1979</v>
      </c>
      <c r="B1967" s="13" t="s">
        <v>2194</v>
      </c>
      <c r="C1967" s="13" t="s">
        <v>2202</v>
      </c>
      <c r="D1967" s="13" t="s">
        <v>2204</v>
      </c>
      <c r="E1967" s="13" t="s">
        <v>2212</v>
      </c>
      <c r="F1967" s="13" t="s">
        <v>2218</v>
      </c>
      <c r="G1967" s="13">
        <v>96.73</v>
      </c>
      <c r="H1967" s="44">
        <v>0</v>
      </c>
      <c r="I1967" s="13">
        <v>96.73</v>
      </c>
      <c r="J1967" s="24">
        <v>45605</v>
      </c>
      <c r="K1967" s="25">
        <v>18</v>
      </c>
      <c r="L1967" s="25">
        <v>4.8</v>
      </c>
      <c r="M1967" s="13" t="b">
        <v>0</v>
      </c>
      <c r="O1967" s="25">
        <f t="shared" si="120"/>
        <v>297</v>
      </c>
      <c r="P1967" s="13">
        <f t="shared" si="121"/>
        <v>0</v>
      </c>
      <c r="Q1967" s="13" t="str">
        <f t="shared" si="122"/>
        <v/>
      </c>
      <c r="R1967" s="13" t="str">
        <f t="shared" si="123"/>
        <v>Non diskon</v>
      </c>
    </row>
    <row r="1968" spans="1:18" x14ac:dyDescent="0.25">
      <c r="A1968" s="13" t="s">
        <v>1980</v>
      </c>
      <c r="B1968" s="13" t="s">
        <v>2192</v>
      </c>
      <c r="C1968" s="13" t="s">
        <v>2203</v>
      </c>
      <c r="D1968" s="13" t="s">
        <v>2205</v>
      </c>
      <c r="F1968" s="13" t="s">
        <v>2219</v>
      </c>
      <c r="G1968" s="13">
        <v>19.34</v>
      </c>
      <c r="H1968" s="44">
        <v>0</v>
      </c>
      <c r="I1968" s="13">
        <v>19.34</v>
      </c>
      <c r="J1968" s="24">
        <v>45875</v>
      </c>
      <c r="K1968" s="25">
        <v>19</v>
      </c>
      <c r="L1968" s="25">
        <v>2.8636363636363633</v>
      </c>
      <c r="M1968" s="13" t="b">
        <v>0</v>
      </c>
      <c r="O1968" s="25">
        <f t="shared" si="120"/>
        <v>27</v>
      </c>
      <c r="P1968" s="13">
        <f t="shared" si="121"/>
        <v>0</v>
      </c>
      <c r="Q1968" s="13" t="str">
        <f t="shared" si="122"/>
        <v/>
      </c>
      <c r="R1968" s="13" t="str">
        <f t="shared" si="123"/>
        <v>Non diskon</v>
      </c>
    </row>
    <row r="1969" spans="1:18" x14ac:dyDescent="0.25">
      <c r="A1969" s="13" t="s">
        <v>1981</v>
      </c>
      <c r="B1969" s="13" t="s">
        <v>2193</v>
      </c>
      <c r="C1969" s="13" t="s">
        <v>2196</v>
      </c>
      <c r="D1969" s="13" t="s">
        <v>2204</v>
      </c>
      <c r="E1969" s="13" t="s">
        <v>2210</v>
      </c>
      <c r="F1969" s="13" t="s">
        <v>2214</v>
      </c>
      <c r="G1969" s="13">
        <v>113.88</v>
      </c>
      <c r="H1969" s="44">
        <v>31.1</v>
      </c>
      <c r="I1969" s="13">
        <v>78.459999999999994</v>
      </c>
      <c r="J1969" s="24">
        <v>45818</v>
      </c>
      <c r="K1969" s="25">
        <v>22</v>
      </c>
      <c r="L1969" s="25">
        <v>3.1</v>
      </c>
      <c r="M1969" s="13" t="b">
        <v>0</v>
      </c>
      <c r="O1969" s="25">
        <f t="shared" si="120"/>
        <v>84</v>
      </c>
      <c r="P1969" s="13">
        <f t="shared" si="121"/>
        <v>684.2</v>
      </c>
      <c r="Q1969" s="13" t="str">
        <f t="shared" si="122"/>
        <v/>
      </c>
      <c r="R1969" s="13" t="str">
        <f t="shared" si="123"/>
        <v>Diskon</v>
      </c>
    </row>
    <row r="1970" spans="1:18" x14ac:dyDescent="0.25">
      <c r="A1970" s="13" t="s">
        <v>1982</v>
      </c>
      <c r="B1970" s="13" t="s">
        <v>2195</v>
      </c>
      <c r="C1970" s="13" t="s">
        <v>2196</v>
      </c>
      <c r="D1970" s="13" t="s">
        <v>2204</v>
      </c>
      <c r="E1970" s="13" t="s">
        <v>2208</v>
      </c>
      <c r="F1970" s="13" t="s">
        <v>2222</v>
      </c>
      <c r="G1970" s="13">
        <v>90.32</v>
      </c>
      <c r="H1970" s="44">
        <v>0</v>
      </c>
      <c r="I1970" s="13">
        <v>90.32</v>
      </c>
      <c r="J1970" s="24">
        <v>45742</v>
      </c>
      <c r="K1970" s="25">
        <v>41</v>
      </c>
      <c r="L1970" s="25">
        <v>2.8</v>
      </c>
      <c r="M1970" s="13" t="b">
        <v>0</v>
      </c>
      <c r="O1970" s="25">
        <f t="shared" si="120"/>
        <v>160</v>
      </c>
      <c r="P1970" s="13">
        <f t="shared" si="121"/>
        <v>0</v>
      </c>
      <c r="Q1970" s="13" t="str">
        <f t="shared" si="122"/>
        <v/>
      </c>
      <c r="R1970" s="13" t="str">
        <f t="shared" si="123"/>
        <v>Non diskon</v>
      </c>
    </row>
    <row r="1971" spans="1:18" x14ac:dyDescent="0.25">
      <c r="A1971" s="13" t="s">
        <v>1983</v>
      </c>
      <c r="B1971" s="13" t="s">
        <v>2191</v>
      </c>
      <c r="C1971" s="13" t="s">
        <v>2198</v>
      </c>
      <c r="D1971" s="13" t="s">
        <v>2207</v>
      </c>
      <c r="E1971" s="13" t="s">
        <v>2209</v>
      </c>
      <c r="F1971" s="13" t="s">
        <v>2218</v>
      </c>
      <c r="G1971" s="13">
        <v>38.119999999999997</v>
      </c>
      <c r="H1971" s="44">
        <v>0</v>
      </c>
      <c r="I1971" s="13">
        <v>38.119999999999997</v>
      </c>
      <c r="J1971" s="24">
        <v>45875</v>
      </c>
      <c r="K1971" s="25">
        <v>44</v>
      </c>
      <c r="L1971" s="25">
        <v>2.953125</v>
      </c>
      <c r="M1971" s="13" t="b">
        <v>0</v>
      </c>
      <c r="O1971" s="25">
        <f t="shared" si="120"/>
        <v>27</v>
      </c>
      <c r="P1971" s="13">
        <f t="shared" si="121"/>
        <v>0</v>
      </c>
      <c r="Q1971" s="13" t="str">
        <f t="shared" si="122"/>
        <v/>
      </c>
      <c r="R1971" s="13" t="str">
        <f t="shared" si="123"/>
        <v>Non diskon</v>
      </c>
    </row>
    <row r="1972" spans="1:18" x14ac:dyDescent="0.25">
      <c r="A1972" s="13" t="s">
        <v>1984</v>
      </c>
      <c r="B1972" s="13" t="s">
        <v>2193</v>
      </c>
      <c r="C1972" s="13" t="s">
        <v>2198</v>
      </c>
      <c r="D1972" s="13" t="s">
        <v>2207</v>
      </c>
      <c r="E1972" s="13" t="s">
        <v>2210</v>
      </c>
      <c r="F1972" s="13" t="s">
        <v>2219</v>
      </c>
      <c r="G1972" s="13">
        <v>175.31</v>
      </c>
      <c r="H1972" s="44">
        <v>0</v>
      </c>
      <c r="I1972" s="13">
        <v>175.31</v>
      </c>
      <c r="J1972" s="24">
        <v>45875</v>
      </c>
      <c r="K1972" s="25">
        <v>13</v>
      </c>
      <c r="L1972" s="25">
        <v>3.1936170212765949</v>
      </c>
      <c r="M1972" s="13" t="b">
        <v>0</v>
      </c>
      <c r="O1972" s="25">
        <f t="shared" si="120"/>
        <v>27</v>
      </c>
      <c r="P1972" s="13">
        <f t="shared" si="121"/>
        <v>0</v>
      </c>
      <c r="Q1972" s="13" t="str">
        <f t="shared" si="122"/>
        <v/>
      </c>
      <c r="R1972" s="13" t="str">
        <f t="shared" si="123"/>
        <v>Non diskon</v>
      </c>
    </row>
    <row r="1973" spans="1:18" x14ac:dyDescent="0.25">
      <c r="A1973" s="13" t="s">
        <v>1985</v>
      </c>
      <c r="B1973" s="13" t="s">
        <v>2195</v>
      </c>
      <c r="C1973" s="13" t="s">
        <v>2196</v>
      </c>
      <c r="D1973" s="13" t="s">
        <v>2204</v>
      </c>
      <c r="E1973" s="13" t="s">
        <v>2209</v>
      </c>
      <c r="F1973" s="13" t="s">
        <v>2214</v>
      </c>
      <c r="G1973" s="13">
        <v>171.92</v>
      </c>
      <c r="H1973" s="44">
        <v>0</v>
      </c>
      <c r="I1973" s="13">
        <v>171.92</v>
      </c>
      <c r="J1973" s="24">
        <v>45816</v>
      </c>
      <c r="K1973" s="25">
        <v>12</v>
      </c>
      <c r="L1973" s="25">
        <v>1.3</v>
      </c>
      <c r="M1973" s="13" t="b">
        <v>0</v>
      </c>
      <c r="O1973" s="25">
        <f t="shared" si="120"/>
        <v>86</v>
      </c>
      <c r="P1973" s="13">
        <f t="shared" si="121"/>
        <v>0</v>
      </c>
      <c r="Q1973" s="13" t="str">
        <f t="shared" si="122"/>
        <v/>
      </c>
      <c r="R1973" s="13" t="str">
        <f t="shared" si="123"/>
        <v>Non diskon</v>
      </c>
    </row>
    <row r="1974" spans="1:18" x14ac:dyDescent="0.25">
      <c r="A1974" s="13" t="s">
        <v>1986</v>
      </c>
      <c r="B1974" s="13" t="s">
        <v>2192</v>
      </c>
      <c r="C1974" s="13" t="s">
        <v>2202</v>
      </c>
      <c r="D1974" s="13" t="s">
        <v>2207</v>
      </c>
      <c r="F1974" s="13" t="s">
        <v>2219</v>
      </c>
      <c r="G1974" s="13">
        <v>35.6</v>
      </c>
      <c r="H1974" s="44">
        <v>0</v>
      </c>
      <c r="I1974" s="13">
        <v>35.6</v>
      </c>
      <c r="J1974" s="24">
        <v>45875</v>
      </c>
      <c r="K1974" s="25">
        <v>24</v>
      </c>
      <c r="L1974" s="25">
        <v>3.1</v>
      </c>
      <c r="M1974" s="13" t="b">
        <v>0</v>
      </c>
      <c r="O1974" s="25">
        <f t="shared" si="120"/>
        <v>27</v>
      </c>
      <c r="P1974" s="13">
        <f t="shared" si="121"/>
        <v>0</v>
      </c>
      <c r="Q1974" s="13" t="str">
        <f t="shared" si="122"/>
        <v/>
      </c>
      <c r="R1974" s="13" t="str">
        <f t="shared" si="123"/>
        <v>Non diskon</v>
      </c>
    </row>
    <row r="1975" spans="1:18" x14ac:dyDescent="0.25">
      <c r="A1975" s="13" t="s">
        <v>1987</v>
      </c>
      <c r="B1975" s="13" t="s">
        <v>2194</v>
      </c>
      <c r="C1975" s="13" t="s">
        <v>2200</v>
      </c>
      <c r="D1975" s="13" t="s">
        <v>2207</v>
      </c>
      <c r="E1975" s="13" t="s">
        <v>2213</v>
      </c>
      <c r="F1975" s="13" t="s">
        <v>2222</v>
      </c>
      <c r="G1975" s="13">
        <v>81.7</v>
      </c>
      <c r="H1975" s="44">
        <v>0</v>
      </c>
      <c r="I1975" s="13">
        <v>81.7</v>
      </c>
      <c r="J1975" s="24">
        <v>45875</v>
      </c>
      <c r="K1975" s="25">
        <v>33</v>
      </c>
      <c r="L1975" s="25">
        <v>3.0659090909090896</v>
      </c>
      <c r="M1975" s="13" t="b">
        <v>1</v>
      </c>
      <c r="N1975" s="13" t="s">
        <v>2230</v>
      </c>
      <c r="O1975" s="25">
        <f t="shared" si="120"/>
        <v>27</v>
      </c>
      <c r="P1975" s="13">
        <f t="shared" si="121"/>
        <v>0</v>
      </c>
      <c r="Q1975" s="13">
        <f t="shared" si="122"/>
        <v>1</v>
      </c>
      <c r="R1975" s="13" t="str">
        <f t="shared" si="123"/>
        <v>Non diskon</v>
      </c>
    </row>
    <row r="1976" spans="1:18" x14ac:dyDescent="0.25">
      <c r="A1976" s="13" t="s">
        <v>1988</v>
      </c>
      <c r="B1976" s="13" t="s">
        <v>2194</v>
      </c>
      <c r="C1976" s="13" t="s">
        <v>2198</v>
      </c>
      <c r="D1976" s="13" t="s">
        <v>2207</v>
      </c>
      <c r="F1976" s="13" t="s">
        <v>2223</v>
      </c>
      <c r="G1976" s="13">
        <v>29.7</v>
      </c>
      <c r="H1976" s="44">
        <v>0</v>
      </c>
      <c r="I1976" s="13">
        <v>29.7</v>
      </c>
      <c r="J1976" s="24">
        <v>45875</v>
      </c>
      <c r="K1976" s="25">
        <v>16</v>
      </c>
      <c r="L1976" s="25">
        <v>2.7</v>
      </c>
      <c r="M1976" s="13" t="b">
        <v>0</v>
      </c>
      <c r="O1976" s="25">
        <f t="shared" si="120"/>
        <v>27</v>
      </c>
      <c r="P1976" s="13">
        <f t="shared" si="121"/>
        <v>0</v>
      </c>
      <c r="Q1976" s="13" t="str">
        <f t="shared" si="122"/>
        <v/>
      </c>
      <c r="R1976" s="13" t="str">
        <f t="shared" si="123"/>
        <v>Non diskon</v>
      </c>
    </row>
    <row r="1977" spans="1:18" x14ac:dyDescent="0.25">
      <c r="A1977" s="13" t="s">
        <v>1989</v>
      </c>
      <c r="B1977" s="13" t="s">
        <v>2190</v>
      </c>
      <c r="C1977" s="13" t="s">
        <v>2199</v>
      </c>
      <c r="D1977" s="13" t="s">
        <v>2205</v>
      </c>
      <c r="E1977" s="13" t="s">
        <v>2210</v>
      </c>
      <c r="F1977" s="13" t="s">
        <v>2224</v>
      </c>
      <c r="G1977" s="13">
        <v>239.65</v>
      </c>
      <c r="H1977" s="44">
        <v>0</v>
      </c>
      <c r="I1977" s="13">
        <v>239.65</v>
      </c>
      <c r="J1977" s="24">
        <v>45875</v>
      </c>
      <c r="K1977" s="25">
        <v>27</v>
      </c>
      <c r="L1977" s="25">
        <v>2.9</v>
      </c>
      <c r="M1977" s="13" t="b">
        <v>0</v>
      </c>
      <c r="O1977" s="25">
        <f t="shared" si="120"/>
        <v>27</v>
      </c>
      <c r="P1977" s="13">
        <f t="shared" si="121"/>
        <v>0</v>
      </c>
      <c r="Q1977" s="13" t="str">
        <f t="shared" si="122"/>
        <v/>
      </c>
      <c r="R1977" s="13" t="str">
        <f t="shared" si="123"/>
        <v>Non diskon</v>
      </c>
    </row>
    <row r="1978" spans="1:18" x14ac:dyDescent="0.25">
      <c r="A1978" s="13" t="s">
        <v>1990</v>
      </c>
      <c r="B1978" s="13" t="s">
        <v>2191</v>
      </c>
      <c r="C1978" s="13" t="s">
        <v>2200</v>
      </c>
      <c r="D1978" s="13" t="s">
        <v>2206</v>
      </c>
      <c r="E1978" s="13" t="s">
        <v>2213</v>
      </c>
      <c r="F1978" s="13" t="s">
        <v>2214</v>
      </c>
      <c r="G1978" s="13">
        <v>90.41</v>
      </c>
      <c r="H1978" s="44">
        <v>0</v>
      </c>
      <c r="I1978" s="13">
        <v>90.41</v>
      </c>
      <c r="J1978" s="24">
        <v>45875</v>
      </c>
      <c r="K1978" s="25">
        <v>11</v>
      </c>
      <c r="L1978" s="25">
        <v>2.9657142857142857</v>
      </c>
      <c r="M1978" s="13" t="b">
        <v>0</v>
      </c>
      <c r="O1978" s="25">
        <f t="shared" si="120"/>
        <v>27</v>
      </c>
      <c r="P1978" s="13">
        <f t="shared" si="121"/>
        <v>0</v>
      </c>
      <c r="Q1978" s="13" t="str">
        <f t="shared" si="122"/>
        <v/>
      </c>
      <c r="R1978" s="13" t="str">
        <f t="shared" si="123"/>
        <v>Non diskon</v>
      </c>
    </row>
    <row r="1979" spans="1:18" x14ac:dyDescent="0.25">
      <c r="A1979" s="13" t="s">
        <v>1991</v>
      </c>
      <c r="B1979" s="13" t="s">
        <v>2195</v>
      </c>
      <c r="C1979" s="13" t="s">
        <v>2201</v>
      </c>
      <c r="D1979" s="13" t="s">
        <v>2205</v>
      </c>
      <c r="E1979" s="13" t="s">
        <v>2208</v>
      </c>
      <c r="F1979" s="13" t="s">
        <v>2217</v>
      </c>
      <c r="G1979" s="13">
        <v>81.78</v>
      </c>
      <c r="H1979" s="44">
        <v>10</v>
      </c>
      <c r="I1979" s="13">
        <v>73.599999999999994</v>
      </c>
      <c r="J1979" s="24">
        <v>45875</v>
      </c>
      <c r="K1979" s="25">
        <v>24</v>
      </c>
      <c r="L1979" s="25">
        <v>1.2</v>
      </c>
      <c r="M1979" s="13" t="b">
        <v>0</v>
      </c>
      <c r="O1979" s="25">
        <f t="shared" si="120"/>
        <v>27</v>
      </c>
      <c r="P1979" s="13">
        <f t="shared" si="121"/>
        <v>240</v>
      </c>
      <c r="Q1979" s="13" t="str">
        <f t="shared" si="122"/>
        <v/>
      </c>
      <c r="R1979" s="13" t="str">
        <f t="shared" si="123"/>
        <v>Diskon</v>
      </c>
    </row>
    <row r="1980" spans="1:18" x14ac:dyDescent="0.25">
      <c r="A1980" s="13" t="s">
        <v>1992</v>
      </c>
      <c r="B1980" s="13" t="s">
        <v>2190</v>
      </c>
      <c r="C1980" s="13" t="s">
        <v>2203</v>
      </c>
      <c r="D1980" s="13" t="s">
        <v>2205</v>
      </c>
      <c r="E1980" s="13" t="s">
        <v>2209</v>
      </c>
      <c r="F1980" s="13" t="s">
        <v>2216</v>
      </c>
      <c r="G1980" s="13">
        <v>142.55000000000001</v>
      </c>
      <c r="H1980" s="44">
        <v>0</v>
      </c>
      <c r="I1980" s="13">
        <v>142.55000000000001</v>
      </c>
      <c r="J1980" s="24">
        <v>45875</v>
      </c>
      <c r="K1980" s="25">
        <v>21</v>
      </c>
      <c r="L1980" s="25">
        <v>4.5</v>
      </c>
      <c r="M1980" s="13" t="b">
        <v>0</v>
      </c>
      <c r="O1980" s="25">
        <f t="shared" si="120"/>
        <v>27</v>
      </c>
      <c r="P1980" s="13">
        <f t="shared" si="121"/>
        <v>0</v>
      </c>
      <c r="Q1980" s="13" t="str">
        <f t="shared" si="122"/>
        <v/>
      </c>
      <c r="R1980" s="13" t="str">
        <f t="shared" si="123"/>
        <v>Non diskon</v>
      </c>
    </row>
    <row r="1981" spans="1:18" x14ac:dyDescent="0.25">
      <c r="A1981" s="13" t="s">
        <v>1993</v>
      </c>
      <c r="B1981" s="13" t="s">
        <v>2195</v>
      </c>
      <c r="C1981" s="13" t="s">
        <v>2202</v>
      </c>
      <c r="D1981" s="13" t="s">
        <v>2206</v>
      </c>
      <c r="E1981" s="13" t="s">
        <v>2210</v>
      </c>
      <c r="F1981" s="13" t="s">
        <v>2216</v>
      </c>
      <c r="G1981" s="13">
        <v>53.13</v>
      </c>
      <c r="H1981" s="44">
        <v>0</v>
      </c>
      <c r="I1981" s="13">
        <v>53.13</v>
      </c>
      <c r="J1981" s="24">
        <v>45875</v>
      </c>
      <c r="K1981" s="25">
        <v>5</v>
      </c>
      <c r="L1981" s="25">
        <v>4.5999999999999996</v>
      </c>
      <c r="M1981" s="13" t="b">
        <v>0</v>
      </c>
      <c r="O1981" s="25">
        <f t="shared" si="120"/>
        <v>27</v>
      </c>
      <c r="P1981" s="13">
        <f t="shared" si="121"/>
        <v>0</v>
      </c>
      <c r="Q1981" s="13" t="str">
        <f t="shared" si="122"/>
        <v/>
      </c>
      <c r="R1981" s="13" t="str">
        <f t="shared" si="123"/>
        <v>Non diskon</v>
      </c>
    </row>
    <row r="1982" spans="1:18" x14ac:dyDescent="0.25">
      <c r="A1982" s="13" t="s">
        <v>1994</v>
      </c>
      <c r="B1982" s="13" t="s">
        <v>2194</v>
      </c>
      <c r="C1982" s="13" t="s">
        <v>2203</v>
      </c>
      <c r="D1982" s="13" t="s">
        <v>2207</v>
      </c>
      <c r="E1982" s="13" t="s">
        <v>2209</v>
      </c>
      <c r="F1982" s="13" t="s">
        <v>2222</v>
      </c>
      <c r="G1982" s="13">
        <v>80.81</v>
      </c>
      <c r="H1982" s="44">
        <v>0</v>
      </c>
      <c r="I1982" s="13">
        <v>80.81</v>
      </c>
      <c r="J1982" s="24">
        <v>45875</v>
      </c>
      <c r="K1982" s="25">
        <v>15</v>
      </c>
      <c r="L1982" s="25">
        <v>4.5999999999999996</v>
      </c>
      <c r="M1982" s="13" t="b">
        <v>0</v>
      </c>
      <c r="O1982" s="25">
        <f t="shared" si="120"/>
        <v>27</v>
      </c>
      <c r="P1982" s="13">
        <f t="shared" si="121"/>
        <v>0</v>
      </c>
      <c r="Q1982" s="13" t="str">
        <f t="shared" si="122"/>
        <v/>
      </c>
      <c r="R1982" s="13" t="str">
        <f t="shared" si="123"/>
        <v>Non diskon</v>
      </c>
    </row>
    <row r="1983" spans="1:18" x14ac:dyDescent="0.25">
      <c r="A1983" s="13" t="s">
        <v>1995</v>
      </c>
      <c r="B1983" s="13" t="s">
        <v>2191</v>
      </c>
      <c r="C1983" s="13" t="s">
        <v>2197</v>
      </c>
      <c r="D1983" s="13" t="s">
        <v>2206</v>
      </c>
      <c r="E1983" s="13" t="s">
        <v>2213</v>
      </c>
      <c r="F1983" s="13" t="s">
        <v>2222</v>
      </c>
      <c r="G1983" s="13">
        <v>89.39</v>
      </c>
      <c r="H1983" s="44">
        <v>0</v>
      </c>
      <c r="I1983" s="13">
        <v>89.39</v>
      </c>
      <c r="J1983" s="24">
        <v>45875</v>
      </c>
      <c r="K1983" s="25">
        <v>33</v>
      </c>
      <c r="L1983" s="25">
        <v>4.2</v>
      </c>
      <c r="M1983" s="13" t="b">
        <v>0</v>
      </c>
      <c r="O1983" s="25">
        <f t="shared" si="120"/>
        <v>27</v>
      </c>
      <c r="P1983" s="13">
        <f t="shared" si="121"/>
        <v>0</v>
      </c>
      <c r="Q1983" s="13" t="str">
        <f t="shared" si="122"/>
        <v/>
      </c>
      <c r="R1983" s="13" t="str">
        <f t="shared" si="123"/>
        <v>Non diskon</v>
      </c>
    </row>
    <row r="1984" spans="1:18" x14ac:dyDescent="0.25">
      <c r="A1984" s="13" t="s">
        <v>1996</v>
      </c>
      <c r="B1984" s="13" t="s">
        <v>2194</v>
      </c>
      <c r="C1984" s="13" t="s">
        <v>2199</v>
      </c>
      <c r="D1984" s="13" t="s">
        <v>2207</v>
      </c>
      <c r="E1984" s="13" t="s">
        <v>2210</v>
      </c>
      <c r="F1984" s="13" t="s">
        <v>2219</v>
      </c>
      <c r="G1984" s="13">
        <v>37.9</v>
      </c>
      <c r="H1984" s="44">
        <v>37.9</v>
      </c>
      <c r="I1984" s="13">
        <v>23.54</v>
      </c>
      <c r="J1984" s="24">
        <v>45875</v>
      </c>
      <c r="K1984" s="25">
        <v>34</v>
      </c>
      <c r="L1984" s="25">
        <v>1.3</v>
      </c>
      <c r="M1984" s="13" t="b">
        <v>0</v>
      </c>
      <c r="O1984" s="25">
        <f t="shared" si="120"/>
        <v>27</v>
      </c>
      <c r="P1984" s="13">
        <f t="shared" si="121"/>
        <v>1288.5999999999999</v>
      </c>
      <c r="Q1984" s="13" t="str">
        <f t="shared" si="122"/>
        <v/>
      </c>
      <c r="R1984" s="13" t="str">
        <f t="shared" si="123"/>
        <v>Diskon</v>
      </c>
    </row>
    <row r="1985" spans="1:18" x14ac:dyDescent="0.25">
      <c r="A1985" s="13" t="s">
        <v>1997</v>
      </c>
      <c r="B1985" s="13" t="s">
        <v>2192</v>
      </c>
      <c r="C1985" s="13" t="s">
        <v>2199</v>
      </c>
      <c r="D1985" s="13" t="s">
        <v>2204</v>
      </c>
      <c r="F1985" s="13" t="s">
        <v>2224</v>
      </c>
      <c r="G1985" s="13">
        <v>44.49</v>
      </c>
      <c r="H1985" s="44">
        <v>0</v>
      </c>
      <c r="I1985" s="13">
        <v>44.49</v>
      </c>
      <c r="J1985" s="24">
        <v>45835</v>
      </c>
      <c r="K1985" s="25">
        <v>34</v>
      </c>
      <c r="L1985" s="25">
        <v>2.1</v>
      </c>
      <c r="M1985" s="13" t="b">
        <v>0</v>
      </c>
      <c r="O1985" s="25">
        <f t="shared" si="120"/>
        <v>67</v>
      </c>
      <c r="P1985" s="13">
        <f t="shared" si="121"/>
        <v>0</v>
      </c>
      <c r="Q1985" s="13" t="str">
        <f t="shared" si="122"/>
        <v/>
      </c>
      <c r="R1985" s="13" t="str">
        <f t="shared" si="123"/>
        <v>Non diskon</v>
      </c>
    </row>
    <row r="1986" spans="1:18" x14ac:dyDescent="0.25">
      <c r="A1986" s="13" t="s">
        <v>1998</v>
      </c>
      <c r="B1986" s="13" t="s">
        <v>2191</v>
      </c>
      <c r="C1986" s="13" t="s">
        <v>2199</v>
      </c>
      <c r="D1986" s="13" t="s">
        <v>2207</v>
      </c>
      <c r="E1986" s="13" t="s">
        <v>2209</v>
      </c>
      <c r="F1986" s="13" t="s">
        <v>2221</v>
      </c>
      <c r="G1986" s="13">
        <v>111.7</v>
      </c>
      <c r="H1986" s="44">
        <v>0</v>
      </c>
      <c r="I1986" s="13">
        <v>111.7</v>
      </c>
      <c r="J1986" s="24">
        <v>45875</v>
      </c>
      <c r="K1986" s="25">
        <v>2</v>
      </c>
      <c r="L1986" s="25">
        <v>2.9742857142857138</v>
      </c>
      <c r="M1986" s="13" t="b">
        <v>1</v>
      </c>
      <c r="N1986" s="13" t="s">
        <v>2226</v>
      </c>
      <c r="O1986" s="25">
        <f t="shared" si="120"/>
        <v>27</v>
      </c>
      <c r="P1986" s="13">
        <f t="shared" si="121"/>
        <v>0</v>
      </c>
      <c r="Q1986" s="13">
        <f t="shared" si="122"/>
        <v>1</v>
      </c>
      <c r="R1986" s="13" t="str">
        <f t="shared" si="123"/>
        <v>Non diskon</v>
      </c>
    </row>
    <row r="1987" spans="1:18" x14ac:dyDescent="0.25">
      <c r="A1987" s="13" t="s">
        <v>1999</v>
      </c>
      <c r="B1987" s="13" t="s">
        <v>2191</v>
      </c>
      <c r="C1987" s="13" t="s">
        <v>2200</v>
      </c>
      <c r="D1987" s="13" t="s">
        <v>2204</v>
      </c>
      <c r="E1987" s="13" t="s">
        <v>2209</v>
      </c>
      <c r="F1987" s="13" t="s">
        <v>2222</v>
      </c>
      <c r="G1987" s="13">
        <v>109.76</v>
      </c>
      <c r="H1987" s="44">
        <v>0</v>
      </c>
      <c r="I1987" s="13">
        <v>109.76</v>
      </c>
      <c r="J1987" s="24">
        <v>45669</v>
      </c>
      <c r="K1987" s="25">
        <v>23</v>
      </c>
      <c r="L1987" s="25">
        <v>2</v>
      </c>
      <c r="M1987" s="13" t="b">
        <v>1</v>
      </c>
      <c r="N1987" s="13" t="s">
        <v>2228</v>
      </c>
      <c r="O1987" s="25">
        <f t="shared" ref="O1987:O2050" si="124">DATE(2025,9,2)-J1987</f>
        <v>233</v>
      </c>
      <c r="P1987" s="13">
        <f t="shared" ref="P1987:P2050" si="125">H1987*K1987</f>
        <v>0</v>
      </c>
      <c r="Q1987" s="13">
        <f t="shared" ref="Q1987:Q2050" si="126">IF(M1987=FALSE,"",1)</f>
        <v>1</v>
      </c>
      <c r="R1987" s="13" t="str">
        <f t="shared" ref="R1987:R2050" si="127">IF(H1987=0,"Non diskon","Diskon")</f>
        <v>Non diskon</v>
      </c>
    </row>
    <row r="1988" spans="1:18" x14ac:dyDescent="0.25">
      <c r="A1988" s="13" t="s">
        <v>2000</v>
      </c>
      <c r="B1988" s="13" t="s">
        <v>2192</v>
      </c>
      <c r="C1988" s="13" t="s">
        <v>2197</v>
      </c>
      <c r="D1988" s="13" t="s">
        <v>2206</v>
      </c>
      <c r="F1988" s="13" t="s">
        <v>2222</v>
      </c>
      <c r="G1988" s="13">
        <v>33</v>
      </c>
      <c r="H1988" s="44">
        <v>0</v>
      </c>
      <c r="I1988" s="13">
        <v>33</v>
      </c>
      <c r="J1988" s="24">
        <v>45875</v>
      </c>
      <c r="K1988" s="25">
        <v>50</v>
      </c>
      <c r="L1988" s="25">
        <v>4</v>
      </c>
      <c r="M1988" s="13" t="b">
        <v>0</v>
      </c>
      <c r="O1988" s="25">
        <f t="shared" si="124"/>
        <v>27</v>
      </c>
      <c r="P1988" s="13">
        <f t="shared" si="125"/>
        <v>0</v>
      </c>
      <c r="Q1988" s="13" t="str">
        <f t="shared" si="126"/>
        <v/>
      </c>
      <c r="R1988" s="13" t="str">
        <f t="shared" si="127"/>
        <v>Non diskon</v>
      </c>
    </row>
    <row r="1989" spans="1:18" x14ac:dyDescent="0.25">
      <c r="A1989" s="13" t="s">
        <v>2001</v>
      </c>
      <c r="B1989" s="13" t="s">
        <v>2193</v>
      </c>
      <c r="C1989" s="13" t="s">
        <v>2201</v>
      </c>
      <c r="D1989" s="13" t="s">
        <v>2205</v>
      </c>
      <c r="E1989" s="13" t="s">
        <v>2213</v>
      </c>
      <c r="F1989" s="13" t="s">
        <v>2220</v>
      </c>
      <c r="G1989" s="13">
        <v>150.65</v>
      </c>
      <c r="H1989" s="44">
        <v>8.9</v>
      </c>
      <c r="I1989" s="13">
        <v>137.24</v>
      </c>
      <c r="J1989" s="24">
        <v>45875</v>
      </c>
      <c r="K1989" s="25">
        <v>43</v>
      </c>
      <c r="L1989" s="25">
        <v>3.4</v>
      </c>
      <c r="M1989" s="13" t="b">
        <v>0</v>
      </c>
      <c r="O1989" s="25">
        <f t="shared" si="124"/>
        <v>27</v>
      </c>
      <c r="P1989" s="13">
        <f t="shared" si="125"/>
        <v>382.7</v>
      </c>
      <c r="Q1989" s="13" t="str">
        <f t="shared" si="126"/>
        <v/>
      </c>
      <c r="R1989" s="13" t="str">
        <f t="shared" si="127"/>
        <v>Diskon</v>
      </c>
    </row>
    <row r="1990" spans="1:18" x14ac:dyDescent="0.25">
      <c r="A1990" s="13" t="s">
        <v>2002</v>
      </c>
      <c r="B1990" s="13" t="s">
        <v>2194</v>
      </c>
      <c r="C1990" s="13" t="s">
        <v>2196</v>
      </c>
      <c r="D1990" s="13" t="s">
        <v>2206</v>
      </c>
      <c r="E1990" s="13" t="s">
        <v>2210</v>
      </c>
      <c r="F1990" s="13" t="s">
        <v>2220</v>
      </c>
      <c r="G1990" s="13">
        <v>66.34</v>
      </c>
      <c r="H1990" s="44">
        <v>19</v>
      </c>
      <c r="I1990" s="13">
        <v>53.74</v>
      </c>
      <c r="J1990" s="24">
        <v>45875</v>
      </c>
      <c r="K1990" s="25">
        <v>42</v>
      </c>
      <c r="L1990" s="25">
        <v>1.9</v>
      </c>
      <c r="M1990" s="13" t="b">
        <v>0</v>
      </c>
      <c r="O1990" s="25">
        <f t="shared" si="124"/>
        <v>27</v>
      </c>
      <c r="P1990" s="13">
        <f t="shared" si="125"/>
        <v>798</v>
      </c>
      <c r="Q1990" s="13" t="str">
        <f t="shared" si="126"/>
        <v/>
      </c>
      <c r="R1990" s="13" t="str">
        <f t="shared" si="127"/>
        <v>Diskon</v>
      </c>
    </row>
    <row r="1991" spans="1:18" x14ac:dyDescent="0.25">
      <c r="A1991" s="13" t="s">
        <v>2003</v>
      </c>
      <c r="B1991" s="13" t="s">
        <v>2194</v>
      </c>
      <c r="C1991" s="13" t="s">
        <v>2202</v>
      </c>
      <c r="D1991" s="13" t="s">
        <v>2204</v>
      </c>
      <c r="E1991" s="13" t="s">
        <v>2213</v>
      </c>
      <c r="F1991" s="13" t="s">
        <v>2215</v>
      </c>
      <c r="G1991" s="13">
        <v>27.89</v>
      </c>
      <c r="H1991" s="44">
        <v>17.399999999999999</v>
      </c>
      <c r="I1991" s="13">
        <v>23.04</v>
      </c>
      <c r="J1991" s="24">
        <v>45541</v>
      </c>
      <c r="K1991" s="25">
        <v>43</v>
      </c>
      <c r="L1991" s="25">
        <v>2.1</v>
      </c>
      <c r="M1991" s="13" t="b">
        <v>0</v>
      </c>
      <c r="O1991" s="25">
        <f t="shared" si="124"/>
        <v>361</v>
      </c>
      <c r="P1991" s="13">
        <f t="shared" si="125"/>
        <v>748.19999999999993</v>
      </c>
      <c r="Q1991" s="13" t="str">
        <f t="shared" si="126"/>
        <v/>
      </c>
      <c r="R1991" s="13" t="str">
        <f t="shared" si="127"/>
        <v>Diskon</v>
      </c>
    </row>
    <row r="1992" spans="1:18" x14ac:dyDescent="0.25">
      <c r="A1992" s="13" t="s">
        <v>2004</v>
      </c>
      <c r="B1992" s="13" t="s">
        <v>2192</v>
      </c>
      <c r="C1992" s="13" t="s">
        <v>2197</v>
      </c>
      <c r="D1992" s="13" t="s">
        <v>2207</v>
      </c>
      <c r="F1992" s="13" t="s">
        <v>2218</v>
      </c>
      <c r="G1992" s="13">
        <v>60.18</v>
      </c>
      <c r="H1992" s="44">
        <v>0</v>
      </c>
      <c r="I1992" s="13">
        <v>60.18</v>
      </c>
      <c r="J1992" s="24">
        <v>45875</v>
      </c>
      <c r="K1992" s="25">
        <v>36</v>
      </c>
      <c r="L1992" s="25">
        <v>1.4</v>
      </c>
      <c r="M1992" s="13" t="b">
        <v>0</v>
      </c>
      <c r="O1992" s="25">
        <f t="shared" si="124"/>
        <v>27</v>
      </c>
      <c r="P1992" s="13">
        <f t="shared" si="125"/>
        <v>0</v>
      </c>
      <c r="Q1992" s="13" t="str">
        <f t="shared" si="126"/>
        <v/>
      </c>
      <c r="R1992" s="13" t="str">
        <f t="shared" si="127"/>
        <v>Non diskon</v>
      </c>
    </row>
    <row r="1993" spans="1:18" x14ac:dyDescent="0.25">
      <c r="A1993" s="13" t="s">
        <v>2005</v>
      </c>
      <c r="B1993" s="13" t="s">
        <v>2191</v>
      </c>
      <c r="C1993" s="13" t="s">
        <v>2196</v>
      </c>
      <c r="D1993" s="13" t="s">
        <v>2206</v>
      </c>
      <c r="E1993" s="13" t="s">
        <v>2208</v>
      </c>
      <c r="F1993" s="13" t="s">
        <v>2214</v>
      </c>
      <c r="G1993" s="13">
        <v>54.26</v>
      </c>
      <c r="H1993" s="44">
        <v>18.399999999999999</v>
      </c>
      <c r="I1993" s="13">
        <v>44.28</v>
      </c>
      <c r="J1993" s="24">
        <v>45875</v>
      </c>
      <c r="K1993" s="25">
        <v>29</v>
      </c>
      <c r="L1993" s="25">
        <v>2.6</v>
      </c>
      <c r="M1993" s="13" t="b">
        <v>0</v>
      </c>
      <c r="O1993" s="25">
        <f t="shared" si="124"/>
        <v>27</v>
      </c>
      <c r="P1993" s="13">
        <f t="shared" si="125"/>
        <v>533.59999999999991</v>
      </c>
      <c r="Q1993" s="13" t="str">
        <f t="shared" si="126"/>
        <v/>
      </c>
      <c r="R1993" s="13" t="str">
        <f t="shared" si="127"/>
        <v>Diskon</v>
      </c>
    </row>
    <row r="1994" spans="1:18" x14ac:dyDescent="0.25">
      <c r="A1994" s="13" t="s">
        <v>2006</v>
      </c>
      <c r="B1994" s="13" t="s">
        <v>2193</v>
      </c>
      <c r="C1994" s="13" t="s">
        <v>2197</v>
      </c>
      <c r="D1994" s="13" t="s">
        <v>2204</v>
      </c>
      <c r="E1994" s="13" t="s">
        <v>2210</v>
      </c>
      <c r="F1994" s="13" t="s">
        <v>2214</v>
      </c>
      <c r="G1994" s="13">
        <v>78.44</v>
      </c>
      <c r="H1994" s="44">
        <v>0</v>
      </c>
      <c r="I1994" s="13">
        <v>78.44</v>
      </c>
      <c r="J1994" s="24">
        <v>45555</v>
      </c>
      <c r="K1994" s="25">
        <v>42</v>
      </c>
      <c r="L1994" s="25">
        <v>2.8205128205128198</v>
      </c>
      <c r="M1994" s="13" t="b">
        <v>1</v>
      </c>
      <c r="N1994" s="13" t="s">
        <v>2228</v>
      </c>
      <c r="O1994" s="25">
        <f t="shared" si="124"/>
        <v>347</v>
      </c>
      <c r="P1994" s="13">
        <f t="shared" si="125"/>
        <v>0</v>
      </c>
      <c r="Q1994" s="13">
        <f t="shared" si="126"/>
        <v>1</v>
      </c>
      <c r="R1994" s="13" t="str">
        <f t="shared" si="127"/>
        <v>Non diskon</v>
      </c>
    </row>
    <row r="1995" spans="1:18" x14ac:dyDescent="0.25">
      <c r="A1995" s="13" t="s">
        <v>2007</v>
      </c>
      <c r="B1995" s="13" t="s">
        <v>2190</v>
      </c>
      <c r="C1995" s="13" t="s">
        <v>2200</v>
      </c>
      <c r="D1995" s="13" t="s">
        <v>2206</v>
      </c>
      <c r="E1995" s="13" t="s">
        <v>2212</v>
      </c>
      <c r="F1995" s="13" t="s">
        <v>2216</v>
      </c>
      <c r="G1995" s="13">
        <v>183.05</v>
      </c>
      <c r="H1995" s="44">
        <v>0</v>
      </c>
      <c r="I1995" s="13">
        <v>183.05</v>
      </c>
      <c r="J1995" s="24">
        <v>45875</v>
      </c>
      <c r="K1995" s="25">
        <v>4</v>
      </c>
      <c r="L1995" s="25">
        <v>4.5999999999999996</v>
      </c>
      <c r="M1995" s="13" t="b">
        <v>0</v>
      </c>
      <c r="O1995" s="25">
        <f t="shared" si="124"/>
        <v>27</v>
      </c>
      <c r="P1995" s="13">
        <f t="shared" si="125"/>
        <v>0</v>
      </c>
      <c r="Q1995" s="13" t="str">
        <f t="shared" si="126"/>
        <v/>
      </c>
      <c r="R1995" s="13" t="str">
        <f t="shared" si="127"/>
        <v>Non diskon</v>
      </c>
    </row>
    <row r="1996" spans="1:18" x14ac:dyDescent="0.25">
      <c r="A1996" s="13" t="s">
        <v>2008</v>
      </c>
      <c r="B1996" s="13" t="s">
        <v>2193</v>
      </c>
      <c r="C1996" s="13" t="s">
        <v>2197</v>
      </c>
      <c r="D1996" s="13" t="s">
        <v>2204</v>
      </c>
      <c r="E1996" s="13" t="s">
        <v>2213</v>
      </c>
      <c r="F1996" s="13" t="s">
        <v>2218</v>
      </c>
      <c r="G1996" s="13">
        <v>76.3</v>
      </c>
      <c r="H1996" s="44">
        <v>0</v>
      </c>
      <c r="I1996" s="13">
        <v>76.3</v>
      </c>
      <c r="J1996" s="24">
        <v>45841</v>
      </c>
      <c r="K1996" s="25">
        <v>35</v>
      </c>
      <c r="L1996" s="25">
        <v>2.6</v>
      </c>
      <c r="M1996" s="13" t="b">
        <v>0</v>
      </c>
      <c r="O1996" s="25">
        <f t="shared" si="124"/>
        <v>61</v>
      </c>
      <c r="P1996" s="13">
        <f t="shared" si="125"/>
        <v>0</v>
      </c>
      <c r="Q1996" s="13" t="str">
        <f t="shared" si="126"/>
        <v/>
      </c>
      <c r="R1996" s="13" t="str">
        <f t="shared" si="127"/>
        <v>Non diskon</v>
      </c>
    </row>
    <row r="1997" spans="1:18" x14ac:dyDescent="0.25">
      <c r="A1997" s="13" t="s">
        <v>2009</v>
      </c>
      <c r="B1997" s="13" t="s">
        <v>2191</v>
      </c>
      <c r="C1997" s="13" t="s">
        <v>2196</v>
      </c>
      <c r="D1997" s="13" t="s">
        <v>2204</v>
      </c>
      <c r="E1997" s="13" t="s">
        <v>2212</v>
      </c>
      <c r="F1997" s="13" t="s">
        <v>2223</v>
      </c>
      <c r="G1997" s="13">
        <v>84.21</v>
      </c>
      <c r="H1997" s="44">
        <v>0</v>
      </c>
      <c r="I1997" s="13">
        <v>84.21</v>
      </c>
      <c r="J1997" s="24">
        <v>45672</v>
      </c>
      <c r="K1997" s="25">
        <v>43</v>
      </c>
      <c r="L1997" s="25">
        <v>3.4</v>
      </c>
      <c r="M1997" s="13" t="b">
        <v>0</v>
      </c>
      <c r="O1997" s="25">
        <f t="shared" si="124"/>
        <v>230</v>
      </c>
      <c r="P1997" s="13">
        <f t="shared" si="125"/>
        <v>0</v>
      </c>
      <c r="Q1997" s="13" t="str">
        <f t="shared" si="126"/>
        <v/>
      </c>
      <c r="R1997" s="13" t="str">
        <f t="shared" si="127"/>
        <v>Non diskon</v>
      </c>
    </row>
    <row r="1998" spans="1:18" x14ac:dyDescent="0.25">
      <c r="A1998" s="13" t="s">
        <v>2010</v>
      </c>
      <c r="B1998" s="13" t="s">
        <v>2192</v>
      </c>
      <c r="C1998" s="13" t="s">
        <v>2201</v>
      </c>
      <c r="D1998" s="13" t="s">
        <v>2204</v>
      </c>
      <c r="F1998" s="13" t="s">
        <v>2218</v>
      </c>
      <c r="G1998" s="13">
        <v>77.34</v>
      </c>
      <c r="H1998" s="44">
        <v>0</v>
      </c>
      <c r="I1998" s="13">
        <v>77.34</v>
      </c>
      <c r="J1998" s="24">
        <v>45667</v>
      </c>
      <c r="K1998" s="25">
        <v>27</v>
      </c>
      <c r="L1998" s="25">
        <v>3.2731707317073173</v>
      </c>
      <c r="M1998" s="13" t="b">
        <v>0</v>
      </c>
      <c r="O1998" s="25">
        <f t="shared" si="124"/>
        <v>235</v>
      </c>
      <c r="P1998" s="13">
        <f t="shared" si="125"/>
        <v>0</v>
      </c>
      <c r="Q1998" s="13" t="str">
        <f t="shared" si="126"/>
        <v/>
      </c>
      <c r="R1998" s="13" t="str">
        <f t="shared" si="127"/>
        <v>Non diskon</v>
      </c>
    </row>
    <row r="1999" spans="1:18" x14ac:dyDescent="0.25">
      <c r="A1999" s="13" t="s">
        <v>2011</v>
      </c>
      <c r="B1999" s="13" t="s">
        <v>2195</v>
      </c>
      <c r="C1999" s="13" t="s">
        <v>2196</v>
      </c>
      <c r="D1999" s="13" t="s">
        <v>2204</v>
      </c>
      <c r="E1999" s="13" t="s">
        <v>2210</v>
      </c>
      <c r="F1999" s="13" t="s">
        <v>2222</v>
      </c>
      <c r="G1999" s="13">
        <v>122.82</v>
      </c>
      <c r="H1999" s="44">
        <v>45.4</v>
      </c>
      <c r="I1999" s="13">
        <v>67.06</v>
      </c>
      <c r="J1999" s="24">
        <v>45534</v>
      </c>
      <c r="K1999" s="25">
        <v>9</v>
      </c>
      <c r="L1999" s="25">
        <v>3.1</v>
      </c>
      <c r="M1999" s="13" t="b">
        <v>0</v>
      </c>
      <c r="O1999" s="25">
        <f t="shared" si="124"/>
        <v>368</v>
      </c>
      <c r="P1999" s="13">
        <f t="shared" si="125"/>
        <v>408.59999999999997</v>
      </c>
      <c r="Q1999" s="13" t="str">
        <f t="shared" si="126"/>
        <v/>
      </c>
      <c r="R1999" s="13" t="str">
        <f t="shared" si="127"/>
        <v>Diskon</v>
      </c>
    </row>
    <row r="2000" spans="1:18" x14ac:dyDescent="0.25">
      <c r="A2000" s="13" t="s">
        <v>2012</v>
      </c>
      <c r="B2000" s="13" t="s">
        <v>2195</v>
      </c>
      <c r="C2000" s="13" t="s">
        <v>2199</v>
      </c>
      <c r="D2000" s="13" t="s">
        <v>2205</v>
      </c>
      <c r="E2000" s="13" t="s">
        <v>2211</v>
      </c>
      <c r="F2000" s="13" t="s">
        <v>2219</v>
      </c>
      <c r="G2000" s="13">
        <v>103.85</v>
      </c>
      <c r="H2000" s="44">
        <v>0</v>
      </c>
      <c r="I2000" s="13">
        <v>103.85</v>
      </c>
      <c r="J2000" s="24">
        <v>45875</v>
      </c>
      <c r="K2000" s="25">
        <v>26</v>
      </c>
      <c r="L2000" s="25">
        <v>3.1</v>
      </c>
      <c r="M2000" s="13" t="b">
        <v>0</v>
      </c>
      <c r="O2000" s="25">
        <f t="shared" si="124"/>
        <v>27</v>
      </c>
      <c r="P2000" s="13">
        <f t="shared" si="125"/>
        <v>0</v>
      </c>
      <c r="Q2000" s="13" t="str">
        <f t="shared" si="126"/>
        <v/>
      </c>
      <c r="R2000" s="13" t="str">
        <f t="shared" si="127"/>
        <v>Non diskon</v>
      </c>
    </row>
    <row r="2001" spans="1:18" x14ac:dyDescent="0.25">
      <c r="A2001" s="13" t="s">
        <v>2013</v>
      </c>
      <c r="B2001" s="13" t="s">
        <v>2194</v>
      </c>
      <c r="C2001" s="13" t="s">
        <v>2200</v>
      </c>
      <c r="D2001" s="13" t="s">
        <v>2206</v>
      </c>
      <c r="E2001" s="13" t="s">
        <v>2211</v>
      </c>
      <c r="F2001" s="13" t="s">
        <v>2214</v>
      </c>
      <c r="G2001" s="13">
        <v>117.73</v>
      </c>
      <c r="H2001" s="44">
        <v>41.3</v>
      </c>
      <c r="I2001" s="13">
        <v>69.11</v>
      </c>
      <c r="J2001" s="24">
        <v>45875</v>
      </c>
      <c r="K2001" s="25">
        <v>8</v>
      </c>
      <c r="L2001" s="25">
        <v>3.0659090909090896</v>
      </c>
      <c r="M2001" s="13" t="b">
        <v>0</v>
      </c>
      <c r="O2001" s="25">
        <f t="shared" si="124"/>
        <v>27</v>
      </c>
      <c r="P2001" s="13">
        <f t="shared" si="125"/>
        <v>330.4</v>
      </c>
      <c r="Q2001" s="13" t="str">
        <f t="shared" si="126"/>
        <v/>
      </c>
      <c r="R2001" s="13" t="str">
        <f t="shared" si="127"/>
        <v>Diskon</v>
      </c>
    </row>
    <row r="2002" spans="1:18" x14ac:dyDescent="0.25">
      <c r="A2002" s="13" t="s">
        <v>2014</v>
      </c>
      <c r="B2002" s="13" t="s">
        <v>2195</v>
      </c>
      <c r="C2002" s="13" t="s">
        <v>2203</v>
      </c>
      <c r="D2002" s="13" t="s">
        <v>2206</v>
      </c>
      <c r="E2002" s="13" t="s">
        <v>2208</v>
      </c>
      <c r="F2002" s="13" t="s">
        <v>2220</v>
      </c>
      <c r="G2002" s="13">
        <v>115.98</v>
      </c>
      <c r="H2002" s="44">
        <v>0</v>
      </c>
      <c r="I2002" s="13">
        <v>115.98</v>
      </c>
      <c r="J2002" s="24">
        <v>45875</v>
      </c>
      <c r="K2002" s="25">
        <v>42</v>
      </c>
      <c r="L2002" s="25">
        <v>3.7</v>
      </c>
      <c r="M2002" s="13" t="b">
        <v>0</v>
      </c>
      <c r="O2002" s="25">
        <f t="shared" si="124"/>
        <v>27</v>
      </c>
      <c r="P2002" s="13">
        <f t="shared" si="125"/>
        <v>0</v>
      </c>
      <c r="Q2002" s="13" t="str">
        <f t="shared" si="126"/>
        <v/>
      </c>
      <c r="R2002" s="13" t="str">
        <f t="shared" si="127"/>
        <v>Non diskon</v>
      </c>
    </row>
    <row r="2003" spans="1:18" x14ac:dyDescent="0.25">
      <c r="A2003" s="13" t="s">
        <v>2015</v>
      </c>
      <c r="B2003" s="13" t="s">
        <v>2195</v>
      </c>
      <c r="C2003" s="13" t="s">
        <v>2196</v>
      </c>
      <c r="D2003" s="13" t="s">
        <v>2206</v>
      </c>
      <c r="E2003" s="13" t="s">
        <v>2209</v>
      </c>
      <c r="F2003" s="13" t="s">
        <v>2222</v>
      </c>
      <c r="G2003" s="13">
        <v>175.43</v>
      </c>
      <c r="H2003" s="44">
        <v>0</v>
      </c>
      <c r="I2003" s="13">
        <v>175.43</v>
      </c>
      <c r="J2003" s="24">
        <v>45875</v>
      </c>
      <c r="K2003" s="25">
        <v>3</v>
      </c>
      <c r="L2003" s="25">
        <v>1.8</v>
      </c>
      <c r="M2003" s="13" t="b">
        <v>1</v>
      </c>
      <c r="N2003" s="13" t="s">
        <v>2225</v>
      </c>
      <c r="O2003" s="25">
        <f t="shared" si="124"/>
        <v>27</v>
      </c>
      <c r="P2003" s="13">
        <f t="shared" si="125"/>
        <v>0</v>
      </c>
      <c r="Q2003" s="13">
        <f t="shared" si="126"/>
        <v>1</v>
      </c>
      <c r="R2003" s="13" t="str">
        <f t="shared" si="127"/>
        <v>Non diskon</v>
      </c>
    </row>
    <row r="2004" spans="1:18" x14ac:dyDescent="0.25">
      <c r="A2004" s="13" t="s">
        <v>2016</v>
      </c>
      <c r="B2004" s="13" t="s">
        <v>2190</v>
      </c>
      <c r="C2004" s="13" t="s">
        <v>2202</v>
      </c>
      <c r="D2004" s="13" t="s">
        <v>2204</v>
      </c>
      <c r="E2004" s="13" t="s">
        <v>2210</v>
      </c>
      <c r="F2004" s="13" t="s">
        <v>2220</v>
      </c>
      <c r="G2004" s="13">
        <v>162.81</v>
      </c>
      <c r="H2004" s="44">
        <v>0</v>
      </c>
      <c r="I2004" s="13">
        <v>162.81</v>
      </c>
      <c r="J2004" s="24">
        <v>45667</v>
      </c>
      <c r="K2004" s="25">
        <v>40</v>
      </c>
      <c r="L2004" s="25">
        <v>2.1</v>
      </c>
      <c r="M2004" s="13" t="b">
        <v>0</v>
      </c>
      <c r="O2004" s="25">
        <f t="shared" si="124"/>
        <v>235</v>
      </c>
      <c r="P2004" s="13">
        <f t="shared" si="125"/>
        <v>0</v>
      </c>
      <c r="Q2004" s="13" t="str">
        <f t="shared" si="126"/>
        <v/>
      </c>
      <c r="R2004" s="13" t="str">
        <f t="shared" si="127"/>
        <v>Non diskon</v>
      </c>
    </row>
    <row r="2005" spans="1:18" x14ac:dyDescent="0.25">
      <c r="A2005" s="13" t="s">
        <v>2017</v>
      </c>
      <c r="B2005" s="13" t="s">
        <v>2195</v>
      </c>
      <c r="C2005" s="13" t="s">
        <v>2197</v>
      </c>
      <c r="D2005" s="13" t="s">
        <v>2204</v>
      </c>
      <c r="E2005" s="13" t="s">
        <v>2209</v>
      </c>
      <c r="F2005" s="13" t="s">
        <v>2223</v>
      </c>
      <c r="G2005" s="13">
        <v>146.68</v>
      </c>
      <c r="H2005" s="44">
        <v>0</v>
      </c>
      <c r="I2005" s="13">
        <v>146.68</v>
      </c>
      <c r="J2005" s="24">
        <v>45511</v>
      </c>
      <c r="K2005" s="25">
        <v>8</v>
      </c>
      <c r="L2005" s="25">
        <v>3.1666666666666665</v>
      </c>
      <c r="M2005" s="13" t="b">
        <v>0</v>
      </c>
      <c r="O2005" s="25">
        <f t="shared" si="124"/>
        <v>391</v>
      </c>
      <c r="P2005" s="13">
        <f t="shared" si="125"/>
        <v>0</v>
      </c>
      <c r="Q2005" s="13" t="str">
        <f t="shared" si="126"/>
        <v/>
      </c>
      <c r="R2005" s="13" t="str">
        <f t="shared" si="127"/>
        <v>Non diskon</v>
      </c>
    </row>
    <row r="2006" spans="1:18" x14ac:dyDescent="0.25">
      <c r="A2006" s="13" t="s">
        <v>2018</v>
      </c>
      <c r="B2006" s="13" t="s">
        <v>2195</v>
      </c>
      <c r="C2006" s="13" t="s">
        <v>2200</v>
      </c>
      <c r="D2006" s="13" t="s">
        <v>2206</v>
      </c>
      <c r="E2006" s="13" t="s">
        <v>2209</v>
      </c>
      <c r="F2006" s="13" t="s">
        <v>2215</v>
      </c>
      <c r="G2006" s="13">
        <v>82.9</v>
      </c>
      <c r="H2006" s="44">
        <v>42.2</v>
      </c>
      <c r="I2006" s="13">
        <v>47.92</v>
      </c>
      <c r="J2006" s="24">
        <v>45875</v>
      </c>
      <c r="K2006" s="25">
        <v>4</v>
      </c>
      <c r="L2006" s="25">
        <v>2.1</v>
      </c>
      <c r="M2006" s="13" t="b">
        <v>0</v>
      </c>
      <c r="O2006" s="25">
        <f t="shared" si="124"/>
        <v>27</v>
      </c>
      <c r="P2006" s="13">
        <f t="shared" si="125"/>
        <v>168.8</v>
      </c>
      <c r="Q2006" s="13" t="str">
        <f t="shared" si="126"/>
        <v/>
      </c>
      <c r="R2006" s="13" t="str">
        <f t="shared" si="127"/>
        <v>Diskon</v>
      </c>
    </row>
    <row r="2007" spans="1:18" x14ac:dyDescent="0.25">
      <c r="A2007" s="13" t="s">
        <v>2019</v>
      </c>
      <c r="B2007" s="13" t="s">
        <v>2191</v>
      </c>
      <c r="C2007" s="13" t="s">
        <v>2196</v>
      </c>
      <c r="D2007" s="13" t="s">
        <v>2206</v>
      </c>
      <c r="E2007" s="13" t="s">
        <v>2212</v>
      </c>
      <c r="F2007" s="13" t="s">
        <v>2217</v>
      </c>
      <c r="G2007" s="13">
        <v>92.9</v>
      </c>
      <c r="H2007" s="44">
        <v>0</v>
      </c>
      <c r="I2007" s="13">
        <v>92.9</v>
      </c>
      <c r="J2007" s="24">
        <v>45875</v>
      </c>
      <c r="K2007" s="25">
        <v>30</v>
      </c>
      <c r="L2007" s="25">
        <v>2.9181818181818175</v>
      </c>
      <c r="M2007" s="13" t="b">
        <v>0</v>
      </c>
      <c r="O2007" s="25">
        <f t="shared" si="124"/>
        <v>27</v>
      </c>
      <c r="P2007" s="13">
        <f t="shared" si="125"/>
        <v>0</v>
      </c>
      <c r="Q2007" s="13" t="str">
        <f t="shared" si="126"/>
        <v/>
      </c>
      <c r="R2007" s="13" t="str">
        <f t="shared" si="127"/>
        <v>Non diskon</v>
      </c>
    </row>
    <row r="2008" spans="1:18" x14ac:dyDescent="0.25">
      <c r="A2008" s="13" t="s">
        <v>2020</v>
      </c>
      <c r="B2008" s="13" t="s">
        <v>2195</v>
      </c>
      <c r="C2008" s="13" t="s">
        <v>2198</v>
      </c>
      <c r="D2008" s="13" t="s">
        <v>2205</v>
      </c>
      <c r="E2008" s="13" t="s">
        <v>2211</v>
      </c>
      <c r="F2008" s="13" t="s">
        <v>2219</v>
      </c>
      <c r="G2008" s="13">
        <v>133.88999999999999</v>
      </c>
      <c r="H2008" s="44">
        <v>5.7</v>
      </c>
      <c r="I2008" s="13">
        <v>126.26</v>
      </c>
      <c r="J2008" s="24">
        <v>45875</v>
      </c>
      <c r="K2008" s="25">
        <v>17</v>
      </c>
      <c r="L2008" s="25">
        <v>3.4</v>
      </c>
      <c r="M2008" s="13" t="b">
        <v>1</v>
      </c>
      <c r="N2008" s="13" t="s">
        <v>2226</v>
      </c>
      <c r="O2008" s="25">
        <f t="shared" si="124"/>
        <v>27</v>
      </c>
      <c r="P2008" s="13">
        <f t="shared" si="125"/>
        <v>96.9</v>
      </c>
      <c r="Q2008" s="13">
        <f t="shared" si="126"/>
        <v>1</v>
      </c>
      <c r="R2008" s="13" t="str">
        <f t="shared" si="127"/>
        <v>Diskon</v>
      </c>
    </row>
    <row r="2009" spans="1:18" x14ac:dyDescent="0.25">
      <c r="A2009" s="13" t="s">
        <v>2021</v>
      </c>
      <c r="B2009" s="13" t="s">
        <v>2195</v>
      </c>
      <c r="C2009" s="13" t="s">
        <v>2201</v>
      </c>
      <c r="D2009" s="13" t="s">
        <v>2205</v>
      </c>
      <c r="E2009" s="13" t="s">
        <v>2211</v>
      </c>
      <c r="F2009" s="13" t="s">
        <v>2221</v>
      </c>
      <c r="G2009" s="13">
        <v>89.1</v>
      </c>
      <c r="H2009" s="44">
        <v>0</v>
      </c>
      <c r="I2009" s="13">
        <v>89.1</v>
      </c>
      <c r="J2009" s="24">
        <v>45875</v>
      </c>
      <c r="K2009" s="25">
        <v>8</v>
      </c>
      <c r="L2009" s="25">
        <v>2.2000000000000002</v>
      </c>
      <c r="M2009" s="13" t="b">
        <v>0</v>
      </c>
      <c r="O2009" s="25">
        <f t="shared" si="124"/>
        <v>27</v>
      </c>
      <c r="P2009" s="13">
        <f t="shared" si="125"/>
        <v>0</v>
      </c>
      <c r="Q2009" s="13" t="str">
        <f t="shared" si="126"/>
        <v/>
      </c>
      <c r="R2009" s="13" t="str">
        <f t="shared" si="127"/>
        <v>Non diskon</v>
      </c>
    </row>
    <row r="2010" spans="1:18" x14ac:dyDescent="0.25">
      <c r="A2010" s="13" t="s">
        <v>2022</v>
      </c>
      <c r="B2010" s="13" t="s">
        <v>2190</v>
      </c>
      <c r="C2010" s="13" t="s">
        <v>2198</v>
      </c>
      <c r="D2010" s="13" t="s">
        <v>2205</v>
      </c>
      <c r="E2010" s="13" t="s">
        <v>2208</v>
      </c>
      <c r="F2010" s="13" t="s">
        <v>2221</v>
      </c>
      <c r="G2010" s="13">
        <v>175.62</v>
      </c>
      <c r="H2010" s="44">
        <v>3.2</v>
      </c>
      <c r="I2010" s="13">
        <v>170</v>
      </c>
      <c r="J2010" s="24">
        <v>45875</v>
      </c>
      <c r="K2010" s="25">
        <v>46</v>
      </c>
      <c r="L2010" s="25">
        <v>3.0177777777777774</v>
      </c>
      <c r="M2010" s="13" t="b">
        <v>0</v>
      </c>
      <c r="O2010" s="25">
        <f t="shared" si="124"/>
        <v>27</v>
      </c>
      <c r="P2010" s="13">
        <f t="shared" si="125"/>
        <v>147.20000000000002</v>
      </c>
      <c r="Q2010" s="13" t="str">
        <f t="shared" si="126"/>
        <v/>
      </c>
      <c r="R2010" s="13" t="str">
        <f t="shared" si="127"/>
        <v>Diskon</v>
      </c>
    </row>
    <row r="2011" spans="1:18" x14ac:dyDescent="0.25">
      <c r="A2011" s="13" t="s">
        <v>2023</v>
      </c>
      <c r="B2011" s="13" t="s">
        <v>2195</v>
      </c>
      <c r="C2011" s="13" t="s">
        <v>2200</v>
      </c>
      <c r="D2011" s="13" t="s">
        <v>2207</v>
      </c>
      <c r="E2011" s="13" t="s">
        <v>2209</v>
      </c>
      <c r="F2011" s="13" t="s">
        <v>2216</v>
      </c>
      <c r="G2011" s="13">
        <v>154.02000000000001</v>
      </c>
      <c r="H2011" s="44">
        <v>0</v>
      </c>
      <c r="I2011" s="13">
        <v>154.02000000000001</v>
      </c>
      <c r="J2011" s="24">
        <v>45875</v>
      </c>
      <c r="K2011" s="25">
        <v>21</v>
      </c>
      <c r="L2011" s="25">
        <v>3.3</v>
      </c>
      <c r="M2011" s="13" t="b">
        <v>0</v>
      </c>
      <c r="O2011" s="25">
        <f t="shared" si="124"/>
        <v>27</v>
      </c>
      <c r="P2011" s="13">
        <f t="shared" si="125"/>
        <v>0</v>
      </c>
      <c r="Q2011" s="13" t="str">
        <f t="shared" si="126"/>
        <v/>
      </c>
      <c r="R2011" s="13" t="str">
        <f t="shared" si="127"/>
        <v>Non diskon</v>
      </c>
    </row>
    <row r="2012" spans="1:18" x14ac:dyDescent="0.25">
      <c r="A2012" s="13" t="s">
        <v>2024</v>
      </c>
      <c r="B2012" s="13" t="s">
        <v>2190</v>
      </c>
      <c r="C2012" s="13" t="s">
        <v>2196</v>
      </c>
      <c r="D2012" s="13" t="s">
        <v>2206</v>
      </c>
      <c r="E2012" s="13" t="s">
        <v>2210</v>
      </c>
      <c r="F2012" s="13" t="s">
        <v>2221</v>
      </c>
      <c r="G2012" s="13">
        <v>215.1</v>
      </c>
      <c r="H2012" s="44">
        <v>0</v>
      </c>
      <c r="I2012" s="13">
        <v>215.1</v>
      </c>
      <c r="J2012" s="24">
        <v>45875</v>
      </c>
      <c r="K2012" s="25">
        <v>16</v>
      </c>
      <c r="L2012" s="25">
        <v>2.5</v>
      </c>
      <c r="M2012" s="13" t="b">
        <v>0</v>
      </c>
      <c r="O2012" s="25">
        <f t="shared" si="124"/>
        <v>27</v>
      </c>
      <c r="P2012" s="13">
        <f t="shared" si="125"/>
        <v>0</v>
      </c>
      <c r="Q2012" s="13" t="str">
        <f t="shared" si="126"/>
        <v/>
      </c>
      <c r="R2012" s="13" t="str">
        <f t="shared" si="127"/>
        <v>Non diskon</v>
      </c>
    </row>
    <row r="2013" spans="1:18" x14ac:dyDescent="0.25">
      <c r="A2013" s="13" t="s">
        <v>2025</v>
      </c>
      <c r="B2013" s="13" t="s">
        <v>2191</v>
      </c>
      <c r="C2013" s="13" t="s">
        <v>2201</v>
      </c>
      <c r="D2013" s="13" t="s">
        <v>2206</v>
      </c>
      <c r="E2013" s="13" t="s">
        <v>2213</v>
      </c>
      <c r="F2013" s="13" t="s">
        <v>2224</v>
      </c>
      <c r="G2013" s="13">
        <v>40.28</v>
      </c>
      <c r="H2013" s="44">
        <v>0</v>
      </c>
      <c r="I2013" s="13">
        <v>40.28</v>
      </c>
      <c r="J2013" s="24">
        <v>45875</v>
      </c>
      <c r="K2013" s="25">
        <v>35</v>
      </c>
      <c r="L2013" s="25">
        <v>3.8</v>
      </c>
      <c r="M2013" s="13" t="b">
        <v>0</v>
      </c>
      <c r="O2013" s="25">
        <f t="shared" si="124"/>
        <v>27</v>
      </c>
      <c r="P2013" s="13">
        <f t="shared" si="125"/>
        <v>0</v>
      </c>
      <c r="Q2013" s="13" t="str">
        <f t="shared" si="126"/>
        <v/>
      </c>
      <c r="R2013" s="13" t="str">
        <f t="shared" si="127"/>
        <v>Non diskon</v>
      </c>
    </row>
    <row r="2014" spans="1:18" x14ac:dyDescent="0.25">
      <c r="A2014" s="13" t="s">
        <v>2026</v>
      </c>
      <c r="B2014" s="13" t="s">
        <v>2192</v>
      </c>
      <c r="C2014" s="13" t="s">
        <v>2203</v>
      </c>
      <c r="D2014" s="13" t="s">
        <v>2206</v>
      </c>
      <c r="F2014" s="13" t="s">
        <v>2218</v>
      </c>
      <c r="G2014" s="13">
        <v>25.95</v>
      </c>
      <c r="H2014" s="44">
        <v>18.8</v>
      </c>
      <c r="I2014" s="13">
        <v>21.07</v>
      </c>
      <c r="J2014" s="24">
        <v>45875</v>
      </c>
      <c r="K2014" s="25">
        <v>1</v>
      </c>
      <c r="L2014" s="25">
        <v>4</v>
      </c>
      <c r="M2014" s="13" t="b">
        <v>0</v>
      </c>
      <c r="O2014" s="25">
        <f t="shared" si="124"/>
        <v>27</v>
      </c>
      <c r="P2014" s="13">
        <f t="shared" si="125"/>
        <v>18.8</v>
      </c>
      <c r="Q2014" s="13" t="str">
        <f t="shared" si="126"/>
        <v/>
      </c>
      <c r="R2014" s="13" t="str">
        <f t="shared" si="127"/>
        <v>Diskon</v>
      </c>
    </row>
    <row r="2015" spans="1:18" x14ac:dyDescent="0.25">
      <c r="A2015" s="13" t="s">
        <v>2027</v>
      </c>
      <c r="B2015" s="13" t="s">
        <v>2192</v>
      </c>
      <c r="C2015" s="13" t="s">
        <v>2197</v>
      </c>
      <c r="D2015" s="13" t="s">
        <v>2206</v>
      </c>
      <c r="F2015" s="13" t="s">
        <v>2222</v>
      </c>
      <c r="G2015" s="13">
        <v>21.26</v>
      </c>
      <c r="H2015" s="44">
        <v>50.7</v>
      </c>
      <c r="I2015" s="13">
        <v>10.48</v>
      </c>
      <c r="J2015" s="24">
        <v>45875</v>
      </c>
      <c r="K2015" s="25">
        <v>39</v>
      </c>
      <c r="L2015" s="25">
        <v>4.3</v>
      </c>
      <c r="M2015" s="13" t="b">
        <v>0</v>
      </c>
      <c r="O2015" s="25">
        <f t="shared" si="124"/>
        <v>27</v>
      </c>
      <c r="P2015" s="13">
        <f t="shared" si="125"/>
        <v>1977.3000000000002</v>
      </c>
      <c r="Q2015" s="13" t="str">
        <f t="shared" si="126"/>
        <v/>
      </c>
      <c r="R2015" s="13" t="str">
        <f t="shared" si="127"/>
        <v>Diskon</v>
      </c>
    </row>
    <row r="2016" spans="1:18" x14ac:dyDescent="0.25">
      <c r="A2016" s="13" t="s">
        <v>2028</v>
      </c>
      <c r="B2016" s="13" t="s">
        <v>2195</v>
      </c>
      <c r="C2016" s="13" t="s">
        <v>2196</v>
      </c>
      <c r="D2016" s="13" t="s">
        <v>2204</v>
      </c>
      <c r="E2016" s="13" t="s">
        <v>2212</v>
      </c>
      <c r="F2016" s="13" t="s">
        <v>2219</v>
      </c>
      <c r="G2016" s="13">
        <v>146.07</v>
      </c>
      <c r="H2016" s="44">
        <v>0</v>
      </c>
      <c r="I2016" s="13">
        <v>146.07</v>
      </c>
      <c r="J2016" s="24">
        <v>45847</v>
      </c>
      <c r="K2016" s="25">
        <v>33</v>
      </c>
      <c r="L2016" s="25">
        <v>3.7</v>
      </c>
      <c r="M2016" s="13" t="b">
        <v>0</v>
      </c>
      <c r="O2016" s="25">
        <f t="shared" si="124"/>
        <v>55</v>
      </c>
      <c r="P2016" s="13">
        <f t="shared" si="125"/>
        <v>0</v>
      </c>
      <c r="Q2016" s="13" t="str">
        <f t="shared" si="126"/>
        <v/>
      </c>
      <c r="R2016" s="13" t="str">
        <f t="shared" si="127"/>
        <v>Non diskon</v>
      </c>
    </row>
    <row r="2017" spans="1:18" x14ac:dyDescent="0.25">
      <c r="A2017" s="13" t="s">
        <v>2029</v>
      </c>
      <c r="B2017" s="13" t="s">
        <v>2195</v>
      </c>
      <c r="C2017" s="13" t="s">
        <v>2201</v>
      </c>
      <c r="D2017" s="13" t="s">
        <v>2204</v>
      </c>
      <c r="E2017" s="13" t="s">
        <v>2210</v>
      </c>
      <c r="F2017" s="13" t="s">
        <v>2218</v>
      </c>
      <c r="G2017" s="13">
        <v>135.97</v>
      </c>
      <c r="H2017" s="44">
        <v>0</v>
      </c>
      <c r="I2017" s="13">
        <v>135.97</v>
      </c>
      <c r="J2017" s="24">
        <v>45545</v>
      </c>
      <c r="K2017" s="25">
        <v>30</v>
      </c>
      <c r="L2017" s="25">
        <v>1.1000000000000001</v>
      </c>
      <c r="M2017" s="13" t="b">
        <v>0</v>
      </c>
      <c r="O2017" s="25">
        <f t="shared" si="124"/>
        <v>357</v>
      </c>
      <c r="P2017" s="13">
        <f t="shared" si="125"/>
        <v>0</v>
      </c>
      <c r="Q2017" s="13" t="str">
        <f t="shared" si="126"/>
        <v/>
      </c>
      <c r="R2017" s="13" t="str">
        <f t="shared" si="127"/>
        <v>Non diskon</v>
      </c>
    </row>
    <row r="2018" spans="1:18" x14ac:dyDescent="0.25">
      <c r="A2018" s="13" t="s">
        <v>2030</v>
      </c>
      <c r="B2018" s="13" t="s">
        <v>2193</v>
      </c>
      <c r="C2018" s="13" t="s">
        <v>2196</v>
      </c>
      <c r="D2018" s="13" t="s">
        <v>2204</v>
      </c>
      <c r="E2018" s="13" t="s">
        <v>2209</v>
      </c>
      <c r="F2018" s="13" t="s">
        <v>2220</v>
      </c>
      <c r="G2018" s="13">
        <v>84.88</v>
      </c>
      <c r="H2018" s="44">
        <v>7.4</v>
      </c>
      <c r="I2018" s="13">
        <v>78.599999999999994</v>
      </c>
      <c r="J2018" s="24">
        <v>45742</v>
      </c>
      <c r="K2018" s="25">
        <v>42</v>
      </c>
      <c r="L2018" s="25">
        <v>3.4</v>
      </c>
      <c r="M2018" s="13" t="b">
        <v>0</v>
      </c>
      <c r="O2018" s="25">
        <f t="shared" si="124"/>
        <v>160</v>
      </c>
      <c r="P2018" s="13">
        <f t="shared" si="125"/>
        <v>310.8</v>
      </c>
      <c r="Q2018" s="13" t="str">
        <f t="shared" si="126"/>
        <v/>
      </c>
      <c r="R2018" s="13" t="str">
        <f t="shared" si="127"/>
        <v>Diskon</v>
      </c>
    </row>
    <row r="2019" spans="1:18" x14ac:dyDescent="0.25">
      <c r="A2019" s="13" t="s">
        <v>2031</v>
      </c>
      <c r="B2019" s="13" t="s">
        <v>2193</v>
      </c>
      <c r="C2019" s="13" t="s">
        <v>2200</v>
      </c>
      <c r="D2019" s="13" t="s">
        <v>2205</v>
      </c>
      <c r="E2019" s="13" t="s">
        <v>2212</v>
      </c>
      <c r="F2019" s="13" t="s">
        <v>2221</v>
      </c>
      <c r="G2019" s="13">
        <v>159.25</v>
      </c>
      <c r="H2019" s="44">
        <v>5.5</v>
      </c>
      <c r="I2019" s="13">
        <v>150.49</v>
      </c>
      <c r="J2019" s="24">
        <v>45875</v>
      </c>
      <c r="K2019" s="25">
        <v>8</v>
      </c>
      <c r="L2019" s="25">
        <v>3.3021276595744684</v>
      </c>
      <c r="M2019" s="13" t="b">
        <v>0</v>
      </c>
      <c r="O2019" s="25">
        <f t="shared" si="124"/>
        <v>27</v>
      </c>
      <c r="P2019" s="13">
        <f t="shared" si="125"/>
        <v>44</v>
      </c>
      <c r="Q2019" s="13" t="str">
        <f t="shared" si="126"/>
        <v/>
      </c>
      <c r="R2019" s="13" t="str">
        <f t="shared" si="127"/>
        <v>Diskon</v>
      </c>
    </row>
    <row r="2020" spans="1:18" x14ac:dyDescent="0.25">
      <c r="A2020" s="13" t="s">
        <v>2032</v>
      </c>
      <c r="B2020" s="13" t="s">
        <v>2194</v>
      </c>
      <c r="C2020" s="13" t="s">
        <v>2201</v>
      </c>
      <c r="D2020" s="13" t="s">
        <v>2205</v>
      </c>
      <c r="E2020" s="13" t="s">
        <v>2213</v>
      </c>
      <c r="F2020" s="13" t="s">
        <v>2224</v>
      </c>
      <c r="G2020" s="13">
        <v>84.29</v>
      </c>
      <c r="H2020" s="44">
        <v>0</v>
      </c>
      <c r="I2020" s="13">
        <v>84.29</v>
      </c>
      <c r="J2020" s="24">
        <v>45875</v>
      </c>
      <c r="K2020" s="25">
        <v>4</v>
      </c>
      <c r="L2020" s="25">
        <v>2.8</v>
      </c>
      <c r="M2020" s="13" t="b">
        <v>0</v>
      </c>
      <c r="O2020" s="25">
        <f t="shared" si="124"/>
        <v>27</v>
      </c>
      <c r="P2020" s="13">
        <f t="shared" si="125"/>
        <v>0</v>
      </c>
      <c r="Q2020" s="13" t="str">
        <f t="shared" si="126"/>
        <v/>
      </c>
      <c r="R2020" s="13" t="str">
        <f t="shared" si="127"/>
        <v>Non diskon</v>
      </c>
    </row>
    <row r="2021" spans="1:18" x14ac:dyDescent="0.25">
      <c r="A2021" s="13" t="s">
        <v>2033</v>
      </c>
      <c r="B2021" s="13" t="s">
        <v>2192</v>
      </c>
      <c r="C2021" s="13" t="s">
        <v>2203</v>
      </c>
      <c r="D2021" s="13" t="s">
        <v>2205</v>
      </c>
      <c r="F2021" s="13" t="s">
        <v>2214</v>
      </c>
      <c r="G2021" s="13">
        <v>38.86</v>
      </c>
      <c r="H2021" s="44">
        <v>0</v>
      </c>
      <c r="I2021" s="13">
        <v>38.86</v>
      </c>
      <c r="J2021" s="24">
        <v>45875</v>
      </c>
      <c r="K2021" s="25">
        <v>44</v>
      </c>
      <c r="L2021" s="25">
        <v>2.8636363636363633</v>
      </c>
      <c r="M2021" s="13" t="b">
        <v>0</v>
      </c>
      <c r="O2021" s="25">
        <f t="shared" si="124"/>
        <v>27</v>
      </c>
      <c r="P2021" s="13">
        <f t="shared" si="125"/>
        <v>0</v>
      </c>
      <c r="Q2021" s="13" t="str">
        <f t="shared" si="126"/>
        <v/>
      </c>
      <c r="R2021" s="13" t="str">
        <f t="shared" si="127"/>
        <v>Non diskon</v>
      </c>
    </row>
    <row r="2022" spans="1:18" x14ac:dyDescent="0.25">
      <c r="A2022" s="13" t="s">
        <v>2034</v>
      </c>
      <c r="B2022" s="13" t="s">
        <v>2191</v>
      </c>
      <c r="C2022" s="13" t="s">
        <v>2198</v>
      </c>
      <c r="D2022" s="13" t="s">
        <v>2207</v>
      </c>
      <c r="E2022" s="13" t="s">
        <v>2213</v>
      </c>
      <c r="F2022" s="13" t="s">
        <v>2219</v>
      </c>
      <c r="G2022" s="13">
        <v>38.72</v>
      </c>
      <c r="H2022" s="44">
        <v>0</v>
      </c>
      <c r="I2022" s="13">
        <v>38.72</v>
      </c>
      <c r="J2022" s="24">
        <v>45875</v>
      </c>
      <c r="K2022" s="25">
        <v>35</v>
      </c>
      <c r="L2022" s="25">
        <v>4</v>
      </c>
      <c r="M2022" s="13" t="b">
        <v>0</v>
      </c>
      <c r="O2022" s="25">
        <f t="shared" si="124"/>
        <v>27</v>
      </c>
      <c r="P2022" s="13">
        <f t="shared" si="125"/>
        <v>0</v>
      </c>
      <c r="Q2022" s="13" t="str">
        <f t="shared" si="126"/>
        <v/>
      </c>
      <c r="R2022" s="13" t="str">
        <f t="shared" si="127"/>
        <v>Non diskon</v>
      </c>
    </row>
    <row r="2023" spans="1:18" x14ac:dyDescent="0.25">
      <c r="A2023" s="13" t="s">
        <v>2035</v>
      </c>
      <c r="B2023" s="13" t="s">
        <v>2195</v>
      </c>
      <c r="C2023" s="13" t="s">
        <v>2196</v>
      </c>
      <c r="D2023" s="13" t="s">
        <v>2205</v>
      </c>
      <c r="E2023" s="13" t="s">
        <v>2212</v>
      </c>
      <c r="F2023" s="13" t="s">
        <v>2216</v>
      </c>
      <c r="G2023" s="13">
        <v>177.1</v>
      </c>
      <c r="H2023" s="44">
        <v>0</v>
      </c>
      <c r="I2023" s="13">
        <v>177.1</v>
      </c>
      <c r="J2023" s="24">
        <v>45875</v>
      </c>
      <c r="K2023" s="25">
        <v>49</v>
      </c>
      <c r="L2023" s="25">
        <v>1.6</v>
      </c>
      <c r="M2023" s="13" t="b">
        <v>0</v>
      </c>
      <c r="O2023" s="25">
        <f t="shared" si="124"/>
        <v>27</v>
      </c>
      <c r="P2023" s="13">
        <f t="shared" si="125"/>
        <v>0</v>
      </c>
      <c r="Q2023" s="13" t="str">
        <f t="shared" si="126"/>
        <v/>
      </c>
      <c r="R2023" s="13" t="str">
        <f t="shared" si="127"/>
        <v>Non diskon</v>
      </c>
    </row>
    <row r="2024" spans="1:18" x14ac:dyDescent="0.25">
      <c r="A2024" s="13" t="s">
        <v>2036</v>
      </c>
      <c r="B2024" s="13" t="s">
        <v>2194</v>
      </c>
      <c r="C2024" s="13" t="s">
        <v>2203</v>
      </c>
      <c r="D2024" s="13" t="s">
        <v>2204</v>
      </c>
      <c r="E2024" s="13" t="s">
        <v>2212</v>
      </c>
      <c r="F2024" s="13" t="s">
        <v>2218</v>
      </c>
      <c r="G2024" s="13">
        <v>31.49</v>
      </c>
      <c r="H2024" s="44">
        <v>0</v>
      </c>
      <c r="I2024" s="13">
        <v>31.49</v>
      </c>
      <c r="J2024" s="24">
        <v>45584</v>
      </c>
      <c r="K2024" s="25">
        <v>28</v>
      </c>
      <c r="L2024" s="25">
        <v>3.1021739130434773</v>
      </c>
      <c r="M2024" s="13" t="b">
        <v>0</v>
      </c>
      <c r="O2024" s="25">
        <f t="shared" si="124"/>
        <v>318</v>
      </c>
      <c r="P2024" s="13">
        <f t="shared" si="125"/>
        <v>0</v>
      </c>
      <c r="Q2024" s="13" t="str">
        <f t="shared" si="126"/>
        <v/>
      </c>
      <c r="R2024" s="13" t="str">
        <f t="shared" si="127"/>
        <v>Non diskon</v>
      </c>
    </row>
    <row r="2025" spans="1:18" x14ac:dyDescent="0.25">
      <c r="A2025" s="13" t="s">
        <v>2037</v>
      </c>
      <c r="B2025" s="13" t="s">
        <v>2191</v>
      </c>
      <c r="C2025" s="13" t="s">
        <v>2197</v>
      </c>
      <c r="D2025" s="13" t="s">
        <v>2207</v>
      </c>
      <c r="F2025" s="13" t="s">
        <v>2215</v>
      </c>
      <c r="G2025" s="13">
        <v>118.14</v>
      </c>
      <c r="H2025" s="44">
        <v>0</v>
      </c>
      <c r="I2025" s="13">
        <v>118.14</v>
      </c>
      <c r="J2025" s="24">
        <v>45875</v>
      </c>
      <c r="K2025" s="25">
        <v>33</v>
      </c>
      <c r="L2025" s="25">
        <v>2.4</v>
      </c>
      <c r="M2025" s="13" t="b">
        <v>0</v>
      </c>
      <c r="O2025" s="25">
        <f t="shared" si="124"/>
        <v>27</v>
      </c>
      <c r="P2025" s="13">
        <f t="shared" si="125"/>
        <v>0</v>
      </c>
      <c r="Q2025" s="13" t="str">
        <f t="shared" si="126"/>
        <v/>
      </c>
      <c r="R2025" s="13" t="str">
        <f t="shared" si="127"/>
        <v>Non diskon</v>
      </c>
    </row>
    <row r="2026" spans="1:18" x14ac:dyDescent="0.25">
      <c r="A2026" s="13" t="s">
        <v>2038</v>
      </c>
      <c r="B2026" s="13" t="s">
        <v>2191</v>
      </c>
      <c r="C2026" s="13" t="s">
        <v>2202</v>
      </c>
      <c r="D2026" s="13" t="s">
        <v>2204</v>
      </c>
      <c r="E2026" s="13" t="s">
        <v>2210</v>
      </c>
      <c r="F2026" s="13" t="s">
        <v>2220</v>
      </c>
      <c r="G2026" s="13">
        <v>26.51</v>
      </c>
      <c r="H2026" s="44">
        <v>24</v>
      </c>
      <c r="I2026" s="13">
        <v>20.149999999999999</v>
      </c>
      <c r="J2026" s="24">
        <v>45801</v>
      </c>
      <c r="K2026" s="25">
        <v>1</v>
      </c>
      <c r="L2026" s="25">
        <v>4.7</v>
      </c>
      <c r="M2026" s="13" t="b">
        <v>0</v>
      </c>
      <c r="O2026" s="25">
        <f t="shared" si="124"/>
        <v>101</v>
      </c>
      <c r="P2026" s="13">
        <f t="shared" si="125"/>
        <v>24</v>
      </c>
      <c r="Q2026" s="13" t="str">
        <f t="shared" si="126"/>
        <v/>
      </c>
      <c r="R2026" s="13" t="str">
        <f t="shared" si="127"/>
        <v>Diskon</v>
      </c>
    </row>
    <row r="2027" spans="1:18" x14ac:dyDescent="0.25">
      <c r="A2027" s="13" t="s">
        <v>2039</v>
      </c>
      <c r="B2027" s="13" t="s">
        <v>2191</v>
      </c>
      <c r="C2027" s="13" t="s">
        <v>2203</v>
      </c>
      <c r="D2027" s="13" t="s">
        <v>2206</v>
      </c>
      <c r="E2027" s="13" t="s">
        <v>2209</v>
      </c>
      <c r="F2027" s="13" t="s">
        <v>2219</v>
      </c>
      <c r="G2027" s="13">
        <v>29.61</v>
      </c>
      <c r="H2027" s="44">
        <v>0</v>
      </c>
      <c r="I2027" s="13">
        <v>29.61</v>
      </c>
      <c r="J2027" s="24">
        <v>45875</v>
      </c>
      <c r="K2027" s="25">
        <v>9</v>
      </c>
      <c r="L2027" s="25">
        <v>1</v>
      </c>
      <c r="M2027" s="13" t="b">
        <v>0</v>
      </c>
      <c r="O2027" s="25">
        <f t="shared" si="124"/>
        <v>27</v>
      </c>
      <c r="P2027" s="13">
        <f t="shared" si="125"/>
        <v>0</v>
      </c>
      <c r="Q2027" s="13" t="str">
        <f t="shared" si="126"/>
        <v/>
      </c>
      <c r="R2027" s="13" t="str">
        <f t="shared" si="127"/>
        <v>Non diskon</v>
      </c>
    </row>
    <row r="2028" spans="1:18" x14ac:dyDescent="0.25">
      <c r="A2028" s="13" t="s">
        <v>2040</v>
      </c>
      <c r="B2028" s="13" t="s">
        <v>2190</v>
      </c>
      <c r="C2028" s="13" t="s">
        <v>2201</v>
      </c>
      <c r="D2028" s="13" t="s">
        <v>2207</v>
      </c>
      <c r="E2028" s="13" t="s">
        <v>2210</v>
      </c>
      <c r="F2028" s="13" t="s">
        <v>2218</v>
      </c>
      <c r="G2028" s="13">
        <v>244.13</v>
      </c>
      <c r="H2028" s="44">
        <v>0</v>
      </c>
      <c r="I2028" s="13">
        <v>244.13</v>
      </c>
      <c r="J2028" s="24">
        <v>45875</v>
      </c>
      <c r="K2028" s="25">
        <v>2</v>
      </c>
      <c r="L2028" s="25">
        <v>3.5</v>
      </c>
      <c r="M2028" s="13" t="b">
        <v>1</v>
      </c>
      <c r="N2028" s="13" t="s">
        <v>2226</v>
      </c>
      <c r="O2028" s="25">
        <f t="shared" si="124"/>
        <v>27</v>
      </c>
      <c r="P2028" s="13">
        <f t="shared" si="125"/>
        <v>0</v>
      </c>
      <c r="Q2028" s="13">
        <f t="shared" si="126"/>
        <v>1</v>
      </c>
      <c r="R2028" s="13" t="str">
        <f t="shared" si="127"/>
        <v>Non diskon</v>
      </c>
    </row>
    <row r="2029" spans="1:18" x14ac:dyDescent="0.25">
      <c r="A2029" s="13" t="s">
        <v>2041</v>
      </c>
      <c r="B2029" s="13" t="s">
        <v>2192</v>
      </c>
      <c r="C2029" s="13" t="s">
        <v>2202</v>
      </c>
      <c r="D2029" s="13" t="s">
        <v>2204</v>
      </c>
      <c r="F2029" s="13" t="s">
        <v>2217</v>
      </c>
      <c r="G2029" s="13">
        <v>16.54</v>
      </c>
      <c r="H2029" s="44">
        <v>0</v>
      </c>
      <c r="I2029" s="13">
        <v>16.54</v>
      </c>
      <c r="J2029" s="24">
        <v>45773</v>
      </c>
      <c r="K2029" s="25">
        <v>30</v>
      </c>
      <c r="L2029" s="25">
        <v>3.2720930232558145</v>
      </c>
      <c r="M2029" s="13" t="b">
        <v>0</v>
      </c>
      <c r="O2029" s="25">
        <f t="shared" si="124"/>
        <v>129</v>
      </c>
      <c r="P2029" s="13">
        <f t="shared" si="125"/>
        <v>0</v>
      </c>
      <c r="Q2029" s="13" t="str">
        <f t="shared" si="126"/>
        <v/>
      </c>
      <c r="R2029" s="13" t="str">
        <f t="shared" si="127"/>
        <v>Non diskon</v>
      </c>
    </row>
    <row r="2030" spans="1:18" x14ac:dyDescent="0.25">
      <c r="A2030" s="13" t="s">
        <v>2042</v>
      </c>
      <c r="B2030" s="13" t="s">
        <v>2191</v>
      </c>
      <c r="C2030" s="13" t="s">
        <v>2196</v>
      </c>
      <c r="D2030" s="13" t="s">
        <v>2206</v>
      </c>
      <c r="E2030" s="13" t="s">
        <v>2210</v>
      </c>
      <c r="F2030" s="13" t="s">
        <v>2217</v>
      </c>
      <c r="G2030" s="13">
        <v>100.98</v>
      </c>
      <c r="H2030" s="44">
        <v>0</v>
      </c>
      <c r="I2030" s="13">
        <v>100.98</v>
      </c>
      <c r="J2030" s="24">
        <v>45875</v>
      </c>
      <c r="K2030" s="25">
        <v>41</v>
      </c>
      <c r="L2030" s="25">
        <v>2.9181818181818175</v>
      </c>
      <c r="M2030" s="13" t="b">
        <v>0</v>
      </c>
      <c r="O2030" s="25">
        <f t="shared" si="124"/>
        <v>27</v>
      </c>
      <c r="P2030" s="13">
        <f t="shared" si="125"/>
        <v>0</v>
      </c>
      <c r="Q2030" s="13" t="str">
        <f t="shared" si="126"/>
        <v/>
      </c>
      <c r="R2030" s="13" t="str">
        <f t="shared" si="127"/>
        <v>Non diskon</v>
      </c>
    </row>
    <row r="2031" spans="1:18" x14ac:dyDescent="0.25">
      <c r="A2031" s="13" t="s">
        <v>2043</v>
      </c>
      <c r="B2031" s="13" t="s">
        <v>2190</v>
      </c>
      <c r="C2031" s="13" t="s">
        <v>2197</v>
      </c>
      <c r="D2031" s="13" t="s">
        <v>2205</v>
      </c>
      <c r="F2031" s="13" t="s">
        <v>2218</v>
      </c>
      <c r="G2031" s="13">
        <v>175.42</v>
      </c>
      <c r="H2031" s="44">
        <v>0</v>
      </c>
      <c r="I2031" s="13">
        <v>175.42</v>
      </c>
      <c r="J2031" s="24">
        <v>45875</v>
      </c>
      <c r="K2031" s="25">
        <v>5</v>
      </c>
      <c r="L2031" s="25">
        <v>3.6</v>
      </c>
      <c r="M2031" s="13" t="b">
        <v>0</v>
      </c>
      <c r="O2031" s="25">
        <f t="shared" si="124"/>
        <v>27</v>
      </c>
      <c r="P2031" s="13">
        <f t="shared" si="125"/>
        <v>0</v>
      </c>
      <c r="Q2031" s="13" t="str">
        <f t="shared" si="126"/>
        <v/>
      </c>
      <c r="R2031" s="13" t="str">
        <f t="shared" si="127"/>
        <v>Non diskon</v>
      </c>
    </row>
    <row r="2032" spans="1:18" x14ac:dyDescent="0.25">
      <c r="A2032" s="13" t="s">
        <v>2044</v>
      </c>
      <c r="B2032" s="13" t="s">
        <v>2195</v>
      </c>
      <c r="C2032" s="13" t="s">
        <v>2201</v>
      </c>
      <c r="D2032" s="13" t="s">
        <v>2204</v>
      </c>
      <c r="E2032" s="13" t="s">
        <v>2211</v>
      </c>
      <c r="F2032" s="13" t="s">
        <v>2215</v>
      </c>
      <c r="G2032" s="13">
        <v>133.15</v>
      </c>
      <c r="H2032" s="44">
        <v>20.3</v>
      </c>
      <c r="I2032" s="13">
        <v>106.12</v>
      </c>
      <c r="J2032" s="24">
        <v>45811</v>
      </c>
      <c r="K2032" s="25">
        <v>9</v>
      </c>
      <c r="L2032" s="25">
        <v>3.2</v>
      </c>
      <c r="M2032" s="13" t="b">
        <v>0</v>
      </c>
      <c r="O2032" s="25">
        <f t="shared" si="124"/>
        <v>91</v>
      </c>
      <c r="P2032" s="13">
        <f t="shared" si="125"/>
        <v>182.70000000000002</v>
      </c>
      <c r="Q2032" s="13" t="str">
        <f t="shared" si="126"/>
        <v/>
      </c>
      <c r="R2032" s="13" t="str">
        <f t="shared" si="127"/>
        <v>Diskon</v>
      </c>
    </row>
    <row r="2033" spans="1:18" x14ac:dyDescent="0.25">
      <c r="A2033" s="13" t="s">
        <v>2045</v>
      </c>
      <c r="B2033" s="13" t="s">
        <v>2195</v>
      </c>
      <c r="C2033" s="13" t="s">
        <v>2197</v>
      </c>
      <c r="D2033" s="13" t="s">
        <v>2206</v>
      </c>
      <c r="F2033" s="13" t="s">
        <v>2215</v>
      </c>
      <c r="G2033" s="13">
        <v>94.21</v>
      </c>
      <c r="H2033" s="44">
        <v>44.7</v>
      </c>
      <c r="I2033" s="13">
        <v>52.1</v>
      </c>
      <c r="J2033" s="24">
        <v>45875</v>
      </c>
      <c r="K2033" s="25">
        <v>48</v>
      </c>
      <c r="L2033" s="25">
        <v>4.3</v>
      </c>
      <c r="M2033" s="13" t="b">
        <v>0</v>
      </c>
      <c r="O2033" s="25">
        <f t="shared" si="124"/>
        <v>27</v>
      </c>
      <c r="P2033" s="13">
        <f t="shared" si="125"/>
        <v>2145.6000000000004</v>
      </c>
      <c r="Q2033" s="13" t="str">
        <f t="shared" si="126"/>
        <v/>
      </c>
      <c r="R2033" s="13" t="str">
        <f t="shared" si="127"/>
        <v>Diskon</v>
      </c>
    </row>
    <row r="2034" spans="1:18" x14ac:dyDescent="0.25">
      <c r="A2034" s="13" t="s">
        <v>2046</v>
      </c>
      <c r="B2034" s="13" t="s">
        <v>2191</v>
      </c>
      <c r="C2034" s="13" t="s">
        <v>2203</v>
      </c>
      <c r="D2034" s="13" t="s">
        <v>2205</v>
      </c>
      <c r="E2034" s="13" t="s">
        <v>2213</v>
      </c>
      <c r="F2034" s="13" t="s">
        <v>2215</v>
      </c>
      <c r="G2034" s="13">
        <v>115.44</v>
      </c>
      <c r="H2034" s="44">
        <v>0</v>
      </c>
      <c r="I2034" s="13">
        <v>115.44</v>
      </c>
      <c r="J2034" s="24">
        <v>45875</v>
      </c>
      <c r="K2034" s="25">
        <v>21</v>
      </c>
      <c r="L2034" s="25">
        <v>1.2</v>
      </c>
      <c r="M2034" s="13" t="b">
        <v>0</v>
      </c>
      <c r="O2034" s="25">
        <f t="shared" si="124"/>
        <v>27</v>
      </c>
      <c r="P2034" s="13">
        <f t="shared" si="125"/>
        <v>0</v>
      </c>
      <c r="Q2034" s="13" t="str">
        <f t="shared" si="126"/>
        <v/>
      </c>
      <c r="R2034" s="13" t="str">
        <f t="shared" si="127"/>
        <v>Non diskon</v>
      </c>
    </row>
    <row r="2035" spans="1:18" x14ac:dyDescent="0.25">
      <c r="A2035" s="13" t="s">
        <v>2047</v>
      </c>
      <c r="B2035" s="13" t="s">
        <v>2190</v>
      </c>
      <c r="C2035" s="13" t="s">
        <v>2196</v>
      </c>
      <c r="D2035" s="13" t="s">
        <v>2204</v>
      </c>
      <c r="E2035" s="13" t="s">
        <v>2210</v>
      </c>
      <c r="F2035" s="13" t="s">
        <v>2217</v>
      </c>
      <c r="G2035" s="13">
        <v>194.39</v>
      </c>
      <c r="H2035" s="44">
        <v>26.5</v>
      </c>
      <c r="I2035" s="13">
        <v>142.88</v>
      </c>
      <c r="J2035" s="24">
        <v>45762</v>
      </c>
      <c r="K2035" s="25">
        <v>12</v>
      </c>
      <c r="L2035" s="25">
        <v>1.2</v>
      </c>
      <c r="M2035" s="13" t="b">
        <v>0</v>
      </c>
      <c r="O2035" s="25">
        <f t="shared" si="124"/>
        <v>140</v>
      </c>
      <c r="P2035" s="13">
        <f t="shared" si="125"/>
        <v>318</v>
      </c>
      <c r="Q2035" s="13" t="str">
        <f t="shared" si="126"/>
        <v/>
      </c>
      <c r="R2035" s="13" t="str">
        <f t="shared" si="127"/>
        <v>Diskon</v>
      </c>
    </row>
    <row r="2036" spans="1:18" x14ac:dyDescent="0.25">
      <c r="A2036" s="13" t="s">
        <v>2048</v>
      </c>
      <c r="B2036" s="13" t="s">
        <v>2193</v>
      </c>
      <c r="C2036" s="13" t="s">
        <v>2198</v>
      </c>
      <c r="D2036" s="13" t="s">
        <v>2204</v>
      </c>
      <c r="E2036" s="13" t="s">
        <v>2209</v>
      </c>
      <c r="F2036" s="13" t="s">
        <v>2217</v>
      </c>
      <c r="G2036" s="13">
        <v>132.38999999999999</v>
      </c>
      <c r="H2036" s="44">
        <v>27.6</v>
      </c>
      <c r="I2036" s="13">
        <v>95.85</v>
      </c>
      <c r="J2036" s="24">
        <v>45596</v>
      </c>
      <c r="K2036" s="25">
        <v>16</v>
      </c>
      <c r="L2036" s="25">
        <v>3.1936170212765949</v>
      </c>
      <c r="M2036" s="13" t="b">
        <v>0</v>
      </c>
      <c r="O2036" s="25">
        <f t="shared" si="124"/>
        <v>306</v>
      </c>
      <c r="P2036" s="13">
        <f t="shared" si="125"/>
        <v>441.6</v>
      </c>
      <c r="Q2036" s="13" t="str">
        <f t="shared" si="126"/>
        <v/>
      </c>
      <c r="R2036" s="13" t="str">
        <f t="shared" si="127"/>
        <v>Diskon</v>
      </c>
    </row>
    <row r="2037" spans="1:18" x14ac:dyDescent="0.25">
      <c r="A2037" s="13" t="s">
        <v>2049</v>
      </c>
      <c r="B2037" s="13" t="s">
        <v>2192</v>
      </c>
      <c r="C2037" s="13" t="s">
        <v>2197</v>
      </c>
      <c r="D2037" s="13" t="s">
        <v>2204</v>
      </c>
      <c r="F2037" s="13" t="s">
        <v>2214</v>
      </c>
      <c r="G2037" s="13">
        <v>52.54</v>
      </c>
      <c r="H2037" s="44">
        <v>14.6</v>
      </c>
      <c r="I2037" s="13">
        <v>44.87</v>
      </c>
      <c r="J2037" s="24">
        <v>45552</v>
      </c>
      <c r="K2037" s="25">
        <v>7</v>
      </c>
      <c r="L2037" s="25">
        <v>1.4</v>
      </c>
      <c r="M2037" s="13" t="b">
        <v>0</v>
      </c>
      <c r="O2037" s="25">
        <f t="shared" si="124"/>
        <v>350</v>
      </c>
      <c r="P2037" s="13">
        <f t="shared" si="125"/>
        <v>102.2</v>
      </c>
      <c r="Q2037" s="13" t="str">
        <f t="shared" si="126"/>
        <v/>
      </c>
      <c r="R2037" s="13" t="str">
        <f t="shared" si="127"/>
        <v>Diskon</v>
      </c>
    </row>
    <row r="2038" spans="1:18" x14ac:dyDescent="0.25">
      <c r="A2038" s="13" t="s">
        <v>2050</v>
      </c>
      <c r="B2038" s="13" t="s">
        <v>2195</v>
      </c>
      <c r="C2038" s="13" t="s">
        <v>2197</v>
      </c>
      <c r="D2038" s="13" t="s">
        <v>2204</v>
      </c>
      <c r="E2038" s="13" t="s">
        <v>2208</v>
      </c>
      <c r="F2038" s="13" t="s">
        <v>2216</v>
      </c>
      <c r="G2038" s="13">
        <v>165.01</v>
      </c>
      <c r="H2038" s="44">
        <v>41.2</v>
      </c>
      <c r="I2038" s="13">
        <v>97.03</v>
      </c>
      <c r="J2038" s="24">
        <v>45584</v>
      </c>
      <c r="K2038" s="25">
        <v>22</v>
      </c>
      <c r="L2038" s="25">
        <v>3.1666666666666665</v>
      </c>
      <c r="M2038" s="13" t="b">
        <v>0</v>
      </c>
      <c r="O2038" s="25">
        <f t="shared" si="124"/>
        <v>318</v>
      </c>
      <c r="P2038" s="13">
        <f t="shared" si="125"/>
        <v>906.40000000000009</v>
      </c>
      <c r="Q2038" s="13" t="str">
        <f t="shared" si="126"/>
        <v/>
      </c>
      <c r="R2038" s="13" t="str">
        <f t="shared" si="127"/>
        <v>Diskon</v>
      </c>
    </row>
    <row r="2039" spans="1:18" x14ac:dyDescent="0.25">
      <c r="A2039" s="13" t="s">
        <v>2051</v>
      </c>
      <c r="B2039" s="13" t="s">
        <v>2192</v>
      </c>
      <c r="C2039" s="13" t="s">
        <v>2201</v>
      </c>
      <c r="D2039" s="13" t="s">
        <v>2204</v>
      </c>
      <c r="F2039" s="13" t="s">
        <v>2223</v>
      </c>
      <c r="G2039" s="13">
        <v>42.94</v>
      </c>
      <c r="H2039" s="44">
        <v>34.299999999999997</v>
      </c>
      <c r="I2039" s="13">
        <v>28.21</v>
      </c>
      <c r="J2039" s="24">
        <v>45648</v>
      </c>
      <c r="K2039" s="25">
        <v>41</v>
      </c>
      <c r="L2039" s="25">
        <v>3.2731707317073173</v>
      </c>
      <c r="M2039" s="13" t="b">
        <v>0</v>
      </c>
      <c r="O2039" s="25">
        <f t="shared" si="124"/>
        <v>254</v>
      </c>
      <c r="P2039" s="13">
        <f t="shared" si="125"/>
        <v>1406.3</v>
      </c>
      <c r="Q2039" s="13" t="str">
        <f t="shared" si="126"/>
        <v/>
      </c>
      <c r="R2039" s="13" t="str">
        <f t="shared" si="127"/>
        <v>Diskon</v>
      </c>
    </row>
    <row r="2040" spans="1:18" x14ac:dyDescent="0.25">
      <c r="A2040" s="13" t="s">
        <v>2052</v>
      </c>
      <c r="B2040" s="13" t="s">
        <v>2191</v>
      </c>
      <c r="C2040" s="13" t="s">
        <v>2197</v>
      </c>
      <c r="D2040" s="13" t="s">
        <v>2206</v>
      </c>
      <c r="E2040" s="13" t="s">
        <v>2208</v>
      </c>
      <c r="F2040" s="13" t="s">
        <v>2221</v>
      </c>
      <c r="G2040" s="13">
        <v>72.78</v>
      </c>
      <c r="H2040" s="44">
        <v>0</v>
      </c>
      <c r="I2040" s="13">
        <v>72.78</v>
      </c>
      <c r="J2040" s="24">
        <v>45875</v>
      </c>
      <c r="K2040" s="25">
        <v>49</v>
      </c>
      <c r="L2040" s="25">
        <v>3.1</v>
      </c>
      <c r="M2040" s="13" t="b">
        <v>0</v>
      </c>
      <c r="O2040" s="25">
        <f t="shared" si="124"/>
        <v>27</v>
      </c>
      <c r="P2040" s="13">
        <f t="shared" si="125"/>
        <v>0</v>
      </c>
      <c r="Q2040" s="13" t="str">
        <f t="shared" si="126"/>
        <v/>
      </c>
      <c r="R2040" s="13" t="str">
        <f t="shared" si="127"/>
        <v>Non diskon</v>
      </c>
    </row>
    <row r="2041" spans="1:18" x14ac:dyDescent="0.25">
      <c r="A2041" s="13" t="s">
        <v>2053</v>
      </c>
      <c r="B2041" s="13" t="s">
        <v>2193</v>
      </c>
      <c r="C2041" s="13" t="s">
        <v>2197</v>
      </c>
      <c r="D2041" s="13" t="s">
        <v>2206</v>
      </c>
      <c r="E2041" s="13" t="s">
        <v>2210</v>
      </c>
      <c r="F2041" s="13" t="s">
        <v>2214</v>
      </c>
      <c r="G2041" s="13">
        <v>189.32</v>
      </c>
      <c r="H2041" s="44">
        <v>0</v>
      </c>
      <c r="I2041" s="13">
        <v>189.32</v>
      </c>
      <c r="J2041" s="24">
        <v>45875</v>
      </c>
      <c r="K2041" s="25">
        <v>35</v>
      </c>
      <c r="L2041" s="25">
        <v>2.5</v>
      </c>
      <c r="M2041" s="13" t="b">
        <v>0</v>
      </c>
      <c r="O2041" s="25">
        <f t="shared" si="124"/>
        <v>27</v>
      </c>
      <c r="P2041" s="13">
        <f t="shared" si="125"/>
        <v>0</v>
      </c>
      <c r="Q2041" s="13" t="str">
        <f t="shared" si="126"/>
        <v/>
      </c>
      <c r="R2041" s="13" t="str">
        <f t="shared" si="127"/>
        <v>Non diskon</v>
      </c>
    </row>
    <row r="2042" spans="1:18" x14ac:dyDescent="0.25">
      <c r="A2042" s="13" t="s">
        <v>2054</v>
      </c>
      <c r="B2042" s="13" t="s">
        <v>2195</v>
      </c>
      <c r="C2042" s="13" t="s">
        <v>2201</v>
      </c>
      <c r="D2042" s="13" t="s">
        <v>2207</v>
      </c>
      <c r="E2042" s="13" t="s">
        <v>2208</v>
      </c>
      <c r="F2042" s="13" t="s">
        <v>2217</v>
      </c>
      <c r="G2042" s="13">
        <v>157</v>
      </c>
      <c r="H2042" s="44">
        <v>55.7</v>
      </c>
      <c r="I2042" s="13">
        <v>69.55</v>
      </c>
      <c r="J2042" s="24">
        <v>45875</v>
      </c>
      <c r="K2042" s="25">
        <v>6</v>
      </c>
      <c r="L2042" s="25">
        <v>2.1</v>
      </c>
      <c r="M2042" s="13" t="b">
        <v>0</v>
      </c>
      <c r="O2042" s="25">
        <f t="shared" si="124"/>
        <v>27</v>
      </c>
      <c r="P2042" s="13">
        <f t="shared" si="125"/>
        <v>334.20000000000005</v>
      </c>
      <c r="Q2042" s="13" t="str">
        <f t="shared" si="126"/>
        <v/>
      </c>
      <c r="R2042" s="13" t="str">
        <f t="shared" si="127"/>
        <v>Diskon</v>
      </c>
    </row>
    <row r="2043" spans="1:18" x14ac:dyDescent="0.25">
      <c r="A2043" s="13" t="s">
        <v>2055</v>
      </c>
      <c r="B2043" s="13" t="s">
        <v>2191</v>
      </c>
      <c r="C2043" s="13" t="s">
        <v>2202</v>
      </c>
      <c r="D2043" s="13" t="s">
        <v>2204</v>
      </c>
      <c r="E2043" s="13" t="s">
        <v>2210</v>
      </c>
      <c r="F2043" s="13" t="s">
        <v>2223</v>
      </c>
      <c r="G2043" s="13">
        <v>28.73</v>
      </c>
      <c r="H2043" s="44">
        <v>26.4</v>
      </c>
      <c r="I2043" s="13">
        <v>21.15</v>
      </c>
      <c r="J2043" s="24">
        <v>45575</v>
      </c>
      <c r="K2043" s="25">
        <v>47</v>
      </c>
      <c r="L2043" s="25">
        <v>2.2999999999999998</v>
      </c>
      <c r="M2043" s="13" t="b">
        <v>1</v>
      </c>
      <c r="N2043" s="13" t="s">
        <v>2226</v>
      </c>
      <c r="O2043" s="25">
        <f t="shared" si="124"/>
        <v>327</v>
      </c>
      <c r="P2043" s="13">
        <f t="shared" si="125"/>
        <v>1240.8</v>
      </c>
      <c r="Q2043" s="13">
        <f t="shared" si="126"/>
        <v>1</v>
      </c>
      <c r="R2043" s="13" t="str">
        <f t="shared" si="127"/>
        <v>Diskon</v>
      </c>
    </row>
    <row r="2044" spans="1:18" x14ac:dyDescent="0.25">
      <c r="A2044" s="13" t="s">
        <v>2056</v>
      </c>
      <c r="B2044" s="13" t="s">
        <v>2190</v>
      </c>
      <c r="C2044" s="13" t="s">
        <v>2203</v>
      </c>
      <c r="D2044" s="13" t="s">
        <v>2205</v>
      </c>
      <c r="E2044" s="13" t="s">
        <v>2209</v>
      </c>
      <c r="F2044" s="13" t="s">
        <v>2218</v>
      </c>
      <c r="G2044" s="13">
        <v>144.63999999999999</v>
      </c>
      <c r="H2044" s="44">
        <v>0</v>
      </c>
      <c r="I2044" s="13">
        <v>144.63999999999999</v>
      </c>
      <c r="J2044" s="24">
        <v>45875</v>
      </c>
      <c r="K2044" s="25">
        <v>0</v>
      </c>
      <c r="L2044" s="25">
        <v>4.5</v>
      </c>
      <c r="M2044" s="13" t="b">
        <v>0</v>
      </c>
      <c r="O2044" s="25">
        <f t="shared" si="124"/>
        <v>27</v>
      </c>
      <c r="P2044" s="13">
        <f t="shared" si="125"/>
        <v>0</v>
      </c>
      <c r="Q2044" s="13" t="str">
        <f t="shared" si="126"/>
        <v/>
      </c>
      <c r="R2044" s="13" t="str">
        <f t="shared" si="127"/>
        <v>Non diskon</v>
      </c>
    </row>
    <row r="2045" spans="1:18" x14ac:dyDescent="0.25">
      <c r="A2045" s="13" t="s">
        <v>2057</v>
      </c>
      <c r="B2045" s="13" t="s">
        <v>2193</v>
      </c>
      <c r="C2045" s="13" t="s">
        <v>2198</v>
      </c>
      <c r="D2045" s="13" t="s">
        <v>2206</v>
      </c>
      <c r="E2045" s="13" t="s">
        <v>2209</v>
      </c>
      <c r="F2045" s="13" t="s">
        <v>2219</v>
      </c>
      <c r="G2045" s="13">
        <v>180.99</v>
      </c>
      <c r="H2045" s="44">
        <v>0</v>
      </c>
      <c r="I2045" s="13">
        <v>180.99</v>
      </c>
      <c r="J2045" s="24">
        <v>45875</v>
      </c>
      <c r="K2045" s="25">
        <v>0</v>
      </c>
      <c r="L2045" s="25">
        <v>4.5</v>
      </c>
      <c r="M2045" s="13" t="b">
        <v>0</v>
      </c>
      <c r="O2045" s="25">
        <f t="shared" si="124"/>
        <v>27</v>
      </c>
      <c r="P2045" s="13">
        <f t="shared" si="125"/>
        <v>0</v>
      </c>
      <c r="Q2045" s="13" t="str">
        <f t="shared" si="126"/>
        <v/>
      </c>
      <c r="R2045" s="13" t="str">
        <f t="shared" si="127"/>
        <v>Non diskon</v>
      </c>
    </row>
    <row r="2046" spans="1:18" x14ac:dyDescent="0.25">
      <c r="A2046" s="13" t="s">
        <v>2058</v>
      </c>
      <c r="B2046" s="13" t="s">
        <v>2191</v>
      </c>
      <c r="C2046" s="13" t="s">
        <v>2201</v>
      </c>
      <c r="D2046" s="13" t="s">
        <v>2206</v>
      </c>
      <c r="E2046" s="13" t="s">
        <v>2213</v>
      </c>
      <c r="F2046" s="13" t="s">
        <v>2220</v>
      </c>
      <c r="G2046" s="13">
        <v>74.959999999999994</v>
      </c>
      <c r="H2046" s="44">
        <v>56.1</v>
      </c>
      <c r="I2046" s="13">
        <v>32.909999999999997</v>
      </c>
      <c r="J2046" s="24">
        <v>45875</v>
      </c>
      <c r="K2046" s="25">
        <v>16</v>
      </c>
      <c r="L2046" s="25">
        <v>2.9846153846153847</v>
      </c>
      <c r="M2046" s="13" t="b">
        <v>1</v>
      </c>
      <c r="N2046" s="13" t="s">
        <v>2230</v>
      </c>
      <c r="O2046" s="25">
        <f t="shared" si="124"/>
        <v>27</v>
      </c>
      <c r="P2046" s="13">
        <f t="shared" si="125"/>
        <v>897.6</v>
      </c>
      <c r="Q2046" s="13">
        <f t="shared" si="126"/>
        <v>1</v>
      </c>
      <c r="R2046" s="13" t="str">
        <f t="shared" si="127"/>
        <v>Diskon</v>
      </c>
    </row>
    <row r="2047" spans="1:18" x14ac:dyDescent="0.25">
      <c r="A2047" s="13" t="s">
        <v>2059</v>
      </c>
      <c r="B2047" s="13" t="s">
        <v>2195</v>
      </c>
      <c r="C2047" s="13" t="s">
        <v>2201</v>
      </c>
      <c r="D2047" s="13" t="s">
        <v>2206</v>
      </c>
      <c r="E2047" s="13" t="s">
        <v>2211</v>
      </c>
      <c r="F2047" s="13" t="s">
        <v>2222</v>
      </c>
      <c r="G2047" s="13">
        <v>63.46</v>
      </c>
      <c r="H2047" s="44">
        <v>0</v>
      </c>
      <c r="I2047" s="13">
        <v>63.46</v>
      </c>
      <c r="J2047" s="24">
        <v>45875</v>
      </c>
      <c r="K2047" s="25">
        <v>36</v>
      </c>
      <c r="L2047" s="25">
        <v>1.2</v>
      </c>
      <c r="M2047" s="13" t="b">
        <v>0</v>
      </c>
      <c r="O2047" s="25">
        <f t="shared" si="124"/>
        <v>27</v>
      </c>
      <c r="P2047" s="13">
        <f t="shared" si="125"/>
        <v>0</v>
      </c>
      <c r="Q2047" s="13" t="str">
        <f t="shared" si="126"/>
        <v/>
      </c>
      <c r="R2047" s="13" t="str">
        <f t="shared" si="127"/>
        <v>Non diskon</v>
      </c>
    </row>
    <row r="2048" spans="1:18" x14ac:dyDescent="0.25">
      <c r="A2048" s="13" t="s">
        <v>2060</v>
      </c>
      <c r="B2048" s="13" t="s">
        <v>2193</v>
      </c>
      <c r="C2048" s="13" t="s">
        <v>2199</v>
      </c>
      <c r="D2048" s="13" t="s">
        <v>2204</v>
      </c>
      <c r="E2048" s="13" t="s">
        <v>2210</v>
      </c>
      <c r="F2048" s="13" t="s">
        <v>2216</v>
      </c>
      <c r="G2048" s="13">
        <v>105.95</v>
      </c>
      <c r="H2048" s="44">
        <v>31.6</v>
      </c>
      <c r="I2048" s="13">
        <v>72.47</v>
      </c>
      <c r="J2048" s="24">
        <v>45748</v>
      </c>
      <c r="K2048" s="25">
        <v>38</v>
      </c>
      <c r="L2048" s="25">
        <v>3.5</v>
      </c>
      <c r="M2048" s="13" t="b">
        <v>0</v>
      </c>
      <c r="O2048" s="25">
        <f t="shared" si="124"/>
        <v>154</v>
      </c>
      <c r="P2048" s="13">
        <f t="shared" si="125"/>
        <v>1200.8</v>
      </c>
      <c r="Q2048" s="13" t="str">
        <f t="shared" si="126"/>
        <v/>
      </c>
      <c r="R2048" s="13" t="str">
        <f t="shared" si="127"/>
        <v>Diskon</v>
      </c>
    </row>
    <row r="2049" spans="1:18" x14ac:dyDescent="0.25">
      <c r="A2049" s="13" t="s">
        <v>2061</v>
      </c>
      <c r="B2049" s="13" t="s">
        <v>2195</v>
      </c>
      <c r="C2049" s="13" t="s">
        <v>2199</v>
      </c>
      <c r="D2049" s="13" t="s">
        <v>2207</v>
      </c>
      <c r="E2049" s="13" t="s">
        <v>2210</v>
      </c>
      <c r="F2049" s="13" t="s">
        <v>2222</v>
      </c>
      <c r="G2049" s="13">
        <v>86.55</v>
      </c>
      <c r="H2049" s="44">
        <v>24.5</v>
      </c>
      <c r="I2049" s="13">
        <v>65.349999999999994</v>
      </c>
      <c r="J2049" s="24">
        <v>45875</v>
      </c>
      <c r="K2049" s="25">
        <v>40</v>
      </c>
      <c r="L2049" s="25">
        <v>3.5</v>
      </c>
      <c r="M2049" s="13" t="b">
        <v>0</v>
      </c>
      <c r="O2049" s="25">
        <f t="shared" si="124"/>
        <v>27</v>
      </c>
      <c r="P2049" s="13">
        <f t="shared" si="125"/>
        <v>980</v>
      </c>
      <c r="Q2049" s="13" t="str">
        <f t="shared" si="126"/>
        <v/>
      </c>
      <c r="R2049" s="13" t="str">
        <f t="shared" si="127"/>
        <v>Diskon</v>
      </c>
    </row>
    <row r="2050" spans="1:18" x14ac:dyDescent="0.25">
      <c r="A2050" s="13" t="s">
        <v>2062</v>
      </c>
      <c r="B2050" s="13" t="s">
        <v>2194</v>
      </c>
      <c r="C2050" s="13" t="s">
        <v>2202</v>
      </c>
      <c r="D2050" s="13" t="s">
        <v>2206</v>
      </c>
      <c r="E2050" s="13" t="s">
        <v>2213</v>
      </c>
      <c r="F2050" s="13" t="s">
        <v>2222</v>
      </c>
      <c r="G2050" s="13">
        <v>90.97</v>
      </c>
      <c r="H2050" s="44">
        <v>10.8</v>
      </c>
      <c r="I2050" s="13">
        <v>81.150000000000006</v>
      </c>
      <c r="J2050" s="24">
        <v>45875</v>
      </c>
      <c r="K2050" s="25">
        <v>33</v>
      </c>
      <c r="L2050" s="25">
        <v>2.2000000000000002</v>
      </c>
      <c r="M2050" s="13" t="b">
        <v>1</v>
      </c>
      <c r="N2050" s="13" t="s">
        <v>2227</v>
      </c>
      <c r="O2050" s="25">
        <f t="shared" si="124"/>
        <v>27</v>
      </c>
      <c r="P2050" s="13">
        <f t="shared" si="125"/>
        <v>356.40000000000003</v>
      </c>
      <c r="Q2050" s="13">
        <f t="shared" si="126"/>
        <v>1</v>
      </c>
      <c r="R2050" s="13" t="str">
        <f t="shared" si="127"/>
        <v>Diskon</v>
      </c>
    </row>
    <row r="2051" spans="1:18" x14ac:dyDescent="0.25">
      <c r="A2051" s="13" t="s">
        <v>2063</v>
      </c>
      <c r="B2051" s="13" t="s">
        <v>2195</v>
      </c>
      <c r="C2051" s="13" t="s">
        <v>2199</v>
      </c>
      <c r="D2051" s="13" t="s">
        <v>2205</v>
      </c>
      <c r="E2051" s="13" t="s">
        <v>2209</v>
      </c>
      <c r="F2051" s="13" t="s">
        <v>2221</v>
      </c>
      <c r="G2051" s="13">
        <v>122.41</v>
      </c>
      <c r="H2051" s="44">
        <v>48.2</v>
      </c>
      <c r="I2051" s="13">
        <v>63.41</v>
      </c>
      <c r="J2051" s="24">
        <v>45875</v>
      </c>
      <c r="K2051" s="25">
        <v>49</v>
      </c>
      <c r="L2051" s="25">
        <v>4.5</v>
      </c>
      <c r="M2051" s="13" t="b">
        <v>0</v>
      </c>
      <c r="O2051" s="25">
        <f t="shared" ref="O2051:O2114" si="128">DATE(2025,9,2)-J2051</f>
        <v>27</v>
      </c>
      <c r="P2051" s="13">
        <f t="shared" ref="P2051:P2114" si="129">H2051*K2051</f>
        <v>2361.8000000000002</v>
      </c>
      <c r="Q2051" s="13" t="str">
        <f t="shared" ref="Q2051:Q2114" si="130">IF(M2051=FALSE,"",1)</f>
        <v/>
      </c>
      <c r="R2051" s="13" t="str">
        <f t="shared" ref="R2051:R2114" si="131">IF(H2051=0,"Non diskon","Diskon")</f>
        <v>Diskon</v>
      </c>
    </row>
    <row r="2052" spans="1:18" x14ac:dyDescent="0.25">
      <c r="A2052" s="13" t="s">
        <v>2064</v>
      </c>
      <c r="B2052" s="13" t="s">
        <v>2193</v>
      </c>
      <c r="C2052" s="13" t="s">
        <v>2198</v>
      </c>
      <c r="D2052" s="13" t="s">
        <v>2205</v>
      </c>
      <c r="E2052" s="13" t="s">
        <v>2211</v>
      </c>
      <c r="F2052" s="13" t="s">
        <v>2218</v>
      </c>
      <c r="G2052" s="13">
        <v>198.22</v>
      </c>
      <c r="H2052" s="44">
        <v>0</v>
      </c>
      <c r="I2052" s="13">
        <v>198.22</v>
      </c>
      <c r="J2052" s="24">
        <v>45875</v>
      </c>
      <c r="K2052" s="25">
        <v>12</v>
      </c>
      <c r="L2052" s="25">
        <v>3.1936170212765949</v>
      </c>
      <c r="M2052" s="13" t="b">
        <v>0</v>
      </c>
      <c r="O2052" s="25">
        <f t="shared" si="128"/>
        <v>27</v>
      </c>
      <c r="P2052" s="13">
        <f t="shared" si="129"/>
        <v>0</v>
      </c>
      <c r="Q2052" s="13" t="str">
        <f t="shared" si="130"/>
        <v/>
      </c>
      <c r="R2052" s="13" t="str">
        <f t="shared" si="131"/>
        <v>Non diskon</v>
      </c>
    </row>
    <row r="2053" spans="1:18" x14ac:dyDescent="0.25">
      <c r="A2053" s="13" t="s">
        <v>2065</v>
      </c>
      <c r="B2053" s="13" t="s">
        <v>2193</v>
      </c>
      <c r="C2053" s="13" t="s">
        <v>2196</v>
      </c>
      <c r="D2053" s="13" t="s">
        <v>2205</v>
      </c>
      <c r="E2053" s="13" t="s">
        <v>2213</v>
      </c>
      <c r="F2053" s="13" t="s">
        <v>2221</v>
      </c>
      <c r="G2053" s="13">
        <v>129.56</v>
      </c>
      <c r="H2053" s="44">
        <v>20.8</v>
      </c>
      <c r="I2053" s="13">
        <v>102.61</v>
      </c>
      <c r="J2053" s="24">
        <v>45875</v>
      </c>
      <c r="K2053" s="25">
        <v>3</v>
      </c>
      <c r="L2053" s="25">
        <v>2.9</v>
      </c>
      <c r="M2053" s="13" t="b">
        <v>0</v>
      </c>
      <c r="O2053" s="25">
        <f t="shared" si="128"/>
        <v>27</v>
      </c>
      <c r="P2053" s="13">
        <f t="shared" si="129"/>
        <v>62.400000000000006</v>
      </c>
      <c r="Q2053" s="13" t="str">
        <f t="shared" si="130"/>
        <v/>
      </c>
      <c r="R2053" s="13" t="str">
        <f t="shared" si="131"/>
        <v>Diskon</v>
      </c>
    </row>
    <row r="2054" spans="1:18" x14ac:dyDescent="0.25">
      <c r="A2054" s="13" t="s">
        <v>2066</v>
      </c>
      <c r="B2054" s="13" t="s">
        <v>2192</v>
      </c>
      <c r="C2054" s="13" t="s">
        <v>2196</v>
      </c>
      <c r="D2054" s="13" t="s">
        <v>2207</v>
      </c>
      <c r="F2054" s="13" t="s">
        <v>2215</v>
      </c>
      <c r="G2054" s="13">
        <v>49.31</v>
      </c>
      <c r="H2054" s="44">
        <v>0</v>
      </c>
      <c r="I2054" s="13">
        <v>49.31</v>
      </c>
      <c r="J2054" s="24">
        <v>45875</v>
      </c>
      <c r="K2054" s="25">
        <v>49</v>
      </c>
      <c r="L2054" s="25">
        <v>3.4</v>
      </c>
      <c r="M2054" s="13" t="b">
        <v>0</v>
      </c>
      <c r="O2054" s="25">
        <f t="shared" si="128"/>
        <v>27</v>
      </c>
      <c r="P2054" s="13">
        <f t="shared" si="129"/>
        <v>0</v>
      </c>
      <c r="Q2054" s="13" t="str">
        <f t="shared" si="130"/>
        <v/>
      </c>
      <c r="R2054" s="13" t="str">
        <f t="shared" si="131"/>
        <v>Non diskon</v>
      </c>
    </row>
    <row r="2055" spans="1:18" x14ac:dyDescent="0.25">
      <c r="A2055" s="13" t="s">
        <v>2067</v>
      </c>
      <c r="B2055" s="13" t="s">
        <v>2190</v>
      </c>
      <c r="C2055" s="13" t="s">
        <v>2197</v>
      </c>
      <c r="D2055" s="13" t="s">
        <v>2207</v>
      </c>
      <c r="E2055" s="13" t="s">
        <v>2210</v>
      </c>
      <c r="F2055" s="13" t="s">
        <v>2215</v>
      </c>
      <c r="G2055" s="13">
        <v>206.94</v>
      </c>
      <c r="H2055" s="44">
        <v>0</v>
      </c>
      <c r="I2055" s="13">
        <v>206.94</v>
      </c>
      <c r="J2055" s="24">
        <v>45875</v>
      </c>
      <c r="K2055" s="25">
        <v>43</v>
      </c>
      <c r="L2055" s="25">
        <v>3.3</v>
      </c>
      <c r="M2055" s="13" t="b">
        <v>0</v>
      </c>
      <c r="O2055" s="25">
        <f t="shared" si="128"/>
        <v>27</v>
      </c>
      <c r="P2055" s="13">
        <f t="shared" si="129"/>
        <v>0</v>
      </c>
      <c r="Q2055" s="13" t="str">
        <f t="shared" si="130"/>
        <v/>
      </c>
      <c r="R2055" s="13" t="str">
        <f t="shared" si="131"/>
        <v>Non diskon</v>
      </c>
    </row>
    <row r="2056" spans="1:18" x14ac:dyDescent="0.25">
      <c r="A2056" s="13" t="s">
        <v>2068</v>
      </c>
      <c r="B2056" s="13" t="s">
        <v>2192</v>
      </c>
      <c r="C2056" s="13" t="s">
        <v>2198</v>
      </c>
      <c r="D2056" s="13" t="s">
        <v>2207</v>
      </c>
      <c r="F2056" s="13" t="s">
        <v>2216</v>
      </c>
      <c r="G2056" s="13">
        <v>36.93</v>
      </c>
      <c r="H2056" s="44">
        <v>0</v>
      </c>
      <c r="I2056" s="13">
        <v>36.93</v>
      </c>
      <c r="J2056" s="24">
        <v>45875</v>
      </c>
      <c r="K2056" s="25">
        <v>18</v>
      </c>
      <c r="L2056" s="25">
        <v>2.8694444444444449</v>
      </c>
      <c r="M2056" s="13" t="b">
        <v>0</v>
      </c>
      <c r="O2056" s="25">
        <f t="shared" si="128"/>
        <v>27</v>
      </c>
      <c r="P2056" s="13">
        <f t="shared" si="129"/>
        <v>0</v>
      </c>
      <c r="Q2056" s="13" t="str">
        <f t="shared" si="130"/>
        <v/>
      </c>
      <c r="R2056" s="13" t="str">
        <f t="shared" si="131"/>
        <v>Non diskon</v>
      </c>
    </row>
    <row r="2057" spans="1:18" x14ac:dyDescent="0.25">
      <c r="A2057" s="13" t="s">
        <v>2069</v>
      </c>
      <c r="B2057" s="13" t="s">
        <v>2192</v>
      </c>
      <c r="C2057" s="13" t="s">
        <v>2197</v>
      </c>
      <c r="D2057" s="13" t="s">
        <v>2207</v>
      </c>
      <c r="F2057" s="13" t="s">
        <v>2220</v>
      </c>
      <c r="G2057" s="13">
        <v>21.85</v>
      </c>
      <c r="H2057" s="44">
        <v>12</v>
      </c>
      <c r="I2057" s="13">
        <v>19.23</v>
      </c>
      <c r="J2057" s="24">
        <v>45875</v>
      </c>
      <c r="K2057" s="25">
        <v>18</v>
      </c>
      <c r="L2057" s="25">
        <v>4.8</v>
      </c>
      <c r="M2057" s="13" t="b">
        <v>0</v>
      </c>
      <c r="O2057" s="25">
        <f t="shared" si="128"/>
        <v>27</v>
      </c>
      <c r="P2057" s="13">
        <f t="shared" si="129"/>
        <v>216</v>
      </c>
      <c r="Q2057" s="13" t="str">
        <f t="shared" si="130"/>
        <v/>
      </c>
      <c r="R2057" s="13" t="str">
        <f t="shared" si="131"/>
        <v>Diskon</v>
      </c>
    </row>
    <row r="2058" spans="1:18" x14ac:dyDescent="0.25">
      <c r="A2058" s="13" t="s">
        <v>2070</v>
      </c>
      <c r="B2058" s="13" t="s">
        <v>2193</v>
      </c>
      <c r="C2058" s="13" t="s">
        <v>2198</v>
      </c>
      <c r="D2058" s="13" t="s">
        <v>2205</v>
      </c>
      <c r="E2058" s="13" t="s">
        <v>2210</v>
      </c>
      <c r="F2058" s="13" t="s">
        <v>2224</v>
      </c>
      <c r="G2058" s="13">
        <v>174.65</v>
      </c>
      <c r="H2058" s="44">
        <v>43.8</v>
      </c>
      <c r="I2058" s="13">
        <v>98.15</v>
      </c>
      <c r="J2058" s="24">
        <v>45875</v>
      </c>
      <c r="K2058" s="25">
        <v>28</v>
      </c>
      <c r="L2058" s="25">
        <v>3.3</v>
      </c>
      <c r="M2058" s="13" t="b">
        <v>0</v>
      </c>
      <c r="O2058" s="25">
        <f t="shared" si="128"/>
        <v>27</v>
      </c>
      <c r="P2058" s="13">
        <f t="shared" si="129"/>
        <v>1226.3999999999999</v>
      </c>
      <c r="Q2058" s="13" t="str">
        <f t="shared" si="130"/>
        <v/>
      </c>
      <c r="R2058" s="13" t="str">
        <f t="shared" si="131"/>
        <v>Diskon</v>
      </c>
    </row>
    <row r="2059" spans="1:18" x14ac:dyDescent="0.25">
      <c r="A2059" s="13" t="s">
        <v>2071</v>
      </c>
      <c r="B2059" s="13" t="s">
        <v>2192</v>
      </c>
      <c r="C2059" s="13" t="s">
        <v>2199</v>
      </c>
      <c r="D2059" s="13" t="s">
        <v>2204</v>
      </c>
      <c r="F2059" s="13" t="s">
        <v>2215</v>
      </c>
      <c r="G2059" s="13">
        <v>19.96</v>
      </c>
      <c r="H2059" s="44">
        <v>0</v>
      </c>
      <c r="I2059" s="13">
        <v>19.96</v>
      </c>
      <c r="J2059" s="24">
        <v>45827</v>
      </c>
      <c r="K2059" s="25">
        <v>16</v>
      </c>
      <c r="L2059" s="25">
        <v>1.4</v>
      </c>
      <c r="M2059" s="13" t="b">
        <v>0</v>
      </c>
      <c r="O2059" s="25">
        <f t="shared" si="128"/>
        <v>75</v>
      </c>
      <c r="P2059" s="13">
        <f t="shared" si="129"/>
        <v>0</v>
      </c>
      <c r="Q2059" s="13" t="str">
        <f t="shared" si="130"/>
        <v/>
      </c>
      <c r="R2059" s="13" t="str">
        <f t="shared" si="131"/>
        <v>Non diskon</v>
      </c>
    </row>
    <row r="2060" spans="1:18" x14ac:dyDescent="0.25">
      <c r="A2060" s="13" t="s">
        <v>2072</v>
      </c>
      <c r="B2060" s="13" t="s">
        <v>2191</v>
      </c>
      <c r="C2060" s="13" t="s">
        <v>2200</v>
      </c>
      <c r="D2060" s="13" t="s">
        <v>2206</v>
      </c>
      <c r="E2060" s="13" t="s">
        <v>2213</v>
      </c>
      <c r="F2060" s="13" t="s">
        <v>2220</v>
      </c>
      <c r="G2060" s="13">
        <v>90.46</v>
      </c>
      <c r="H2060" s="44">
        <v>54.1</v>
      </c>
      <c r="I2060" s="13">
        <v>41.52</v>
      </c>
      <c r="J2060" s="24">
        <v>45875</v>
      </c>
      <c r="K2060" s="25">
        <v>15</v>
      </c>
      <c r="L2060" s="25">
        <v>2.5</v>
      </c>
      <c r="M2060" s="13" t="b">
        <v>0</v>
      </c>
      <c r="O2060" s="25">
        <f t="shared" si="128"/>
        <v>27</v>
      </c>
      <c r="P2060" s="13">
        <f t="shared" si="129"/>
        <v>811.5</v>
      </c>
      <c r="Q2060" s="13" t="str">
        <f t="shared" si="130"/>
        <v/>
      </c>
      <c r="R2060" s="13" t="str">
        <f t="shared" si="131"/>
        <v>Diskon</v>
      </c>
    </row>
    <row r="2061" spans="1:18" x14ac:dyDescent="0.25">
      <c r="A2061" s="13" t="s">
        <v>2073</v>
      </c>
      <c r="B2061" s="13" t="s">
        <v>2193</v>
      </c>
      <c r="C2061" s="13" t="s">
        <v>2200</v>
      </c>
      <c r="D2061" s="13" t="s">
        <v>2206</v>
      </c>
      <c r="E2061" s="13" t="s">
        <v>2209</v>
      </c>
      <c r="F2061" s="13" t="s">
        <v>2219</v>
      </c>
      <c r="G2061" s="13">
        <v>189.24</v>
      </c>
      <c r="H2061" s="44">
        <v>0</v>
      </c>
      <c r="I2061" s="13">
        <v>189.24</v>
      </c>
      <c r="J2061" s="24">
        <v>45875</v>
      </c>
      <c r="K2061" s="25">
        <v>25</v>
      </c>
      <c r="L2061" s="25">
        <v>3.6</v>
      </c>
      <c r="M2061" s="13" t="b">
        <v>1</v>
      </c>
      <c r="N2061" s="13" t="s">
        <v>2225</v>
      </c>
      <c r="O2061" s="25">
        <f t="shared" si="128"/>
        <v>27</v>
      </c>
      <c r="P2061" s="13">
        <f t="shared" si="129"/>
        <v>0</v>
      </c>
      <c r="Q2061" s="13">
        <f t="shared" si="130"/>
        <v>1</v>
      </c>
      <c r="R2061" s="13" t="str">
        <f t="shared" si="131"/>
        <v>Non diskon</v>
      </c>
    </row>
    <row r="2062" spans="1:18" x14ac:dyDescent="0.25">
      <c r="A2062" s="13" t="s">
        <v>2074</v>
      </c>
      <c r="B2062" s="13" t="s">
        <v>2190</v>
      </c>
      <c r="C2062" s="13" t="s">
        <v>2198</v>
      </c>
      <c r="D2062" s="13" t="s">
        <v>2207</v>
      </c>
      <c r="E2062" s="13" t="s">
        <v>2211</v>
      </c>
      <c r="F2062" s="13" t="s">
        <v>2216</v>
      </c>
      <c r="G2062" s="13">
        <v>231.24</v>
      </c>
      <c r="H2062" s="44">
        <v>44.6</v>
      </c>
      <c r="I2062" s="13">
        <v>128.11000000000001</v>
      </c>
      <c r="J2062" s="24">
        <v>45875</v>
      </c>
      <c r="K2062" s="25">
        <v>15</v>
      </c>
      <c r="L2062" s="25">
        <v>3.7</v>
      </c>
      <c r="M2062" s="13" t="b">
        <v>0</v>
      </c>
      <c r="O2062" s="25">
        <f t="shared" si="128"/>
        <v>27</v>
      </c>
      <c r="P2062" s="13">
        <f t="shared" si="129"/>
        <v>669</v>
      </c>
      <c r="Q2062" s="13" t="str">
        <f t="shared" si="130"/>
        <v/>
      </c>
      <c r="R2062" s="13" t="str">
        <f t="shared" si="131"/>
        <v>Diskon</v>
      </c>
    </row>
    <row r="2063" spans="1:18" x14ac:dyDescent="0.25">
      <c r="A2063" s="13" t="s">
        <v>2075</v>
      </c>
      <c r="B2063" s="13" t="s">
        <v>2192</v>
      </c>
      <c r="C2063" s="13" t="s">
        <v>2199</v>
      </c>
      <c r="D2063" s="13" t="s">
        <v>2206</v>
      </c>
      <c r="F2063" s="13" t="s">
        <v>2221</v>
      </c>
      <c r="G2063" s="13">
        <v>66.48</v>
      </c>
      <c r="H2063" s="44">
        <v>0</v>
      </c>
      <c r="I2063" s="13">
        <v>66.48</v>
      </c>
      <c r="J2063" s="24">
        <v>45875</v>
      </c>
      <c r="K2063" s="25">
        <v>38</v>
      </c>
      <c r="L2063" s="25">
        <v>1.4</v>
      </c>
      <c r="M2063" s="13" t="b">
        <v>0</v>
      </c>
      <c r="O2063" s="25">
        <f t="shared" si="128"/>
        <v>27</v>
      </c>
      <c r="P2063" s="13">
        <f t="shared" si="129"/>
        <v>0</v>
      </c>
      <c r="Q2063" s="13" t="str">
        <f t="shared" si="130"/>
        <v/>
      </c>
      <c r="R2063" s="13" t="str">
        <f t="shared" si="131"/>
        <v>Non diskon</v>
      </c>
    </row>
    <row r="2064" spans="1:18" x14ac:dyDescent="0.25">
      <c r="A2064" s="13" t="s">
        <v>2076</v>
      </c>
      <c r="B2064" s="13" t="s">
        <v>2192</v>
      </c>
      <c r="C2064" s="13" t="s">
        <v>2200</v>
      </c>
      <c r="D2064" s="13" t="s">
        <v>2206</v>
      </c>
      <c r="F2064" s="13" t="s">
        <v>2221</v>
      </c>
      <c r="G2064" s="13">
        <v>37.270000000000003</v>
      </c>
      <c r="H2064" s="44">
        <v>0</v>
      </c>
      <c r="I2064" s="13">
        <v>37.270000000000003</v>
      </c>
      <c r="J2064" s="24">
        <v>45875</v>
      </c>
      <c r="K2064" s="25">
        <v>15</v>
      </c>
      <c r="L2064" s="25">
        <v>3.8</v>
      </c>
      <c r="M2064" s="13" t="b">
        <v>0</v>
      </c>
      <c r="O2064" s="25">
        <f t="shared" si="128"/>
        <v>27</v>
      </c>
      <c r="P2064" s="13">
        <f t="shared" si="129"/>
        <v>0</v>
      </c>
      <c r="Q2064" s="13" t="str">
        <f t="shared" si="130"/>
        <v/>
      </c>
      <c r="R2064" s="13" t="str">
        <f t="shared" si="131"/>
        <v>Non diskon</v>
      </c>
    </row>
    <row r="2065" spans="1:18" x14ac:dyDescent="0.25">
      <c r="A2065" s="13" t="s">
        <v>2077</v>
      </c>
      <c r="B2065" s="13" t="s">
        <v>2193</v>
      </c>
      <c r="C2065" s="13" t="s">
        <v>2197</v>
      </c>
      <c r="D2065" s="13" t="s">
        <v>2204</v>
      </c>
      <c r="E2065" s="13" t="s">
        <v>2209</v>
      </c>
      <c r="F2065" s="13" t="s">
        <v>2224</v>
      </c>
      <c r="G2065" s="13">
        <v>178.05</v>
      </c>
      <c r="H2065" s="44">
        <v>0</v>
      </c>
      <c r="I2065" s="13">
        <v>178.05</v>
      </c>
      <c r="J2065" s="24">
        <v>45724</v>
      </c>
      <c r="K2065" s="25">
        <v>24</v>
      </c>
      <c r="L2065" s="25">
        <v>2.8205128205128198</v>
      </c>
      <c r="M2065" s="13" t="b">
        <v>0</v>
      </c>
      <c r="O2065" s="25">
        <f t="shared" si="128"/>
        <v>178</v>
      </c>
      <c r="P2065" s="13">
        <f t="shared" si="129"/>
        <v>0</v>
      </c>
      <c r="Q2065" s="13" t="str">
        <f t="shared" si="130"/>
        <v/>
      </c>
      <c r="R2065" s="13" t="str">
        <f t="shared" si="131"/>
        <v>Non diskon</v>
      </c>
    </row>
    <row r="2066" spans="1:18" x14ac:dyDescent="0.25">
      <c r="A2066" s="13" t="s">
        <v>2078</v>
      </c>
      <c r="B2066" s="13" t="s">
        <v>2191</v>
      </c>
      <c r="C2066" s="13" t="s">
        <v>2203</v>
      </c>
      <c r="D2066" s="13" t="s">
        <v>2204</v>
      </c>
      <c r="E2066" s="13" t="s">
        <v>2212</v>
      </c>
      <c r="F2066" s="13" t="s">
        <v>2215</v>
      </c>
      <c r="G2066" s="13">
        <v>73.760000000000005</v>
      </c>
      <c r="H2066" s="44">
        <v>0</v>
      </c>
      <c r="I2066" s="13">
        <v>73.760000000000005</v>
      </c>
      <c r="J2066" s="24">
        <v>45523</v>
      </c>
      <c r="K2066" s="25">
        <v>25</v>
      </c>
      <c r="L2066" s="25">
        <v>1.3</v>
      </c>
      <c r="M2066" s="13" t="b">
        <v>0</v>
      </c>
      <c r="O2066" s="25">
        <f t="shared" si="128"/>
        <v>379</v>
      </c>
      <c r="P2066" s="13">
        <f t="shared" si="129"/>
        <v>0</v>
      </c>
      <c r="Q2066" s="13" t="str">
        <f t="shared" si="130"/>
        <v/>
      </c>
      <c r="R2066" s="13" t="str">
        <f t="shared" si="131"/>
        <v>Non diskon</v>
      </c>
    </row>
    <row r="2067" spans="1:18" x14ac:dyDescent="0.25">
      <c r="A2067" s="13" t="s">
        <v>2079</v>
      </c>
      <c r="B2067" s="13" t="s">
        <v>2194</v>
      </c>
      <c r="C2067" s="13" t="s">
        <v>2196</v>
      </c>
      <c r="D2067" s="13" t="s">
        <v>2205</v>
      </c>
      <c r="E2067" s="13" t="s">
        <v>2208</v>
      </c>
      <c r="F2067" s="13" t="s">
        <v>2215</v>
      </c>
      <c r="G2067" s="13">
        <v>36.229999999999997</v>
      </c>
      <c r="H2067" s="44">
        <v>0</v>
      </c>
      <c r="I2067" s="13">
        <v>36.229999999999997</v>
      </c>
      <c r="J2067" s="24">
        <v>45875</v>
      </c>
      <c r="K2067" s="25">
        <v>49</v>
      </c>
      <c r="L2067" s="25">
        <v>2.9210526315789478</v>
      </c>
      <c r="M2067" s="13" t="b">
        <v>0</v>
      </c>
      <c r="O2067" s="25">
        <f t="shared" si="128"/>
        <v>27</v>
      </c>
      <c r="P2067" s="13">
        <f t="shared" si="129"/>
        <v>0</v>
      </c>
      <c r="Q2067" s="13" t="str">
        <f t="shared" si="130"/>
        <v/>
      </c>
      <c r="R2067" s="13" t="str">
        <f t="shared" si="131"/>
        <v>Non diskon</v>
      </c>
    </row>
    <row r="2068" spans="1:18" x14ac:dyDescent="0.25">
      <c r="A2068" s="13" t="s">
        <v>2080</v>
      </c>
      <c r="B2068" s="13" t="s">
        <v>2194</v>
      </c>
      <c r="C2068" s="13" t="s">
        <v>2200</v>
      </c>
      <c r="D2068" s="13" t="s">
        <v>2204</v>
      </c>
      <c r="E2068" s="13" t="s">
        <v>2210</v>
      </c>
      <c r="F2068" s="13" t="s">
        <v>2223</v>
      </c>
      <c r="G2068" s="13">
        <v>48.89</v>
      </c>
      <c r="H2068" s="44">
        <v>0</v>
      </c>
      <c r="I2068" s="13">
        <v>48.89</v>
      </c>
      <c r="J2068" s="24">
        <v>45636</v>
      </c>
      <c r="K2068" s="25">
        <v>9</v>
      </c>
      <c r="L2068" s="25">
        <v>3.1</v>
      </c>
      <c r="M2068" s="13" t="b">
        <v>0</v>
      </c>
      <c r="O2068" s="25">
        <f t="shared" si="128"/>
        <v>266</v>
      </c>
      <c r="P2068" s="13">
        <f t="shared" si="129"/>
        <v>0</v>
      </c>
      <c r="Q2068" s="13" t="str">
        <f t="shared" si="130"/>
        <v/>
      </c>
      <c r="R2068" s="13" t="str">
        <f t="shared" si="131"/>
        <v>Non diskon</v>
      </c>
    </row>
    <row r="2069" spans="1:18" x14ac:dyDescent="0.25">
      <c r="A2069" s="13" t="s">
        <v>2081</v>
      </c>
      <c r="B2069" s="13" t="s">
        <v>2191</v>
      </c>
      <c r="C2069" s="13" t="s">
        <v>2200</v>
      </c>
      <c r="D2069" s="13" t="s">
        <v>2205</v>
      </c>
      <c r="E2069" s="13" t="s">
        <v>2208</v>
      </c>
      <c r="F2069" s="13" t="s">
        <v>2215</v>
      </c>
      <c r="G2069" s="13">
        <v>94.15</v>
      </c>
      <c r="H2069" s="44">
        <v>31</v>
      </c>
      <c r="I2069" s="13">
        <v>64.959999999999994</v>
      </c>
      <c r="J2069" s="24">
        <v>45875</v>
      </c>
      <c r="K2069" s="25">
        <v>25</v>
      </c>
      <c r="L2069" s="25">
        <v>2.9657142857142857</v>
      </c>
      <c r="M2069" s="13" t="b">
        <v>0</v>
      </c>
      <c r="O2069" s="25">
        <f t="shared" si="128"/>
        <v>27</v>
      </c>
      <c r="P2069" s="13">
        <f t="shared" si="129"/>
        <v>775</v>
      </c>
      <c r="Q2069" s="13" t="str">
        <f t="shared" si="130"/>
        <v/>
      </c>
      <c r="R2069" s="13" t="str">
        <f t="shared" si="131"/>
        <v>Diskon</v>
      </c>
    </row>
    <row r="2070" spans="1:18" x14ac:dyDescent="0.25">
      <c r="A2070" s="13" t="s">
        <v>2082</v>
      </c>
      <c r="B2070" s="13" t="s">
        <v>2192</v>
      </c>
      <c r="C2070" s="13" t="s">
        <v>2203</v>
      </c>
      <c r="D2070" s="13" t="s">
        <v>2207</v>
      </c>
      <c r="F2070" s="13" t="s">
        <v>2224</v>
      </c>
      <c r="G2070" s="13">
        <v>27.7</v>
      </c>
      <c r="H2070" s="44">
        <v>0</v>
      </c>
      <c r="I2070" s="13">
        <v>27.7</v>
      </c>
      <c r="J2070" s="24">
        <v>45875</v>
      </c>
      <c r="K2070" s="25">
        <v>27</v>
      </c>
      <c r="L2070" s="25">
        <v>4.8</v>
      </c>
      <c r="M2070" s="13" t="b">
        <v>0</v>
      </c>
      <c r="O2070" s="25">
        <f t="shared" si="128"/>
        <v>27</v>
      </c>
      <c r="P2070" s="13">
        <f t="shared" si="129"/>
        <v>0</v>
      </c>
      <c r="Q2070" s="13" t="str">
        <f t="shared" si="130"/>
        <v/>
      </c>
      <c r="R2070" s="13" t="str">
        <f t="shared" si="131"/>
        <v>Non diskon</v>
      </c>
    </row>
    <row r="2071" spans="1:18" x14ac:dyDescent="0.25">
      <c r="A2071" s="13" t="s">
        <v>2083</v>
      </c>
      <c r="B2071" s="13" t="s">
        <v>2193</v>
      </c>
      <c r="C2071" s="13" t="s">
        <v>2200</v>
      </c>
      <c r="D2071" s="13" t="s">
        <v>2204</v>
      </c>
      <c r="E2071" s="13" t="s">
        <v>2211</v>
      </c>
      <c r="F2071" s="13" t="s">
        <v>2218</v>
      </c>
      <c r="G2071" s="13">
        <v>122.55</v>
      </c>
      <c r="H2071" s="44">
        <v>11.2</v>
      </c>
      <c r="I2071" s="13">
        <v>108.82</v>
      </c>
      <c r="J2071" s="24">
        <v>45567</v>
      </c>
      <c r="K2071" s="25">
        <v>23</v>
      </c>
      <c r="L2071" s="25">
        <v>3.3021276595744684</v>
      </c>
      <c r="M2071" s="13" t="b">
        <v>0</v>
      </c>
      <c r="O2071" s="25">
        <f t="shared" si="128"/>
        <v>335</v>
      </c>
      <c r="P2071" s="13">
        <f t="shared" si="129"/>
        <v>257.59999999999997</v>
      </c>
      <c r="Q2071" s="13" t="str">
        <f t="shared" si="130"/>
        <v/>
      </c>
      <c r="R2071" s="13" t="str">
        <f t="shared" si="131"/>
        <v>Diskon</v>
      </c>
    </row>
    <row r="2072" spans="1:18" x14ac:dyDescent="0.25">
      <c r="A2072" s="13" t="s">
        <v>2084</v>
      </c>
      <c r="B2072" s="13" t="s">
        <v>2195</v>
      </c>
      <c r="C2072" s="13" t="s">
        <v>2199</v>
      </c>
      <c r="D2072" s="13" t="s">
        <v>2204</v>
      </c>
      <c r="E2072" s="13" t="s">
        <v>2208</v>
      </c>
      <c r="F2072" s="13" t="s">
        <v>2215</v>
      </c>
      <c r="G2072" s="13">
        <v>173.77</v>
      </c>
      <c r="H2072" s="44">
        <v>17</v>
      </c>
      <c r="I2072" s="13">
        <v>144.22999999999999</v>
      </c>
      <c r="J2072" s="24">
        <v>45616</v>
      </c>
      <c r="K2072" s="25">
        <v>5</v>
      </c>
      <c r="L2072" s="25">
        <v>1.9</v>
      </c>
      <c r="M2072" s="13" t="b">
        <v>0</v>
      </c>
      <c r="O2072" s="25">
        <f t="shared" si="128"/>
        <v>286</v>
      </c>
      <c r="P2072" s="13">
        <f t="shared" si="129"/>
        <v>85</v>
      </c>
      <c r="Q2072" s="13" t="str">
        <f t="shared" si="130"/>
        <v/>
      </c>
      <c r="R2072" s="13" t="str">
        <f t="shared" si="131"/>
        <v>Diskon</v>
      </c>
    </row>
    <row r="2073" spans="1:18" x14ac:dyDescent="0.25">
      <c r="A2073" s="13" t="s">
        <v>2085</v>
      </c>
      <c r="B2073" s="13" t="s">
        <v>2192</v>
      </c>
      <c r="C2073" s="13" t="s">
        <v>2197</v>
      </c>
      <c r="D2073" s="13" t="s">
        <v>2207</v>
      </c>
      <c r="F2073" s="13" t="s">
        <v>2215</v>
      </c>
      <c r="G2073" s="13">
        <v>77.45</v>
      </c>
      <c r="H2073" s="44">
        <v>0</v>
      </c>
      <c r="I2073" s="13">
        <v>77.45</v>
      </c>
      <c r="J2073" s="24">
        <v>45875</v>
      </c>
      <c r="K2073" s="25">
        <v>0</v>
      </c>
      <c r="L2073" s="25">
        <v>3.1</v>
      </c>
      <c r="M2073" s="13" t="b">
        <v>0</v>
      </c>
      <c r="O2073" s="25">
        <f t="shared" si="128"/>
        <v>27</v>
      </c>
      <c r="P2073" s="13">
        <f t="shared" si="129"/>
        <v>0</v>
      </c>
      <c r="Q2073" s="13" t="str">
        <f t="shared" si="130"/>
        <v/>
      </c>
      <c r="R2073" s="13" t="str">
        <f t="shared" si="131"/>
        <v>Non diskon</v>
      </c>
    </row>
    <row r="2074" spans="1:18" x14ac:dyDescent="0.25">
      <c r="A2074" s="13" t="s">
        <v>2086</v>
      </c>
      <c r="B2074" s="13" t="s">
        <v>2194</v>
      </c>
      <c r="C2074" s="13" t="s">
        <v>2197</v>
      </c>
      <c r="D2074" s="13" t="s">
        <v>2205</v>
      </c>
      <c r="E2074" s="13" t="s">
        <v>2213</v>
      </c>
      <c r="F2074" s="13" t="s">
        <v>2216</v>
      </c>
      <c r="G2074" s="13">
        <v>34.159999999999997</v>
      </c>
      <c r="H2074" s="44">
        <v>0</v>
      </c>
      <c r="I2074" s="13">
        <v>34.159999999999997</v>
      </c>
      <c r="J2074" s="24">
        <v>45875</v>
      </c>
      <c r="K2074" s="25">
        <v>37</v>
      </c>
      <c r="L2074" s="25">
        <v>1.3</v>
      </c>
      <c r="M2074" s="13" t="b">
        <v>0</v>
      </c>
      <c r="O2074" s="25">
        <f t="shared" si="128"/>
        <v>27</v>
      </c>
      <c r="P2074" s="13">
        <f t="shared" si="129"/>
        <v>0</v>
      </c>
      <c r="Q2074" s="13" t="str">
        <f t="shared" si="130"/>
        <v/>
      </c>
      <c r="R2074" s="13" t="str">
        <f t="shared" si="131"/>
        <v>Non diskon</v>
      </c>
    </row>
    <row r="2075" spans="1:18" x14ac:dyDescent="0.25">
      <c r="A2075" s="13" t="s">
        <v>2087</v>
      </c>
      <c r="B2075" s="13" t="s">
        <v>2192</v>
      </c>
      <c r="C2075" s="13" t="s">
        <v>2203</v>
      </c>
      <c r="D2075" s="13" t="s">
        <v>2207</v>
      </c>
      <c r="F2075" s="13" t="s">
        <v>2217</v>
      </c>
      <c r="G2075" s="13">
        <v>71.3</v>
      </c>
      <c r="H2075" s="44">
        <v>0</v>
      </c>
      <c r="I2075" s="13">
        <v>71.3</v>
      </c>
      <c r="J2075" s="24">
        <v>45875</v>
      </c>
      <c r="K2075" s="25">
        <v>21</v>
      </c>
      <c r="L2075" s="25">
        <v>1.6</v>
      </c>
      <c r="M2075" s="13" t="b">
        <v>0</v>
      </c>
      <c r="O2075" s="25">
        <f t="shared" si="128"/>
        <v>27</v>
      </c>
      <c r="P2075" s="13">
        <f t="shared" si="129"/>
        <v>0</v>
      </c>
      <c r="Q2075" s="13" t="str">
        <f t="shared" si="130"/>
        <v/>
      </c>
      <c r="R2075" s="13" t="str">
        <f t="shared" si="131"/>
        <v>Non diskon</v>
      </c>
    </row>
    <row r="2076" spans="1:18" x14ac:dyDescent="0.25">
      <c r="A2076" s="13" t="s">
        <v>2088</v>
      </c>
      <c r="B2076" s="13" t="s">
        <v>2191</v>
      </c>
      <c r="C2076" s="13" t="s">
        <v>2200</v>
      </c>
      <c r="D2076" s="13" t="s">
        <v>2207</v>
      </c>
      <c r="E2076" s="13" t="s">
        <v>2213</v>
      </c>
      <c r="F2076" s="13" t="s">
        <v>2224</v>
      </c>
      <c r="G2076" s="13">
        <v>63.67</v>
      </c>
      <c r="H2076" s="44">
        <v>0</v>
      </c>
      <c r="I2076" s="13">
        <v>63.67</v>
      </c>
      <c r="J2076" s="24">
        <v>45875</v>
      </c>
      <c r="K2076" s="25">
        <v>18</v>
      </c>
      <c r="L2076" s="25">
        <v>1.6</v>
      </c>
      <c r="M2076" s="13" t="b">
        <v>0</v>
      </c>
      <c r="O2076" s="25">
        <f t="shared" si="128"/>
        <v>27</v>
      </c>
      <c r="P2076" s="13">
        <f t="shared" si="129"/>
        <v>0</v>
      </c>
      <c r="Q2076" s="13" t="str">
        <f t="shared" si="130"/>
        <v/>
      </c>
      <c r="R2076" s="13" t="str">
        <f t="shared" si="131"/>
        <v>Non diskon</v>
      </c>
    </row>
    <row r="2077" spans="1:18" x14ac:dyDescent="0.25">
      <c r="A2077" s="13" t="s">
        <v>2089</v>
      </c>
      <c r="B2077" s="13" t="s">
        <v>2190</v>
      </c>
      <c r="C2077" s="13" t="s">
        <v>2203</v>
      </c>
      <c r="D2077" s="13" t="s">
        <v>2206</v>
      </c>
      <c r="E2077" s="13" t="s">
        <v>2210</v>
      </c>
      <c r="F2077" s="13" t="s">
        <v>2218</v>
      </c>
      <c r="G2077" s="13">
        <v>249.98</v>
      </c>
      <c r="H2077" s="44">
        <v>0</v>
      </c>
      <c r="I2077" s="13">
        <v>249.98</v>
      </c>
      <c r="J2077" s="24">
        <v>45875</v>
      </c>
      <c r="K2077" s="25">
        <v>46</v>
      </c>
      <c r="L2077" s="25">
        <v>3.6</v>
      </c>
      <c r="M2077" s="13" t="b">
        <v>0</v>
      </c>
      <c r="O2077" s="25">
        <f t="shared" si="128"/>
        <v>27</v>
      </c>
      <c r="P2077" s="13">
        <f t="shared" si="129"/>
        <v>0</v>
      </c>
      <c r="Q2077" s="13" t="str">
        <f t="shared" si="130"/>
        <v/>
      </c>
      <c r="R2077" s="13" t="str">
        <f t="shared" si="131"/>
        <v>Non diskon</v>
      </c>
    </row>
    <row r="2078" spans="1:18" x14ac:dyDescent="0.25">
      <c r="A2078" s="13" t="s">
        <v>2090</v>
      </c>
      <c r="B2078" s="13" t="s">
        <v>2190</v>
      </c>
      <c r="C2078" s="13" t="s">
        <v>2201</v>
      </c>
      <c r="D2078" s="13" t="s">
        <v>2204</v>
      </c>
      <c r="E2078" s="13" t="s">
        <v>2208</v>
      </c>
      <c r="F2078" s="13" t="s">
        <v>2220</v>
      </c>
      <c r="G2078" s="13">
        <v>103.92</v>
      </c>
      <c r="H2078" s="44">
        <v>0</v>
      </c>
      <c r="I2078" s="13">
        <v>103.92</v>
      </c>
      <c r="J2078" s="24">
        <v>45589</v>
      </c>
      <c r="K2078" s="25">
        <v>5</v>
      </c>
      <c r="L2078" s="25">
        <v>3.0305555555555546</v>
      </c>
      <c r="M2078" s="13" t="b">
        <v>0</v>
      </c>
      <c r="O2078" s="25">
        <f t="shared" si="128"/>
        <v>313</v>
      </c>
      <c r="P2078" s="13">
        <f t="shared" si="129"/>
        <v>0</v>
      </c>
      <c r="Q2078" s="13" t="str">
        <f t="shared" si="130"/>
        <v/>
      </c>
      <c r="R2078" s="13" t="str">
        <f t="shared" si="131"/>
        <v>Non diskon</v>
      </c>
    </row>
    <row r="2079" spans="1:18" x14ac:dyDescent="0.25">
      <c r="A2079" s="13" t="s">
        <v>2091</v>
      </c>
      <c r="B2079" s="13" t="s">
        <v>2193</v>
      </c>
      <c r="C2079" s="13" t="s">
        <v>2197</v>
      </c>
      <c r="D2079" s="13" t="s">
        <v>2207</v>
      </c>
      <c r="E2079" s="13" t="s">
        <v>2208</v>
      </c>
      <c r="F2079" s="13" t="s">
        <v>2216</v>
      </c>
      <c r="G2079" s="13">
        <v>116.76</v>
      </c>
      <c r="H2079" s="44">
        <v>0</v>
      </c>
      <c r="I2079" s="13">
        <v>116.76</v>
      </c>
      <c r="J2079" s="24">
        <v>45875</v>
      </c>
      <c r="K2079" s="25">
        <v>13</v>
      </c>
      <c r="L2079" s="25">
        <v>2.8205128205128198</v>
      </c>
      <c r="M2079" s="13" t="b">
        <v>0</v>
      </c>
      <c r="O2079" s="25">
        <f t="shared" si="128"/>
        <v>27</v>
      </c>
      <c r="P2079" s="13">
        <f t="shared" si="129"/>
        <v>0</v>
      </c>
      <c r="Q2079" s="13" t="str">
        <f t="shared" si="130"/>
        <v/>
      </c>
      <c r="R2079" s="13" t="str">
        <f t="shared" si="131"/>
        <v>Non diskon</v>
      </c>
    </row>
    <row r="2080" spans="1:18" x14ac:dyDescent="0.25">
      <c r="A2080" s="13" t="s">
        <v>2092</v>
      </c>
      <c r="B2080" s="13" t="s">
        <v>2193</v>
      </c>
      <c r="C2080" s="13" t="s">
        <v>2202</v>
      </c>
      <c r="D2080" s="13" t="s">
        <v>2205</v>
      </c>
      <c r="E2080" s="13" t="s">
        <v>2211</v>
      </c>
      <c r="F2080" s="13" t="s">
        <v>2217</v>
      </c>
      <c r="G2080" s="13">
        <v>102.61</v>
      </c>
      <c r="H2080" s="44">
        <v>0</v>
      </c>
      <c r="I2080" s="13">
        <v>102.61</v>
      </c>
      <c r="J2080" s="24">
        <v>45875</v>
      </c>
      <c r="K2080" s="25">
        <v>47</v>
      </c>
      <c r="L2080" s="25">
        <v>3.5</v>
      </c>
      <c r="M2080" s="13" t="b">
        <v>0</v>
      </c>
      <c r="O2080" s="25">
        <f t="shared" si="128"/>
        <v>27</v>
      </c>
      <c r="P2080" s="13">
        <f t="shared" si="129"/>
        <v>0</v>
      </c>
      <c r="Q2080" s="13" t="str">
        <f t="shared" si="130"/>
        <v/>
      </c>
      <c r="R2080" s="13" t="str">
        <f t="shared" si="131"/>
        <v>Non diskon</v>
      </c>
    </row>
    <row r="2081" spans="1:18" x14ac:dyDescent="0.25">
      <c r="A2081" s="13" t="s">
        <v>2093</v>
      </c>
      <c r="B2081" s="13" t="s">
        <v>2192</v>
      </c>
      <c r="C2081" s="13" t="s">
        <v>2201</v>
      </c>
      <c r="D2081" s="13" t="s">
        <v>2204</v>
      </c>
      <c r="F2081" s="13" t="s">
        <v>2215</v>
      </c>
      <c r="G2081" s="13">
        <v>43.48</v>
      </c>
      <c r="H2081" s="44">
        <v>0</v>
      </c>
      <c r="I2081" s="13">
        <v>43.48</v>
      </c>
      <c r="J2081" s="24">
        <v>45527</v>
      </c>
      <c r="K2081" s="25">
        <v>11</v>
      </c>
      <c r="L2081" s="25">
        <v>4.7</v>
      </c>
      <c r="M2081" s="13" t="b">
        <v>0</v>
      </c>
      <c r="O2081" s="25">
        <f t="shared" si="128"/>
        <v>375</v>
      </c>
      <c r="P2081" s="13">
        <f t="shared" si="129"/>
        <v>0</v>
      </c>
      <c r="Q2081" s="13" t="str">
        <f t="shared" si="130"/>
        <v/>
      </c>
      <c r="R2081" s="13" t="str">
        <f t="shared" si="131"/>
        <v>Non diskon</v>
      </c>
    </row>
    <row r="2082" spans="1:18" x14ac:dyDescent="0.25">
      <c r="A2082" s="13" t="s">
        <v>2094</v>
      </c>
      <c r="B2082" s="13" t="s">
        <v>2192</v>
      </c>
      <c r="C2082" s="13" t="s">
        <v>2203</v>
      </c>
      <c r="D2082" s="13" t="s">
        <v>2205</v>
      </c>
      <c r="F2082" s="13" t="s">
        <v>2215</v>
      </c>
      <c r="G2082" s="13">
        <v>39.9</v>
      </c>
      <c r="H2082" s="44">
        <v>0</v>
      </c>
      <c r="I2082" s="13">
        <v>39.9</v>
      </c>
      <c r="J2082" s="24">
        <v>45875</v>
      </c>
      <c r="K2082" s="25">
        <v>6</v>
      </c>
      <c r="L2082" s="25">
        <v>2.4</v>
      </c>
      <c r="M2082" s="13" t="b">
        <v>1</v>
      </c>
      <c r="N2082" s="13" t="s">
        <v>2227</v>
      </c>
      <c r="O2082" s="25">
        <f t="shared" si="128"/>
        <v>27</v>
      </c>
      <c r="P2082" s="13">
        <f t="shared" si="129"/>
        <v>0</v>
      </c>
      <c r="Q2082" s="13">
        <f t="shared" si="130"/>
        <v>1</v>
      </c>
      <c r="R2082" s="13" t="str">
        <f t="shared" si="131"/>
        <v>Non diskon</v>
      </c>
    </row>
    <row r="2083" spans="1:18" x14ac:dyDescent="0.25">
      <c r="A2083" s="13" t="s">
        <v>2095</v>
      </c>
      <c r="B2083" s="13" t="s">
        <v>2194</v>
      </c>
      <c r="C2083" s="13" t="s">
        <v>2196</v>
      </c>
      <c r="D2083" s="13" t="s">
        <v>2204</v>
      </c>
      <c r="E2083" s="13" t="s">
        <v>2210</v>
      </c>
      <c r="F2083" s="13" t="s">
        <v>2215</v>
      </c>
      <c r="G2083" s="13">
        <v>86</v>
      </c>
      <c r="H2083" s="44">
        <v>36.700000000000003</v>
      </c>
      <c r="I2083" s="13">
        <v>54.44</v>
      </c>
      <c r="J2083" s="24">
        <v>45770</v>
      </c>
      <c r="K2083" s="25">
        <v>18</v>
      </c>
      <c r="L2083" s="25">
        <v>2.4</v>
      </c>
      <c r="M2083" s="13" t="b">
        <v>1</v>
      </c>
      <c r="N2083" s="13" t="s">
        <v>2226</v>
      </c>
      <c r="O2083" s="25">
        <f t="shared" si="128"/>
        <v>132</v>
      </c>
      <c r="P2083" s="13">
        <f t="shared" si="129"/>
        <v>660.6</v>
      </c>
      <c r="Q2083" s="13">
        <f t="shared" si="130"/>
        <v>1</v>
      </c>
      <c r="R2083" s="13" t="str">
        <f t="shared" si="131"/>
        <v>Diskon</v>
      </c>
    </row>
    <row r="2084" spans="1:18" x14ac:dyDescent="0.25">
      <c r="A2084" s="13" t="s">
        <v>2096</v>
      </c>
      <c r="B2084" s="13" t="s">
        <v>2193</v>
      </c>
      <c r="C2084" s="13" t="s">
        <v>2202</v>
      </c>
      <c r="D2084" s="13" t="s">
        <v>2207</v>
      </c>
      <c r="E2084" s="13" t="s">
        <v>2211</v>
      </c>
      <c r="F2084" s="13" t="s">
        <v>2219</v>
      </c>
      <c r="G2084" s="13">
        <v>154.47999999999999</v>
      </c>
      <c r="H2084" s="44">
        <v>58.5</v>
      </c>
      <c r="I2084" s="13">
        <v>64.11</v>
      </c>
      <c r="J2084" s="24">
        <v>45875</v>
      </c>
      <c r="K2084" s="25">
        <v>19</v>
      </c>
      <c r="L2084" s="25">
        <v>3.2</v>
      </c>
      <c r="M2084" s="13" t="b">
        <v>0</v>
      </c>
      <c r="O2084" s="25">
        <f t="shared" si="128"/>
        <v>27</v>
      </c>
      <c r="P2084" s="13">
        <f t="shared" si="129"/>
        <v>1111.5</v>
      </c>
      <c r="Q2084" s="13" t="str">
        <f t="shared" si="130"/>
        <v/>
      </c>
      <c r="R2084" s="13" t="str">
        <f t="shared" si="131"/>
        <v>Diskon</v>
      </c>
    </row>
    <row r="2085" spans="1:18" x14ac:dyDescent="0.25">
      <c r="A2085" s="13" t="s">
        <v>2097</v>
      </c>
      <c r="B2085" s="13" t="s">
        <v>2195</v>
      </c>
      <c r="C2085" s="13" t="s">
        <v>2202</v>
      </c>
      <c r="D2085" s="13" t="s">
        <v>2207</v>
      </c>
      <c r="E2085" s="13" t="s">
        <v>2210</v>
      </c>
      <c r="F2085" s="13" t="s">
        <v>2214</v>
      </c>
      <c r="G2085" s="13">
        <v>141.97</v>
      </c>
      <c r="H2085" s="44">
        <v>35.299999999999997</v>
      </c>
      <c r="I2085" s="13">
        <v>91.85</v>
      </c>
      <c r="J2085" s="24">
        <v>45875</v>
      </c>
      <c r="K2085" s="25">
        <v>12</v>
      </c>
      <c r="L2085" s="25">
        <v>2.6</v>
      </c>
      <c r="M2085" s="13" t="b">
        <v>0</v>
      </c>
      <c r="O2085" s="25">
        <f t="shared" si="128"/>
        <v>27</v>
      </c>
      <c r="P2085" s="13">
        <f t="shared" si="129"/>
        <v>423.59999999999997</v>
      </c>
      <c r="Q2085" s="13" t="str">
        <f t="shared" si="130"/>
        <v/>
      </c>
      <c r="R2085" s="13" t="str">
        <f t="shared" si="131"/>
        <v>Diskon</v>
      </c>
    </row>
    <row r="2086" spans="1:18" x14ac:dyDescent="0.25">
      <c r="A2086" s="13" t="s">
        <v>2098</v>
      </c>
      <c r="B2086" s="13" t="s">
        <v>2190</v>
      </c>
      <c r="C2086" s="13" t="s">
        <v>2202</v>
      </c>
      <c r="D2086" s="13" t="s">
        <v>2204</v>
      </c>
      <c r="E2086" s="13" t="s">
        <v>2212</v>
      </c>
      <c r="F2086" s="13" t="s">
        <v>2214</v>
      </c>
      <c r="G2086" s="13">
        <v>119.36</v>
      </c>
      <c r="H2086" s="44">
        <v>0</v>
      </c>
      <c r="I2086" s="13">
        <v>119.36</v>
      </c>
      <c r="J2086" s="24">
        <v>45840</v>
      </c>
      <c r="K2086" s="25">
        <v>30</v>
      </c>
      <c r="L2086" s="25">
        <v>2.7</v>
      </c>
      <c r="M2086" s="13" t="b">
        <v>1</v>
      </c>
      <c r="N2086" s="13" t="s">
        <v>2226</v>
      </c>
      <c r="O2086" s="25">
        <f t="shared" si="128"/>
        <v>62</v>
      </c>
      <c r="P2086" s="13">
        <f t="shared" si="129"/>
        <v>0</v>
      </c>
      <c r="Q2086" s="13">
        <f t="shared" si="130"/>
        <v>1</v>
      </c>
      <c r="R2086" s="13" t="str">
        <f t="shared" si="131"/>
        <v>Non diskon</v>
      </c>
    </row>
    <row r="2087" spans="1:18" x14ac:dyDescent="0.25">
      <c r="A2087" s="13" t="s">
        <v>2099</v>
      </c>
      <c r="B2087" s="13" t="s">
        <v>2192</v>
      </c>
      <c r="C2087" s="13" t="s">
        <v>2203</v>
      </c>
      <c r="D2087" s="13" t="s">
        <v>2207</v>
      </c>
      <c r="F2087" s="13" t="s">
        <v>2222</v>
      </c>
      <c r="G2087" s="13">
        <v>15.71</v>
      </c>
      <c r="H2087" s="44">
        <v>47.6</v>
      </c>
      <c r="I2087" s="13">
        <v>8.23</v>
      </c>
      <c r="J2087" s="24">
        <v>45875</v>
      </c>
      <c r="K2087" s="25">
        <v>42</v>
      </c>
      <c r="L2087" s="25">
        <v>2</v>
      </c>
      <c r="M2087" s="13" t="b">
        <v>0</v>
      </c>
      <c r="O2087" s="25">
        <f t="shared" si="128"/>
        <v>27</v>
      </c>
      <c r="P2087" s="13">
        <f t="shared" si="129"/>
        <v>1999.2</v>
      </c>
      <c r="Q2087" s="13" t="str">
        <f t="shared" si="130"/>
        <v/>
      </c>
      <c r="R2087" s="13" t="str">
        <f t="shared" si="131"/>
        <v>Diskon</v>
      </c>
    </row>
    <row r="2088" spans="1:18" x14ac:dyDescent="0.25">
      <c r="A2088" s="13" t="s">
        <v>2100</v>
      </c>
      <c r="B2088" s="13" t="s">
        <v>2193</v>
      </c>
      <c r="C2088" s="13" t="s">
        <v>2199</v>
      </c>
      <c r="D2088" s="13" t="s">
        <v>2205</v>
      </c>
      <c r="E2088" s="13" t="s">
        <v>2213</v>
      </c>
      <c r="F2088" s="13" t="s">
        <v>2216</v>
      </c>
      <c r="G2088" s="13">
        <v>89.12</v>
      </c>
      <c r="H2088" s="44">
        <v>0</v>
      </c>
      <c r="I2088" s="13">
        <v>89.12</v>
      </c>
      <c r="J2088" s="24">
        <v>45875</v>
      </c>
      <c r="K2088" s="25">
        <v>27</v>
      </c>
      <c r="L2088" s="25">
        <v>2.9804347826086954</v>
      </c>
      <c r="M2088" s="13" t="b">
        <v>1</v>
      </c>
      <c r="N2088" s="13" t="s">
        <v>2227</v>
      </c>
      <c r="O2088" s="25">
        <f t="shared" si="128"/>
        <v>27</v>
      </c>
      <c r="P2088" s="13">
        <f t="shared" si="129"/>
        <v>0</v>
      </c>
      <c r="Q2088" s="13">
        <f t="shared" si="130"/>
        <v>1</v>
      </c>
      <c r="R2088" s="13" t="str">
        <f t="shared" si="131"/>
        <v>Non diskon</v>
      </c>
    </row>
    <row r="2089" spans="1:18" x14ac:dyDescent="0.25">
      <c r="A2089" s="13" t="s">
        <v>2101</v>
      </c>
      <c r="B2089" s="13" t="s">
        <v>2194</v>
      </c>
      <c r="C2089" s="13" t="s">
        <v>2200</v>
      </c>
      <c r="D2089" s="13" t="s">
        <v>2206</v>
      </c>
      <c r="E2089" s="13" t="s">
        <v>2210</v>
      </c>
      <c r="F2089" s="13" t="s">
        <v>2219</v>
      </c>
      <c r="G2089" s="13">
        <v>30.43</v>
      </c>
      <c r="H2089" s="44">
        <v>0</v>
      </c>
      <c r="I2089" s="13">
        <v>30.43</v>
      </c>
      <c r="J2089" s="24">
        <v>45875</v>
      </c>
      <c r="K2089" s="25">
        <v>32</v>
      </c>
      <c r="L2089" s="25">
        <v>3.1</v>
      </c>
      <c r="M2089" s="13" t="b">
        <v>0</v>
      </c>
      <c r="O2089" s="25">
        <f t="shared" si="128"/>
        <v>27</v>
      </c>
      <c r="P2089" s="13">
        <f t="shared" si="129"/>
        <v>0</v>
      </c>
      <c r="Q2089" s="13" t="str">
        <f t="shared" si="130"/>
        <v/>
      </c>
      <c r="R2089" s="13" t="str">
        <f t="shared" si="131"/>
        <v>Non diskon</v>
      </c>
    </row>
    <row r="2090" spans="1:18" x14ac:dyDescent="0.25">
      <c r="A2090" s="13" t="s">
        <v>2102</v>
      </c>
      <c r="B2090" s="13" t="s">
        <v>2195</v>
      </c>
      <c r="C2090" s="13" t="s">
        <v>2203</v>
      </c>
      <c r="D2090" s="13" t="s">
        <v>2205</v>
      </c>
      <c r="E2090" s="13" t="s">
        <v>2212</v>
      </c>
      <c r="F2090" s="13" t="s">
        <v>2215</v>
      </c>
      <c r="G2090" s="13">
        <v>115.4</v>
      </c>
      <c r="H2090" s="44">
        <v>0</v>
      </c>
      <c r="I2090" s="13">
        <v>115.4</v>
      </c>
      <c r="J2090" s="24">
        <v>45875</v>
      </c>
      <c r="K2090" s="25">
        <v>7</v>
      </c>
      <c r="L2090" s="25">
        <v>4.5</v>
      </c>
      <c r="M2090" s="13" t="b">
        <v>0</v>
      </c>
      <c r="O2090" s="25">
        <f t="shared" si="128"/>
        <v>27</v>
      </c>
      <c r="P2090" s="13">
        <f t="shared" si="129"/>
        <v>0</v>
      </c>
      <c r="Q2090" s="13" t="str">
        <f t="shared" si="130"/>
        <v/>
      </c>
      <c r="R2090" s="13" t="str">
        <f t="shared" si="131"/>
        <v>Non diskon</v>
      </c>
    </row>
    <row r="2091" spans="1:18" x14ac:dyDescent="0.25">
      <c r="A2091" s="13" t="s">
        <v>2103</v>
      </c>
      <c r="B2091" s="13" t="s">
        <v>2190</v>
      </c>
      <c r="C2091" s="13" t="s">
        <v>2202</v>
      </c>
      <c r="D2091" s="13" t="s">
        <v>2205</v>
      </c>
      <c r="E2091" s="13" t="s">
        <v>2210</v>
      </c>
      <c r="F2091" s="13" t="s">
        <v>2214</v>
      </c>
      <c r="G2091" s="13">
        <v>155.19999999999999</v>
      </c>
      <c r="H2091" s="44">
        <v>0</v>
      </c>
      <c r="I2091" s="13">
        <v>155.19999999999999</v>
      </c>
      <c r="J2091" s="24">
        <v>45875</v>
      </c>
      <c r="K2091" s="25">
        <v>5</v>
      </c>
      <c r="L2091" s="25">
        <v>4.8</v>
      </c>
      <c r="M2091" s="13" t="b">
        <v>0</v>
      </c>
      <c r="O2091" s="25">
        <f t="shared" si="128"/>
        <v>27</v>
      </c>
      <c r="P2091" s="13">
        <f t="shared" si="129"/>
        <v>0</v>
      </c>
      <c r="Q2091" s="13" t="str">
        <f t="shared" si="130"/>
        <v/>
      </c>
      <c r="R2091" s="13" t="str">
        <f t="shared" si="131"/>
        <v>Non diskon</v>
      </c>
    </row>
    <row r="2092" spans="1:18" x14ac:dyDescent="0.25">
      <c r="A2092" s="13" t="s">
        <v>2104</v>
      </c>
      <c r="B2092" s="13" t="s">
        <v>2194</v>
      </c>
      <c r="C2092" s="13" t="s">
        <v>2203</v>
      </c>
      <c r="D2092" s="13" t="s">
        <v>2206</v>
      </c>
      <c r="E2092" s="13" t="s">
        <v>2209</v>
      </c>
      <c r="F2092" s="13" t="s">
        <v>2218</v>
      </c>
      <c r="G2092" s="13">
        <v>104.83</v>
      </c>
      <c r="H2092" s="44">
        <v>0</v>
      </c>
      <c r="I2092" s="13">
        <v>104.83</v>
      </c>
      <c r="J2092" s="24">
        <v>45875</v>
      </c>
      <c r="K2092" s="25">
        <v>26</v>
      </c>
      <c r="L2092" s="25">
        <v>4</v>
      </c>
      <c r="M2092" s="13" t="b">
        <v>0</v>
      </c>
      <c r="O2092" s="25">
        <f t="shared" si="128"/>
        <v>27</v>
      </c>
      <c r="P2092" s="13">
        <f t="shared" si="129"/>
        <v>0</v>
      </c>
      <c r="Q2092" s="13" t="str">
        <f t="shared" si="130"/>
        <v/>
      </c>
      <c r="R2092" s="13" t="str">
        <f t="shared" si="131"/>
        <v>Non diskon</v>
      </c>
    </row>
    <row r="2093" spans="1:18" x14ac:dyDescent="0.25">
      <c r="A2093" s="13" t="s">
        <v>2105</v>
      </c>
      <c r="B2093" s="13" t="s">
        <v>2192</v>
      </c>
      <c r="C2093" s="13" t="s">
        <v>2202</v>
      </c>
      <c r="D2093" s="13" t="s">
        <v>2207</v>
      </c>
      <c r="F2093" s="13" t="s">
        <v>2218</v>
      </c>
      <c r="G2093" s="13">
        <v>41.62</v>
      </c>
      <c r="H2093" s="44">
        <v>0</v>
      </c>
      <c r="I2093" s="13">
        <v>41.62</v>
      </c>
      <c r="J2093" s="24">
        <v>45875</v>
      </c>
      <c r="K2093" s="25">
        <v>33</v>
      </c>
      <c r="L2093" s="25">
        <v>3.2720930232558145</v>
      </c>
      <c r="M2093" s="13" t="b">
        <v>0</v>
      </c>
      <c r="O2093" s="25">
        <f t="shared" si="128"/>
        <v>27</v>
      </c>
      <c r="P2093" s="13">
        <f t="shared" si="129"/>
        <v>0</v>
      </c>
      <c r="Q2093" s="13" t="str">
        <f t="shared" si="130"/>
        <v/>
      </c>
      <c r="R2093" s="13" t="str">
        <f t="shared" si="131"/>
        <v>Non diskon</v>
      </c>
    </row>
    <row r="2094" spans="1:18" x14ac:dyDescent="0.25">
      <c r="A2094" s="13" t="s">
        <v>2106</v>
      </c>
      <c r="B2094" s="13" t="s">
        <v>2194</v>
      </c>
      <c r="C2094" s="13" t="s">
        <v>2201</v>
      </c>
      <c r="D2094" s="13" t="s">
        <v>2204</v>
      </c>
      <c r="E2094" s="13" t="s">
        <v>2213</v>
      </c>
      <c r="F2094" s="13" t="s">
        <v>2221</v>
      </c>
      <c r="G2094" s="13">
        <v>94.92</v>
      </c>
      <c r="H2094" s="44">
        <v>0</v>
      </c>
      <c r="I2094" s="13">
        <v>94.92</v>
      </c>
      <c r="J2094" s="24">
        <v>45564</v>
      </c>
      <c r="K2094" s="25">
        <v>20</v>
      </c>
      <c r="L2094" s="25">
        <v>2.2999999999999998</v>
      </c>
      <c r="M2094" s="13" t="b">
        <v>0</v>
      </c>
      <c r="O2094" s="25">
        <f t="shared" si="128"/>
        <v>338</v>
      </c>
      <c r="P2094" s="13">
        <f t="shared" si="129"/>
        <v>0</v>
      </c>
      <c r="Q2094" s="13" t="str">
        <f t="shared" si="130"/>
        <v/>
      </c>
      <c r="R2094" s="13" t="str">
        <f t="shared" si="131"/>
        <v>Non diskon</v>
      </c>
    </row>
    <row r="2095" spans="1:18" x14ac:dyDescent="0.25">
      <c r="A2095" s="13" t="s">
        <v>2107</v>
      </c>
      <c r="B2095" s="13" t="s">
        <v>2194</v>
      </c>
      <c r="C2095" s="13" t="s">
        <v>2199</v>
      </c>
      <c r="D2095" s="13" t="s">
        <v>2206</v>
      </c>
      <c r="E2095" s="13" t="s">
        <v>2211</v>
      </c>
      <c r="F2095" s="13" t="s">
        <v>2214</v>
      </c>
      <c r="G2095" s="13">
        <v>107.92</v>
      </c>
      <c r="H2095" s="44">
        <v>22.2</v>
      </c>
      <c r="I2095" s="13">
        <v>83.96</v>
      </c>
      <c r="J2095" s="24">
        <v>45875</v>
      </c>
      <c r="K2095" s="25">
        <v>35</v>
      </c>
      <c r="L2095" s="25">
        <v>3.7</v>
      </c>
      <c r="M2095" s="13" t="b">
        <v>0</v>
      </c>
      <c r="O2095" s="25">
        <f t="shared" si="128"/>
        <v>27</v>
      </c>
      <c r="P2095" s="13">
        <f t="shared" si="129"/>
        <v>777</v>
      </c>
      <c r="Q2095" s="13" t="str">
        <f t="shared" si="130"/>
        <v/>
      </c>
      <c r="R2095" s="13" t="str">
        <f t="shared" si="131"/>
        <v>Diskon</v>
      </c>
    </row>
    <row r="2096" spans="1:18" x14ac:dyDescent="0.25">
      <c r="A2096" s="13" t="s">
        <v>2108</v>
      </c>
      <c r="B2096" s="13" t="s">
        <v>2192</v>
      </c>
      <c r="C2096" s="13" t="s">
        <v>2203</v>
      </c>
      <c r="D2096" s="13" t="s">
        <v>2207</v>
      </c>
      <c r="F2096" s="13" t="s">
        <v>2220</v>
      </c>
      <c r="G2096" s="13">
        <v>45.52</v>
      </c>
      <c r="H2096" s="44">
        <v>0</v>
      </c>
      <c r="I2096" s="13">
        <v>45.52</v>
      </c>
      <c r="J2096" s="24">
        <v>45875</v>
      </c>
      <c r="K2096" s="25">
        <v>41</v>
      </c>
      <c r="L2096" s="25">
        <v>1.6</v>
      </c>
      <c r="M2096" s="13" t="b">
        <v>0</v>
      </c>
      <c r="O2096" s="25">
        <f t="shared" si="128"/>
        <v>27</v>
      </c>
      <c r="P2096" s="13">
        <f t="shared" si="129"/>
        <v>0</v>
      </c>
      <c r="Q2096" s="13" t="str">
        <f t="shared" si="130"/>
        <v/>
      </c>
      <c r="R2096" s="13" t="str">
        <f t="shared" si="131"/>
        <v>Non diskon</v>
      </c>
    </row>
    <row r="2097" spans="1:18" x14ac:dyDescent="0.25">
      <c r="A2097" s="13" t="s">
        <v>2109</v>
      </c>
      <c r="B2097" s="13" t="s">
        <v>2194</v>
      </c>
      <c r="C2097" s="13" t="s">
        <v>2202</v>
      </c>
      <c r="D2097" s="13" t="s">
        <v>2205</v>
      </c>
      <c r="E2097" s="13" t="s">
        <v>2213</v>
      </c>
      <c r="F2097" s="13" t="s">
        <v>2220</v>
      </c>
      <c r="G2097" s="13">
        <v>112.1</v>
      </c>
      <c r="H2097" s="44">
        <v>30.7</v>
      </c>
      <c r="I2097" s="13">
        <v>77.69</v>
      </c>
      <c r="J2097" s="24">
        <v>45875</v>
      </c>
      <c r="K2097" s="25">
        <v>10</v>
      </c>
      <c r="L2097" s="25">
        <v>1</v>
      </c>
      <c r="M2097" s="13" t="b">
        <v>0</v>
      </c>
      <c r="O2097" s="25">
        <f t="shared" si="128"/>
        <v>27</v>
      </c>
      <c r="P2097" s="13">
        <f t="shared" si="129"/>
        <v>307</v>
      </c>
      <c r="Q2097" s="13" t="str">
        <f t="shared" si="130"/>
        <v/>
      </c>
      <c r="R2097" s="13" t="str">
        <f t="shared" si="131"/>
        <v>Diskon</v>
      </c>
    </row>
    <row r="2098" spans="1:18" x14ac:dyDescent="0.25">
      <c r="A2098" s="13" t="s">
        <v>2110</v>
      </c>
      <c r="B2098" s="13" t="s">
        <v>2193</v>
      </c>
      <c r="C2098" s="13" t="s">
        <v>2197</v>
      </c>
      <c r="D2098" s="13" t="s">
        <v>2204</v>
      </c>
      <c r="E2098" s="13" t="s">
        <v>2209</v>
      </c>
      <c r="F2098" s="13" t="s">
        <v>2223</v>
      </c>
      <c r="G2098" s="13">
        <v>103.9</v>
      </c>
      <c r="H2098" s="44">
        <v>0</v>
      </c>
      <c r="I2098" s="13">
        <v>103.9</v>
      </c>
      <c r="J2098" s="24">
        <v>45861</v>
      </c>
      <c r="K2098" s="25">
        <v>27</v>
      </c>
      <c r="L2098" s="25">
        <v>2.1</v>
      </c>
      <c r="M2098" s="13" t="b">
        <v>0</v>
      </c>
      <c r="O2098" s="25">
        <f t="shared" si="128"/>
        <v>41</v>
      </c>
      <c r="P2098" s="13">
        <f t="shared" si="129"/>
        <v>0</v>
      </c>
      <c r="Q2098" s="13" t="str">
        <f t="shared" si="130"/>
        <v/>
      </c>
      <c r="R2098" s="13" t="str">
        <f t="shared" si="131"/>
        <v>Non diskon</v>
      </c>
    </row>
    <row r="2099" spans="1:18" x14ac:dyDescent="0.25">
      <c r="A2099" s="13" t="s">
        <v>2111</v>
      </c>
      <c r="B2099" s="13" t="s">
        <v>2190</v>
      </c>
      <c r="C2099" s="13" t="s">
        <v>2198</v>
      </c>
      <c r="D2099" s="13" t="s">
        <v>2205</v>
      </c>
      <c r="E2099" s="13" t="s">
        <v>2209</v>
      </c>
      <c r="F2099" s="13" t="s">
        <v>2215</v>
      </c>
      <c r="G2099" s="13">
        <v>168.02</v>
      </c>
      <c r="H2099" s="44">
        <v>0</v>
      </c>
      <c r="I2099" s="13">
        <v>168.02</v>
      </c>
      <c r="J2099" s="24">
        <v>45875</v>
      </c>
      <c r="K2099" s="25">
        <v>30</v>
      </c>
      <c r="L2099" s="25">
        <v>1.6</v>
      </c>
      <c r="M2099" s="13" t="b">
        <v>1</v>
      </c>
      <c r="N2099" s="13" t="s">
        <v>2226</v>
      </c>
      <c r="O2099" s="25">
        <f t="shared" si="128"/>
        <v>27</v>
      </c>
      <c r="P2099" s="13">
        <f t="shared" si="129"/>
        <v>0</v>
      </c>
      <c r="Q2099" s="13">
        <f t="shared" si="130"/>
        <v>1</v>
      </c>
      <c r="R2099" s="13" t="str">
        <f t="shared" si="131"/>
        <v>Non diskon</v>
      </c>
    </row>
    <row r="2100" spans="1:18" x14ac:dyDescent="0.25">
      <c r="A2100" s="13" t="s">
        <v>2112</v>
      </c>
      <c r="B2100" s="13" t="s">
        <v>2193</v>
      </c>
      <c r="C2100" s="13" t="s">
        <v>2199</v>
      </c>
      <c r="D2100" s="13" t="s">
        <v>2206</v>
      </c>
      <c r="E2100" s="13" t="s">
        <v>2213</v>
      </c>
      <c r="F2100" s="13" t="s">
        <v>2224</v>
      </c>
      <c r="G2100" s="13">
        <v>80.41</v>
      </c>
      <c r="H2100" s="44">
        <v>0</v>
      </c>
      <c r="I2100" s="13">
        <v>80.41</v>
      </c>
      <c r="J2100" s="24">
        <v>45875</v>
      </c>
      <c r="K2100" s="25">
        <v>46</v>
      </c>
      <c r="L2100" s="25">
        <v>2.8</v>
      </c>
      <c r="M2100" s="13" t="b">
        <v>0</v>
      </c>
      <c r="O2100" s="25">
        <f t="shared" si="128"/>
        <v>27</v>
      </c>
      <c r="P2100" s="13">
        <f t="shared" si="129"/>
        <v>0</v>
      </c>
      <c r="Q2100" s="13" t="str">
        <f t="shared" si="130"/>
        <v/>
      </c>
      <c r="R2100" s="13" t="str">
        <f t="shared" si="131"/>
        <v>Non diskon</v>
      </c>
    </row>
    <row r="2101" spans="1:18" x14ac:dyDescent="0.25">
      <c r="A2101" s="13" t="s">
        <v>2113</v>
      </c>
      <c r="B2101" s="13" t="s">
        <v>2194</v>
      </c>
      <c r="C2101" s="13" t="s">
        <v>2203</v>
      </c>
      <c r="D2101" s="13" t="s">
        <v>2204</v>
      </c>
      <c r="E2101" s="13" t="s">
        <v>2208</v>
      </c>
      <c r="F2101" s="13" t="s">
        <v>2220</v>
      </c>
      <c r="G2101" s="13">
        <v>102.76</v>
      </c>
      <c r="H2101" s="44">
        <v>0</v>
      </c>
      <c r="I2101" s="13">
        <v>102.76</v>
      </c>
      <c r="J2101" s="24">
        <v>45612</v>
      </c>
      <c r="K2101" s="25">
        <v>35</v>
      </c>
      <c r="L2101" s="25">
        <v>2.2000000000000002</v>
      </c>
      <c r="M2101" s="13" t="b">
        <v>0</v>
      </c>
      <c r="O2101" s="25">
        <f t="shared" si="128"/>
        <v>290</v>
      </c>
      <c r="P2101" s="13">
        <f t="shared" si="129"/>
        <v>0</v>
      </c>
      <c r="Q2101" s="13" t="str">
        <f t="shared" si="130"/>
        <v/>
      </c>
      <c r="R2101" s="13" t="str">
        <f t="shared" si="131"/>
        <v>Non diskon</v>
      </c>
    </row>
    <row r="2102" spans="1:18" x14ac:dyDescent="0.25">
      <c r="A2102" s="13" t="s">
        <v>2114</v>
      </c>
      <c r="B2102" s="13" t="s">
        <v>2191</v>
      </c>
      <c r="C2102" s="13" t="s">
        <v>2203</v>
      </c>
      <c r="D2102" s="13" t="s">
        <v>2206</v>
      </c>
      <c r="E2102" s="13" t="s">
        <v>2211</v>
      </c>
      <c r="F2102" s="13" t="s">
        <v>2216</v>
      </c>
      <c r="G2102" s="13">
        <v>81.2</v>
      </c>
      <c r="H2102" s="44">
        <v>0</v>
      </c>
      <c r="I2102" s="13">
        <v>81.2</v>
      </c>
      <c r="J2102" s="24">
        <v>45875</v>
      </c>
      <c r="K2102" s="25">
        <v>27</v>
      </c>
      <c r="L2102" s="25">
        <v>1.7</v>
      </c>
      <c r="M2102" s="13" t="b">
        <v>0</v>
      </c>
      <c r="O2102" s="25">
        <f t="shared" si="128"/>
        <v>27</v>
      </c>
      <c r="P2102" s="13">
        <f t="shared" si="129"/>
        <v>0</v>
      </c>
      <c r="Q2102" s="13" t="str">
        <f t="shared" si="130"/>
        <v/>
      </c>
      <c r="R2102" s="13" t="str">
        <f t="shared" si="131"/>
        <v>Non diskon</v>
      </c>
    </row>
    <row r="2103" spans="1:18" x14ac:dyDescent="0.25">
      <c r="A2103" s="13" t="s">
        <v>2115</v>
      </c>
      <c r="B2103" s="13" t="s">
        <v>2192</v>
      </c>
      <c r="C2103" s="13" t="s">
        <v>2197</v>
      </c>
      <c r="D2103" s="13" t="s">
        <v>2206</v>
      </c>
      <c r="F2103" s="13" t="s">
        <v>2218</v>
      </c>
      <c r="G2103" s="13">
        <v>68.95</v>
      </c>
      <c r="H2103" s="44">
        <v>0</v>
      </c>
      <c r="I2103" s="13">
        <v>68.95</v>
      </c>
      <c r="J2103" s="24">
        <v>45875</v>
      </c>
      <c r="K2103" s="25">
        <v>47</v>
      </c>
      <c r="L2103" s="25">
        <v>3.6</v>
      </c>
      <c r="M2103" s="13" t="b">
        <v>0</v>
      </c>
      <c r="O2103" s="25">
        <f t="shared" si="128"/>
        <v>27</v>
      </c>
      <c r="P2103" s="13">
        <f t="shared" si="129"/>
        <v>0</v>
      </c>
      <c r="Q2103" s="13" t="str">
        <f t="shared" si="130"/>
        <v/>
      </c>
      <c r="R2103" s="13" t="str">
        <f t="shared" si="131"/>
        <v>Non diskon</v>
      </c>
    </row>
    <row r="2104" spans="1:18" x14ac:dyDescent="0.25">
      <c r="A2104" s="13" t="s">
        <v>2116</v>
      </c>
      <c r="B2104" s="13" t="s">
        <v>2194</v>
      </c>
      <c r="C2104" s="13" t="s">
        <v>2196</v>
      </c>
      <c r="D2104" s="13" t="s">
        <v>2207</v>
      </c>
      <c r="E2104" s="13" t="s">
        <v>2212</v>
      </c>
      <c r="F2104" s="13" t="s">
        <v>2223</v>
      </c>
      <c r="G2104" s="13">
        <v>43.04</v>
      </c>
      <c r="H2104" s="44">
        <v>0</v>
      </c>
      <c r="I2104" s="13">
        <v>43.04</v>
      </c>
      <c r="J2104" s="24">
        <v>45875</v>
      </c>
      <c r="K2104" s="25">
        <v>26</v>
      </c>
      <c r="L2104" s="25">
        <v>4.8</v>
      </c>
      <c r="M2104" s="13" t="b">
        <v>1</v>
      </c>
      <c r="N2104" s="13" t="s">
        <v>2230</v>
      </c>
      <c r="O2104" s="25">
        <f t="shared" si="128"/>
        <v>27</v>
      </c>
      <c r="P2104" s="13">
        <f t="shared" si="129"/>
        <v>0</v>
      </c>
      <c r="Q2104" s="13">
        <f t="shared" si="130"/>
        <v>1</v>
      </c>
      <c r="R2104" s="13" t="str">
        <f t="shared" si="131"/>
        <v>Non diskon</v>
      </c>
    </row>
    <row r="2105" spans="1:18" x14ac:dyDescent="0.25">
      <c r="A2105" s="13" t="s">
        <v>2117</v>
      </c>
      <c r="B2105" s="13" t="s">
        <v>2191</v>
      </c>
      <c r="C2105" s="13" t="s">
        <v>2196</v>
      </c>
      <c r="D2105" s="13" t="s">
        <v>2204</v>
      </c>
      <c r="E2105" s="13" t="s">
        <v>2212</v>
      </c>
      <c r="F2105" s="13" t="s">
        <v>2221</v>
      </c>
      <c r="G2105" s="13">
        <v>81.819999999999993</v>
      </c>
      <c r="H2105" s="44">
        <v>0</v>
      </c>
      <c r="I2105" s="13">
        <v>81.819999999999993</v>
      </c>
      <c r="J2105" s="24">
        <v>45786</v>
      </c>
      <c r="K2105" s="25">
        <v>1</v>
      </c>
      <c r="L2105" s="25">
        <v>3.5</v>
      </c>
      <c r="M2105" s="13" t="b">
        <v>0</v>
      </c>
      <c r="O2105" s="25">
        <f t="shared" si="128"/>
        <v>116</v>
      </c>
      <c r="P2105" s="13">
        <f t="shared" si="129"/>
        <v>0</v>
      </c>
      <c r="Q2105" s="13" t="str">
        <f t="shared" si="130"/>
        <v/>
      </c>
      <c r="R2105" s="13" t="str">
        <f t="shared" si="131"/>
        <v>Non diskon</v>
      </c>
    </row>
    <row r="2106" spans="1:18" x14ac:dyDescent="0.25">
      <c r="A2106" s="13" t="s">
        <v>2118</v>
      </c>
      <c r="B2106" s="13" t="s">
        <v>2192</v>
      </c>
      <c r="C2106" s="13" t="s">
        <v>2199</v>
      </c>
      <c r="D2106" s="13" t="s">
        <v>2207</v>
      </c>
      <c r="F2106" s="13" t="s">
        <v>2219</v>
      </c>
      <c r="G2106" s="13">
        <v>53.7</v>
      </c>
      <c r="H2106" s="44">
        <v>0</v>
      </c>
      <c r="I2106" s="13">
        <v>53.7</v>
      </c>
      <c r="J2106" s="24">
        <v>45875</v>
      </c>
      <c r="K2106" s="25">
        <v>16</v>
      </c>
      <c r="L2106" s="25">
        <v>1.4</v>
      </c>
      <c r="M2106" s="13" t="b">
        <v>1</v>
      </c>
      <c r="N2106" s="13" t="s">
        <v>2227</v>
      </c>
      <c r="O2106" s="25">
        <f t="shared" si="128"/>
        <v>27</v>
      </c>
      <c r="P2106" s="13">
        <f t="shared" si="129"/>
        <v>0</v>
      </c>
      <c r="Q2106" s="13">
        <f t="shared" si="130"/>
        <v>1</v>
      </c>
      <c r="R2106" s="13" t="str">
        <f t="shared" si="131"/>
        <v>Non diskon</v>
      </c>
    </row>
    <row r="2107" spans="1:18" x14ac:dyDescent="0.25">
      <c r="A2107" s="13" t="s">
        <v>2119</v>
      </c>
      <c r="B2107" s="13" t="s">
        <v>2191</v>
      </c>
      <c r="C2107" s="13" t="s">
        <v>2199</v>
      </c>
      <c r="D2107" s="13" t="s">
        <v>2207</v>
      </c>
      <c r="E2107" s="13" t="s">
        <v>2209</v>
      </c>
      <c r="F2107" s="13" t="s">
        <v>2214</v>
      </c>
      <c r="G2107" s="13">
        <v>100.11</v>
      </c>
      <c r="H2107" s="44">
        <v>0</v>
      </c>
      <c r="I2107" s="13">
        <v>100.11</v>
      </c>
      <c r="J2107" s="24">
        <v>45875</v>
      </c>
      <c r="K2107" s="25">
        <v>41</v>
      </c>
      <c r="L2107" s="25">
        <v>4.7</v>
      </c>
      <c r="M2107" s="13" t="b">
        <v>0</v>
      </c>
      <c r="O2107" s="25">
        <f t="shared" si="128"/>
        <v>27</v>
      </c>
      <c r="P2107" s="13">
        <f t="shared" si="129"/>
        <v>0</v>
      </c>
      <c r="Q2107" s="13" t="str">
        <f t="shared" si="130"/>
        <v/>
      </c>
      <c r="R2107" s="13" t="str">
        <f t="shared" si="131"/>
        <v>Non diskon</v>
      </c>
    </row>
    <row r="2108" spans="1:18" x14ac:dyDescent="0.25">
      <c r="A2108" s="13" t="s">
        <v>2120</v>
      </c>
      <c r="B2108" s="13" t="s">
        <v>2192</v>
      </c>
      <c r="C2108" s="13" t="s">
        <v>2201</v>
      </c>
      <c r="D2108" s="13" t="s">
        <v>2205</v>
      </c>
      <c r="F2108" s="13" t="s">
        <v>2218</v>
      </c>
      <c r="G2108" s="13">
        <v>24.08</v>
      </c>
      <c r="H2108" s="44">
        <v>38.5</v>
      </c>
      <c r="I2108" s="13">
        <v>14.81</v>
      </c>
      <c r="J2108" s="24">
        <v>45875</v>
      </c>
      <c r="K2108" s="25">
        <v>43</v>
      </c>
      <c r="L2108" s="25">
        <v>4.0999999999999996</v>
      </c>
      <c r="M2108" s="13" t="b">
        <v>0</v>
      </c>
      <c r="O2108" s="25">
        <f t="shared" si="128"/>
        <v>27</v>
      </c>
      <c r="P2108" s="13">
        <f t="shared" si="129"/>
        <v>1655.5</v>
      </c>
      <c r="Q2108" s="13" t="str">
        <f t="shared" si="130"/>
        <v/>
      </c>
      <c r="R2108" s="13" t="str">
        <f t="shared" si="131"/>
        <v>Diskon</v>
      </c>
    </row>
    <row r="2109" spans="1:18" x14ac:dyDescent="0.25">
      <c r="A2109" s="13" t="s">
        <v>2121</v>
      </c>
      <c r="B2109" s="13" t="s">
        <v>2192</v>
      </c>
      <c r="C2109" s="13" t="s">
        <v>2201</v>
      </c>
      <c r="D2109" s="13" t="s">
        <v>2204</v>
      </c>
      <c r="F2109" s="13" t="s">
        <v>2214</v>
      </c>
      <c r="G2109" s="13">
        <v>74.77</v>
      </c>
      <c r="H2109" s="44">
        <v>0</v>
      </c>
      <c r="I2109" s="13">
        <v>74.77</v>
      </c>
      <c r="J2109" s="24">
        <v>45734</v>
      </c>
      <c r="K2109" s="25">
        <v>26</v>
      </c>
      <c r="L2109" s="25">
        <v>2.9</v>
      </c>
      <c r="M2109" s="13" t="b">
        <v>0</v>
      </c>
      <c r="O2109" s="25">
        <f t="shared" si="128"/>
        <v>168</v>
      </c>
      <c r="P2109" s="13">
        <f t="shared" si="129"/>
        <v>0</v>
      </c>
      <c r="Q2109" s="13" t="str">
        <f t="shared" si="130"/>
        <v/>
      </c>
      <c r="R2109" s="13" t="str">
        <f t="shared" si="131"/>
        <v>Non diskon</v>
      </c>
    </row>
    <row r="2110" spans="1:18" x14ac:dyDescent="0.25">
      <c r="A2110" s="13" t="s">
        <v>2122</v>
      </c>
      <c r="B2110" s="13" t="s">
        <v>2195</v>
      </c>
      <c r="C2110" s="13" t="s">
        <v>2200</v>
      </c>
      <c r="D2110" s="13" t="s">
        <v>2204</v>
      </c>
      <c r="E2110" s="13" t="s">
        <v>2208</v>
      </c>
      <c r="F2110" s="13" t="s">
        <v>2222</v>
      </c>
      <c r="G2110" s="13">
        <v>105.98</v>
      </c>
      <c r="H2110" s="44">
        <v>0</v>
      </c>
      <c r="I2110" s="13">
        <v>105.98</v>
      </c>
      <c r="J2110" s="24">
        <v>45567</v>
      </c>
      <c r="K2110" s="25">
        <v>32</v>
      </c>
      <c r="L2110" s="25">
        <v>2.5</v>
      </c>
      <c r="M2110" s="13" t="b">
        <v>1</v>
      </c>
      <c r="N2110" s="13" t="s">
        <v>2226</v>
      </c>
      <c r="O2110" s="25">
        <f t="shared" si="128"/>
        <v>335</v>
      </c>
      <c r="P2110" s="13">
        <f t="shared" si="129"/>
        <v>0</v>
      </c>
      <c r="Q2110" s="13">
        <f t="shared" si="130"/>
        <v>1</v>
      </c>
      <c r="R2110" s="13" t="str">
        <f t="shared" si="131"/>
        <v>Non diskon</v>
      </c>
    </row>
    <row r="2111" spans="1:18" x14ac:dyDescent="0.25">
      <c r="A2111" s="13" t="s">
        <v>2123</v>
      </c>
      <c r="B2111" s="13" t="s">
        <v>2193</v>
      </c>
      <c r="C2111" s="13" t="s">
        <v>2196</v>
      </c>
      <c r="D2111" s="13" t="s">
        <v>2207</v>
      </c>
      <c r="E2111" s="13" t="s">
        <v>2209</v>
      </c>
      <c r="F2111" s="13" t="s">
        <v>2217</v>
      </c>
      <c r="G2111" s="13">
        <v>81.650000000000006</v>
      </c>
      <c r="H2111" s="44">
        <v>7.7</v>
      </c>
      <c r="I2111" s="13">
        <v>75.36</v>
      </c>
      <c r="J2111" s="24">
        <v>45875</v>
      </c>
      <c r="K2111" s="25">
        <v>23</v>
      </c>
      <c r="L2111" s="25">
        <v>2.6</v>
      </c>
      <c r="M2111" s="13" t="b">
        <v>0</v>
      </c>
      <c r="O2111" s="25">
        <f t="shared" si="128"/>
        <v>27</v>
      </c>
      <c r="P2111" s="13">
        <f t="shared" si="129"/>
        <v>177.1</v>
      </c>
      <c r="Q2111" s="13" t="str">
        <f t="shared" si="130"/>
        <v/>
      </c>
      <c r="R2111" s="13" t="str">
        <f t="shared" si="131"/>
        <v>Diskon</v>
      </c>
    </row>
    <row r="2112" spans="1:18" x14ac:dyDescent="0.25">
      <c r="A2112" s="13" t="s">
        <v>2124</v>
      </c>
      <c r="B2112" s="13" t="s">
        <v>2193</v>
      </c>
      <c r="C2112" s="13" t="s">
        <v>2203</v>
      </c>
      <c r="D2112" s="13" t="s">
        <v>2206</v>
      </c>
      <c r="E2112" s="13" t="s">
        <v>2210</v>
      </c>
      <c r="F2112" s="13" t="s">
        <v>2216</v>
      </c>
      <c r="G2112" s="13">
        <v>92.66</v>
      </c>
      <c r="H2112" s="44">
        <v>8.3000000000000007</v>
      </c>
      <c r="I2112" s="13">
        <v>84.97</v>
      </c>
      <c r="J2112" s="24">
        <v>45875</v>
      </c>
      <c r="K2112" s="25">
        <v>5</v>
      </c>
      <c r="L2112" s="25">
        <v>3.3</v>
      </c>
      <c r="M2112" s="13" t="b">
        <v>0</v>
      </c>
      <c r="O2112" s="25">
        <f t="shared" si="128"/>
        <v>27</v>
      </c>
      <c r="P2112" s="13">
        <f t="shared" si="129"/>
        <v>41.5</v>
      </c>
      <c r="Q2112" s="13" t="str">
        <f t="shared" si="130"/>
        <v/>
      </c>
      <c r="R2112" s="13" t="str">
        <f t="shared" si="131"/>
        <v>Diskon</v>
      </c>
    </row>
    <row r="2113" spans="1:18" x14ac:dyDescent="0.25">
      <c r="A2113" s="13" t="s">
        <v>2125</v>
      </c>
      <c r="B2113" s="13" t="s">
        <v>2192</v>
      </c>
      <c r="C2113" s="13" t="s">
        <v>2199</v>
      </c>
      <c r="D2113" s="13" t="s">
        <v>2207</v>
      </c>
      <c r="F2113" s="13" t="s">
        <v>2224</v>
      </c>
      <c r="G2113" s="13">
        <v>41.04</v>
      </c>
      <c r="H2113" s="44">
        <v>0</v>
      </c>
      <c r="I2113" s="13">
        <v>41.04</v>
      </c>
      <c r="J2113" s="24">
        <v>45875</v>
      </c>
      <c r="K2113" s="25">
        <v>43</v>
      </c>
      <c r="L2113" s="25">
        <v>2.5131578947368416</v>
      </c>
      <c r="M2113" s="13" t="b">
        <v>0</v>
      </c>
      <c r="O2113" s="25">
        <f t="shared" si="128"/>
        <v>27</v>
      </c>
      <c r="P2113" s="13">
        <f t="shared" si="129"/>
        <v>0</v>
      </c>
      <c r="Q2113" s="13" t="str">
        <f t="shared" si="130"/>
        <v/>
      </c>
      <c r="R2113" s="13" t="str">
        <f t="shared" si="131"/>
        <v>Non diskon</v>
      </c>
    </row>
    <row r="2114" spans="1:18" x14ac:dyDescent="0.25">
      <c r="A2114" s="13" t="s">
        <v>2126</v>
      </c>
      <c r="B2114" s="13" t="s">
        <v>2190</v>
      </c>
      <c r="C2114" s="13" t="s">
        <v>2203</v>
      </c>
      <c r="D2114" s="13" t="s">
        <v>2206</v>
      </c>
      <c r="E2114" s="13" t="s">
        <v>2213</v>
      </c>
      <c r="F2114" s="13" t="s">
        <v>2215</v>
      </c>
      <c r="G2114" s="13">
        <v>169.98</v>
      </c>
      <c r="H2114" s="44">
        <v>5.8</v>
      </c>
      <c r="I2114" s="13">
        <v>160.12</v>
      </c>
      <c r="J2114" s="24">
        <v>45875</v>
      </c>
      <c r="K2114" s="25">
        <v>12</v>
      </c>
      <c r="L2114" s="25">
        <v>2.1</v>
      </c>
      <c r="M2114" s="13" t="b">
        <v>0</v>
      </c>
      <c r="O2114" s="25">
        <f t="shared" si="128"/>
        <v>27</v>
      </c>
      <c r="P2114" s="13">
        <f t="shared" si="129"/>
        <v>69.599999999999994</v>
      </c>
      <c r="Q2114" s="13" t="str">
        <f t="shared" si="130"/>
        <v/>
      </c>
      <c r="R2114" s="13" t="str">
        <f t="shared" si="131"/>
        <v>Diskon</v>
      </c>
    </row>
    <row r="2115" spans="1:18" x14ac:dyDescent="0.25">
      <c r="A2115" s="13" t="s">
        <v>2127</v>
      </c>
      <c r="B2115" s="13" t="s">
        <v>2192</v>
      </c>
      <c r="C2115" s="13" t="s">
        <v>2199</v>
      </c>
      <c r="D2115" s="13" t="s">
        <v>2205</v>
      </c>
      <c r="F2115" s="13" t="s">
        <v>2214</v>
      </c>
      <c r="G2115" s="13">
        <v>66.12</v>
      </c>
      <c r="H2115" s="44">
        <v>51</v>
      </c>
      <c r="I2115" s="13">
        <v>32.4</v>
      </c>
      <c r="J2115" s="24">
        <v>45875</v>
      </c>
      <c r="K2115" s="25">
        <v>17</v>
      </c>
      <c r="L2115" s="25">
        <v>2.2000000000000002</v>
      </c>
      <c r="M2115" s="13" t="b">
        <v>0</v>
      </c>
      <c r="O2115" s="25">
        <f t="shared" ref="O2115:O2177" si="132">DATE(2025,9,2)-J2115</f>
        <v>27</v>
      </c>
      <c r="P2115" s="13">
        <f t="shared" ref="P2115:P2177" si="133">H2115*K2115</f>
        <v>867</v>
      </c>
      <c r="Q2115" s="13" t="str">
        <f t="shared" ref="Q2115:Q2177" si="134">IF(M2115=FALSE,"",1)</f>
        <v/>
      </c>
      <c r="R2115" s="13" t="str">
        <f t="shared" ref="R2115:R2177" si="135">IF(H2115=0,"Non diskon","Diskon")</f>
        <v>Diskon</v>
      </c>
    </row>
    <row r="2116" spans="1:18" x14ac:dyDescent="0.25">
      <c r="A2116" s="13" t="s">
        <v>2128</v>
      </c>
      <c r="B2116" s="13" t="s">
        <v>2195</v>
      </c>
      <c r="C2116" s="13" t="s">
        <v>2198</v>
      </c>
      <c r="D2116" s="13" t="s">
        <v>2204</v>
      </c>
      <c r="E2116" s="13" t="s">
        <v>2210</v>
      </c>
      <c r="F2116" s="13" t="s">
        <v>2223</v>
      </c>
      <c r="G2116" s="13">
        <v>139.87</v>
      </c>
      <c r="H2116" s="44">
        <v>14.5</v>
      </c>
      <c r="I2116" s="13">
        <v>119.59</v>
      </c>
      <c r="J2116" s="24">
        <v>45548</v>
      </c>
      <c r="K2116" s="25">
        <v>13</v>
      </c>
      <c r="L2116" s="25">
        <v>1.3</v>
      </c>
      <c r="M2116" s="13" t="b">
        <v>0</v>
      </c>
      <c r="O2116" s="25">
        <f t="shared" si="132"/>
        <v>354</v>
      </c>
      <c r="P2116" s="13">
        <f t="shared" si="133"/>
        <v>188.5</v>
      </c>
      <c r="Q2116" s="13" t="str">
        <f t="shared" si="134"/>
        <v/>
      </c>
      <c r="R2116" s="13" t="str">
        <f t="shared" si="135"/>
        <v>Diskon</v>
      </c>
    </row>
    <row r="2117" spans="1:18" x14ac:dyDescent="0.25">
      <c r="A2117" s="13" t="s">
        <v>2129</v>
      </c>
      <c r="B2117" s="13" t="s">
        <v>2192</v>
      </c>
      <c r="C2117" s="13" t="s">
        <v>2196</v>
      </c>
      <c r="D2117" s="13" t="s">
        <v>2205</v>
      </c>
      <c r="F2117" s="13" t="s">
        <v>2215</v>
      </c>
      <c r="G2117" s="13">
        <v>70.23</v>
      </c>
      <c r="H2117" s="44">
        <v>49.9</v>
      </c>
      <c r="I2117" s="13">
        <v>35.19</v>
      </c>
      <c r="J2117" s="24">
        <v>45875</v>
      </c>
      <c r="K2117" s="25">
        <v>0</v>
      </c>
      <c r="L2117" s="25">
        <v>4.5999999999999996</v>
      </c>
      <c r="M2117" s="13" t="b">
        <v>1</v>
      </c>
      <c r="N2117" s="13" t="s">
        <v>2227</v>
      </c>
      <c r="O2117" s="25">
        <f t="shared" si="132"/>
        <v>27</v>
      </c>
      <c r="P2117" s="13">
        <f t="shared" si="133"/>
        <v>0</v>
      </c>
      <c r="Q2117" s="13">
        <f t="shared" si="134"/>
        <v>1</v>
      </c>
      <c r="R2117" s="13" t="str">
        <f t="shared" si="135"/>
        <v>Diskon</v>
      </c>
    </row>
    <row r="2118" spans="1:18" x14ac:dyDescent="0.25">
      <c r="A2118" s="13" t="s">
        <v>2130</v>
      </c>
      <c r="B2118" s="13" t="s">
        <v>2193</v>
      </c>
      <c r="C2118" s="13" t="s">
        <v>2196</v>
      </c>
      <c r="D2118" s="13" t="s">
        <v>2205</v>
      </c>
      <c r="E2118" s="13" t="s">
        <v>2208</v>
      </c>
      <c r="F2118" s="13" t="s">
        <v>2219</v>
      </c>
      <c r="G2118" s="13">
        <v>129.9</v>
      </c>
      <c r="H2118" s="44">
        <v>39.9</v>
      </c>
      <c r="I2118" s="13">
        <v>78.069999999999993</v>
      </c>
      <c r="J2118" s="24">
        <v>45875</v>
      </c>
      <c r="K2118" s="25">
        <v>28</v>
      </c>
      <c r="L2118" s="25">
        <v>1.3</v>
      </c>
      <c r="M2118" s="13" t="b">
        <v>0</v>
      </c>
      <c r="O2118" s="25">
        <f t="shared" si="132"/>
        <v>27</v>
      </c>
      <c r="P2118" s="13">
        <f t="shared" si="133"/>
        <v>1117.2</v>
      </c>
      <c r="Q2118" s="13" t="str">
        <f t="shared" si="134"/>
        <v/>
      </c>
      <c r="R2118" s="13" t="str">
        <f t="shared" si="135"/>
        <v>Diskon</v>
      </c>
    </row>
    <row r="2119" spans="1:18" x14ac:dyDescent="0.25">
      <c r="A2119" s="13" t="s">
        <v>2131</v>
      </c>
      <c r="B2119" s="13" t="s">
        <v>2194</v>
      </c>
      <c r="C2119" s="13" t="s">
        <v>2196</v>
      </c>
      <c r="D2119" s="13" t="s">
        <v>2204</v>
      </c>
      <c r="E2119" s="13" t="s">
        <v>2209</v>
      </c>
      <c r="F2119" s="13" t="s">
        <v>2221</v>
      </c>
      <c r="G2119" s="13">
        <v>75.78</v>
      </c>
      <c r="H2119" s="44">
        <v>0</v>
      </c>
      <c r="I2119" s="13">
        <v>75.78</v>
      </c>
      <c r="J2119" s="24">
        <v>45685</v>
      </c>
      <c r="K2119" s="25">
        <v>12</v>
      </c>
      <c r="L2119" s="25">
        <v>3.6</v>
      </c>
      <c r="M2119" s="13" t="b">
        <v>0</v>
      </c>
      <c r="O2119" s="25">
        <f t="shared" si="132"/>
        <v>217</v>
      </c>
      <c r="P2119" s="13">
        <f t="shared" si="133"/>
        <v>0</v>
      </c>
      <c r="Q2119" s="13" t="str">
        <f t="shared" si="134"/>
        <v/>
      </c>
      <c r="R2119" s="13" t="str">
        <f t="shared" si="135"/>
        <v>Non diskon</v>
      </c>
    </row>
    <row r="2120" spans="1:18" x14ac:dyDescent="0.25">
      <c r="A2120" s="13" t="s">
        <v>2132</v>
      </c>
      <c r="B2120" s="13" t="s">
        <v>2194</v>
      </c>
      <c r="C2120" s="13" t="s">
        <v>2200</v>
      </c>
      <c r="D2120" s="13" t="s">
        <v>2205</v>
      </c>
      <c r="E2120" s="13" t="s">
        <v>2213</v>
      </c>
      <c r="F2120" s="13" t="s">
        <v>2221</v>
      </c>
      <c r="G2120" s="13">
        <v>93.41</v>
      </c>
      <c r="H2120" s="44">
        <v>0</v>
      </c>
      <c r="I2120" s="13">
        <v>93.41</v>
      </c>
      <c r="J2120" s="24">
        <v>45875</v>
      </c>
      <c r="K2120" s="25">
        <v>4</v>
      </c>
      <c r="L2120" s="25">
        <v>3.2</v>
      </c>
      <c r="M2120" s="13" t="b">
        <v>1</v>
      </c>
      <c r="N2120" s="13" t="s">
        <v>2226</v>
      </c>
      <c r="O2120" s="25">
        <f t="shared" si="132"/>
        <v>27</v>
      </c>
      <c r="P2120" s="13">
        <f t="shared" si="133"/>
        <v>0</v>
      </c>
      <c r="Q2120" s="13">
        <f t="shared" si="134"/>
        <v>1</v>
      </c>
      <c r="R2120" s="13" t="str">
        <f t="shared" si="135"/>
        <v>Non diskon</v>
      </c>
    </row>
    <row r="2121" spans="1:18" x14ac:dyDescent="0.25">
      <c r="A2121" s="13" t="s">
        <v>2133</v>
      </c>
      <c r="B2121" s="13" t="s">
        <v>2191</v>
      </c>
      <c r="C2121" s="13" t="s">
        <v>2198</v>
      </c>
      <c r="D2121" s="13" t="s">
        <v>2204</v>
      </c>
      <c r="E2121" s="13" t="s">
        <v>2209</v>
      </c>
      <c r="F2121" s="13" t="s">
        <v>2214</v>
      </c>
      <c r="G2121" s="13">
        <v>66.900000000000006</v>
      </c>
      <c r="H2121" s="44">
        <v>0</v>
      </c>
      <c r="I2121" s="13">
        <v>66.900000000000006</v>
      </c>
      <c r="J2121" s="24">
        <v>45784</v>
      </c>
      <c r="K2121" s="25">
        <v>1</v>
      </c>
      <c r="L2121" s="25">
        <v>2.8</v>
      </c>
      <c r="M2121" s="13" t="b">
        <v>0</v>
      </c>
      <c r="O2121" s="25">
        <f t="shared" si="132"/>
        <v>118</v>
      </c>
      <c r="P2121" s="13">
        <f t="shared" si="133"/>
        <v>0</v>
      </c>
      <c r="Q2121" s="13" t="str">
        <f t="shared" si="134"/>
        <v/>
      </c>
      <c r="R2121" s="13" t="str">
        <f t="shared" si="135"/>
        <v>Non diskon</v>
      </c>
    </row>
    <row r="2122" spans="1:18" x14ac:dyDescent="0.25">
      <c r="A2122" s="13" t="s">
        <v>2134</v>
      </c>
      <c r="B2122" s="13" t="s">
        <v>2191</v>
      </c>
      <c r="C2122" s="13" t="s">
        <v>2199</v>
      </c>
      <c r="D2122" s="13" t="s">
        <v>2206</v>
      </c>
      <c r="E2122" s="13" t="s">
        <v>2209</v>
      </c>
      <c r="F2122" s="13" t="s">
        <v>2220</v>
      </c>
      <c r="G2122" s="13">
        <v>110.45</v>
      </c>
      <c r="H2122" s="44">
        <v>6.6</v>
      </c>
      <c r="I2122" s="13">
        <v>103.16</v>
      </c>
      <c r="J2122" s="24">
        <v>45875</v>
      </c>
      <c r="K2122" s="25">
        <v>6</v>
      </c>
      <c r="L2122" s="25">
        <v>2.9742857142857138</v>
      </c>
      <c r="M2122" s="13" t="b">
        <v>0</v>
      </c>
      <c r="O2122" s="25">
        <f t="shared" si="132"/>
        <v>27</v>
      </c>
      <c r="P2122" s="13">
        <f t="shared" si="133"/>
        <v>39.599999999999994</v>
      </c>
      <c r="Q2122" s="13" t="str">
        <f t="shared" si="134"/>
        <v/>
      </c>
      <c r="R2122" s="13" t="str">
        <f t="shared" si="135"/>
        <v>Diskon</v>
      </c>
    </row>
    <row r="2123" spans="1:18" x14ac:dyDescent="0.25">
      <c r="A2123" s="13" t="s">
        <v>2135</v>
      </c>
      <c r="B2123" s="13" t="s">
        <v>2194</v>
      </c>
      <c r="C2123" s="13" t="s">
        <v>2196</v>
      </c>
      <c r="D2123" s="13" t="s">
        <v>2206</v>
      </c>
      <c r="E2123" s="13" t="s">
        <v>2209</v>
      </c>
      <c r="F2123" s="13" t="s">
        <v>2218</v>
      </c>
      <c r="G2123" s="13">
        <v>52.73</v>
      </c>
      <c r="H2123" s="44">
        <v>0</v>
      </c>
      <c r="I2123" s="13">
        <v>52.73</v>
      </c>
      <c r="J2123" s="24">
        <v>45875</v>
      </c>
      <c r="K2123" s="25">
        <v>10</v>
      </c>
      <c r="L2123" s="25">
        <v>4.5</v>
      </c>
      <c r="M2123" s="13" t="b">
        <v>0</v>
      </c>
      <c r="O2123" s="25">
        <f t="shared" si="132"/>
        <v>27</v>
      </c>
      <c r="P2123" s="13">
        <f t="shared" si="133"/>
        <v>0</v>
      </c>
      <c r="Q2123" s="13" t="str">
        <f t="shared" si="134"/>
        <v/>
      </c>
      <c r="R2123" s="13" t="str">
        <f t="shared" si="135"/>
        <v>Non diskon</v>
      </c>
    </row>
    <row r="2124" spans="1:18" x14ac:dyDescent="0.25">
      <c r="A2124" s="13" t="s">
        <v>2136</v>
      </c>
      <c r="B2124" s="13" t="s">
        <v>2190</v>
      </c>
      <c r="C2124" s="13" t="s">
        <v>2201</v>
      </c>
      <c r="D2124" s="13" t="s">
        <v>2206</v>
      </c>
      <c r="E2124" s="13" t="s">
        <v>2209</v>
      </c>
      <c r="F2124" s="13" t="s">
        <v>2219</v>
      </c>
      <c r="G2124" s="13">
        <v>89.13</v>
      </c>
      <c r="H2124" s="44">
        <v>0</v>
      </c>
      <c r="I2124" s="13">
        <v>89.13</v>
      </c>
      <c r="J2124" s="24">
        <v>45875</v>
      </c>
      <c r="K2124" s="25">
        <v>17</v>
      </c>
      <c r="L2124" s="25">
        <v>4.0999999999999996</v>
      </c>
      <c r="M2124" s="13" t="b">
        <v>0</v>
      </c>
      <c r="O2124" s="25">
        <f t="shared" si="132"/>
        <v>27</v>
      </c>
      <c r="P2124" s="13">
        <f t="shared" si="133"/>
        <v>0</v>
      </c>
      <c r="Q2124" s="13" t="str">
        <f t="shared" si="134"/>
        <v/>
      </c>
      <c r="R2124" s="13" t="str">
        <f t="shared" si="135"/>
        <v>Non diskon</v>
      </c>
    </row>
    <row r="2125" spans="1:18" x14ac:dyDescent="0.25">
      <c r="A2125" s="13" t="s">
        <v>2137</v>
      </c>
      <c r="B2125" s="13" t="s">
        <v>2190</v>
      </c>
      <c r="C2125" s="13" t="s">
        <v>2198</v>
      </c>
      <c r="D2125" s="13" t="s">
        <v>2207</v>
      </c>
      <c r="E2125" s="13" t="s">
        <v>2209</v>
      </c>
      <c r="F2125" s="13" t="s">
        <v>2220</v>
      </c>
      <c r="G2125" s="13">
        <v>171.78</v>
      </c>
      <c r="H2125" s="44">
        <v>44.1</v>
      </c>
      <c r="I2125" s="13">
        <v>96.03</v>
      </c>
      <c r="J2125" s="24">
        <v>45875</v>
      </c>
      <c r="K2125" s="25">
        <v>25</v>
      </c>
      <c r="L2125" s="25">
        <v>3.0177777777777774</v>
      </c>
      <c r="M2125" s="13" t="b">
        <v>1</v>
      </c>
      <c r="N2125" s="13" t="s">
        <v>2225</v>
      </c>
      <c r="O2125" s="25">
        <f t="shared" si="132"/>
        <v>27</v>
      </c>
      <c r="P2125" s="13">
        <f t="shared" si="133"/>
        <v>1102.5</v>
      </c>
      <c r="Q2125" s="13">
        <f t="shared" si="134"/>
        <v>1</v>
      </c>
      <c r="R2125" s="13" t="str">
        <f t="shared" si="135"/>
        <v>Diskon</v>
      </c>
    </row>
    <row r="2126" spans="1:18" x14ac:dyDescent="0.25">
      <c r="A2126" s="13" t="s">
        <v>2138</v>
      </c>
      <c r="B2126" s="13" t="s">
        <v>2193</v>
      </c>
      <c r="C2126" s="13" t="s">
        <v>2202</v>
      </c>
      <c r="D2126" s="13" t="s">
        <v>2205</v>
      </c>
      <c r="E2126" s="13" t="s">
        <v>2213</v>
      </c>
      <c r="F2126" s="13" t="s">
        <v>2215</v>
      </c>
      <c r="G2126" s="13">
        <v>129</v>
      </c>
      <c r="H2126" s="44">
        <v>0</v>
      </c>
      <c r="I2126" s="13">
        <v>129</v>
      </c>
      <c r="J2126" s="24">
        <v>45875</v>
      </c>
      <c r="K2126" s="25">
        <v>13</v>
      </c>
      <c r="L2126" s="25">
        <v>3.8</v>
      </c>
      <c r="M2126" s="13" t="b">
        <v>1</v>
      </c>
      <c r="N2126" s="13" t="s">
        <v>2229</v>
      </c>
      <c r="O2126" s="25">
        <f t="shared" si="132"/>
        <v>27</v>
      </c>
      <c r="P2126" s="13">
        <f t="shared" si="133"/>
        <v>0</v>
      </c>
      <c r="Q2126" s="13">
        <f t="shared" si="134"/>
        <v>1</v>
      </c>
      <c r="R2126" s="13" t="str">
        <f t="shared" si="135"/>
        <v>Non diskon</v>
      </c>
    </row>
    <row r="2127" spans="1:18" x14ac:dyDescent="0.25">
      <c r="A2127" s="13" t="s">
        <v>2139</v>
      </c>
      <c r="B2127" s="13" t="s">
        <v>2193</v>
      </c>
      <c r="C2127" s="13" t="s">
        <v>2196</v>
      </c>
      <c r="D2127" s="13" t="s">
        <v>2207</v>
      </c>
      <c r="E2127" s="13" t="s">
        <v>2212</v>
      </c>
      <c r="F2127" s="13" t="s">
        <v>2224</v>
      </c>
      <c r="G2127" s="13">
        <v>160.59</v>
      </c>
      <c r="H2127" s="44">
        <v>0</v>
      </c>
      <c r="I2127" s="13">
        <v>160.59</v>
      </c>
      <c r="J2127" s="24">
        <v>45875</v>
      </c>
      <c r="K2127" s="25">
        <v>8</v>
      </c>
      <c r="L2127" s="25">
        <v>2.9</v>
      </c>
      <c r="M2127" s="13" t="b">
        <v>0</v>
      </c>
      <c r="O2127" s="25">
        <f t="shared" si="132"/>
        <v>27</v>
      </c>
      <c r="P2127" s="13">
        <f t="shared" si="133"/>
        <v>0</v>
      </c>
      <c r="Q2127" s="13" t="str">
        <f t="shared" si="134"/>
        <v/>
      </c>
      <c r="R2127" s="13" t="str">
        <f t="shared" si="135"/>
        <v>Non diskon</v>
      </c>
    </row>
    <row r="2128" spans="1:18" x14ac:dyDescent="0.25">
      <c r="A2128" s="13" t="s">
        <v>2140</v>
      </c>
      <c r="B2128" s="13" t="s">
        <v>2191</v>
      </c>
      <c r="C2128" s="13" t="s">
        <v>2198</v>
      </c>
      <c r="D2128" s="13" t="s">
        <v>2207</v>
      </c>
      <c r="E2128" s="13" t="s">
        <v>2209</v>
      </c>
      <c r="F2128" s="13" t="s">
        <v>2214</v>
      </c>
      <c r="G2128" s="13">
        <v>56.38</v>
      </c>
      <c r="H2128" s="44">
        <v>0</v>
      </c>
      <c r="I2128" s="13">
        <v>56.38</v>
      </c>
      <c r="J2128" s="24">
        <v>45875</v>
      </c>
      <c r="K2128" s="25">
        <v>9</v>
      </c>
      <c r="L2128" s="25">
        <v>2.953125</v>
      </c>
      <c r="M2128" s="13" t="b">
        <v>0</v>
      </c>
      <c r="O2128" s="25">
        <f t="shared" si="132"/>
        <v>27</v>
      </c>
      <c r="P2128" s="13">
        <f t="shared" si="133"/>
        <v>0</v>
      </c>
      <c r="Q2128" s="13" t="str">
        <f t="shared" si="134"/>
        <v/>
      </c>
      <c r="R2128" s="13" t="str">
        <f t="shared" si="135"/>
        <v>Non diskon</v>
      </c>
    </row>
    <row r="2129" spans="1:18" x14ac:dyDescent="0.25">
      <c r="A2129" s="13" t="s">
        <v>2141</v>
      </c>
      <c r="B2129" s="13" t="s">
        <v>2190</v>
      </c>
      <c r="C2129" s="13" t="s">
        <v>2202</v>
      </c>
      <c r="D2129" s="13" t="s">
        <v>2205</v>
      </c>
      <c r="E2129" s="13" t="s">
        <v>2209</v>
      </c>
      <c r="F2129" s="13" t="s">
        <v>2220</v>
      </c>
      <c r="G2129" s="13">
        <v>109.2</v>
      </c>
      <c r="H2129" s="44">
        <v>26.6</v>
      </c>
      <c r="I2129" s="13">
        <v>80.150000000000006</v>
      </c>
      <c r="J2129" s="24">
        <v>45875</v>
      </c>
      <c r="K2129" s="25">
        <v>21</v>
      </c>
      <c r="L2129" s="25">
        <v>3.9</v>
      </c>
      <c r="M2129" s="13" t="b">
        <v>1</v>
      </c>
      <c r="N2129" s="13" t="s">
        <v>2228</v>
      </c>
      <c r="O2129" s="25">
        <f t="shared" si="132"/>
        <v>27</v>
      </c>
      <c r="P2129" s="13">
        <f t="shared" si="133"/>
        <v>558.6</v>
      </c>
      <c r="Q2129" s="13">
        <f t="shared" si="134"/>
        <v>1</v>
      </c>
      <c r="R2129" s="13" t="str">
        <f t="shared" si="135"/>
        <v>Diskon</v>
      </c>
    </row>
    <row r="2130" spans="1:18" x14ac:dyDescent="0.25">
      <c r="A2130" s="13" t="s">
        <v>2142</v>
      </c>
      <c r="B2130" s="13" t="s">
        <v>2192</v>
      </c>
      <c r="C2130" s="13" t="s">
        <v>2197</v>
      </c>
      <c r="D2130" s="13" t="s">
        <v>2204</v>
      </c>
      <c r="F2130" s="13" t="s">
        <v>2215</v>
      </c>
      <c r="G2130" s="13">
        <v>21.43</v>
      </c>
      <c r="H2130" s="44">
        <v>0</v>
      </c>
      <c r="I2130" s="13">
        <v>21.43</v>
      </c>
      <c r="J2130" s="24">
        <v>45691</v>
      </c>
      <c r="K2130" s="25">
        <v>38</v>
      </c>
      <c r="L2130" s="25">
        <v>1.9</v>
      </c>
      <c r="M2130" s="13" t="b">
        <v>0</v>
      </c>
      <c r="O2130" s="25">
        <f t="shared" si="132"/>
        <v>211</v>
      </c>
      <c r="P2130" s="13">
        <f t="shared" si="133"/>
        <v>0</v>
      </c>
      <c r="Q2130" s="13" t="str">
        <f t="shared" si="134"/>
        <v/>
      </c>
      <c r="R2130" s="13" t="str">
        <f t="shared" si="135"/>
        <v>Non diskon</v>
      </c>
    </row>
    <row r="2131" spans="1:18" x14ac:dyDescent="0.25">
      <c r="A2131" s="13" t="s">
        <v>2143</v>
      </c>
      <c r="B2131" s="13" t="s">
        <v>2193</v>
      </c>
      <c r="C2131" s="13" t="s">
        <v>2200</v>
      </c>
      <c r="D2131" s="13" t="s">
        <v>2205</v>
      </c>
      <c r="E2131" s="13" t="s">
        <v>2213</v>
      </c>
      <c r="F2131" s="13" t="s">
        <v>2223</v>
      </c>
      <c r="G2131" s="13">
        <v>87.11</v>
      </c>
      <c r="H2131" s="44">
        <v>0</v>
      </c>
      <c r="I2131" s="13">
        <v>87.11</v>
      </c>
      <c r="J2131" s="24">
        <v>45875</v>
      </c>
      <c r="K2131" s="25">
        <v>36</v>
      </c>
      <c r="L2131" s="25">
        <v>2.2999999999999998</v>
      </c>
      <c r="M2131" s="13" t="b">
        <v>0</v>
      </c>
      <c r="O2131" s="25">
        <f t="shared" si="132"/>
        <v>27</v>
      </c>
      <c r="P2131" s="13">
        <f t="shared" si="133"/>
        <v>0</v>
      </c>
      <c r="Q2131" s="13" t="str">
        <f t="shared" si="134"/>
        <v/>
      </c>
      <c r="R2131" s="13" t="str">
        <f t="shared" si="135"/>
        <v>Non diskon</v>
      </c>
    </row>
    <row r="2132" spans="1:18" x14ac:dyDescent="0.25">
      <c r="A2132" s="13" t="s">
        <v>2144</v>
      </c>
      <c r="B2132" s="13" t="s">
        <v>2192</v>
      </c>
      <c r="C2132" s="13" t="s">
        <v>2203</v>
      </c>
      <c r="D2132" s="13" t="s">
        <v>2206</v>
      </c>
      <c r="F2132" s="13" t="s">
        <v>2222</v>
      </c>
      <c r="G2132" s="13">
        <v>36.29</v>
      </c>
      <c r="H2132" s="44">
        <v>0</v>
      </c>
      <c r="I2132" s="13">
        <v>36.29</v>
      </c>
      <c r="J2132" s="24">
        <v>45875</v>
      </c>
      <c r="K2132" s="25">
        <v>47</v>
      </c>
      <c r="L2132" s="25">
        <v>2.8</v>
      </c>
      <c r="M2132" s="13" t="b">
        <v>0</v>
      </c>
      <c r="O2132" s="25">
        <f t="shared" si="132"/>
        <v>27</v>
      </c>
      <c r="P2132" s="13">
        <f t="shared" si="133"/>
        <v>0</v>
      </c>
      <c r="Q2132" s="13" t="str">
        <f t="shared" si="134"/>
        <v/>
      </c>
      <c r="R2132" s="13" t="str">
        <f t="shared" si="135"/>
        <v>Non diskon</v>
      </c>
    </row>
    <row r="2133" spans="1:18" x14ac:dyDescent="0.25">
      <c r="A2133" s="13" t="s">
        <v>2145</v>
      </c>
      <c r="B2133" s="13" t="s">
        <v>2195</v>
      </c>
      <c r="C2133" s="13" t="s">
        <v>2200</v>
      </c>
      <c r="D2133" s="13" t="s">
        <v>2204</v>
      </c>
      <c r="E2133" s="13" t="s">
        <v>2213</v>
      </c>
      <c r="F2133" s="13" t="s">
        <v>2220</v>
      </c>
      <c r="G2133" s="13">
        <v>105.59</v>
      </c>
      <c r="H2133" s="44">
        <v>0</v>
      </c>
      <c r="I2133" s="13">
        <v>105.59</v>
      </c>
      <c r="J2133" s="24">
        <v>45835</v>
      </c>
      <c r="K2133" s="25">
        <v>37</v>
      </c>
      <c r="L2133" s="25">
        <v>4.7</v>
      </c>
      <c r="M2133" s="13" t="b">
        <v>0</v>
      </c>
      <c r="O2133" s="25">
        <f t="shared" si="132"/>
        <v>67</v>
      </c>
      <c r="P2133" s="13">
        <f t="shared" si="133"/>
        <v>0</v>
      </c>
      <c r="Q2133" s="13" t="str">
        <f t="shared" si="134"/>
        <v/>
      </c>
      <c r="R2133" s="13" t="str">
        <f t="shared" si="135"/>
        <v>Non diskon</v>
      </c>
    </row>
    <row r="2134" spans="1:18" x14ac:dyDescent="0.25">
      <c r="A2134" s="13" t="s">
        <v>2146</v>
      </c>
      <c r="B2134" s="13" t="s">
        <v>2195</v>
      </c>
      <c r="C2134" s="13" t="s">
        <v>2196</v>
      </c>
      <c r="D2134" s="13" t="s">
        <v>2206</v>
      </c>
      <c r="E2134" s="13" t="s">
        <v>2210</v>
      </c>
      <c r="F2134" s="13" t="s">
        <v>2216</v>
      </c>
      <c r="G2134" s="13">
        <v>93.5</v>
      </c>
      <c r="H2134" s="44">
        <v>0</v>
      </c>
      <c r="I2134" s="13">
        <v>93.5</v>
      </c>
      <c r="J2134" s="24">
        <v>45875</v>
      </c>
      <c r="K2134" s="25">
        <v>4</v>
      </c>
      <c r="L2134" s="25">
        <v>3.7</v>
      </c>
      <c r="M2134" s="13" t="b">
        <v>0</v>
      </c>
      <c r="O2134" s="25">
        <f t="shared" si="132"/>
        <v>27</v>
      </c>
      <c r="P2134" s="13">
        <f t="shared" si="133"/>
        <v>0</v>
      </c>
      <c r="Q2134" s="13" t="str">
        <f t="shared" si="134"/>
        <v/>
      </c>
      <c r="R2134" s="13" t="str">
        <f t="shared" si="135"/>
        <v>Non diskon</v>
      </c>
    </row>
    <row r="2135" spans="1:18" x14ac:dyDescent="0.25">
      <c r="A2135" s="13" t="s">
        <v>2147</v>
      </c>
      <c r="B2135" s="13" t="s">
        <v>2192</v>
      </c>
      <c r="C2135" s="13" t="s">
        <v>2201</v>
      </c>
      <c r="D2135" s="13" t="s">
        <v>2205</v>
      </c>
      <c r="F2135" s="13" t="s">
        <v>2216</v>
      </c>
      <c r="G2135" s="13">
        <v>41.72</v>
      </c>
      <c r="H2135" s="44">
        <v>9.5</v>
      </c>
      <c r="I2135" s="13">
        <v>37.76</v>
      </c>
      <c r="J2135" s="24">
        <v>45875</v>
      </c>
      <c r="K2135" s="25">
        <v>9</v>
      </c>
      <c r="L2135" s="25">
        <v>3.9</v>
      </c>
      <c r="M2135" s="13" t="b">
        <v>0</v>
      </c>
      <c r="O2135" s="25">
        <f t="shared" si="132"/>
        <v>27</v>
      </c>
      <c r="P2135" s="13">
        <f t="shared" si="133"/>
        <v>85.5</v>
      </c>
      <c r="Q2135" s="13" t="str">
        <f t="shared" si="134"/>
        <v/>
      </c>
      <c r="R2135" s="13" t="str">
        <f t="shared" si="135"/>
        <v>Diskon</v>
      </c>
    </row>
    <row r="2136" spans="1:18" x14ac:dyDescent="0.25">
      <c r="A2136" s="13" t="s">
        <v>2148</v>
      </c>
      <c r="B2136" s="13" t="s">
        <v>2192</v>
      </c>
      <c r="C2136" s="13" t="s">
        <v>2199</v>
      </c>
      <c r="D2136" s="13" t="s">
        <v>2207</v>
      </c>
      <c r="F2136" s="13" t="s">
        <v>2214</v>
      </c>
      <c r="G2136" s="13">
        <v>74.540000000000006</v>
      </c>
      <c r="H2136" s="44">
        <v>58.1</v>
      </c>
      <c r="I2136" s="13">
        <v>31.23</v>
      </c>
      <c r="J2136" s="24">
        <v>45875</v>
      </c>
      <c r="K2136" s="25">
        <v>35</v>
      </c>
      <c r="L2136" s="25">
        <v>4.8</v>
      </c>
      <c r="M2136" s="13" t="b">
        <v>0</v>
      </c>
      <c r="O2136" s="25">
        <f t="shared" si="132"/>
        <v>27</v>
      </c>
      <c r="P2136" s="13">
        <f t="shared" si="133"/>
        <v>2033.5</v>
      </c>
      <c r="Q2136" s="13" t="str">
        <f t="shared" si="134"/>
        <v/>
      </c>
      <c r="R2136" s="13" t="str">
        <f t="shared" si="135"/>
        <v>Diskon</v>
      </c>
    </row>
    <row r="2137" spans="1:18" x14ac:dyDescent="0.25">
      <c r="A2137" s="13" t="s">
        <v>2149</v>
      </c>
      <c r="B2137" s="13" t="s">
        <v>2195</v>
      </c>
      <c r="C2137" s="13" t="s">
        <v>2197</v>
      </c>
      <c r="D2137" s="13" t="s">
        <v>2204</v>
      </c>
      <c r="F2137" s="13" t="s">
        <v>2219</v>
      </c>
      <c r="G2137" s="13">
        <v>85.49</v>
      </c>
      <c r="H2137" s="44">
        <v>0</v>
      </c>
      <c r="I2137" s="13">
        <v>85.49</v>
      </c>
      <c r="J2137" s="24">
        <v>45642</v>
      </c>
      <c r="K2137" s="25">
        <v>0</v>
      </c>
      <c r="L2137" s="25">
        <v>3.7</v>
      </c>
      <c r="M2137" s="13" t="b">
        <v>0</v>
      </c>
      <c r="O2137" s="25">
        <f t="shared" si="132"/>
        <v>260</v>
      </c>
      <c r="P2137" s="13">
        <f t="shared" si="133"/>
        <v>0</v>
      </c>
      <c r="Q2137" s="13" t="str">
        <f t="shared" si="134"/>
        <v/>
      </c>
      <c r="R2137" s="13" t="str">
        <f t="shared" si="135"/>
        <v>Non diskon</v>
      </c>
    </row>
    <row r="2138" spans="1:18" x14ac:dyDescent="0.25">
      <c r="A2138" s="13" t="s">
        <v>2150</v>
      </c>
      <c r="B2138" s="13" t="s">
        <v>2195</v>
      </c>
      <c r="C2138" s="13" t="s">
        <v>2196</v>
      </c>
      <c r="D2138" s="13" t="s">
        <v>2207</v>
      </c>
      <c r="E2138" s="13" t="s">
        <v>2213</v>
      </c>
      <c r="F2138" s="13" t="s">
        <v>2220</v>
      </c>
      <c r="G2138" s="13">
        <v>131.05000000000001</v>
      </c>
      <c r="H2138" s="44">
        <v>0</v>
      </c>
      <c r="I2138" s="13">
        <v>131.05000000000001</v>
      </c>
      <c r="J2138" s="24">
        <v>45875</v>
      </c>
      <c r="K2138" s="25">
        <v>23</v>
      </c>
      <c r="L2138" s="25">
        <v>4.9000000000000004</v>
      </c>
      <c r="M2138" s="13" t="b">
        <v>0</v>
      </c>
      <c r="O2138" s="25">
        <f t="shared" si="132"/>
        <v>27</v>
      </c>
      <c r="P2138" s="13">
        <f t="shared" si="133"/>
        <v>0</v>
      </c>
      <c r="Q2138" s="13" t="str">
        <f t="shared" si="134"/>
        <v/>
      </c>
      <c r="R2138" s="13" t="str">
        <f t="shared" si="135"/>
        <v>Non diskon</v>
      </c>
    </row>
    <row r="2139" spans="1:18" x14ac:dyDescent="0.25">
      <c r="A2139" s="13" t="s">
        <v>2151</v>
      </c>
      <c r="B2139" s="13" t="s">
        <v>2194</v>
      </c>
      <c r="C2139" s="13" t="s">
        <v>2203</v>
      </c>
      <c r="D2139" s="13" t="s">
        <v>2207</v>
      </c>
      <c r="E2139" s="13" t="s">
        <v>2208</v>
      </c>
      <c r="F2139" s="13" t="s">
        <v>2215</v>
      </c>
      <c r="G2139" s="13">
        <v>63.5</v>
      </c>
      <c r="H2139" s="44">
        <v>0</v>
      </c>
      <c r="I2139" s="13">
        <v>63.5</v>
      </c>
      <c r="J2139" s="24">
        <v>45875</v>
      </c>
      <c r="K2139" s="25">
        <v>17</v>
      </c>
      <c r="L2139" s="25">
        <v>2.6</v>
      </c>
      <c r="M2139" s="13" t="b">
        <v>0</v>
      </c>
      <c r="O2139" s="25">
        <f t="shared" si="132"/>
        <v>27</v>
      </c>
      <c r="P2139" s="13">
        <f t="shared" si="133"/>
        <v>0</v>
      </c>
      <c r="Q2139" s="13" t="str">
        <f t="shared" si="134"/>
        <v/>
      </c>
      <c r="R2139" s="13" t="str">
        <f t="shared" si="135"/>
        <v>Non diskon</v>
      </c>
    </row>
    <row r="2140" spans="1:18" x14ac:dyDescent="0.25">
      <c r="A2140" s="13" t="s">
        <v>2152</v>
      </c>
      <c r="B2140" s="13" t="s">
        <v>2191</v>
      </c>
      <c r="C2140" s="13" t="s">
        <v>2197</v>
      </c>
      <c r="D2140" s="13" t="s">
        <v>2206</v>
      </c>
      <c r="E2140" s="13" t="s">
        <v>2213</v>
      </c>
      <c r="F2140" s="13" t="s">
        <v>2221</v>
      </c>
      <c r="G2140" s="13">
        <v>75.540000000000006</v>
      </c>
      <c r="H2140" s="44">
        <v>0</v>
      </c>
      <c r="I2140" s="13">
        <v>75.540000000000006</v>
      </c>
      <c r="J2140" s="24">
        <v>45875</v>
      </c>
      <c r="K2140" s="25">
        <v>7</v>
      </c>
      <c r="L2140" s="25">
        <v>3.3</v>
      </c>
      <c r="M2140" s="13" t="b">
        <v>0</v>
      </c>
      <c r="O2140" s="25">
        <f t="shared" si="132"/>
        <v>27</v>
      </c>
      <c r="P2140" s="13">
        <f t="shared" si="133"/>
        <v>0</v>
      </c>
      <c r="Q2140" s="13" t="str">
        <f t="shared" si="134"/>
        <v/>
      </c>
      <c r="R2140" s="13" t="str">
        <f t="shared" si="135"/>
        <v>Non diskon</v>
      </c>
    </row>
    <row r="2141" spans="1:18" x14ac:dyDescent="0.25">
      <c r="A2141" s="13" t="s">
        <v>2153</v>
      </c>
      <c r="B2141" s="13" t="s">
        <v>2191</v>
      </c>
      <c r="C2141" s="13" t="s">
        <v>2199</v>
      </c>
      <c r="D2141" s="13" t="s">
        <v>2206</v>
      </c>
      <c r="E2141" s="13" t="s">
        <v>2211</v>
      </c>
      <c r="F2141" s="13" t="s">
        <v>2221</v>
      </c>
      <c r="G2141" s="13">
        <v>110.77</v>
      </c>
      <c r="H2141" s="44">
        <v>0</v>
      </c>
      <c r="I2141" s="13">
        <v>110.77</v>
      </c>
      <c r="J2141" s="24">
        <v>45875</v>
      </c>
      <c r="K2141" s="25">
        <v>48</v>
      </c>
      <c r="L2141" s="25">
        <v>2.6</v>
      </c>
      <c r="M2141" s="13" t="b">
        <v>0</v>
      </c>
      <c r="O2141" s="25">
        <f t="shared" si="132"/>
        <v>27</v>
      </c>
      <c r="P2141" s="13">
        <f t="shared" si="133"/>
        <v>0</v>
      </c>
      <c r="Q2141" s="13" t="str">
        <f t="shared" si="134"/>
        <v/>
      </c>
      <c r="R2141" s="13" t="str">
        <f t="shared" si="135"/>
        <v>Non diskon</v>
      </c>
    </row>
    <row r="2142" spans="1:18" x14ac:dyDescent="0.25">
      <c r="A2142" s="13" t="s">
        <v>2154</v>
      </c>
      <c r="B2142" s="13" t="s">
        <v>2193</v>
      </c>
      <c r="C2142" s="13" t="s">
        <v>2199</v>
      </c>
      <c r="D2142" s="13" t="s">
        <v>2207</v>
      </c>
      <c r="E2142" s="13" t="s">
        <v>2213</v>
      </c>
      <c r="F2142" s="13" t="s">
        <v>2217</v>
      </c>
      <c r="G2142" s="13">
        <v>190.71</v>
      </c>
      <c r="H2142" s="44">
        <v>6.3</v>
      </c>
      <c r="I2142" s="13">
        <v>178.7</v>
      </c>
      <c r="J2142" s="24">
        <v>45875</v>
      </c>
      <c r="K2142" s="25">
        <v>1</v>
      </c>
      <c r="L2142" s="25">
        <v>2</v>
      </c>
      <c r="M2142" s="13" t="b">
        <v>0</v>
      </c>
      <c r="O2142" s="25">
        <f t="shared" si="132"/>
        <v>27</v>
      </c>
      <c r="P2142" s="13">
        <f t="shared" si="133"/>
        <v>6.3</v>
      </c>
      <c r="Q2142" s="13" t="str">
        <f t="shared" si="134"/>
        <v/>
      </c>
      <c r="R2142" s="13" t="str">
        <f t="shared" si="135"/>
        <v>Diskon</v>
      </c>
    </row>
    <row r="2143" spans="1:18" x14ac:dyDescent="0.25">
      <c r="A2143" s="13" t="s">
        <v>2155</v>
      </c>
      <c r="B2143" s="13" t="s">
        <v>2191</v>
      </c>
      <c r="C2143" s="13" t="s">
        <v>2199</v>
      </c>
      <c r="D2143" s="13" t="s">
        <v>2206</v>
      </c>
      <c r="E2143" s="13" t="s">
        <v>2209</v>
      </c>
      <c r="F2143" s="13" t="s">
        <v>2217</v>
      </c>
      <c r="G2143" s="13">
        <v>100.56</v>
      </c>
      <c r="H2143" s="44">
        <v>17.3</v>
      </c>
      <c r="I2143" s="13">
        <v>83.16</v>
      </c>
      <c r="J2143" s="24">
        <v>45875</v>
      </c>
      <c r="K2143" s="25">
        <v>21</v>
      </c>
      <c r="L2143" s="25">
        <v>3.6</v>
      </c>
      <c r="M2143" s="13" t="b">
        <v>0</v>
      </c>
      <c r="O2143" s="25">
        <f t="shared" si="132"/>
        <v>27</v>
      </c>
      <c r="P2143" s="13">
        <f t="shared" si="133"/>
        <v>363.3</v>
      </c>
      <c r="Q2143" s="13" t="str">
        <f t="shared" si="134"/>
        <v/>
      </c>
      <c r="R2143" s="13" t="str">
        <f t="shared" si="135"/>
        <v>Diskon</v>
      </c>
    </row>
    <row r="2144" spans="1:18" x14ac:dyDescent="0.25">
      <c r="A2144" s="13" t="s">
        <v>2156</v>
      </c>
      <c r="B2144" s="13" t="s">
        <v>2190</v>
      </c>
      <c r="C2144" s="13" t="s">
        <v>2203</v>
      </c>
      <c r="D2144" s="13" t="s">
        <v>2207</v>
      </c>
      <c r="E2144" s="13" t="s">
        <v>2211</v>
      </c>
      <c r="F2144" s="13" t="s">
        <v>2215</v>
      </c>
      <c r="G2144" s="13">
        <v>221.59</v>
      </c>
      <c r="H2144" s="44">
        <v>8.6</v>
      </c>
      <c r="I2144" s="13">
        <v>202.53</v>
      </c>
      <c r="J2144" s="24">
        <v>45875</v>
      </c>
      <c r="K2144" s="25">
        <v>5</v>
      </c>
      <c r="L2144" s="25">
        <v>2.9718749999999998</v>
      </c>
      <c r="M2144" s="13" t="b">
        <v>0</v>
      </c>
      <c r="O2144" s="25">
        <f t="shared" si="132"/>
        <v>27</v>
      </c>
      <c r="P2144" s="13">
        <f t="shared" si="133"/>
        <v>43</v>
      </c>
      <c r="Q2144" s="13" t="str">
        <f t="shared" si="134"/>
        <v/>
      </c>
      <c r="R2144" s="13" t="str">
        <f t="shared" si="135"/>
        <v>Diskon</v>
      </c>
    </row>
    <row r="2145" spans="1:18" x14ac:dyDescent="0.25">
      <c r="A2145" s="13" t="s">
        <v>2157</v>
      </c>
      <c r="B2145" s="13" t="s">
        <v>2194</v>
      </c>
      <c r="C2145" s="13" t="s">
        <v>2202</v>
      </c>
      <c r="D2145" s="13" t="s">
        <v>2207</v>
      </c>
      <c r="E2145" s="13" t="s">
        <v>2209</v>
      </c>
      <c r="F2145" s="13" t="s">
        <v>2221</v>
      </c>
      <c r="G2145" s="13">
        <v>55.21</v>
      </c>
      <c r="H2145" s="44">
        <v>0</v>
      </c>
      <c r="I2145" s="13">
        <v>55.21</v>
      </c>
      <c r="J2145" s="24">
        <v>45875</v>
      </c>
      <c r="K2145" s="25">
        <v>21</v>
      </c>
      <c r="L2145" s="25">
        <v>1.8</v>
      </c>
      <c r="M2145" s="13" t="b">
        <v>1</v>
      </c>
      <c r="N2145" s="13" t="s">
        <v>2230</v>
      </c>
      <c r="O2145" s="25">
        <f t="shared" si="132"/>
        <v>27</v>
      </c>
      <c r="P2145" s="13">
        <f t="shared" si="133"/>
        <v>0</v>
      </c>
      <c r="Q2145" s="13">
        <f t="shared" si="134"/>
        <v>1</v>
      </c>
      <c r="R2145" s="13" t="str">
        <f t="shared" si="135"/>
        <v>Non diskon</v>
      </c>
    </row>
    <row r="2146" spans="1:18" x14ac:dyDescent="0.25">
      <c r="A2146" s="13" t="s">
        <v>2158</v>
      </c>
      <c r="B2146" s="13" t="s">
        <v>2192</v>
      </c>
      <c r="C2146" s="13" t="s">
        <v>2197</v>
      </c>
      <c r="D2146" s="13" t="s">
        <v>2206</v>
      </c>
      <c r="F2146" s="13" t="s">
        <v>2216</v>
      </c>
      <c r="G2146" s="13">
        <v>17.87</v>
      </c>
      <c r="H2146" s="44">
        <v>0</v>
      </c>
      <c r="I2146" s="13">
        <v>17.87</v>
      </c>
      <c r="J2146" s="24">
        <v>45875</v>
      </c>
      <c r="K2146" s="25">
        <v>47</v>
      </c>
      <c r="L2146" s="25">
        <v>3.1288461538461547</v>
      </c>
      <c r="M2146" s="13" t="b">
        <v>0</v>
      </c>
      <c r="O2146" s="25">
        <f t="shared" si="132"/>
        <v>27</v>
      </c>
      <c r="P2146" s="13">
        <f t="shared" si="133"/>
        <v>0</v>
      </c>
      <c r="Q2146" s="13" t="str">
        <f t="shared" si="134"/>
        <v/>
      </c>
      <c r="R2146" s="13" t="str">
        <f t="shared" si="135"/>
        <v>Non diskon</v>
      </c>
    </row>
    <row r="2147" spans="1:18" x14ac:dyDescent="0.25">
      <c r="A2147" s="13" t="s">
        <v>2159</v>
      </c>
      <c r="B2147" s="13" t="s">
        <v>2194</v>
      </c>
      <c r="C2147" s="13" t="s">
        <v>2197</v>
      </c>
      <c r="D2147" s="13" t="s">
        <v>2207</v>
      </c>
      <c r="E2147" s="13" t="s">
        <v>2212</v>
      </c>
      <c r="F2147" s="13" t="s">
        <v>2215</v>
      </c>
      <c r="G2147" s="13">
        <v>56.57</v>
      </c>
      <c r="H2147" s="44">
        <v>0</v>
      </c>
      <c r="I2147" s="13">
        <v>56.57</v>
      </c>
      <c r="J2147" s="24">
        <v>45875</v>
      </c>
      <c r="K2147" s="25">
        <v>43</v>
      </c>
      <c r="L2147" s="25">
        <v>4.4000000000000004</v>
      </c>
      <c r="M2147" s="13" t="b">
        <v>1</v>
      </c>
      <c r="N2147" s="13" t="s">
        <v>2226</v>
      </c>
      <c r="O2147" s="25">
        <f t="shared" si="132"/>
        <v>27</v>
      </c>
      <c r="P2147" s="13">
        <f t="shared" si="133"/>
        <v>0</v>
      </c>
      <c r="Q2147" s="13">
        <f t="shared" si="134"/>
        <v>1</v>
      </c>
      <c r="R2147" s="13" t="str">
        <f t="shared" si="135"/>
        <v>Non diskon</v>
      </c>
    </row>
    <row r="2148" spans="1:18" x14ac:dyDescent="0.25">
      <c r="A2148" s="13" t="s">
        <v>2160</v>
      </c>
      <c r="B2148" s="13" t="s">
        <v>2192</v>
      </c>
      <c r="C2148" s="13" t="s">
        <v>2202</v>
      </c>
      <c r="D2148" s="13" t="s">
        <v>2204</v>
      </c>
      <c r="F2148" s="13" t="s">
        <v>2223</v>
      </c>
      <c r="G2148" s="13">
        <v>47.74</v>
      </c>
      <c r="H2148" s="44">
        <v>0</v>
      </c>
      <c r="I2148" s="13">
        <v>47.74</v>
      </c>
      <c r="J2148" s="24">
        <v>45651</v>
      </c>
      <c r="K2148" s="25">
        <v>17</v>
      </c>
      <c r="L2148" s="25">
        <v>2.9</v>
      </c>
      <c r="M2148" s="13" t="b">
        <v>0</v>
      </c>
      <c r="O2148" s="25">
        <f t="shared" si="132"/>
        <v>251</v>
      </c>
      <c r="P2148" s="13">
        <f t="shared" si="133"/>
        <v>0</v>
      </c>
      <c r="Q2148" s="13" t="str">
        <f t="shared" si="134"/>
        <v/>
      </c>
      <c r="R2148" s="13" t="str">
        <f t="shared" si="135"/>
        <v>Non diskon</v>
      </c>
    </row>
    <row r="2149" spans="1:18" x14ac:dyDescent="0.25">
      <c r="A2149" s="13" t="s">
        <v>2161</v>
      </c>
      <c r="B2149" s="13" t="s">
        <v>2195</v>
      </c>
      <c r="C2149" s="13" t="s">
        <v>2198</v>
      </c>
      <c r="D2149" s="13" t="s">
        <v>2206</v>
      </c>
      <c r="E2149" s="13" t="s">
        <v>2213</v>
      </c>
      <c r="F2149" s="13" t="s">
        <v>2222</v>
      </c>
      <c r="G2149" s="13">
        <v>152.88</v>
      </c>
      <c r="H2149" s="44">
        <v>8.9</v>
      </c>
      <c r="I2149" s="13">
        <v>139.27000000000001</v>
      </c>
      <c r="J2149" s="24">
        <v>45875</v>
      </c>
      <c r="K2149" s="25">
        <v>19</v>
      </c>
      <c r="L2149" s="25">
        <v>2.2000000000000002</v>
      </c>
      <c r="M2149" s="13" t="b">
        <v>0</v>
      </c>
      <c r="O2149" s="25">
        <f t="shared" si="132"/>
        <v>27</v>
      </c>
      <c r="P2149" s="13">
        <f t="shared" si="133"/>
        <v>169.1</v>
      </c>
      <c r="Q2149" s="13" t="str">
        <f t="shared" si="134"/>
        <v/>
      </c>
      <c r="R2149" s="13" t="str">
        <f t="shared" si="135"/>
        <v>Diskon</v>
      </c>
    </row>
    <row r="2150" spans="1:18" x14ac:dyDescent="0.25">
      <c r="A2150" s="13" t="s">
        <v>2162</v>
      </c>
      <c r="B2150" s="13" t="s">
        <v>2190</v>
      </c>
      <c r="C2150" s="13" t="s">
        <v>2198</v>
      </c>
      <c r="D2150" s="13" t="s">
        <v>2205</v>
      </c>
      <c r="E2150" s="13" t="s">
        <v>2213</v>
      </c>
      <c r="F2150" s="13" t="s">
        <v>2221</v>
      </c>
      <c r="G2150" s="13">
        <v>199.61</v>
      </c>
      <c r="H2150" s="44">
        <v>37.700000000000003</v>
      </c>
      <c r="I2150" s="13">
        <v>124.36</v>
      </c>
      <c r="J2150" s="24">
        <v>45875</v>
      </c>
      <c r="K2150" s="25">
        <v>6</v>
      </c>
      <c r="L2150" s="25">
        <v>3.0177777777777774</v>
      </c>
      <c r="M2150" s="13" t="b">
        <v>0</v>
      </c>
      <c r="O2150" s="25">
        <f t="shared" si="132"/>
        <v>27</v>
      </c>
      <c r="P2150" s="13">
        <f t="shared" si="133"/>
        <v>226.20000000000002</v>
      </c>
      <c r="Q2150" s="13" t="str">
        <f t="shared" si="134"/>
        <v/>
      </c>
      <c r="R2150" s="13" t="str">
        <f t="shared" si="135"/>
        <v>Diskon</v>
      </c>
    </row>
    <row r="2151" spans="1:18" x14ac:dyDescent="0.25">
      <c r="A2151" s="13" t="s">
        <v>2163</v>
      </c>
      <c r="B2151" s="13" t="s">
        <v>2192</v>
      </c>
      <c r="C2151" s="13" t="s">
        <v>2202</v>
      </c>
      <c r="D2151" s="13" t="s">
        <v>2207</v>
      </c>
      <c r="F2151" s="13" t="s">
        <v>2218</v>
      </c>
      <c r="G2151" s="13">
        <v>57.25</v>
      </c>
      <c r="H2151" s="44">
        <v>0</v>
      </c>
      <c r="I2151" s="13">
        <v>57.25</v>
      </c>
      <c r="J2151" s="24">
        <v>45875</v>
      </c>
      <c r="K2151" s="25">
        <v>22</v>
      </c>
      <c r="L2151" s="25">
        <v>5</v>
      </c>
      <c r="M2151" s="13" t="b">
        <v>0</v>
      </c>
      <c r="O2151" s="25">
        <f t="shared" si="132"/>
        <v>27</v>
      </c>
      <c r="P2151" s="13">
        <f t="shared" si="133"/>
        <v>0</v>
      </c>
      <c r="Q2151" s="13" t="str">
        <f t="shared" si="134"/>
        <v/>
      </c>
      <c r="R2151" s="13" t="str">
        <f t="shared" si="135"/>
        <v>Non diskon</v>
      </c>
    </row>
    <row r="2152" spans="1:18" x14ac:dyDescent="0.25">
      <c r="A2152" s="13" t="s">
        <v>2164</v>
      </c>
      <c r="B2152" s="13" t="s">
        <v>2195</v>
      </c>
      <c r="C2152" s="13" t="s">
        <v>2200</v>
      </c>
      <c r="D2152" s="13" t="s">
        <v>2206</v>
      </c>
      <c r="E2152" s="13" t="s">
        <v>2208</v>
      </c>
      <c r="F2152" s="13" t="s">
        <v>2219</v>
      </c>
      <c r="G2152" s="13">
        <v>134.41</v>
      </c>
      <c r="H2152" s="44">
        <v>55.3</v>
      </c>
      <c r="I2152" s="13">
        <v>60.08</v>
      </c>
      <c r="J2152" s="24">
        <v>45875</v>
      </c>
      <c r="K2152" s="25">
        <v>12</v>
      </c>
      <c r="L2152" s="25">
        <v>3.2</v>
      </c>
      <c r="M2152" s="13" t="b">
        <v>0</v>
      </c>
      <c r="O2152" s="25">
        <f t="shared" si="132"/>
        <v>27</v>
      </c>
      <c r="P2152" s="13">
        <f t="shared" si="133"/>
        <v>663.59999999999991</v>
      </c>
      <c r="Q2152" s="13" t="str">
        <f t="shared" si="134"/>
        <v/>
      </c>
      <c r="R2152" s="13" t="str">
        <f t="shared" si="135"/>
        <v>Diskon</v>
      </c>
    </row>
    <row r="2153" spans="1:18" x14ac:dyDescent="0.25">
      <c r="A2153" s="13" t="s">
        <v>2165</v>
      </c>
      <c r="B2153" s="13" t="s">
        <v>2194</v>
      </c>
      <c r="C2153" s="13" t="s">
        <v>2201</v>
      </c>
      <c r="D2153" s="13" t="s">
        <v>2206</v>
      </c>
      <c r="E2153" s="13" t="s">
        <v>2210</v>
      </c>
      <c r="F2153" s="13" t="s">
        <v>2224</v>
      </c>
      <c r="G2153" s="13">
        <v>111.43</v>
      </c>
      <c r="H2153" s="44">
        <v>43.5</v>
      </c>
      <c r="I2153" s="13">
        <v>62.96</v>
      </c>
      <c r="J2153" s="24">
        <v>45875</v>
      </c>
      <c r="K2153" s="25">
        <v>22</v>
      </c>
      <c r="L2153" s="25">
        <v>4.8</v>
      </c>
      <c r="M2153" s="13" t="b">
        <v>0</v>
      </c>
      <c r="O2153" s="25">
        <f t="shared" si="132"/>
        <v>27</v>
      </c>
      <c r="P2153" s="13">
        <f t="shared" si="133"/>
        <v>957</v>
      </c>
      <c r="Q2153" s="13" t="str">
        <f t="shared" si="134"/>
        <v/>
      </c>
      <c r="R2153" s="13" t="str">
        <f t="shared" si="135"/>
        <v>Diskon</v>
      </c>
    </row>
    <row r="2154" spans="1:18" x14ac:dyDescent="0.25">
      <c r="A2154" s="13" t="s">
        <v>2166</v>
      </c>
      <c r="B2154" s="13" t="s">
        <v>2192</v>
      </c>
      <c r="C2154" s="13" t="s">
        <v>2197</v>
      </c>
      <c r="D2154" s="13" t="s">
        <v>2204</v>
      </c>
      <c r="F2154" s="13" t="s">
        <v>2224</v>
      </c>
      <c r="G2154" s="13">
        <v>15.36</v>
      </c>
      <c r="H2154" s="44">
        <v>36.799999999999997</v>
      </c>
      <c r="I2154" s="13">
        <v>9.7100000000000009</v>
      </c>
      <c r="J2154" s="24">
        <v>45776</v>
      </c>
      <c r="K2154" s="25">
        <v>46</v>
      </c>
      <c r="L2154" s="25">
        <v>2.2999999999999998</v>
      </c>
      <c r="M2154" s="13" t="b">
        <v>0</v>
      </c>
      <c r="O2154" s="25">
        <f t="shared" si="132"/>
        <v>126</v>
      </c>
      <c r="P2154" s="13">
        <f t="shared" si="133"/>
        <v>1692.8</v>
      </c>
      <c r="Q2154" s="13" t="str">
        <f t="shared" si="134"/>
        <v/>
      </c>
      <c r="R2154" s="13" t="str">
        <f t="shared" si="135"/>
        <v>Diskon</v>
      </c>
    </row>
    <row r="2155" spans="1:18" x14ac:dyDescent="0.25">
      <c r="A2155" s="13" t="s">
        <v>2167</v>
      </c>
      <c r="B2155" s="13" t="s">
        <v>2191</v>
      </c>
      <c r="C2155" s="13" t="s">
        <v>2202</v>
      </c>
      <c r="D2155" s="13" t="s">
        <v>2206</v>
      </c>
      <c r="E2155" s="13" t="s">
        <v>2208</v>
      </c>
      <c r="F2155" s="13" t="s">
        <v>2216</v>
      </c>
      <c r="G2155" s="13">
        <v>100.03</v>
      </c>
      <c r="H2155" s="44">
        <v>51.8</v>
      </c>
      <c r="I2155" s="13">
        <v>48.21</v>
      </c>
      <c r="J2155" s="24">
        <v>45875</v>
      </c>
      <c r="K2155" s="25">
        <v>43</v>
      </c>
      <c r="L2155" s="25">
        <v>5</v>
      </c>
      <c r="M2155" s="13" t="b">
        <v>0</v>
      </c>
      <c r="O2155" s="25">
        <f t="shared" si="132"/>
        <v>27</v>
      </c>
      <c r="P2155" s="13">
        <f t="shared" si="133"/>
        <v>2227.4</v>
      </c>
      <c r="Q2155" s="13" t="str">
        <f t="shared" si="134"/>
        <v/>
      </c>
      <c r="R2155" s="13" t="str">
        <f t="shared" si="135"/>
        <v>Diskon</v>
      </c>
    </row>
    <row r="2156" spans="1:18" x14ac:dyDescent="0.25">
      <c r="A2156" s="13" t="s">
        <v>2168</v>
      </c>
      <c r="B2156" s="13" t="s">
        <v>2193</v>
      </c>
      <c r="C2156" s="13" t="s">
        <v>2197</v>
      </c>
      <c r="D2156" s="13" t="s">
        <v>2207</v>
      </c>
      <c r="E2156" s="13" t="s">
        <v>2210</v>
      </c>
      <c r="F2156" s="13" t="s">
        <v>2216</v>
      </c>
      <c r="G2156" s="13">
        <v>173.75</v>
      </c>
      <c r="H2156" s="44">
        <v>19.2</v>
      </c>
      <c r="I2156" s="13">
        <v>140.38999999999999</v>
      </c>
      <c r="J2156" s="24">
        <v>45875</v>
      </c>
      <c r="K2156" s="25">
        <v>38</v>
      </c>
      <c r="L2156" s="25">
        <v>2.8205128205128198</v>
      </c>
      <c r="M2156" s="13" t="b">
        <v>0</v>
      </c>
      <c r="O2156" s="25">
        <f t="shared" si="132"/>
        <v>27</v>
      </c>
      <c r="P2156" s="13">
        <f t="shared" si="133"/>
        <v>729.6</v>
      </c>
      <c r="Q2156" s="13" t="str">
        <f t="shared" si="134"/>
        <v/>
      </c>
      <c r="R2156" s="13" t="str">
        <f t="shared" si="135"/>
        <v>Diskon</v>
      </c>
    </row>
    <row r="2157" spans="1:18" x14ac:dyDescent="0.25">
      <c r="A2157" s="13" t="s">
        <v>2169</v>
      </c>
      <c r="B2157" s="13" t="s">
        <v>2194</v>
      </c>
      <c r="C2157" s="13" t="s">
        <v>2202</v>
      </c>
      <c r="D2157" s="13" t="s">
        <v>2205</v>
      </c>
      <c r="E2157" s="13" t="s">
        <v>2208</v>
      </c>
      <c r="F2157" s="13" t="s">
        <v>2220</v>
      </c>
      <c r="G2157" s="13">
        <v>37.979999999999997</v>
      </c>
      <c r="H2157" s="44">
        <v>15.2</v>
      </c>
      <c r="I2157" s="13">
        <v>32.21</v>
      </c>
      <c r="J2157" s="24">
        <v>45875</v>
      </c>
      <c r="K2157" s="25">
        <v>25</v>
      </c>
      <c r="L2157" s="25">
        <v>3.6</v>
      </c>
      <c r="M2157" s="13" t="b">
        <v>0</v>
      </c>
      <c r="O2157" s="25">
        <f t="shared" si="132"/>
        <v>27</v>
      </c>
      <c r="P2157" s="13">
        <f t="shared" si="133"/>
        <v>380</v>
      </c>
      <c r="Q2157" s="13" t="str">
        <f t="shared" si="134"/>
        <v/>
      </c>
      <c r="R2157" s="13" t="str">
        <f t="shared" si="135"/>
        <v>Diskon</v>
      </c>
    </row>
    <row r="2158" spans="1:18" x14ac:dyDescent="0.25">
      <c r="A2158" s="13" t="s">
        <v>2170</v>
      </c>
      <c r="B2158" s="13" t="s">
        <v>2195</v>
      </c>
      <c r="C2158" s="13" t="s">
        <v>2203</v>
      </c>
      <c r="D2158" s="13" t="s">
        <v>2207</v>
      </c>
      <c r="E2158" s="13" t="s">
        <v>2213</v>
      </c>
      <c r="F2158" s="13" t="s">
        <v>2216</v>
      </c>
      <c r="G2158" s="13">
        <v>154.11000000000001</v>
      </c>
      <c r="H2158" s="44">
        <v>0</v>
      </c>
      <c r="I2158" s="13">
        <v>154.11000000000001</v>
      </c>
      <c r="J2158" s="24">
        <v>45875</v>
      </c>
      <c r="K2158" s="25">
        <v>50</v>
      </c>
      <c r="L2158" s="25">
        <v>3.1</v>
      </c>
      <c r="M2158" s="13" t="b">
        <v>0</v>
      </c>
      <c r="O2158" s="25">
        <f t="shared" si="132"/>
        <v>27</v>
      </c>
      <c r="P2158" s="13">
        <f t="shared" si="133"/>
        <v>0</v>
      </c>
      <c r="Q2158" s="13" t="str">
        <f t="shared" si="134"/>
        <v/>
      </c>
      <c r="R2158" s="13" t="str">
        <f t="shared" si="135"/>
        <v>Non diskon</v>
      </c>
    </row>
    <row r="2159" spans="1:18" x14ac:dyDescent="0.25">
      <c r="A2159" s="13" t="s">
        <v>2171</v>
      </c>
      <c r="B2159" s="13" t="s">
        <v>2192</v>
      </c>
      <c r="C2159" s="13" t="s">
        <v>2201</v>
      </c>
      <c r="D2159" s="13" t="s">
        <v>2204</v>
      </c>
      <c r="F2159" s="13" t="s">
        <v>2223</v>
      </c>
      <c r="G2159" s="13">
        <v>69.8</v>
      </c>
      <c r="H2159" s="44">
        <v>46.9</v>
      </c>
      <c r="I2159" s="13">
        <v>37.06</v>
      </c>
      <c r="J2159" s="24">
        <v>45586</v>
      </c>
      <c r="K2159" s="25">
        <v>26</v>
      </c>
      <c r="L2159" s="25">
        <v>3.8</v>
      </c>
      <c r="M2159" s="13" t="b">
        <v>0</v>
      </c>
      <c r="O2159" s="25">
        <f t="shared" si="132"/>
        <v>316</v>
      </c>
      <c r="P2159" s="13">
        <f t="shared" si="133"/>
        <v>1219.3999999999999</v>
      </c>
      <c r="Q2159" s="13" t="str">
        <f t="shared" si="134"/>
        <v/>
      </c>
      <c r="R2159" s="13" t="str">
        <f t="shared" si="135"/>
        <v>Diskon</v>
      </c>
    </row>
    <row r="2160" spans="1:18" x14ac:dyDescent="0.25">
      <c r="A2160" s="13" t="s">
        <v>2172</v>
      </c>
      <c r="B2160" s="13" t="s">
        <v>2195</v>
      </c>
      <c r="C2160" s="13" t="s">
        <v>2202</v>
      </c>
      <c r="D2160" s="13" t="s">
        <v>2205</v>
      </c>
      <c r="E2160" s="13" t="s">
        <v>2211</v>
      </c>
      <c r="F2160" s="13" t="s">
        <v>2218</v>
      </c>
      <c r="G2160" s="13">
        <v>171.16</v>
      </c>
      <c r="H2160" s="44">
        <v>0</v>
      </c>
      <c r="I2160" s="13">
        <v>171.16</v>
      </c>
      <c r="J2160" s="24">
        <v>45875</v>
      </c>
      <c r="K2160" s="25">
        <v>26</v>
      </c>
      <c r="L2160" s="25">
        <v>4.3</v>
      </c>
      <c r="M2160" s="13" t="b">
        <v>0</v>
      </c>
      <c r="O2160" s="25">
        <f t="shared" si="132"/>
        <v>27</v>
      </c>
      <c r="P2160" s="13">
        <f t="shared" si="133"/>
        <v>0</v>
      </c>
      <c r="Q2160" s="13" t="str">
        <f t="shared" si="134"/>
        <v/>
      </c>
      <c r="R2160" s="13" t="str">
        <f t="shared" si="135"/>
        <v>Non diskon</v>
      </c>
    </row>
    <row r="2161" spans="1:18" x14ac:dyDescent="0.25">
      <c r="A2161" s="13" t="s">
        <v>2173</v>
      </c>
      <c r="B2161" s="13" t="s">
        <v>2190</v>
      </c>
      <c r="C2161" s="13" t="s">
        <v>2196</v>
      </c>
      <c r="D2161" s="13" t="s">
        <v>2207</v>
      </c>
      <c r="E2161" s="13" t="s">
        <v>2211</v>
      </c>
      <c r="F2161" s="13" t="s">
        <v>2217</v>
      </c>
      <c r="G2161" s="13">
        <v>118.57</v>
      </c>
      <c r="H2161" s="44">
        <v>0</v>
      </c>
      <c r="I2161" s="13">
        <v>118.57</v>
      </c>
      <c r="J2161" s="24">
        <v>45875</v>
      </c>
      <c r="K2161" s="25">
        <v>6</v>
      </c>
      <c r="L2161" s="25">
        <v>1.4</v>
      </c>
      <c r="M2161" s="13" t="b">
        <v>1</v>
      </c>
      <c r="N2161" s="13" t="s">
        <v>2228</v>
      </c>
      <c r="O2161" s="25">
        <f t="shared" si="132"/>
        <v>27</v>
      </c>
      <c r="P2161" s="13">
        <f t="shared" si="133"/>
        <v>0</v>
      </c>
      <c r="Q2161" s="13">
        <f t="shared" si="134"/>
        <v>1</v>
      </c>
      <c r="R2161" s="13" t="str">
        <f t="shared" si="135"/>
        <v>Non diskon</v>
      </c>
    </row>
    <row r="2162" spans="1:18" x14ac:dyDescent="0.25">
      <c r="A2162" s="13" t="s">
        <v>2174</v>
      </c>
      <c r="B2162" s="13" t="s">
        <v>2195</v>
      </c>
      <c r="C2162" s="13" t="s">
        <v>2199</v>
      </c>
      <c r="D2162" s="13" t="s">
        <v>2205</v>
      </c>
      <c r="E2162" s="13" t="s">
        <v>2211</v>
      </c>
      <c r="F2162" s="13" t="s">
        <v>2215</v>
      </c>
      <c r="G2162" s="13">
        <v>118.46</v>
      </c>
      <c r="H2162" s="44">
        <v>0</v>
      </c>
      <c r="I2162" s="13">
        <v>118.46</v>
      </c>
      <c r="J2162" s="24">
        <v>45875</v>
      </c>
      <c r="K2162" s="25">
        <v>40</v>
      </c>
      <c r="L2162" s="25">
        <v>2.2999999999999998</v>
      </c>
      <c r="M2162" s="13" t="b">
        <v>0</v>
      </c>
      <c r="O2162" s="25">
        <f t="shared" si="132"/>
        <v>27</v>
      </c>
      <c r="P2162" s="13">
        <f t="shared" si="133"/>
        <v>0</v>
      </c>
      <c r="Q2162" s="13" t="str">
        <f t="shared" si="134"/>
        <v/>
      </c>
      <c r="R2162" s="13" t="str">
        <f t="shared" si="135"/>
        <v>Non diskon</v>
      </c>
    </row>
    <row r="2163" spans="1:18" x14ac:dyDescent="0.25">
      <c r="A2163" s="13" t="s">
        <v>2175</v>
      </c>
      <c r="B2163" s="13" t="s">
        <v>2193</v>
      </c>
      <c r="C2163" s="13" t="s">
        <v>2196</v>
      </c>
      <c r="D2163" s="13" t="s">
        <v>2207</v>
      </c>
      <c r="E2163" s="13" t="s">
        <v>2209</v>
      </c>
      <c r="F2163" s="13" t="s">
        <v>2220</v>
      </c>
      <c r="G2163" s="13">
        <v>122.7</v>
      </c>
      <c r="H2163" s="44">
        <v>0</v>
      </c>
      <c r="I2163" s="13">
        <v>122.7</v>
      </c>
      <c r="J2163" s="24">
        <v>45875</v>
      </c>
      <c r="K2163" s="25">
        <v>9</v>
      </c>
      <c r="L2163" s="25">
        <v>2.9153846153846157</v>
      </c>
      <c r="M2163" s="13" t="b">
        <v>0</v>
      </c>
      <c r="O2163" s="25">
        <f t="shared" si="132"/>
        <v>27</v>
      </c>
      <c r="P2163" s="13">
        <f t="shared" si="133"/>
        <v>0</v>
      </c>
      <c r="Q2163" s="13" t="str">
        <f t="shared" si="134"/>
        <v/>
      </c>
      <c r="R2163" s="13" t="str">
        <f t="shared" si="135"/>
        <v>Non diskon</v>
      </c>
    </row>
    <row r="2164" spans="1:18" x14ac:dyDescent="0.25">
      <c r="A2164" s="13" t="s">
        <v>2176</v>
      </c>
      <c r="B2164" s="13" t="s">
        <v>2192</v>
      </c>
      <c r="C2164" s="13" t="s">
        <v>2202</v>
      </c>
      <c r="D2164" s="13" t="s">
        <v>2204</v>
      </c>
      <c r="F2164" s="13" t="s">
        <v>2216</v>
      </c>
      <c r="G2164" s="13">
        <v>68.2</v>
      </c>
      <c r="H2164" s="44">
        <v>0</v>
      </c>
      <c r="I2164" s="13">
        <v>68.2</v>
      </c>
      <c r="J2164" s="24">
        <v>45752</v>
      </c>
      <c r="K2164" s="25">
        <v>2</v>
      </c>
      <c r="L2164" s="25">
        <v>3.8</v>
      </c>
      <c r="M2164" s="13" t="b">
        <v>0</v>
      </c>
      <c r="O2164" s="25">
        <f t="shared" si="132"/>
        <v>150</v>
      </c>
      <c r="P2164" s="13">
        <f t="shared" si="133"/>
        <v>0</v>
      </c>
      <c r="Q2164" s="13" t="str">
        <f t="shared" si="134"/>
        <v/>
      </c>
      <c r="R2164" s="13" t="str">
        <f t="shared" si="135"/>
        <v>Non diskon</v>
      </c>
    </row>
    <row r="2165" spans="1:18" x14ac:dyDescent="0.25">
      <c r="A2165" s="13" t="s">
        <v>2177</v>
      </c>
      <c r="B2165" s="13" t="s">
        <v>2193</v>
      </c>
      <c r="C2165" s="13" t="s">
        <v>2200</v>
      </c>
      <c r="D2165" s="13" t="s">
        <v>2204</v>
      </c>
      <c r="E2165" s="13" t="s">
        <v>2208</v>
      </c>
      <c r="F2165" s="13" t="s">
        <v>2217</v>
      </c>
      <c r="G2165" s="13">
        <v>178.56</v>
      </c>
      <c r="H2165" s="44">
        <v>0</v>
      </c>
      <c r="I2165" s="13">
        <v>178.56</v>
      </c>
      <c r="J2165" s="24">
        <v>45732</v>
      </c>
      <c r="K2165" s="25">
        <v>46</v>
      </c>
      <c r="L2165" s="25">
        <v>2.6</v>
      </c>
      <c r="M2165" s="13" t="b">
        <v>0</v>
      </c>
      <c r="O2165" s="25">
        <f t="shared" si="132"/>
        <v>170</v>
      </c>
      <c r="P2165" s="13">
        <f t="shared" si="133"/>
        <v>0</v>
      </c>
      <c r="Q2165" s="13" t="str">
        <f t="shared" si="134"/>
        <v/>
      </c>
      <c r="R2165" s="13" t="str">
        <f t="shared" si="135"/>
        <v>Non diskon</v>
      </c>
    </row>
    <row r="2166" spans="1:18" x14ac:dyDescent="0.25">
      <c r="A2166" s="13" t="s">
        <v>2178</v>
      </c>
      <c r="B2166" s="13" t="s">
        <v>2192</v>
      </c>
      <c r="C2166" s="13" t="s">
        <v>2197</v>
      </c>
      <c r="D2166" s="13" t="s">
        <v>2207</v>
      </c>
      <c r="F2166" s="13" t="s">
        <v>2220</v>
      </c>
      <c r="G2166" s="13">
        <v>30.46</v>
      </c>
      <c r="H2166" s="44">
        <v>31.4</v>
      </c>
      <c r="I2166" s="13">
        <v>20.9</v>
      </c>
      <c r="J2166" s="24">
        <v>45875</v>
      </c>
      <c r="K2166" s="25">
        <v>40</v>
      </c>
      <c r="L2166" s="25">
        <v>2.4</v>
      </c>
      <c r="M2166" s="13" t="b">
        <v>0</v>
      </c>
      <c r="O2166" s="25">
        <f t="shared" si="132"/>
        <v>27</v>
      </c>
      <c r="P2166" s="13">
        <f t="shared" si="133"/>
        <v>1256</v>
      </c>
      <c r="Q2166" s="13" t="str">
        <f t="shared" si="134"/>
        <v/>
      </c>
      <c r="R2166" s="13" t="str">
        <f t="shared" si="135"/>
        <v>Diskon</v>
      </c>
    </row>
    <row r="2167" spans="1:18" x14ac:dyDescent="0.25">
      <c r="A2167" s="13" t="s">
        <v>2179</v>
      </c>
      <c r="B2167" s="13" t="s">
        <v>2192</v>
      </c>
      <c r="C2167" s="13" t="s">
        <v>2198</v>
      </c>
      <c r="D2167" s="13" t="s">
        <v>2207</v>
      </c>
      <c r="F2167" s="13" t="s">
        <v>2216</v>
      </c>
      <c r="G2167" s="13">
        <v>76.08</v>
      </c>
      <c r="H2167" s="44">
        <v>0</v>
      </c>
      <c r="I2167" s="13">
        <v>76.08</v>
      </c>
      <c r="J2167" s="24">
        <v>45875</v>
      </c>
      <c r="K2167" s="25">
        <v>6</v>
      </c>
      <c r="L2167" s="25">
        <v>4.9000000000000004</v>
      </c>
      <c r="M2167" s="13" t="b">
        <v>0</v>
      </c>
      <c r="O2167" s="25">
        <f t="shared" si="132"/>
        <v>27</v>
      </c>
      <c r="P2167" s="13">
        <f t="shared" si="133"/>
        <v>0</v>
      </c>
      <c r="Q2167" s="13" t="str">
        <f t="shared" si="134"/>
        <v/>
      </c>
      <c r="R2167" s="13" t="str">
        <f t="shared" si="135"/>
        <v>Non diskon</v>
      </c>
    </row>
    <row r="2168" spans="1:18" x14ac:dyDescent="0.25">
      <c r="A2168" s="13" t="s">
        <v>2180</v>
      </c>
      <c r="B2168" s="13" t="s">
        <v>2193</v>
      </c>
      <c r="C2168" s="13" t="s">
        <v>2198</v>
      </c>
      <c r="D2168" s="13" t="s">
        <v>2205</v>
      </c>
      <c r="E2168" s="13" t="s">
        <v>2213</v>
      </c>
      <c r="F2168" s="13" t="s">
        <v>2224</v>
      </c>
      <c r="G2168" s="13">
        <v>116.15</v>
      </c>
      <c r="H2168" s="44">
        <v>16.5</v>
      </c>
      <c r="I2168" s="13">
        <v>96.99</v>
      </c>
      <c r="J2168" s="24">
        <v>45875</v>
      </c>
      <c r="K2168" s="25">
        <v>11</v>
      </c>
      <c r="L2168" s="25">
        <v>3</v>
      </c>
      <c r="M2168" s="13" t="b">
        <v>0</v>
      </c>
      <c r="O2168" s="25">
        <f t="shared" si="132"/>
        <v>27</v>
      </c>
      <c r="P2168" s="13">
        <f t="shared" si="133"/>
        <v>181.5</v>
      </c>
      <c r="Q2168" s="13" t="str">
        <f t="shared" si="134"/>
        <v/>
      </c>
      <c r="R2168" s="13" t="str">
        <f t="shared" si="135"/>
        <v>Diskon</v>
      </c>
    </row>
    <row r="2169" spans="1:18" x14ac:dyDescent="0.25">
      <c r="A2169" s="13" t="s">
        <v>2181</v>
      </c>
      <c r="B2169" s="13" t="s">
        <v>2193</v>
      </c>
      <c r="C2169" s="13" t="s">
        <v>2200</v>
      </c>
      <c r="D2169" s="13" t="s">
        <v>2205</v>
      </c>
      <c r="E2169" s="13" t="s">
        <v>2212</v>
      </c>
      <c r="F2169" s="13" t="s">
        <v>2217</v>
      </c>
      <c r="G2169" s="13">
        <v>98.22</v>
      </c>
      <c r="H2169" s="44">
        <v>0</v>
      </c>
      <c r="I2169" s="13">
        <v>98.22</v>
      </c>
      <c r="J2169" s="24">
        <v>45875</v>
      </c>
      <c r="K2169" s="25">
        <v>27</v>
      </c>
      <c r="L2169" s="25">
        <v>3.3</v>
      </c>
      <c r="M2169" s="13" t="b">
        <v>0</v>
      </c>
      <c r="O2169" s="25">
        <f t="shared" si="132"/>
        <v>27</v>
      </c>
      <c r="P2169" s="13">
        <f t="shared" si="133"/>
        <v>0</v>
      </c>
      <c r="Q2169" s="13" t="str">
        <f t="shared" si="134"/>
        <v/>
      </c>
      <c r="R2169" s="13" t="str">
        <f t="shared" si="135"/>
        <v>Non diskon</v>
      </c>
    </row>
    <row r="2170" spans="1:18" x14ac:dyDescent="0.25">
      <c r="A2170" s="13" t="s">
        <v>2182</v>
      </c>
      <c r="B2170" s="13" t="s">
        <v>2193</v>
      </c>
      <c r="C2170" s="13" t="s">
        <v>2201</v>
      </c>
      <c r="D2170" s="13" t="s">
        <v>2205</v>
      </c>
      <c r="F2170" s="13" t="s">
        <v>2221</v>
      </c>
      <c r="G2170" s="13">
        <v>66.58</v>
      </c>
      <c r="H2170" s="44">
        <v>0</v>
      </c>
      <c r="I2170" s="13">
        <v>66.58</v>
      </c>
      <c r="J2170" s="24">
        <v>45875</v>
      </c>
      <c r="K2170" s="25">
        <v>45</v>
      </c>
      <c r="L2170" s="25">
        <v>3.4</v>
      </c>
      <c r="M2170" s="13" t="b">
        <v>0</v>
      </c>
      <c r="O2170" s="25">
        <f t="shared" si="132"/>
        <v>27</v>
      </c>
      <c r="P2170" s="13">
        <f t="shared" si="133"/>
        <v>0</v>
      </c>
      <c r="Q2170" s="13" t="str">
        <f t="shared" si="134"/>
        <v/>
      </c>
      <c r="R2170" s="13" t="str">
        <f t="shared" si="135"/>
        <v>Non diskon</v>
      </c>
    </row>
    <row r="2171" spans="1:18" x14ac:dyDescent="0.25">
      <c r="A2171" s="13" t="s">
        <v>2183</v>
      </c>
      <c r="B2171" s="13" t="s">
        <v>2192</v>
      </c>
      <c r="C2171" s="13" t="s">
        <v>2197</v>
      </c>
      <c r="D2171" s="13" t="s">
        <v>2204</v>
      </c>
      <c r="F2171" s="13" t="s">
        <v>2221</v>
      </c>
      <c r="G2171" s="13">
        <v>69.22</v>
      </c>
      <c r="H2171" s="44">
        <v>0</v>
      </c>
      <c r="I2171" s="13">
        <v>69.22</v>
      </c>
      <c r="J2171" s="24">
        <v>45540</v>
      </c>
      <c r="K2171" s="25">
        <v>42</v>
      </c>
      <c r="L2171" s="25">
        <v>3.8</v>
      </c>
      <c r="M2171" s="13" t="b">
        <v>0</v>
      </c>
      <c r="O2171" s="25">
        <f t="shared" si="132"/>
        <v>362</v>
      </c>
      <c r="P2171" s="13">
        <f t="shared" si="133"/>
        <v>0</v>
      </c>
      <c r="Q2171" s="13" t="str">
        <f t="shared" si="134"/>
        <v/>
      </c>
      <c r="R2171" s="13" t="str">
        <f t="shared" si="135"/>
        <v>Non diskon</v>
      </c>
    </row>
    <row r="2172" spans="1:18" x14ac:dyDescent="0.25">
      <c r="A2172" s="13" t="s">
        <v>2184</v>
      </c>
      <c r="B2172" s="13" t="s">
        <v>2191</v>
      </c>
      <c r="C2172" s="13" t="s">
        <v>2197</v>
      </c>
      <c r="D2172" s="13" t="s">
        <v>2205</v>
      </c>
      <c r="E2172" s="13" t="s">
        <v>2208</v>
      </c>
      <c r="F2172" s="13" t="s">
        <v>2216</v>
      </c>
      <c r="G2172" s="13">
        <v>85.01</v>
      </c>
      <c r="H2172" s="44">
        <v>0</v>
      </c>
      <c r="I2172" s="13">
        <v>85.01</v>
      </c>
      <c r="J2172" s="24">
        <v>45875</v>
      </c>
      <c r="K2172" s="25">
        <v>39</v>
      </c>
      <c r="L2172" s="25">
        <v>4.3</v>
      </c>
      <c r="M2172" s="13" t="b">
        <v>0</v>
      </c>
      <c r="O2172" s="25">
        <f t="shared" si="132"/>
        <v>27</v>
      </c>
      <c r="P2172" s="13">
        <f t="shared" si="133"/>
        <v>0</v>
      </c>
      <c r="Q2172" s="13" t="str">
        <f t="shared" si="134"/>
        <v/>
      </c>
      <c r="R2172" s="13" t="str">
        <f t="shared" si="135"/>
        <v>Non diskon</v>
      </c>
    </row>
    <row r="2173" spans="1:18" x14ac:dyDescent="0.25">
      <c r="A2173" s="13" t="s">
        <v>2185</v>
      </c>
      <c r="B2173" s="13" t="s">
        <v>2191</v>
      </c>
      <c r="C2173" s="13" t="s">
        <v>2199</v>
      </c>
      <c r="D2173" s="13" t="s">
        <v>2207</v>
      </c>
      <c r="E2173" s="13" t="s">
        <v>2208</v>
      </c>
      <c r="F2173" s="13" t="s">
        <v>2216</v>
      </c>
      <c r="G2173" s="13">
        <v>31.41</v>
      </c>
      <c r="H2173" s="44">
        <v>0</v>
      </c>
      <c r="I2173" s="13">
        <v>31.41</v>
      </c>
      <c r="J2173" s="24">
        <v>45875</v>
      </c>
      <c r="K2173" s="25">
        <v>10</v>
      </c>
      <c r="L2173" s="25">
        <v>2.1</v>
      </c>
      <c r="M2173" s="13" t="b">
        <v>0</v>
      </c>
      <c r="O2173" s="25">
        <f t="shared" si="132"/>
        <v>27</v>
      </c>
      <c r="P2173" s="13">
        <f t="shared" si="133"/>
        <v>0</v>
      </c>
      <c r="Q2173" s="13" t="str">
        <f t="shared" si="134"/>
        <v/>
      </c>
      <c r="R2173" s="13" t="str">
        <f t="shared" si="135"/>
        <v>Non diskon</v>
      </c>
    </row>
    <row r="2174" spans="1:18" x14ac:dyDescent="0.25">
      <c r="A2174" s="13" t="s">
        <v>2186</v>
      </c>
      <c r="B2174" s="13" t="s">
        <v>2195</v>
      </c>
      <c r="C2174" s="13" t="s">
        <v>2198</v>
      </c>
      <c r="D2174" s="13" t="s">
        <v>2205</v>
      </c>
      <c r="E2174" s="13" t="s">
        <v>2209</v>
      </c>
      <c r="F2174" s="13" t="s">
        <v>2224</v>
      </c>
      <c r="G2174" s="13">
        <v>50.58</v>
      </c>
      <c r="H2174" s="44">
        <v>0</v>
      </c>
      <c r="I2174" s="13">
        <v>50.58</v>
      </c>
      <c r="J2174" s="24">
        <v>45875</v>
      </c>
      <c r="K2174" s="25">
        <v>1</v>
      </c>
      <c r="L2174" s="25">
        <v>3.1</v>
      </c>
      <c r="M2174" s="13" t="b">
        <v>1</v>
      </c>
      <c r="N2174" s="13" t="s">
        <v>2229</v>
      </c>
      <c r="O2174" s="25">
        <f t="shared" si="132"/>
        <v>27</v>
      </c>
      <c r="P2174" s="13">
        <f t="shared" si="133"/>
        <v>0</v>
      </c>
      <c r="Q2174" s="13">
        <f t="shared" si="134"/>
        <v>1</v>
      </c>
      <c r="R2174" s="13" t="str">
        <f t="shared" si="135"/>
        <v>Non diskon</v>
      </c>
    </row>
    <row r="2175" spans="1:18" x14ac:dyDescent="0.25">
      <c r="A2175" s="13" t="s">
        <v>2187</v>
      </c>
      <c r="B2175" s="13" t="s">
        <v>2192</v>
      </c>
      <c r="C2175" s="13" t="s">
        <v>2198</v>
      </c>
      <c r="D2175" s="13" t="s">
        <v>2205</v>
      </c>
      <c r="F2175" s="13" t="s">
        <v>2221</v>
      </c>
      <c r="G2175" s="13">
        <v>79.37</v>
      </c>
      <c r="H2175" s="44">
        <v>54.8</v>
      </c>
      <c r="I2175" s="13">
        <v>35.880000000000003</v>
      </c>
      <c r="J2175" s="24">
        <v>45875</v>
      </c>
      <c r="K2175" s="25">
        <v>40</v>
      </c>
      <c r="L2175" s="25">
        <v>2.6</v>
      </c>
      <c r="M2175" s="13" t="b">
        <v>0</v>
      </c>
      <c r="O2175" s="25">
        <f t="shared" si="132"/>
        <v>27</v>
      </c>
      <c r="P2175" s="13">
        <f t="shared" si="133"/>
        <v>2192</v>
      </c>
      <c r="Q2175" s="13" t="str">
        <f t="shared" si="134"/>
        <v/>
      </c>
      <c r="R2175" s="13" t="str">
        <f t="shared" si="135"/>
        <v>Diskon</v>
      </c>
    </row>
    <row r="2176" spans="1:18" x14ac:dyDescent="0.25">
      <c r="A2176" s="13" t="s">
        <v>2188</v>
      </c>
      <c r="B2176" s="13" t="s">
        <v>2194</v>
      </c>
      <c r="C2176" s="13" t="s">
        <v>2201</v>
      </c>
      <c r="D2176" s="13" t="s">
        <v>2207</v>
      </c>
      <c r="E2176" s="13" t="s">
        <v>2208</v>
      </c>
      <c r="F2176" s="13" t="s">
        <v>2215</v>
      </c>
      <c r="G2176" s="13">
        <v>105.52</v>
      </c>
      <c r="H2176" s="44">
        <v>0</v>
      </c>
      <c r="I2176" s="13">
        <v>105.52</v>
      </c>
      <c r="J2176" s="24">
        <v>45875</v>
      </c>
      <c r="K2176" s="25">
        <v>20</v>
      </c>
      <c r="L2176" s="25">
        <v>4.9000000000000004</v>
      </c>
      <c r="M2176" s="13" t="b">
        <v>1</v>
      </c>
      <c r="N2176" s="13" t="s">
        <v>2226</v>
      </c>
      <c r="O2176" s="25">
        <f t="shared" si="132"/>
        <v>27</v>
      </c>
      <c r="P2176" s="13">
        <f t="shared" si="133"/>
        <v>0</v>
      </c>
      <c r="Q2176" s="13">
        <f t="shared" si="134"/>
        <v>1</v>
      </c>
      <c r="R2176" s="13" t="str">
        <f t="shared" si="135"/>
        <v>Non diskon</v>
      </c>
    </row>
    <row r="2177" spans="1:18" x14ac:dyDescent="0.25">
      <c r="A2177" s="13" t="s">
        <v>2189</v>
      </c>
      <c r="B2177" s="13" t="s">
        <v>2193</v>
      </c>
      <c r="C2177" s="13" t="s">
        <v>2201</v>
      </c>
      <c r="D2177" s="13" t="s">
        <v>2207</v>
      </c>
      <c r="E2177" s="13" t="s">
        <v>2211</v>
      </c>
      <c r="F2177" s="13" t="s">
        <v>2217</v>
      </c>
      <c r="G2177" s="13">
        <v>154.02000000000001</v>
      </c>
      <c r="H2177" s="44">
        <v>0</v>
      </c>
      <c r="I2177" s="13">
        <v>154.02000000000001</v>
      </c>
      <c r="J2177" s="24">
        <v>45875</v>
      </c>
      <c r="K2177" s="25">
        <v>23</v>
      </c>
      <c r="L2177" s="25">
        <v>1.3</v>
      </c>
      <c r="M2177" s="13" t="b">
        <v>0</v>
      </c>
      <c r="O2177" s="25">
        <f t="shared" si="132"/>
        <v>27</v>
      </c>
      <c r="P2177" s="13">
        <f t="shared" si="133"/>
        <v>0</v>
      </c>
      <c r="Q2177" s="13" t="str">
        <f t="shared" si="134"/>
        <v/>
      </c>
      <c r="R2177" s="13" t="str">
        <f t="shared" si="135"/>
        <v>Non diskon</v>
      </c>
    </row>
  </sheetData>
  <sheetProtection password="C6E1" sheet="1" objects="1" scenarios="1" selectLockedCells="1" selectUnlockedCells="1"/>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77"/>
  <sheetViews>
    <sheetView showGridLines="0" zoomScale="70" zoomScaleNormal="70" workbookViewId="0">
      <selection activeCell="C29" sqref="C29"/>
    </sheetView>
  </sheetViews>
  <sheetFormatPr defaultColWidth="21.25" defaultRowHeight="15" x14ac:dyDescent="0.25"/>
  <cols>
    <col min="1" max="1" width="3.625" style="13" customWidth="1"/>
    <col min="2" max="3" width="21.25" style="13"/>
    <col min="4" max="4" width="5.5" style="13" customWidth="1"/>
    <col min="5" max="12" width="23.25" style="13" customWidth="1"/>
    <col min="13" max="13" width="5.875" style="13" customWidth="1"/>
    <col min="14" max="14" width="8" style="13" customWidth="1"/>
    <col min="15" max="15" width="5.5" style="13" customWidth="1"/>
    <col min="16" max="16" width="17.375" style="13" customWidth="1"/>
    <col min="17" max="17" width="26.25" style="13" customWidth="1"/>
    <col min="18" max="18" width="8" style="13" customWidth="1"/>
    <col min="19" max="19" width="6.75" style="13" customWidth="1"/>
    <col min="20" max="20" width="8.625" style="13" customWidth="1"/>
    <col min="21" max="21" width="7" style="13" customWidth="1"/>
    <col min="22" max="22" width="8.625" style="13" customWidth="1"/>
    <col min="23" max="23" width="7.25" style="13" customWidth="1"/>
    <col min="24" max="24" width="6.625" style="13" customWidth="1"/>
    <col min="25" max="25" width="9" style="13" customWidth="1"/>
    <col min="26" max="26" width="6.25" style="13" customWidth="1"/>
    <col min="27" max="27" width="8" style="13" customWidth="1"/>
    <col min="28" max="28" width="17.25" style="13" customWidth="1"/>
    <col min="29" max="29" width="14.75" style="13" customWidth="1"/>
    <col min="30" max="30" width="8" style="13" customWidth="1"/>
    <col min="31" max="31" width="6.75" style="13" customWidth="1"/>
    <col min="32" max="32" width="8.625" style="13" customWidth="1"/>
    <col min="33" max="33" width="7" style="13" customWidth="1"/>
    <col min="34" max="34" width="36.125" style="13" customWidth="1"/>
    <col min="35" max="35" width="24" style="13" customWidth="1"/>
    <col min="36" max="36" width="6.625" style="13" customWidth="1"/>
    <col min="37" max="37" width="9" style="13" customWidth="1"/>
    <col min="38" max="38" width="6.25" style="13" customWidth="1"/>
    <col min="39" max="39" width="8" style="13" customWidth="1"/>
    <col min="40" max="40" width="19.875" style="13" customWidth="1"/>
    <col min="41" max="41" width="10.25" style="13" customWidth="1"/>
    <col min="42" max="42" width="8" style="13" customWidth="1"/>
    <col min="43" max="43" width="6.75" style="13" customWidth="1"/>
    <col min="44" max="44" width="8.625" style="13" customWidth="1"/>
    <col min="45" max="45" width="7" style="13" customWidth="1"/>
    <col min="46" max="46" width="8.625" style="13" customWidth="1"/>
    <col min="47" max="47" width="7.25" style="13" customWidth="1"/>
    <col min="48" max="48" width="6.625" style="13" customWidth="1"/>
    <col min="49" max="49" width="9" style="13" customWidth="1"/>
    <col min="50" max="50" width="6.25" style="13" customWidth="1"/>
    <col min="51" max="51" width="8" style="13" customWidth="1"/>
    <col min="52" max="52" width="15.25" style="13" customWidth="1"/>
    <col min="53" max="53" width="8.625" style="13" customWidth="1"/>
    <col min="54" max="54" width="8" style="13" customWidth="1"/>
    <col min="55" max="55" width="6.75" style="13" customWidth="1"/>
    <col min="56" max="56" width="8.625" style="13" customWidth="1"/>
    <col min="57" max="57" width="7" style="13" customWidth="1"/>
    <col min="58" max="58" width="8.625" style="13" customWidth="1"/>
    <col min="59" max="59" width="7.25" style="13" customWidth="1"/>
    <col min="60" max="60" width="6.625" style="13" customWidth="1"/>
    <col min="61" max="61" width="9" style="13" customWidth="1"/>
    <col min="62" max="62" width="6.25" style="13" customWidth="1"/>
    <col min="63" max="63" width="8" style="13" customWidth="1"/>
    <col min="64" max="64" width="13.5" style="13" customWidth="1"/>
    <col min="65" max="16384" width="21.25" style="13"/>
  </cols>
  <sheetData>
    <row r="1" spans="1:17" x14ac:dyDescent="0.25">
      <c r="A1" s="12" t="s">
        <v>2410</v>
      </c>
    </row>
    <row r="2" spans="1:17" x14ac:dyDescent="0.25">
      <c r="A2" s="13" t="s">
        <v>2233</v>
      </c>
      <c r="B2" s="12" t="s">
        <v>2234</v>
      </c>
      <c r="D2" s="13" t="s">
        <v>2233</v>
      </c>
      <c r="E2" s="12" t="s">
        <v>2234</v>
      </c>
    </row>
    <row r="3" spans="1:17" x14ac:dyDescent="0.25">
      <c r="A3" s="13">
        <v>1</v>
      </c>
      <c r="B3" s="13" t="s">
        <v>2235</v>
      </c>
      <c r="D3" s="13">
        <v>1</v>
      </c>
      <c r="E3" s="13" t="s">
        <v>2365</v>
      </c>
      <c r="G3" s="13" t="s">
        <v>2366</v>
      </c>
    </row>
    <row r="4" spans="1:17" x14ac:dyDescent="0.25">
      <c r="A4" s="13">
        <v>2</v>
      </c>
      <c r="B4" s="13" t="s">
        <v>2236</v>
      </c>
      <c r="E4" s="13" t="s">
        <v>2254</v>
      </c>
      <c r="G4" s="13" t="s">
        <v>2302</v>
      </c>
    </row>
    <row r="5" spans="1:17" x14ac:dyDescent="0.25">
      <c r="A5" s="13">
        <v>3</v>
      </c>
      <c r="B5" s="13" t="s">
        <v>2237</v>
      </c>
      <c r="E5" s="14">
        <v>186047.11999999997</v>
      </c>
      <c r="G5" s="63">
        <v>2176</v>
      </c>
    </row>
    <row r="6" spans="1:17" x14ac:dyDescent="0.25">
      <c r="A6" s="13" t="s">
        <v>2238</v>
      </c>
      <c r="B6" s="12" t="s">
        <v>2239</v>
      </c>
    </row>
    <row r="7" spans="1:17" x14ac:dyDescent="0.25">
      <c r="A7" s="13">
        <v>4</v>
      </c>
      <c r="B7" s="13" t="s">
        <v>2240</v>
      </c>
      <c r="D7" s="13">
        <v>2</v>
      </c>
      <c r="E7" s="13" t="s">
        <v>2255</v>
      </c>
      <c r="P7" s="13" t="s">
        <v>2367</v>
      </c>
    </row>
    <row r="8" spans="1:17" x14ac:dyDescent="0.25">
      <c r="A8" s="13">
        <v>5</v>
      </c>
      <c r="B8" s="13" t="s">
        <v>2241</v>
      </c>
      <c r="E8" s="15" t="s">
        <v>2256</v>
      </c>
      <c r="F8" s="13" t="s">
        <v>2254</v>
      </c>
      <c r="P8" s="15" t="s">
        <v>2256</v>
      </c>
      <c r="Q8" s="13" t="s">
        <v>2302</v>
      </c>
    </row>
    <row r="9" spans="1:17" x14ac:dyDescent="0.25">
      <c r="A9" s="13">
        <v>6</v>
      </c>
      <c r="B9" s="13" t="s">
        <v>2242</v>
      </c>
      <c r="E9" s="16" t="s">
        <v>2201</v>
      </c>
      <c r="F9" s="72">
        <v>21685.289999999994</v>
      </c>
      <c r="P9" s="16" t="s">
        <v>2201</v>
      </c>
      <c r="Q9" s="75">
        <v>257</v>
      </c>
    </row>
    <row r="10" spans="1:17" x14ac:dyDescent="0.25">
      <c r="A10" s="13">
        <v>7</v>
      </c>
      <c r="B10" s="13" t="s">
        <v>2243</v>
      </c>
      <c r="E10" s="16" t="s">
        <v>2198</v>
      </c>
      <c r="F10" s="72">
        <v>25556.000000000018</v>
      </c>
      <c r="P10" s="16" t="s">
        <v>2198</v>
      </c>
      <c r="Q10" s="75">
        <v>285</v>
      </c>
    </row>
    <row r="11" spans="1:17" x14ac:dyDescent="0.25">
      <c r="A11" s="13">
        <v>8</v>
      </c>
      <c r="B11" s="13" t="s">
        <v>2244</v>
      </c>
      <c r="E11" s="16" t="s">
        <v>2203</v>
      </c>
      <c r="F11" s="72">
        <v>20061.699999999997</v>
      </c>
      <c r="P11" s="16" t="s">
        <v>2203</v>
      </c>
      <c r="Q11" s="75">
        <v>250</v>
      </c>
    </row>
    <row r="12" spans="1:17" x14ac:dyDescent="0.25">
      <c r="A12" s="13">
        <v>9</v>
      </c>
      <c r="B12" s="13" t="s">
        <v>2245</v>
      </c>
      <c r="E12" s="16" t="s">
        <v>2202</v>
      </c>
      <c r="F12" s="72">
        <v>18986.280000000006</v>
      </c>
      <c r="P12" s="16" t="s">
        <v>2202</v>
      </c>
      <c r="Q12" s="75">
        <v>244</v>
      </c>
    </row>
    <row r="13" spans="1:17" x14ac:dyDescent="0.25">
      <c r="A13" s="12" t="s">
        <v>2246</v>
      </c>
      <c r="B13" s="12" t="s">
        <v>2247</v>
      </c>
      <c r="E13" s="16" t="s">
        <v>2200</v>
      </c>
      <c r="F13" s="72">
        <v>24283.710000000003</v>
      </c>
      <c r="P13" s="16" t="s">
        <v>2200</v>
      </c>
      <c r="Q13" s="75">
        <v>283</v>
      </c>
    </row>
    <row r="14" spans="1:17" x14ac:dyDescent="0.25">
      <c r="A14" s="13">
        <v>10</v>
      </c>
      <c r="B14" s="13" t="s">
        <v>2248</v>
      </c>
      <c r="E14" s="16" t="s">
        <v>2199</v>
      </c>
      <c r="F14" s="72">
        <v>25100.039999999994</v>
      </c>
      <c r="P14" s="16" t="s">
        <v>2199</v>
      </c>
      <c r="Q14" s="75">
        <v>284</v>
      </c>
    </row>
    <row r="15" spans="1:17" x14ac:dyDescent="0.25">
      <c r="A15" s="13">
        <v>11</v>
      </c>
      <c r="B15" s="13" t="s">
        <v>2249</v>
      </c>
      <c r="E15" s="16" t="s">
        <v>2197</v>
      </c>
      <c r="F15" s="72">
        <v>23830.509999999995</v>
      </c>
      <c r="P15" s="16" t="s">
        <v>2197</v>
      </c>
      <c r="Q15" s="75">
        <v>260</v>
      </c>
    </row>
    <row r="16" spans="1:17" x14ac:dyDescent="0.25">
      <c r="A16" s="13">
        <v>12</v>
      </c>
      <c r="B16" s="13" t="s">
        <v>2250</v>
      </c>
      <c r="E16" s="16" t="s">
        <v>2196</v>
      </c>
      <c r="F16" s="72">
        <v>26543.589999999997</v>
      </c>
      <c r="P16" s="16" t="s">
        <v>2196</v>
      </c>
      <c r="Q16" s="75">
        <v>313</v>
      </c>
    </row>
    <row r="17" spans="1:17" x14ac:dyDescent="0.25">
      <c r="A17" s="13">
        <v>13</v>
      </c>
      <c r="B17" s="13" t="s">
        <v>2251</v>
      </c>
      <c r="E17" s="16" t="s">
        <v>2257</v>
      </c>
      <c r="F17" s="72">
        <v>186047.12000000002</v>
      </c>
      <c r="P17" s="16" t="s">
        <v>2257</v>
      </c>
      <c r="Q17" s="75">
        <v>2176</v>
      </c>
    </row>
    <row r="18" spans="1:17" x14ac:dyDescent="0.25">
      <c r="A18" s="13">
        <v>14</v>
      </c>
      <c r="B18" s="13" t="s">
        <v>2252</v>
      </c>
    </row>
    <row r="19" spans="1:17" x14ac:dyDescent="0.25">
      <c r="A19" s="13">
        <v>15</v>
      </c>
      <c r="B19" s="13" t="s">
        <v>2253</v>
      </c>
      <c r="D19" s="13">
        <v>3</v>
      </c>
      <c r="E19" s="13" t="s">
        <v>2258</v>
      </c>
      <c r="P19" s="13" t="s">
        <v>2367</v>
      </c>
    </row>
    <row r="20" spans="1:17" x14ac:dyDescent="0.25">
      <c r="E20" s="15" t="s">
        <v>2256</v>
      </c>
      <c r="F20" s="13" t="s">
        <v>2254</v>
      </c>
      <c r="P20" s="15" t="s">
        <v>2256</v>
      </c>
      <c r="Q20" s="13" t="s">
        <v>2302</v>
      </c>
    </row>
    <row r="21" spans="1:17" x14ac:dyDescent="0.25">
      <c r="E21" s="16" t="s">
        <v>2192</v>
      </c>
      <c r="F21" s="17">
        <v>17393.880000000008</v>
      </c>
      <c r="P21" s="16" t="s">
        <v>2192</v>
      </c>
      <c r="Q21" s="75">
        <v>402</v>
      </c>
    </row>
    <row r="22" spans="1:17" x14ac:dyDescent="0.25">
      <c r="E22" s="16" t="s">
        <v>2194</v>
      </c>
      <c r="F22" s="17">
        <v>24079.389999999996</v>
      </c>
      <c r="P22" s="16" t="s">
        <v>2194</v>
      </c>
      <c r="Q22" s="75">
        <v>392</v>
      </c>
    </row>
    <row r="23" spans="1:17" x14ac:dyDescent="0.25">
      <c r="E23" s="16" t="s">
        <v>2195</v>
      </c>
      <c r="F23" s="17">
        <v>31028.350000000002</v>
      </c>
      <c r="P23" s="16" t="s">
        <v>2195</v>
      </c>
      <c r="Q23" s="75">
        <v>317</v>
      </c>
    </row>
    <row r="24" spans="1:17" x14ac:dyDescent="0.25">
      <c r="E24" s="16" t="s">
        <v>2190</v>
      </c>
      <c r="F24" s="17">
        <v>48672.81</v>
      </c>
      <c r="P24" s="16" t="s">
        <v>2190</v>
      </c>
      <c r="Q24" s="75">
        <v>334</v>
      </c>
    </row>
    <row r="25" spans="1:17" x14ac:dyDescent="0.25">
      <c r="E25" s="16" t="s">
        <v>2193</v>
      </c>
      <c r="F25" s="17">
        <v>41152.779999999948</v>
      </c>
      <c r="P25" s="16" t="s">
        <v>2193</v>
      </c>
      <c r="Q25" s="75">
        <v>372</v>
      </c>
    </row>
    <row r="26" spans="1:17" x14ac:dyDescent="0.25">
      <c r="E26" s="16" t="s">
        <v>2191</v>
      </c>
      <c r="F26" s="17">
        <v>23719.909999999989</v>
      </c>
      <c r="P26" s="16" t="s">
        <v>2191</v>
      </c>
      <c r="Q26" s="75">
        <v>359</v>
      </c>
    </row>
    <row r="27" spans="1:17" x14ac:dyDescent="0.25">
      <c r="E27" s="16" t="s">
        <v>2257</v>
      </c>
      <c r="F27" s="17">
        <v>186047.11999999994</v>
      </c>
      <c r="P27" s="16" t="s">
        <v>2257</v>
      </c>
      <c r="Q27" s="75">
        <v>2176</v>
      </c>
    </row>
    <row r="28" spans="1:17" x14ac:dyDescent="0.25">
      <c r="P28"/>
      <c r="Q28"/>
    </row>
    <row r="29" spans="1:17" x14ac:dyDescent="0.25">
      <c r="D29" s="13" t="s">
        <v>2238</v>
      </c>
      <c r="E29" s="12" t="s">
        <v>2239</v>
      </c>
      <c r="P29"/>
      <c r="Q29"/>
    </row>
    <row r="30" spans="1:17" x14ac:dyDescent="0.25">
      <c r="D30" s="13">
        <v>4</v>
      </c>
      <c r="E30" s="13" t="s">
        <v>2271</v>
      </c>
    </row>
    <row r="31" spans="1:17" x14ac:dyDescent="0.25">
      <c r="E31" s="15" t="s">
        <v>2259</v>
      </c>
      <c r="F31" s="15" t="s">
        <v>2260</v>
      </c>
    </row>
    <row r="32" spans="1:17" x14ac:dyDescent="0.25">
      <c r="E32" s="15" t="s">
        <v>2256</v>
      </c>
      <c r="F32" s="13" t="s">
        <v>2192</v>
      </c>
      <c r="G32" s="13" t="s">
        <v>2194</v>
      </c>
      <c r="H32" s="13" t="s">
        <v>2195</v>
      </c>
      <c r="I32" s="13" t="s">
        <v>2190</v>
      </c>
      <c r="J32" s="13" t="s">
        <v>2193</v>
      </c>
      <c r="K32" s="13" t="s">
        <v>2191</v>
      </c>
      <c r="L32" s="13" t="s">
        <v>2257</v>
      </c>
    </row>
    <row r="33" spans="4:27" x14ac:dyDescent="0.25">
      <c r="E33" s="16" t="s">
        <v>2201</v>
      </c>
      <c r="F33" s="14">
        <v>1472</v>
      </c>
      <c r="G33" s="14">
        <v>1021</v>
      </c>
      <c r="H33" s="14">
        <v>953</v>
      </c>
      <c r="I33" s="14">
        <v>1043</v>
      </c>
      <c r="J33" s="14">
        <v>984</v>
      </c>
      <c r="K33" s="14">
        <v>1191</v>
      </c>
      <c r="L33" s="14">
        <v>6664</v>
      </c>
    </row>
    <row r="34" spans="4:27" x14ac:dyDescent="0.25">
      <c r="E34" s="16" t="s">
        <v>2198</v>
      </c>
      <c r="F34" s="14">
        <v>1005</v>
      </c>
      <c r="G34" s="14">
        <v>1141</v>
      </c>
      <c r="H34" s="14">
        <v>1135</v>
      </c>
      <c r="I34" s="14">
        <v>1342</v>
      </c>
      <c r="J34" s="14">
        <v>1326</v>
      </c>
      <c r="K34" s="14">
        <v>1005</v>
      </c>
      <c r="L34" s="14">
        <v>6954</v>
      </c>
    </row>
    <row r="35" spans="4:27" x14ac:dyDescent="0.25">
      <c r="E35" s="16" t="s">
        <v>2203</v>
      </c>
      <c r="F35" s="14">
        <v>1491</v>
      </c>
      <c r="G35" s="14">
        <v>1197</v>
      </c>
      <c r="H35" s="14">
        <v>1135</v>
      </c>
      <c r="I35" s="14">
        <v>844</v>
      </c>
      <c r="J35" s="14">
        <v>938</v>
      </c>
      <c r="K35" s="14">
        <v>823</v>
      </c>
      <c r="L35" s="14">
        <v>6428</v>
      </c>
      <c r="Y35" s="125" t="s">
        <v>2399</v>
      </c>
      <c r="Z35" s="125"/>
      <c r="AA35" s="125"/>
    </row>
    <row r="36" spans="4:27" x14ac:dyDescent="0.25">
      <c r="E36" s="16" t="s">
        <v>2202</v>
      </c>
      <c r="F36" s="14">
        <v>1414</v>
      </c>
      <c r="G36" s="14">
        <v>966</v>
      </c>
      <c r="H36" s="14">
        <v>747</v>
      </c>
      <c r="I36" s="14">
        <v>880</v>
      </c>
      <c r="J36" s="14">
        <v>939</v>
      </c>
      <c r="K36" s="14">
        <v>1164</v>
      </c>
      <c r="L36" s="14">
        <v>6110</v>
      </c>
      <c r="Y36" s="126">
        <f>GETPIVOTDATA("stock_quantity",$E$31)</f>
        <v>54265</v>
      </c>
      <c r="Z36" s="126"/>
      <c r="AA36" s="126"/>
    </row>
    <row r="37" spans="4:27" x14ac:dyDescent="0.25">
      <c r="E37" s="16" t="s">
        <v>2200</v>
      </c>
      <c r="F37" s="14">
        <v>825</v>
      </c>
      <c r="G37" s="14">
        <v>1140</v>
      </c>
      <c r="H37" s="14">
        <v>1024</v>
      </c>
      <c r="I37" s="14">
        <v>1044</v>
      </c>
      <c r="J37" s="14">
        <v>1345</v>
      </c>
      <c r="K37" s="14">
        <v>1180</v>
      </c>
      <c r="L37" s="14">
        <v>6558</v>
      </c>
    </row>
    <row r="38" spans="4:27" x14ac:dyDescent="0.25">
      <c r="E38" s="16" t="s">
        <v>2199</v>
      </c>
      <c r="F38" s="14">
        <v>1128</v>
      </c>
      <c r="G38" s="14">
        <v>1384</v>
      </c>
      <c r="H38" s="14">
        <v>1261</v>
      </c>
      <c r="I38" s="14">
        <v>1141</v>
      </c>
      <c r="J38" s="14">
        <v>1180</v>
      </c>
      <c r="K38" s="14">
        <v>1104</v>
      </c>
      <c r="L38" s="14">
        <v>7198</v>
      </c>
    </row>
    <row r="39" spans="4:27" x14ac:dyDescent="0.25">
      <c r="E39" s="16" t="s">
        <v>2197</v>
      </c>
      <c r="F39" s="14">
        <v>1571</v>
      </c>
      <c r="G39" s="14">
        <v>794</v>
      </c>
      <c r="H39" s="14">
        <v>690</v>
      </c>
      <c r="I39" s="14">
        <v>1153</v>
      </c>
      <c r="J39" s="14">
        <v>1300</v>
      </c>
      <c r="K39" s="14">
        <v>1022</v>
      </c>
      <c r="L39" s="14">
        <v>6530</v>
      </c>
    </row>
    <row r="40" spans="4:27" x14ac:dyDescent="0.25">
      <c r="E40" s="16" t="s">
        <v>2196</v>
      </c>
      <c r="F40" s="14">
        <v>1635</v>
      </c>
      <c r="G40" s="14">
        <v>1799</v>
      </c>
      <c r="H40" s="14">
        <v>983</v>
      </c>
      <c r="I40" s="14">
        <v>921</v>
      </c>
      <c r="J40" s="14">
        <v>1106</v>
      </c>
      <c r="K40" s="14">
        <v>1379</v>
      </c>
      <c r="L40" s="14">
        <v>7823</v>
      </c>
    </row>
    <row r="41" spans="4:27" x14ac:dyDescent="0.25">
      <c r="E41" s="16" t="s">
        <v>2257</v>
      </c>
      <c r="F41" s="14">
        <v>10541</v>
      </c>
      <c r="G41" s="14">
        <v>9442</v>
      </c>
      <c r="H41" s="14">
        <v>7928</v>
      </c>
      <c r="I41" s="14">
        <v>8368</v>
      </c>
      <c r="J41" s="14">
        <v>9118</v>
      </c>
      <c r="K41" s="14">
        <v>8868</v>
      </c>
      <c r="L41" s="14">
        <v>54265</v>
      </c>
    </row>
    <row r="43" spans="4:27" x14ac:dyDescent="0.25">
      <c r="D43" s="13">
        <v>5</v>
      </c>
      <c r="E43" s="13" t="s">
        <v>2241</v>
      </c>
    </row>
    <row r="44" spans="4:27" x14ac:dyDescent="0.25">
      <c r="E44" s="13" t="s">
        <v>2261</v>
      </c>
    </row>
    <row r="45" spans="4:27" x14ac:dyDescent="0.25">
      <c r="E45" s="15" t="s">
        <v>2263</v>
      </c>
      <c r="F45" s="15" t="s">
        <v>2260</v>
      </c>
    </row>
    <row r="46" spans="4:27" x14ac:dyDescent="0.25">
      <c r="E46" s="15" t="s">
        <v>2256</v>
      </c>
      <c r="F46" s="13" t="s">
        <v>2192</v>
      </c>
      <c r="G46" s="13" t="s">
        <v>2194</v>
      </c>
      <c r="H46" s="13" t="s">
        <v>2195</v>
      </c>
      <c r="I46" s="13" t="s">
        <v>2190</v>
      </c>
      <c r="J46" s="13" t="s">
        <v>2193</v>
      </c>
      <c r="K46" s="13" t="s">
        <v>2191</v>
      </c>
      <c r="L46" s="13" t="s">
        <v>2257</v>
      </c>
    </row>
    <row r="47" spans="4:27" x14ac:dyDescent="0.25">
      <c r="E47" s="16" t="s">
        <v>2201</v>
      </c>
      <c r="F47" s="18">
        <v>3389338.8799999994</v>
      </c>
      <c r="G47" s="26">
        <v>2721802.22</v>
      </c>
      <c r="H47" s="18">
        <v>4283239.4399999995</v>
      </c>
      <c r="I47" s="18">
        <v>7238534.7300000004</v>
      </c>
      <c r="J47" s="18">
        <v>4393579.68</v>
      </c>
      <c r="K47" s="18">
        <v>4047625.41</v>
      </c>
      <c r="L47" s="18">
        <v>161711822.72000006</v>
      </c>
    </row>
    <row r="48" spans="4:27" x14ac:dyDescent="0.25">
      <c r="E48" s="16" t="s">
        <v>2198</v>
      </c>
      <c r="F48" s="18">
        <v>1937760.6000000003</v>
      </c>
      <c r="G48" s="18">
        <v>3887695.0700000003</v>
      </c>
      <c r="H48" s="18">
        <v>5293571.9000000004</v>
      </c>
      <c r="I48" s="18">
        <v>11222327.380000001</v>
      </c>
      <c r="J48" s="18">
        <v>10045961.640000001</v>
      </c>
      <c r="K48" s="18">
        <v>3174513.6000000006</v>
      </c>
      <c r="L48" s="18">
        <v>202337617.32000023</v>
      </c>
    </row>
    <row r="49" spans="4:35" x14ac:dyDescent="0.25">
      <c r="E49" s="16" t="s">
        <v>2203</v>
      </c>
      <c r="F49" s="18">
        <v>3514465.92</v>
      </c>
      <c r="G49" s="18">
        <v>4762120.8599999994</v>
      </c>
      <c r="H49" s="18">
        <v>4937533.7500000009</v>
      </c>
      <c r="I49" s="18">
        <v>5297155.0000000009</v>
      </c>
      <c r="J49" s="18">
        <v>3479342.1599999992</v>
      </c>
      <c r="K49" s="18">
        <v>2182406.71</v>
      </c>
      <c r="L49" s="18">
        <v>149920822.52000001</v>
      </c>
    </row>
    <row r="50" spans="4:35" x14ac:dyDescent="0.25">
      <c r="E50" s="16" t="s">
        <v>2202</v>
      </c>
      <c r="F50" s="18">
        <v>3938824.2600000002</v>
      </c>
      <c r="G50" s="18">
        <v>2342173.2600000002</v>
      </c>
      <c r="H50" s="18">
        <v>2139071.8499999996</v>
      </c>
      <c r="I50" s="18">
        <v>4723584.7999999989</v>
      </c>
      <c r="J50" s="18">
        <v>4948858.6499999994</v>
      </c>
      <c r="K50" s="18">
        <v>4131466.6800000011</v>
      </c>
      <c r="L50" s="18">
        <v>136015809.80000001</v>
      </c>
    </row>
    <row r="51" spans="4:35" ht="16.5" x14ac:dyDescent="0.3">
      <c r="E51" s="16" t="s">
        <v>2200</v>
      </c>
      <c r="F51" s="18">
        <v>1715059.4999999998</v>
      </c>
      <c r="G51" s="18">
        <v>4241780.4000000004</v>
      </c>
      <c r="H51" s="18">
        <v>5065953.2800000003</v>
      </c>
      <c r="I51" s="18">
        <v>6975120.6000000015</v>
      </c>
      <c r="J51" s="18">
        <v>9369646.6000000015</v>
      </c>
      <c r="K51" s="18">
        <v>3876760.1999999997</v>
      </c>
      <c r="L51" s="18">
        <v>181523866.07999989</v>
      </c>
      <c r="AH51" s="124" t="s">
        <v>2380</v>
      </c>
      <c r="AI51"/>
    </row>
    <row r="52" spans="4:35" ht="16.5" x14ac:dyDescent="0.3">
      <c r="E52" s="16" t="s">
        <v>2199</v>
      </c>
      <c r="F52" s="18">
        <v>2739630</v>
      </c>
      <c r="G52" s="18">
        <v>5781784.5599999987</v>
      </c>
      <c r="H52" s="18">
        <v>6935184.7500000037</v>
      </c>
      <c r="I52" s="18">
        <v>7036763.7899999991</v>
      </c>
      <c r="J52" s="18">
        <v>8155747</v>
      </c>
      <c r="K52" s="18">
        <v>3904417.4399999995</v>
      </c>
      <c r="L52" s="18">
        <v>206737644.91999999</v>
      </c>
      <c r="AH52" s="90">
        <v>11477478364.100012</v>
      </c>
      <c r="AI52"/>
    </row>
    <row r="53" spans="4:35" x14ac:dyDescent="0.25">
      <c r="E53" s="16" t="s">
        <v>2197</v>
      </c>
      <c r="F53" s="18">
        <v>4436692.5199999986</v>
      </c>
      <c r="G53" s="18">
        <v>1738304.2000000002</v>
      </c>
      <c r="H53" s="18">
        <v>2524233.8999999994</v>
      </c>
      <c r="I53" s="18">
        <v>9218373.3599999994</v>
      </c>
      <c r="J53" s="18">
        <v>8194861.9999999981</v>
      </c>
      <c r="K53" s="18">
        <v>3292219.6999999997</v>
      </c>
      <c r="L53" s="18">
        <v>171033368.19999987</v>
      </c>
    </row>
    <row r="54" spans="4:35" x14ac:dyDescent="0.25">
      <c r="E54" s="16" t="s">
        <v>2196</v>
      </c>
      <c r="F54" s="18">
        <v>4903136.1000000006</v>
      </c>
      <c r="G54" s="18">
        <v>9122189.3000000007</v>
      </c>
      <c r="H54" s="18">
        <v>5085707.78</v>
      </c>
      <c r="I54" s="18">
        <v>6188760.8100000005</v>
      </c>
      <c r="J54" s="18">
        <v>6811621.7400000039</v>
      </c>
      <c r="K54" s="18">
        <v>5303289.2500000009</v>
      </c>
      <c r="L54" s="18">
        <v>234434735.50999975</v>
      </c>
      <c r="AH54" s="124" t="s">
        <v>2373</v>
      </c>
    </row>
    <row r="55" spans="4:35" x14ac:dyDescent="0.25">
      <c r="E55" s="16" t="s">
        <v>2257</v>
      </c>
      <c r="F55" s="18">
        <v>207699442.3600001</v>
      </c>
      <c r="G55" s="18">
        <v>260925232.25999993</v>
      </c>
      <c r="H55" s="18">
        <v>282642396.47999966</v>
      </c>
      <c r="I55" s="18">
        <v>456135747.0399999</v>
      </c>
      <c r="J55" s="18">
        <v>431840242.21999967</v>
      </c>
      <c r="K55" s="18">
        <v>236309763.95999986</v>
      </c>
      <c r="L55" s="18">
        <v>11477478364.099998</v>
      </c>
      <c r="AH55" s="87">
        <v>1381631397.3000019</v>
      </c>
    </row>
    <row r="57" spans="4:35" x14ac:dyDescent="0.25">
      <c r="D57" s="13">
        <v>6</v>
      </c>
      <c r="E57" s="13" t="s">
        <v>2270</v>
      </c>
      <c r="AH57" s="89" t="s">
        <v>2372</v>
      </c>
    </row>
    <row r="58" spans="4:35" x14ac:dyDescent="0.25">
      <c r="E58" s="15" t="s">
        <v>2262</v>
      </c>
      <c r="F58" s="15" t="s">
        <v>2260</v>
      </c>
      <c r="AH58" s="88">
        <f>(AH55/AH52)*100</f>
        <v>12.037760851909393</v>
      </c>
    </row>
    <row r="59" spans="4:35" x14ac:dyDescent="0.25">
      <c r="E59" s="15" t="s">
        <v>2256</v>
      </c>
      <c r="F59" s="13" t="s">
        <v>2192</v>
      </c>
      <c r="G59" s="13" t="s">
        <v>2194</v>
      </c>
      <c r="H59" s="13" t="s">
        <v>2195</v>
      </c>
      <c r="I59" s="13" t="s">
        <v>2190</v>
      </c>
      <c r="J59" s="13" t="s">
        <v>2193</v>
      </c>
      <c r="K59" s="13" t="s">
        <v>2191</v>
      </c>
      <c r="L59" s="13" t="s">
        <v>2257</v>
      </c>
    </row>
    <row r="60" spans="4:35" x14ac:dyDescent="0.25">
      <c r="E60" s="16" t="s">
        <v>2201</v>
      </c>
      <c r="F60" s="18">
        <v>2950403.2</v>
      </c>
      <c r="G60" s="26">
        <v>2324081.88</v>
      </c>
      <c r="H60" s="18">
        <v>3766103.5199999991</v>
      </c>
      <c r="I60" s="18">
        <v>6884206.7700000005</v>
      </c>
      <c r="J60" s="18">
        <v>3737399.2800000007</v>
      </c>
      <c r="K60" s="18">
        <v>3637623.6600000006</v>
      </c>
      <c r="L60" s="18">
        <v>144510772.56000006</v>
      </c>
    </row>
    <row r="61" spans="4:35" x14ac:dyDescent="0.25">
      <c r="E61" s="16" t="s">
        <v>2198</v>
      </c>
      <c r="F61" s="18">
        <v>1677314.85</v>
      </c>
      <c r="G61" s="18">
        <v>3452586.1300000004</v>
      </c>
      <c r="H61" s="18">
        <v>4896991.5500000017</v>
      </c>
      <c r="I61" s="18">
        <v>9497347.4199999999</v>
      </c>
      <c r="J61" s="18">
        <v>9003261.5400000028</v>
      </c>
      <c r="K61" s="18">
        <v>2693168.8500000006</v>
      </c>
      <c r="L61" s="18">
        <v>177716424.00000009</v>
      </c>
    </row>
    <row r="62" spans="4:35" x14ac:dyDescent="0.25">
      <c r="E62" s="16" t="s">
        <v>2203</v>
      </c>
      <c r="F62" s="18">
        <v>3126194.61</v>
      </c>
      <c r="G62" s="18">
        <v>4240767.51</v>
      </c>
      <c r="H62" s="18">
        <v>4132671.2000000016</v>
      </c>
      <c r="I62" s="18">
        <v>4678671.7999999989</v>
      </c>
      <c r="J62" s="18">
        <v>2690540.4399999995</v>
      </c>
      <c r="K62" s="18">
        <v>1949859.8300000003</v>
      </c>
      <c r="L62" s="18">
        <v>128956607.59999998</v>
      </c>
    </row>
    <row r="63" spans="4:35" x14ac:dyDescent="0.25">
      <c r="E63" s="16" t="s">
        <v>2202</v>
      </c>
      <c r="F63" s="18">
        <v>3427875.3599999989</v>
      </c>
      <c r="G63" s="18">
        <v>1992432.96</v>
      </c>
      <c r="H63" s="18">
        <v>1772137.9799999997</v>
      </c>
      <c r="I63" s="18">
        <v>4201384</v>
      </c>
      <c r="J63" s="18">
        <v>3978477.2700000005</v>
      </c>
      <c r="K63" s="18">
        <v>3626919.24</v>
      </c>
      <c r="L63" s="18">
        <v>116006170.79999992</v>
      </c>
    </row>
    <row r="64" spans="4:35" x14ac:dyDescent="0.25">
      <c r="E64" s="16" t="s">
        <v>2200</v>
      </c>
      <c r="F64" s="18">
        <v>1472773.4999999998</v>
      </c>
      <c r="G64" s="18">
        <v>3687261.600000001</v>
      </c>
      <c r="H64" s="18">
        <v>4447262.7200000007</v>
      </c>
      <c r="I64" s="18">
        <v>6313391.6400000015</v>
      </c>
      <c r="J64" s="18">
        <v>8070578.3500000006</v>
      </c>
      <c r="K64" s="18">
        <v>3390517.5999999987</v>
      </c>
      <c r="L64" s="18">
        <v>159252570.18000001</v>
      </c>
    </row>
    <row r="65" spans="4:28" x14ac:dyDescent="0.25">
      <c r="E65" s="16" t="s">
        <v>2199</v>
      </c>
      <c r="F65" s="18">
        <v>2417067.12</v>
      </c>
      <c r="G65" s="18">
        <v>4793968.3999999994</v>
      </c>
      <c r="H65" s="18">
        <v>5906196.1399999997</v>
      </c>
      <c r="I65" s="18">
        <v>6210873.7599999979</v>
      </c>
      <c r="J65" s="18">
        <v>7199828.9999999991</v>
      </c>
      <c r="K65" s="18">
        <v>3604284.0000000005</v>
      </c>
      <c r="L65" s="18">
        <v>180670087.91999993</v>
      </c>
    </row>
    <row r="66" spans="4:28" x14ac:dyDescent="0.25">
      <c r="E66" s="16" t="s">
        <v>2197</v>
      </c>
      <c r="F66" s="18">
        <v>4055913.5399999982</v>
      </c>
      <c r="G66" s="18">
        <v>1569341.0000000002</v>
      </c>
      <c r="H66" s="18">
        <v>2224311.5999999996</v>
      </c>
      <c r="I66" s="18">
        <v>8315851.080000001</v>
      </c>
      <c r="J66" s="18">
        <v>7464652</v>
      </c>
      <c r="K66" s="18">
        <v>3162303.06</v>
      </c>
      <c r="L66" s="18">
        <v>155613230.29999989</v>
      </c>
    </row>
    <row r="67" spans="4:28" x14ac:dyDescent="0.25">
      <c r="E67" s="16" t="s">
        <v>2196</v>
      </c>
      <c r="F67" s="18">
        <v>4397986.4999999991</v>
      </c>
      <c r="G67" s="18">
        <v>8090102.9999999963</v>
      </c>
      <c r="H67" s="18">
        <v>4421642.13</v>
      </c>
      <c r="I67" s="18">
        <v>5502634.2300000004</v>
      </c>
      <c r="J67" s="18">
        <v>6210731.9400000013</v>
      </c>
      <c r="K67" s="18">
        <v>4507206.3400000017</v>
      </c>
      <c r="L67" s="18">
        <v>207650504.56999981</v>
      </c>
    </row>
    <row r="68" spans="4:28" x14ac:dyDescent="0.25">
      <c r="E68" s="16" t="s">
        <v>2257</v>
      </c>
      <c r="F68" s="18">
        <v>183348889.08000004</v>
      </c>
      <c r="G68" s="18">
        <v>227357600.38000008</v>
      </c>
      <c r="H68" s="18">
        <v>245992758.7999998</v>
      </c>
      <c r="I68" s="18">
        <v>407294074.08000004</v>
      </c>
      <c r="J68" s="18">
        <v>375231048.03999954</v>
      </c>
      <c r="K68" s="18">
        <v>210348161.87999988</v>
      </c>
      <c r="L68" s="18">
        <v>10095846966.799997</v>
      </c>
    </row>
    <row r="70" spans="4:28" x14ac:dyDescent="0.25">
      <c r="D70" s="13">
        <v>6</v>
      </c>
      <c r="E70" s="13" t="s">
        <v>2242</v>
      </c>
    </row>
    <row r="71" spans="4:28" x14ac:dyDescent="0.25">
      <c r="E71" s="15" t="s">
        <v>2264</v>
      </c>
      <c r="F71" s="15" t="s">
        <v>2260</v>
      </c>
    </row>
    <row r="72" spans="4:28" x14ac:dyDescent="0.25">
      <c r="E72" s="15" t="s">
        <v>2256</v>
      </c>
      <c r="F72" s="13" t="s">
        <v>2192</v>
      </c>
      <c r="G72" s="13" t="s">
        <v>2194</v>
      </c>
      <c r="H72" s="13" t="s">
        <v>2195</v>
      </c>
      <c r="I72" s="13" t="s">
        <v>2190</v>
      </c>
      <c r="J72" s="13" t="s">
        <v>2193</v>
      </c>
      <c r="K72" s="13" t="s">
        <v>2191</v>
      </c>
      <c r="L72" s="13" t="s">
        <v>2257</v>
      </c>
      <c r="P72" s="13" t="s">
        <v>2264</v>
      </c>
    </row>
    <row r="73" spans="4:28" x14ac:dyDescent="0.25">
      <c r="E73" s="16" t="s">
        <v>2201</v>
      </c>
      <c r="F73" s="26">
        <v>438935.67999999906</v>
      </c>
      <c r="G73" s="26">
        <v>397720.34000000043</v>
      </c>
      <c r="H73" s="26">
        <v>517135.92000000033</v>
      </c>
      <c r="I73" s="26">
        <v>354327.96000000025</v>
      </c>
      <c r="J73" s="26">
        <v>656180.39999999898</v>
      </c>
      <c r="K73" s="26">
        <v>410001.74999999948</v>
      </c>
      <c r="L73" s="26">
        <v>17201050.159999993</v>
      </c>
      <c r="P73" s="18">
        <v>1381631397.3000131</v>
      </c>
      <c r="AB73" s="13">
        <f>(GETPIVOTDATA("Markdown loss",$E$71,"category","Outerwear","brand","Banana Republic")/GETPIVOTDATA("Markdown loss",$E$71))*100</f>
        <v>0.12485095253125941</v>
      </c>
    </row>
    <row r="74" spans="4:28" x14ac:dyDescent="0.25">
      <c r="E74" s="16" t="s">
        <v>2198</v>
      </c>
      <c r="F74" s="26">
        <v>260445.75000000032</v>
      </c>
      <c r="G74" s="26">
        <v>435108.94000000018</v>
      </c>
      <c r="H74" s="26">
        <v>396580.34999999881</v>
      </c>
      <c r="I74" s="26">
        <v>1724979.9600000014</v>
      </c>
      <c r="J74" s="26">
        <v>1042700.0999999981</v>
      </c>
      <c r="K74" s="26">
        <v>481344.75000000029</v>
      </c>
      <c r="L74" s="26">
        <v>24621193.320000164</v>
      </c>
    </row>
    <row r="75" spans="4:28" x14ac:dyDescent="0.25">
      <c r="E75" s="16" t="s">
        <v>2203</v>
      </c>
      <c r="F75" s="26">
        <v>388271.30999999976</v>
      </c>
      <c r="G75" s="26">
        <v>521353.3499999991</v>
      </c>
      <c r="H75" s="26">
        <v>804862.54999999958</v>
      </c>
      <c r="I75" s="26">
        <v>618483.2000000017</v>
      </c>
      <c r="J75" s="26">
        <v>788801.72000000009</v>
      </c>
      <c r="K75" s="26">
        <v>232546.87999999957</v>
      </c>
      <c r="L75" s="26">
        <v>20964214.92000002</v>
      </c>
    </row>
    <row r="76" spans="4:28" x14ac:dyDescent="0.25">
      <c r="E76" s="16" t="s">
        <v>2202</v>
      </c>
      <c r="F76" s="26">
        <v>510948.90000000113</v>
      </c>
      <c r="G76" s="26">
        <v>349740.30000000016</v>
      </c>
      <c r="H76" s="26">
        <v>366933.87000000005</v>
      </c>
      <c r="I76" s="26">
        <v>522200.79999999906</v>
      </c>
      <c r="J76" s="26">
        <v>970381.37999999919</v>
      </c>
      <c r="K76" s="26">
        <v>504547.44000000058</v>
      </c>
      <c r="L76" s="26">
        <v>20009639.000000075</v>
      </c>
    </row>
    <row r="77" spans="4:28" x14ac:dyDescent="0.25">
      <c r="E77" s="16" t="s">
        <v>2200</v>
      </c>
      <c r="F77" s="26">
        <v>242285.99999999985</v>
      </c>
      <c r="G77" s="26">
        <v>554518.799999999</v>
      </c>
      <c r="H77" s="26">
        <v>618690.55999999959</v>
      </c>
      <c r="I77" s="26">
        <v>661728.9600000002</v>
      </c>
      <c r="J77" s="26">
        <v>1299068.2500000005</v>
      </c>
      <c r="K77" s="26">
        <v>486242.60000000126</v>
      </c>
      <c r="L77" s="26">
        <v>22271295.899999876</v>
      </c>
    </row>
    <row r="78" spans="4:28" x14ac:dyDescent="0.25">
      <c r="E78" s="16" t="s">
        <v>2199</v>
      </c>
      <c r="F78" s="26">
        <v>322562.88000000006</v>
      </c>
      <c r="G78" s="26">
        <v>987816.15999999968</v>
      </c>
      <c r="H78" s="26">
        <v>1028988.6100000037</v>
      </c>
      <c r="I78" s="26">
        <v>825890.03000000201</v>
      </c>
      <c r="J78" s="26">
        <v>955918.00000000047</v>
      </c>
      <c r="K78" s="26">
        <v>300133.43999999913</v>
      </c>
      <c r="L78" s="26">
        <v>26067557.000000052</v>
      </c>
    </row>
    <row r="79" spans="4:28" x14ac:dyDescent="0.25">
      <c r="E79" s="16" t="s">
        <v>2197</v>
      </c>
      <c r="F79" s="26">
        <v>380778.98000000016</v>
      </c>
      <c r="G79" s="26">
        <v>168963.19999999995</v>
      </c>
      <c r="H79" s="26">
        <v>299922.30000000005</v>
      </c>
      <c r="I79" s="26">
        <v>902522.27999999921</v>
      </c>
      <c r="J79" s="26">
        <v>730209.9999999986</v>
      </c>
      <c r="K79" s="26">
        <v>129916.63999999988</v>
      </c>
      <c r="L79" s="26">
        <v>15420137.899999978</v>
      </c>
    </row>
    <row r="80" spans="4:28" x14ac:dyDescent="0.25">
      <c r="E80" s="16" t="s">
        <v>2196</v>
      </c>
      <c r="F80" s="26">
        <v>505149.60000000079</v>
      </c>
      <c r="G80" s="26">
        <v>1032086.3000000046</v>
      </c>
      <c r="H80" s="26">
        <v>664065.65000000014</v>
      </c>
      <c r="I80" s="26">
        <v>686126.58000000042</v>
      </c>
      <c r="J80" s="26">
        <v>600889.80000000226</v>
      </c>
      <c r="K80" s="26">
        <v>796082.90999999992</v>
      </c>
      <c r="L80" s="26">
        <v>26784230.939999964</v>
      </c>
    </row>
    <row r="81" spans="4:25" x14ac:dyDescent="0.25">
      <c r="E81" s="16" t="s">
        <v>2257</v>
      </c>
      <c r="F81" s="26">
        <v>24350553.280000057</v>
      </c>
      <c r="G81" s="26">
        <v>33567631.879999824</v>
      </c>
      <c r="H81" s="26">
        <v>36649637.679999866</v>
      </c>
      <c r="I81" s="26">
        <v>48841672.959999889</v>
      </c>
      <c r="J81" s="26">
        <v>56609194.180000149</v>
      </c>
      <c r="K81" s="26">
        <v>25961602.07999998</v>
      </c>
      <c r="L81" s="26">
        <v>1381631397.3000019</v>
      </c>
    </row>
    <row r="83" spans="4:25" x14ac:dyDescent="0.25">
      <c r="D83" s="13">
        <v>7</v>
      </c>
      <c r="E83" s="13" t="s">
        <v>2269</v>
      </c>
    </row>
    <row r="84" spans="4:25" x14ac:dyDescent="0.25">
      <c r="E84" s="15" t="s">
        <v>2268</v>
      </c>
      <c r="F84" s="15" t="s">
        <v>2260</v>
      </c>
      <c r="T84" s="16" t="s">
        <v>2341</v>
      </c>
      <c r="U84" s="19"/>
    </row>
    <row r="85" spans="4:25" x14ac:dyDescent="0.25">
      <c r="F85" s="13" t="s">
        <v>2192</v>
      </c>
      <c r="Q85" s="13" t="s">
        <v>2267</v>
      </c>
      <c r="T85" s="13" t="s">
        <v>2342</v>
      </c>
      <c r="U85" s="13" t="s">
        <v>2343</v>
      </c>
      <c r="V85" s="13" t="s">
        <v>2344</v>
      </c>
      <c r="W85" s="13" t="s">
        <v>2345</v>
      </c>
      <c r="X85" s="13" t="s">
        <v>2346</v>
      </c>
      <c r="Y85" s="13" t="s">
        <v>2266</v>
      </c>
    </row>
    <row r="86" spans="4:25" x14ac:dyDescent="0.25">
      <c r="E86" s="15" t="s">
        <v>2256</v>
      </c>
      <c r="F86" s="13" t="s">
        <v>2221</v>
      </c>
      <c r="G86" s="13" t="s">
        <v>2216</v>
      </c>
      <c r="H86" s="13" t="s">
        <v>2219</v>
      </c>
      <c r="I86" s="13" t="s">
        <v>2224</v>
      </c>
      <c r="J86" s="13" t="s">
        <v>2218</v>
      </c>
      <c r="K86" s="13" t="s">
        <v>2220</v>
      </c>
      <c r="L86" s="13" t="s">
        <v>2222</v>
      </c>
      <c r="M86" s="13" t="s">
        <v>2215</v>
      </c>
      <c r="N86" s="13" t="s">
        <v>2223</v>
      </c>
      <c r="O86" s="13" t="s">
        <v>2214</v>
      </c>
      <c r="P86" s="13" t="s">
        <v>2217</v>
      </c>
      <c r="T86" s="13" t="s">
        <v>2192</v>
      </c>
      <c r="U86" s="13" t="s">
        <v>2203</v>
      </c>
      <c r="W86" s="13" t="s">
        <v>2204</v>
      </c>
      <c r="X86" s="13" t="s">
        <v>2224</v>
      </c>
      <c r="Y86" s="27">
        <v>392</v>
      </c>
    </row>
    <row r="87" spans="4:25" x14ac:dyDescent="0.25">
      <c r="E87" s="16" t="s">
        <v>2201</v>
      </c>
      <c r="F87" s="14">
        <v>27</v>
      </c>
      <c r="G87" s="14">
        <v>27</v>
      </c>
      <c r="H87" s="14">
        <v>27</v>
      </c>
      <c r="I87" s="14">
        <v>27</v>
      </c>
      <c r="J87" s="14">
        <v>27</v>
      </c>
      <c r="K87" s="14">
        <v>27</v>
      </c>
      <c r="L87" s="14">
        <v>27</v>
      </c>
      <c r="M87" s="14">
        <v>27</v>
      </c>
      <c r="N87" s="14">
        <v>113</v>
      </c>
      <c r="O87" s="14">
        <v>27</v>
      </c>
      <c r="P87" s="14">
        <v>27</v>
      </c>
      <c r="Q87" s="14">
        <v>27</v>
      </c>
      <c r="T87" s="13" t="s">
        <v>2195</v>
      </c>
      <c r="U87" s="13" t="s">
        <v>2197</v>
      </c>
      <c r="V87" s="13" t="s">
        <v>2209</v>
      </c>
      <c r="W87" s="13" t="s">
        <v>2204</v>
      </c>
      <c r="X87" s="13" t="s">
        <v>2223</v>
      </c>
      <c r="Y87" s="13">
        <v>391</v>
      </c>
    </row>
    <row r="88" spans="4:25" x14ac:dyDescent="0.25">
      <c r="E88" s="20" t="s">
        <v>2206</v>
      </c>
      <c r="F88" s="14">
        <v>27</v>
      </c>
      <c r="G88" s="14">
        <v>27</v>
      </c>
      <c r="H88" s="14"/>
      <c r="I88" s="14"/>
      <c r="J88" s="14">
        <v>27</v>
      </c>
      <c r="K88" s="14"/>
      <c r="L88" s="14">
        <v>27</v>
      </c>
      <c r="M88" s="14">
        <v>27</v>
      </c>
      <c r="N88" s="14"/>
      <c r="O88" s="14"/>
      <c r="P88" s="14">
        <v>27</v>
      </c>
      <c r="Q88" s="14">
        <v>27</v>
      </c>
      <c r="T88" s="13" t="s">
        <v>2193</v>
      </c>
      <c r="U88" s="13" t="s">
        <v>2199</v>
      </c>
      <c r="V88" s="13" t="s">
        <v>2212</v>
      </c>
      <c r="W88" s="13" t="s">
        <v>2204</v>
      </c>
      <c r="X88" s="13" t="s">
        <v>2215</v>
      </c>
      <c r="Y88" s="13">
        <v>390</v>
      </c>
    </row>
    <row r="89" spans="4:25" x14ac:dyDescent="0.25">
      <c r="E89" s="20" t="s">
        <v>2204</v>
      </c>
      <c r="F89" s="14">
        <v>50</v>
      </c>
      <c r="G89" s="14">
        <v>38</v>
      </c>
      <c r="H89" s="14">
        <v>171</v>
      </c>
      <c r="I89" s="14"/>
      <c r="J89" s="14">
        <v>235</v>
      </c>
      <c r="K89" s="14">
        <v>89</v>
      </c>
      <c r="L89" s="14"/>
      <c r="M89" s="14">
        <v>375</v>
      </c>
      <c r="N89" s="14">
        <v>113</v>
      </c>
      <c r="O89" s="14">
        <v>168</v>
      </c>
      <c r="P89" s="14">
        <v>33</v>
      </c>
      <c r="Q89" s="14">
        <v>33</v>
      </c>
      <c r="T89" s="13" t="s">
        <v>2191</v>
      </c>
      <c r="U89" s="13" t="s">
        <v>2197</v>
      </c>
      <c r="V89" s="13" t="s">
        <v>2212</v>
      </c>
      <c r="W89" s="13" t="s">
        <v>2204</v>
      </c>
      <c r="X89" s="13" t="s">
        <v>2214</v>
      </c>
      <c r="Y89" s="13">
        <v>388</v>
      </c>
    </row>
    <row r="90" spans="4:25" x14ac:dyDescent="0.25">
      <c r="E90" s="20" t="s">
        <v>2207</v>
      </c>
      <c r="F90" s="14">
        <v>27</v>
      </c>
      <c r="G90" s="14"/>
      <c r="H90" s="14"/>
      <c r="I90" s="14">
        <v>27</v>
      </c>
      <c r="J90" s="14">
        <v>27</v>
      </c>
      <c r="K90" s="14">
        <v>27</v>
      </c>
      <c r="L90" s="14">
        <v>27</v>
      </c>
      <c r="M90" s="14"/>
      <c r="N90" s="14"/>
      <c r="O90" s="14"/>
      <c r="P90" s="14">
        <v>27</v>
      </c>
      <c r="Q90" s="14">
        <v>27</v>
      </c>
      <c r="T90" s="13" t="s">
        <v>2190</v>
      </c>
      <c r="U90" s="13" t="s">
        <v>2199</v>
      </c>
      <c r="V90" s="13" t="s">
        <v>2212</v>
      </c>
      <c r="W90" s="13" t="s">
        <v>2204</v>
      </c>
      <c r="X90" s="13" t="s">
        <v>2217</v>
      </c>
      <c r="Y90" s="13">
        <v>386</v>
      </c>
    </row>
    <row r="91" spans="4:25" x14ac:dyDescent="0.25">
      <c r="E91" s="20" t="s">
        <v>2205</v>
      </c>
      <c r="F91" s="14">
        <v>27</v>
      </c>
      <c r="G91" s="14">
        <v>27</v>
      </c>
      <c r="H91" s="14">
        <v>27</v>
      </c>
      <c r="I91" s="14"/>
      <c r="J91" s="14">
        <v>27</v>
      </c>
      <c r="K91" s="14">
        <v>27</v>
      </c>
      <c r="L91" s="14">
        <v>27</v>
      </c>
      <c r="M91" s="14"/>
      <c r="N91" s="14"/>
      <c r="O91" s="14">
        <v>27</v>
      </c>
      <c r="P91" s="14">
        <v>27</v>
      </c>
      <c r="Q91" s="14">
        <v>27</v>
      </c>
      <c r="T91" s="13" t="s">
        <v>2194</v>
      </c>
      <c r="U91" s="13" t="s">
        <v>2200</v>
      </c>
      <c r="V91" s="13" t="s">
        <v>2209</v>
      </c>
      <c r="W91" s="13" t="s">
        <v>2204</v>
      </c>
      <c r="X91" s="13" t="s">
        <v>2217</v>
      </c>
      <c r="Y91" s="14">
        <v>382</v>
      </c>
    </row>
    <row r="92" spans="4:25" x14ac:dyDescent="0.25">
      <c r="E92" s="16" t="s">
        <v>2198</v>
      </c>
      <c r="F92" s="14">
        <v>27</v>
      </c>
      <c r="G92" s="14">
        <v>27</v>
      </c>
      <c r="H92" s="14">
        <v>27</v>
      </c>
      <c r="I92" s="14">
        <v>27</v>
      </c>
      <c r="J92" s="14">
        <v>27</v>
      </c>
      <c r="K92" s="14">
        <v>27</v>
      </c>
      <c r="L92" s="14">
        <v>27</v>
      </c>
      <c r="M92" s="14">
        <v>27</v>
      </c>
      <c r="N92" s="14">
        <v>27</v>
      </c>
      <c r="O92" s="14">
        <v>27</v>
      </c>
      <c r="P92" s="14">
        <v>27</v>
      </c>
      <c r="Q92" s="14">
        <v>27</v>
      </c>
    </row>
    <row r="93" spans="4:25" x14ac:dyDescent="0.25">
      <c r="E93" s="20" t="s">
        <v>2206</v>
      </c>
      <c r="F93" s="14">
        <v>27</v>
      </c>
      <c r="G93" s="14">
        <v>27</v>
      </c>
      <c r="H93" s="14">
        <v>27</v>
      </c>
      <c r="I93" s="14">
        <v>27</v>
      </c>
      <c r="J93" s="14"/>
      <c r="K93" s="14"/>
      <c r="L93" s="14"/>
      <c r="M93" s="14"/>
      <c r="N93" s="14"/>
      <c r="O93" s="14">
        <v>27</v>
      </c>
      <c r="P93" s="14"/>
      <c r="Q93" s="14">
        <v>27</v>
      </c>
    </row>
    <row r="94" spans="4:25" x14ac:dyDescent="0.25">
      <c r="E94" s="20" t="s">
        <v>2204</v>
      </c>
      <c r="F94" s="14"/>
      <c r="G94" s="14"/>
      <c r="H94" s="14">
        <v>273</v>
      </c>
      <c r="I94" s="14">
        <v>199</v>
      </c>
      <c r="J94" s="14">
        <v>57</v>
      </c>
      <c r="K94" s="14">
        <v>169</v>
      </c>
      <c r="L94" s="14"/>
      <c r="M94" s="14"/>
      <c r="N94" s="14"/>
      <c r="O94" s="14"/>
      <c r="P94" s="14"/>
      <c r="Q94" s="14">
        <v>57</v>
      </c>
    </row>
    <row r="95" spans="4:25" x14ac:dyDescent="0.25">
      <c r="E95" s="20" t="s">
        <v>2207</v>
      </c>
      <c r="F95" s="14">
        <v>27</v>
      </c>
      <c r="G95" s="14">
        <v>27</v>
      </c>
      <c r="H95" s="14"/>
      <c r="I95" s="14">
        <v>27</v>
      </c>
      <c r="J95" s="14">
        <v>27</v>
      </c>
      <c r="K95" s="14">
        <v>27</v>
      </c>
      <c r="L95" s="14">
        <v>27</v>
      </c>
      <c r="M95" s="14"/>
      <c r="N95" s="14"/>
      <c r="O95" s="14">
        <v>27</v>
      </c>
      <c r="P95" s="14">
        <v>27</v>
      </c>
      <c r="Q95" s="14">
        <v>27</v>
      </c>
    </row>
    <row r="96" spans="4:25" x14ac:dyDescent="0.25">
      <c r="E96" s="20" t="s">
        <v>2205</v>
      </c>
      <c r="F96" s="14">
        <v>27</v>
      </c>
      <c r="G96" s="14"/>
      <c r="H96" s="14"/>
      <c r="I96" s="14">
        <v>27</v>
      </c>
      <c r="J96" s="14"/>
      <c r="K96" s="14">
        <v>27</v>
      </c>
      <c r="L96" s="14">
        <v>27</v>
      </c>
      <c r="M96" s="14">
        <v>27</v>
      </c>
      <c r="N96" s="14">
        <v>27</v>
      </c>
      <c r="O96" s="14">
        <v>27</v>
      </c>
      <c r="P96" s="14">
        <v>27</v>
      </c>
      <c r="Q96" s="14">
        <v>27</v>
      </c>
    </row>
    <row r="97" spans="5:17" x14ac:dyDescent="0.25">
      <c r="E97" s="16" t="s">
        <v>2203</v>
      </c>
      <c r="F97" s="14">
        <v>27</v>
      </c>
      <c r="G97" s="14">
        <v>27</v>
      </c>
      <c r="H97" s="14">
        <v>27</v>
      </c>
      <c r="I97" s="14">
        <v>27</v>
      </c>
      <c r="J97" s="14">
        <v>27</v>
      </c>
      <c r="K97" s="14">
        <v>27</v>
      </c>
      <c r="L97" s="14">
        <v>27</v>
      </c>
      <c r="M97" s="14">
        <v>27</v>
      </c>
      <c r="N97" s="14">
        <v>27</v>
      </c>
      <c r="O97" s="14">
        <v>27</v>
      </c>
      <c r="P97" s="14">
        <v>27</v>
      </c>
      <c r="Q97" s="14">
        <v>27</v>
      </c>
    </row>
    <row r="98" spans="5:17" x14ac:dyDescent="0.25">
      <c r="E98" s="20" t="s">
        <v>2206</v>
      </c>
      <c r="F98" s="14"/>
      <c r="G98" s="14">
        <v>27</v>
      </c>
      <c r="H98" s="14">
        <v>27</v>
      </c>
      <c r="I98" s="14"/>
      <c r="J98" s="14">
        <v>27</v>
      </c>
      <c r="K98" s="14">
        <v>27</v>
      </c>
      <c r="L98" s="14">
        <v>27</v>
      </c>
      <c r="M98" s="14"/>
      <c r="N98" s="14">
        <v>27</v>
      </c>
      <c r="O98" s="14"/>
      <c r="P98" s="14">
        <v>27</v>
      </c>
      <c r="Q98" s="14">
        <v>27</v>
      </c>
    </row>
    <row r="99" spans="5:17" x14ac:dyDescent="0.25">
      <c r="E99" s="20" t="s">
        <v>2204</v>
      </c>
      <c r="F99" s="14"/>
      <c r="G99" s="14"/>
      <c r="H99" s="14">
        <v>291</v>
      </c>
      <c r="I99" s="14">
        <v>392</v>
      </c>
      <c r="J99" s="14"/>
      <c r="K99" s="14"/>
      <c r="L99" s="14">
        <v>33</v>
      </c>
      <c r="M99" s="14">
        <v>157</v>
      </c>
      <c r="N99" s="14"/>
      <c r="O99" s="14">
        <v>37</v>
      </c>
      <c r="P99" s="14">
        <v>183</v>
      </c>
      <c r="Q99" s="14">
        <v>33</v>
      </c>
    </row>
    <row r="100" spans="5:17" x14ac:dyDescent="0.25">
      <c r="E100" s="20" t="s">
        <v>2207</v>
      </c>
      <c r="F100" s="14">
        <v>27</v>
      </c>
      <c r="G100" s="14"/>
      <c r="H100" s="14"/>
      <c r="I100" s="14">
        <v>27</v>
      </c>
      <c r="J100" s="14">
        <v>27</v>
      </c>
      <c r="K100" s="14">
        <v>27</v>
      </c>
      <c r="L100" s="14">
        <v>27</v>
      </c>
      <c r="M100" s="14">
        <v>27</v>
      </c>
      <c r="N100" s="14"/>
      <c r="O100" s="14">
        <v>27</v>
      </c>
      <c r="P100" s="14">
        <v>27</v>
      </c>
      <c r="Q100" s="14">
        <v>27</v>
      </c>
    </row>
    <row r="101" spans="5:17" x14ac:dyDescent="0.25">
      <c r="E101" s="20" t="s">
        <v>2205</v>
      </c>
      <c r="F101" s="14">
        <v>27</v>
      </c>
      <c r="G101" s="14">
        <v>27</v>
      </c>
      <c r="H101" s="14">
        <v>27</v>
      </c>
      <c r="I101" s="14"/>
      <c r="J101" s="14">
        <v>27</v>
      </c>
      <c r="K101" s="14">
        <v>27</v>
      </c>
      <c r="L101" s="14">
        <v>27</v>
      </c>
      <c r="M101" s="14">
        <v>27</v>
      </c>
      <c r="N101" s="14">
        <v>27</v>
      </c>
      <c r="O101" s="14">
        <v>27</v>
      </c>
      <c r="P101" s="14">
        <v>27</v>
      </c>
      <c r="Q101" s="14">
        <v>27</v>
      </c>
    </row>
    <row r="102" spans="5:17" x14ac:dyDescent="0.25">
      <c r="E102" s="16" t="s">
        <v>2202</v>
      </c>
      <c r="F102" s="14">
        <v>81</v>
      </c>
      <c r="G102" s="14">
        <v>27</v>
      </c>
      <c r="H102" s="14">
        <v>27</v>
      </c>
      <c r="I102" s="14">
        <v>27</v>
      </c>
      <c r="J102" s="14">
        <v>27</v>
      </c>
      <c r="K102" s="14">
        <v>27</v>
      </c>
      <c r="L102" s="14">
        <v>27</v>
      </c>
      <c r="M102" s="14">
        <v>27</v>
      </c>
      <c r="N102" s="14">
        <v>27</v>
      </c>
      <c r="O102" s="14">
        <v>27</v>
      </c>
      <c r="P102" s="14">
        <v>27</v>
      </c>
      <c r="Q102" s="14">
        <v>27</v>
      </c>
    </row>
    <row r="103" spans="5:17" x14ac:dyDescent="0.25">
      <c r="E103" s="20" t="s">
        <v>2206</v>
      </c>
      <c r="F103" s="14"/>
      <c r="G103" s="14">
        <v>27</v>
      </c>
      <c r="H103" s="14">
        <v>27</v>
      </c>
      <c r="I103" s="14"/>
      <c r="J103" s="14"/>
      <c r="K103" s="14">
        <v>27</v>
      </c>
      <c r="L103" s="14">
        <v>27</v>
      </c>
      <c r="M103" s="14"/>
      <c r="N103" s="14">
        <v>27</v>
      </c>
      <c r="O103" s="14">
        <v>27</v>
      </c>
      <c r="P103" s="14">
        <v>27</v>
      </c>
      <c r="Q103" s="14">
        <v>27</v>
      </c>
    </row>
    <row r="104" spans="5:17" x14ac:dyDescent="0.25">
      <c r="E104" s="20" t="s">
        <v>2204</v>
      </c>
      <c r="F104" s="14">
        <v>81</v>
      </c>
      <c r="G104" s="14">
        <v>150</v>
      </c>
      <c r="H104" s="14"/>
      <c r="I104" s="14"/>
      <c r="J104" s="14"/>
      <c r="K104" s="14">
        <v>81</v>
      </c>
      <c r="L104" s="14">
        <v>355</v>
      </c>
      <c r="M104" s="14">
        <v>341</v>
      </c>
      <c r="N104" s="14">
        <v>130</v>
      </c>
      <c r="O104" s="14">
        <v>33</v>
      </c>
      <c r="P104" s="14">
        <v>129</v>
      </c>
      <c r="Q104" s="14">
        <v>33</v>
      </c>
    </row>
    <row r="105" spans="5:17" x14ac:dyDescent="0.25">
      <c r="E105" s="20" t="s">
        <v>2207</v>
      </c>
      <c r="F105" s="14"/>
      <c r="G105" s="14">
        <v>27</v>
      </c>
      <c r="H105" s="14">
        <v>27</v>
      </c>
      <c r="I105" s="14">
        <v>27</v>
      </c>
      <c r="J105" s="14">
        <v>27</v>
      </c>
      <c r="K105" s="14"/>
      <c r="L105" s="14"/>
      <c r="M105" s="14">
        <v>27</v>
      </c>
      <c r="N105" s="14">
        <v>27</v>
      </c>
      <c r="O105" s="14"/>
      <c r="P105" s="14"/>
      <c r="Q105" s="14">
        <v>27</v>
      </c>
    </row>
    <row r="106" spans="5:17" x14ac:dyDescent="0.25">
      <c r="E106" s="20" t="s">
        <v>2205</v>
      </c>
      <c r="F106" s="14"/>
      <c r="G106" s="14">
        <v>27</v>
      </c>
      <c r="H106" s="14">
        <v>27</v>
      </c>
      <c r="I106" s="14"/>
      <c r="J106" s="14">
        <v>27</v>
      </c>
      <c r="K106" s="14"/>
      <c r="L106" s="14">
        <v>27</v>
      </c>
      <c r="M106" s="14"/>
      <c r="N106" s="14">
        <v>27</v>
      </c>
      <c r="O106" s="14"/>
      <c r="P106" s="14">
        <v>27</v>
      </c>
      <c r="Q106" s="14">
        <v>27</v>
      </c>
    </row>
    <row r="107" spans="5:17" x14ac:dyDescent="0.25">
      <c r="E107" s="16" t="s">
        <v>2200</v>
      </c>
      <c r="F107" s="14">
        <v>27</v>
      </c>
      <c r="G107" s="14">
        <v>27</v>
      </c>
      <c r="H107" s="14">
        <v>27</v>
      </c>
      <c r="I107" s="14">
        <v>27</v>
      </c>
      <c r="J107" s="14">
        <v>27</v>
      </c>
      <c r="K107" s="14">
        <v>27</v>
      </c>
      <c r="L107" s="14">
        <v>27</v>
      </c>
      <c r="M107" s="14">
        <v>27</v>
      </c>
      <c r="N107" s="14">
        <v>27</v>
      </c>
      <c r="O107" s="14">
        <v>27</v>
      </c>
      <c r="P107" s="14">
        <v>300</v>
      </c>
      <c r="Q107" s="14">
        <v>27</v>
      </c>
    </row>
    <row r="108" spans="5:17" x14ac:dyDescent="0.25">
      <c r="E108" s="20" t="s">
        <v>2206</v>
      </c>
      <c r="F108" s="14">
        <v>27</v>
      </c>
      <c r="G108" s="14">
        <v>27</v>
      </c>
      <c r="H108" s="14">
        <v>27</v>
      </c>
      <c r="I108" s="14"/>
      <c r="J108" s="14">
        <v>27</v>
      </c>
      <c r="K108" s="14">
        <v>27</v>
      </c>
      <c r="L108" s="14"/>
      <c r="M108" s="14">
        <v>27</v>
      </c>
      <c r="N108" s="14">
        <v>27</v>
      </c>
      <c r="O108" s="14">
        <v>27</v>
      </c>
      <c r="P108" s="14"/>
      <c r="Q108" s="14">
        <v>27</v>
      </c>
    </row>
    <row r="109" spans="5:17" x14ac:dyDescent="0.25">
      <c r="E109" s="20" t="s">
        <v>2204</v>
      </c>
      <c r="F109" s="14"/>
      <c r="G109" s="14"/>
      <c r="H109" s="14">
        <v>379</v>
      </c>
      <c r="I109" s="14"/>
      <c r="J109" s="14"/>
      <c r="K109" s="14">
        <v>190</v>
      </c>
      <c r="L109" s="14">
        <v>177</v>
      </c>
      <c r="M109" s="14">
        <v>166</v>
      </c>
      <c r="N109" s="14"/>
      <c r="O109" s="14"/>
      <c r="P109" s="14">
        <v>300</v>
      </c>
      <c r="Q109" s="14">
        <v>166</v>
      </c>
    </row>
    <row r="110" spans="5:17" x14ac:dyDescent="0.25">
      <c r="E110" s="20" t="s">
        <v>2207</v>
      </c>
      <c r="F110" s="14"/>
      <c r="G110" s="14"/>
      <c r="H110" s="14">
        <v>27</v>
      </c>
      <c r="I110" s="14">
        <v>27</v>
      </c>
      <c r="J110" s="14">
        <v>27</v>
      </c>
      <c r="K110" s="14"/>
      <c r="L110" s="14"/>
      <c r="M110" s="14">
        <v>27</v>
      </c>
      <c r="N110" s="14"/>
      <c r="O110" s="14">
        <v>27</v>
      </c>
      <c r="P110" s="14"/>
      <c r="Q110" s="14">
        <v>27</v>
      </c>
    </row>
    <row r="111" spans="5:17" x14ac:dyDescent="0.25">
      <c r="E111" s="20" t="s">
        <v>2205</v>
      </c>
      <c r="F111" s="14">
        <v>27</v>
      </c>
      <c r="G111" s="14">
        <v>27</v>
      </c>
      <c r="H111" s="14"/>
      <c r="I111" s="14">
        <v>27</v>
      </c>
      <c r="J111" s="14">
        <v>27</v>
      </c>
      <c r="K111" s="14">
        <v>27</v>
      </c>
      <c r="L111" s="14">
        <v>27</v>
      </c>
      <c r="M111" s="14"/>
      <c r="N111" s="14"/>
      <c r="O111" s="14">
        <v>27</v>
      </c>
      <c r="P111" s="14"/>
      <c r="Q111" s="14">
        <v>27</v>
      </c>
    </row>
    <row r="112" spans="5:17" x14ac:dyDescent="0.25">
      <c r="E112" s="16" t="s">
        <v>2199</v>
      </c>
      <c r="F112" s="14">
        <v>27</v>
      </c>
      <c r="G112" s="14">
        <v>27</v>
      </c>
      <c r="H112" s="14">
        <v>27</v>
      </c>
      <c r="I112" s="14">
        <v>27</v>
      </c>
      <c r="J112" s="14">
        <v>27</v>
      </c>
      <c r="K112" s="14">
        <v>27</v>
      </c>
      <c r="L112" s="14">
        <v>27</v>
      </c>
      <c r="M112" s="14">
        <v>27</v>
      </c>
      <c r="N112" s="14">
        <v>27</v>
      </c>
      <c r="O112" s="14">
        <v>27</v>
      </c>
      <c r="P112" s="14">
        <v>27</v>
      </c>
      <c r="Q112" s="14">
        <v>27</v>
      </c>
    </row>
    <row r="113" spans="4:17" x14ac:dyDescent="0.25">
      <c r="E113" s="20" t="s">
        <v>2206</v>
      </c>
      <c r="F113" s="14">
        <v>27</v>
      </c>
      <c r="G113" s="14"/>
      <c r="H113" s="14"/>
      <c r="I113" s="14">
        <v>27</v>
      </c>
      <c r="J113" s="14">
        <v>27</v>
      </c>
      <c r="K113" s="14"/>
      <c r="L113" s="14">
        <v>27</v>
      </c>
      <c r="M113" s="14">
        <v>27</v>
      </c>
      <c r="N113" s="14">
        <v>27</v>
      </c>
      <c r="O113" s="14"/>
      <c r="P113" s="14">
        <v>27</v>
      </c>
      <c r="Q113" s="14">
        <v>27</v>
      </c>
    </row>
    <row r="114" spans="4:17" x14ac:dyDescent="0.25">
      <c r="E114" s="20" t="s">
        <v>2204</v>
      </c>
      <c r="F114" s="14"/>
      <c r="G114" s="14">
        <v>28</v>
      </c>
      <c r="H114" s="14"/>
      <c r="I114" s="14">
        <v>67</v>
      </c>
      <c r="J114" s="14"/>
      <c r="K114" s="14">
        <v>247</v>
      </c>
      <c r="L114" s="14"/>
      <c r="M114" s="14">
        <v>75</v>
      </c>
      <c r="N114" s="14"/>
      <c r="O114" s="14"/>
      <c r="P114" s="14"/>
      <c r="Q114" s="14">
        <v>28</v>
      </c>
    </row>
    <row r="115" spans="4:17" x14ac:dyDescent="0.25">
      <c r="E115" s="20" t="s">
        <v>2207</v>
      </c>
      <c r="F115" s="14"/>
      <c r="G115" s="14"/>
      <c r="H115" s="14">
        <v>27</v>
      </c>
      <c r="I115" s="14">
        <v>27</v>
      </c>
      <c r="J115" s="14"/>
      <c r="K115" s="14">
        <v>27</v>
      </c>
      <c r="L115" s="14">
        <v>27</v>
      </c>
      <c r="M115" s="14"/>
      <c r="N115" s="14">
        <v>27</v>
      </c>
      <c r="O115" s="14">
        <v>27</v>
      </c>
      <c r="P115" s="14"/>
      <c r="Q115" s="14">
        <v>27</v>
      </c>
    </row>
    <row r="116" spans="4:17" x14ac:dyDescent="0.25">
      <c r="E116" s="20" t="s">
        <v>2205</v>
      </c>
      <c r="F116" s="14"/>
      <c r="G116" s="14">
        <v>27</v>
      </c>
      <c r="H116" s="14">
        <v>27</v>
      </c>
      <c r="I116" s="14">
        <v>27</v>
      </c>
      <c r="J116" s="14"/>
      <c r="K116" s="14">
        <v>27</v>
      </c>
      <c r="L116" s="14">
        <v>27</v>
      </c>
      <c r="M116" s="14">
        <v>27</v>
      </c>
      <c r="N116" s="14">
        <v>27</v>
      </c>
      <c r="O116" s="14">
        <v>27</v>
      </c>
      <c r="P116" s="14">
        <v>27</v>
      </c>
      <c r="Q116" s="14">
        <v>27</v>
      </c>
    </row>
    <row r="117" spans="4:17" x14ac:dyDescent="0.25">
      <c r="E117" s="16" t="s">
        <v>2197</v>
      </c>
      <c r="F117" s="14">
        <v>27</v>
      </c>
      <c r="G117" s="14">
        <v>27</v>
      </c>
      <c r="H117" s="14">
        <v>27</v>
      </c>
      <c r="I117" s="14">
        <v>27</v>
      </c>
      <c r="J117" s="14">
        <v>27</v>
      </c>
      <c r="K117" s="14">
        <v>27</v>
      </c>
      <c r="L117" s="14">
        <v>27</v>
      </c>
      <c r="M117" s="14">
        <v>27</v>
      </c>
      <c r="N117" s="14">
        <v>27</v>
      </c>
      <c r="O117" s="14">
        <v>27</v>
      </c>
      <c r="P117" s="14">
        <v>27</v>
      </c>
      <c r="Q117" s="14">
        <v>27</v>
      </c>
    </row>
    <row r="118" spans="4:17" x14ac:dyDescent="0.25">
      <c r="E118" s="20" t="s">
        <v>2206</v>
      </c>
      <c r="F118" s="14">
        <v>27</v>
      </c>
      <c r="G118" s="14">
        <v>27</v>
      </c>
      <c r="H118" s="14"/>
      <c r="I118" s="14">
        <v>27</v>
      </c>
      <c r="J118" s="14">
        <v>27</v>
      </c>
      <c r="K118" s="14">
        <v>27</v>
      </c>
      <c r="L118" s="14">
        <v>27</v>
      </c>
      <c r="M118" s="14">
        <v>27</v>
      </c>
      <c r="N118" s="14">
        <v>27</v>
      </c>
      <c r="O118" s="14">
        <v>27</v>
      </c>
      <c r="P118" s="14"/>
      <c r="Q118" s="14">
        <v>27</v>
      </c>
    </row>
    <row r="119" spans="4:17" x14ac:dyDescent="0.25">
      <c r="E119" s="20" t="s">
        <v>2204</v>
      </c>
      <c r="F119" s="14">
        <v>97</v>
      </c>
      <c r="G119" s="14">
        <v>102</v>
      </c>
      <c r="H119" s="14">
        <v>98</v>
      </c>
      <c r="I119" s="14">
        <v>126</v>
      </c>
      <c r="J119" s="14">
        <v>41</v>
      </c>
      <c r="K119" s="14">
        <v>141</v>
      </c>
      <c r="L119" s="14"/>
      <c r="M119" s="14">
        <v>211</v>
      </c>
      <c r="N119" s="14">
        <v>37</v>
      </c>
      <c r="O119" s="14">
        <v>350</v>
      </c>
      <c r="P119" s="14"/>
      <c r="Q119" s="14">
        <v>37</v>
      </c>
    </row>
    <row r="120" spans="4:17" x14ac:dyDescent="0.25">
      <c r="E120" s="20" t="s">
        <v>2207</v>
      </c>
      <c r="F120" s="14">
        <v>27</v>
      </c>
      <c r="G120" s="14">
        <v>27</v>
      </c>
      <c r="H120" s="14">
        <v>27</v>
      </c>
      <c r="I120" s="14"/>
      <c r="J120" s="14">
        <v>27</v>
      </c>
      <c r="K120" s="14">
        <v>27</v>
      </c>
      <c r="L120" s="14"/>
      <c r="M120" s="14">
        <v>27</v>
      </c>
      <c r="N120" s="14"/>
      <c r="O120" s="14">
        <v>27</v>
      </c>
      <c r="P120" s="14"/>
      <c r="Q120" s="14">
        <v>27</v>
      </c>
    </row>
    <row r="121" spans="4:17" x14ac:dyDescent="0.25">
      <c r="E121" s="20" t="s">
        <v>2205</v>
      </c>
      <c r="F121" s="14"/>
      <c r="G121" s="14">
        <v>27</v>
      </c>
      <c r="H121" s="14">
        <v>27</v>
      </c>
      <c r="I121" s="14">
        <v>27</v>
      </c>
      <c r="J121" s="14"/>
      <c r="K121" s="14"/>
      <c r="L121" s="14">
        <v>27</v>
      </c>
      <c r="M121" s="14"/>
      <c r="N121" s="14"/>
      <c r="O121" s="14">
        <v>27</v>
      </c>
      <c r="P121" s="14">
        <v>27</v>
      </c>
      <c r="Q121" s="14">
        <v>27</v>
      </c>
    </row>
    <row r="122" spans="4:17" x14ac:dyDescent="0.25">
      <c r="E122" s="16" t="s">
        <v>2196</v>
      </c>
      <c r="F122" s="14">
        <v>27</v>
      </c>
      <c r="G122" s="14">
        <v>27</v>
      </c>
      <c r="H122" s="14">
        <v>27</v>
      </c>
      <c r="I122" s="14">
        <v>27</v>
      </c>
      <c r="J122" s="14">
        <v>27</v>
      </c>
      <c r="K122" s="14">
        <v>27</v>
      </c>
      <c r="L122" s="14">
        <v>27</v>
      </c>
      <c r="M122" s="14">
        <v>27</v>
      </c>
      <c r="N122" s="14">
        <v>27</v>
      </c>
      <c r="O122" s="14">
        <v>27</v>
      </c>
      <c r="P122" s="14">
        <v>27</v>
      </c>
      <c r="Q122" s="14">
        <v>27</v>
      </c>
    </row>
    <row r="123" spans="4:17" x14ac:dyDescent="0.25">
      <c r="E123" s="20" t="s">
        <v>2206</v>
      </c>
      <c r="F123" s="14"/>
      <c r="G123" s="14">
        <v>27</v>
      </c>
      <c r="H123" s="14">
        <v>27</v>
      </c>
      <c r="I123" s="14">
        <v>27</v>
      </c>
      <c r="J123" s="14">
        <v>27</v>
      </c>
      <c r="K123" s="14">
        <v>27</v>
      </c>
      <c r="L123" s="14">
        <v>27</v>
      </c>
      <c r="M123" s="14">
        <v>27</v>
      </c>
      <c r="N123" s="14">
        <v>27</v>
      </c>
      <c r="O123" s="14">
        <v>27</v>
      </c>
      <c r="P123" s="14">
        <v>27</v>
      </c>
      <c r="Q123" s="14">
        <v>27</v>
      </c>
    </row>
    <row r="124" spans="4:17" x14ac:dyDescent="0.25">
      <c r="E124" s="20" t="s">
        <v>2204</v>
      </c>
      <c r="F124" s="14"/>
      <c r="G124" s="14"/>
      <c r="H124" s="14">
        <v>130</v>
      </c>
      <c r="I124" s="14">
        <v>143</v>
      </c>
      <c r="J124" s="14">
        <v>40</v>
      </c>
      <c r="K124" s="14"/>
      <c r="L124" s="14">
        <v>98</v>
      </c>
      <c r="M124" s="14"/>
      <c r="N124" s="14">
        <v>271</v>
      </c>
      <c r="O124" s="14">
        <v>127</v>
      </c>
      <c r="P124" s="14">
        <v>336</v>
      </c>
      <c r="Q124" s="14">
        <v>40</v>
      </c>
    </row>
    <row r="125" spans="4:17" x14ac:dyDescent="0.25">
      <c r="E125" s="20" t="s">
        <v>2207</v>
      </c>
      <c r="F125" s="14">
        <v>27</v>
      </c>
      <c r="G125" s="14">
        <v>27</v>
      </c>
      <c r="H125" s="14"/>
      <c r="I125" s="14">
        <v>27</v>
      </c>
      <c r="J125" s="14"/>
      <c r="K125" s="14"/>
      <c r="L125" s="14">
        <v>27</v>
      </c>
      <c r="M125" s="14">
        <v>27</v>
      </c>
      <c r="N125" s="14">
        <v>27</v>
      </c>
      <c r="O125" s="14">
        <v>27</v>
      </c>
      <c r="P125" s="14">
        <v>27</v>
      </c>
      <c r="Q125" s="14">
        <v>27</v>
      </c>
    </row>
    <row r="126" spans="4:17" x14ac:dyDescent="0.25">
      <c r="E126" s="20" t="s">
        <v>2205</v>
      </c>
      <c r="F126" s="14"/>
      <c r="G126" s="14">
        <v>27</v>
      </c>
      <c r="H126" s="14">
        <v>27</v>
      </c>
      <c r="I126" s="14">
        <v>27</v>
      </c>
      <c r="J126" s="14">
        <v>27</v>
      </c>
      <c r="K126" s="14">
        <v>27</v>
      </c>
      <c r="L126" s="14"/>
      <c r="M126" s="14">
        <v>27</v>
      </c>
      <c r="N126" s="14"/>
      <c r="O126" s="14">
        <v>27</v>
      </c>
      <c r="P126" s="14"/>
      <c r="Q126" s="14">
        <v>27</v>
      </c>
    </row>
    <row r="128" spans="4:17" x14ac:dyDescent="0.25">
      <c r="D128" s="13" t="s">
        <v>2274</v>
      </c>
    </row>
    <row r="129" spans="2:64" x14ac:dyDescent="0.25">
      <c r="D129" s="15" t="s">
        <v>2268</v>
      </c>
      <c r="E129" s="15" t="s">
        <v>2260</v>
      </c>
    </row>
    <row r="130" spans="2:64" x14ac:dyDescent="0.25">
      <c r="B130" s="16"/>
      <c r="E130" s="13" t="s">
        <v>2194</v>
      </c>
      <c r="P130" s="13" t="s">
        <v>2272</v>
      </c>
      <c r="Q130" s="13" t="s">
        <v>2195</v>
      </c>
      <c r="AB130" s="13" t="s">
        <v>2275</v>
      </c>
      <c r="AC130" s="13" t="s">
        <v>2190</v>
      </c>
      <c r="AN130" s="13" t="s">
        <v>2276</v>
      </c>
      <c r="AO130" s="13" t="s">
        <v>2193</v>
      </c>
      <c r="AZ130" s="13" t="s">
        <v>2273</v>
      </c>
      <c r="BA130" s="13" t="s">
        <v>2191</v>
      </c>
      <c r="BL130" s="13" t="s">
        <v>2294</v>
      </c>
    </row>
    <row r="131" spans="2:64" x14ac:dyDescent="0.25">
      <c r="B131" s="16"/>
      <c r="C131" s="28"/>
      <c r="D131" s="15" t="s">
        <v>2256</v>
      </c>
      <c r="E131" s="13" t="s">
        <v>2221</v>
      </c>
      <c r="F131" s="13" t="s">
        <v>2216</v>
      </c>
      <c r="G131" s="13" t="s">
        <v>2219</v>
      </c>
      <c r="H131" s="13" t="s">
        <v>2224</v>
      </c>
      <c r="I131" s="13" t="s">
        <v>2218</v>
      </c>
      <c r="J131" s="13" t="s">
        <v>2220</v>
      </c>
      <c r="K131" s="13" t="s">
        <v>2222</v>
      </c>
      <c r="L131" s="13" t="s">
        <v>2215</v>
      </c>
      <c r="M131" s="13" t="s">
        <v>2223</v>
      </c>
      <c r="N131" s="13" t="s">
        <v>2214</v>
      </c>
      <c r="O131" s="13" t="s">
        <v>2217</v>
      </c>
      <c r="Q131" s="13" t="s">
        <v>2221</v>
      </c>
      <c r="R131" s="13" t="s">
        <v>2216</v>
      </c>
      <c r="S131" s="13" t="s">
        <v>2219</v>
      </c>
      <c r="T131" s="13" t="s">
        <v>2224</v>
      </c>
      <c r="U131" s="13" t="s">
        <v>2218</v>
      </c>
      <c r="V131" s="13" t="s">
        <v>2220</v>
      </c>
      <c r="W131" s="13" t="s">
        <v>2222</v>
      </c>
      <c r="X131" s="13" t="s">
        <v>2215</v>
      </c>
      <c r="Y131" s="13" t="s">
        <v>2223</v>
      </c>
      <c r="Z131" s="13" t="s">
        <v>2214</v>
      </c>
      <c r="AA131" s="13" t="s">
        <v>2217</v>
      </c>
      <c r="AC131" s="13" t="s">
        <v>2221</v>
      </c>
      <c r="AD131" s="13" t="s">
        <v>2216</v>
      </c>
      <c r="AE131" s="13" t="s">
        <v>2219</v>
      </c>
      <c r="AF131" s="13" t="s">
        <v>2224</v>
      </c>
      <c r="AG131" s="13" t="s">
        <v>2218</v>
      </c>
      <c r="AH131" s="13" t="s">
        <v>2220</v>
      </c>
      <c r="AI131" s="13" t="s">
        <v>2222</v>
      </c>
      <c r="AJ131" s="13" t="s">
        <v>2215</v>
      </c>
      <c r="AK131" s="13" t="s">
        <v>2223</v>
      </c>
      <c r="AL131" s="13" t="s">
        <v>2214</v>
      </c>
      <c r="AM131" s="13" t="s">
        <v>2217</v>
      </c>
      <c r="AO131" s="13" t="s">
        <v>2221</v>
      </c>
      <c r="AP131" s="13" t="s">
        <v>2216</v>
      </c>
      <c r="AQ131" s="13" t="s">
        <v>2219</v>
      </c>
      <c r="AR131" s="13" t="s">
        <v>2224</v>
      </c>
      <c r="AS131" s="13" t="s">
        <v>2218</v>
      </c>
      <c r="AT131" s="13" t="s">
        <v>2220</v>
      </c>
      <c r="AU131" s="13" t="s">
        <v>2222</v>
      </c>
      <c r="AV131" s="13" t="s">
        <v>2215</v>
      </c>
      <c r="AW131" s="13" t="s">
        <v>2223</v>
      </c>
      <c r="AX131" s="13" t="s">
        <v>2214</v>
      </c>
      <c r="AY131" s="13" t="s">
        <v>2217</v>
      </c>
      <c r="BA131" s="13" t="s">
        <v>2221</v>
      </c>
      <c r="BB131" s="13" t="s">
        <v>2216</v>
      </c>
      <c r="BC131" s="13" t="s">
        <v>2219</v>
      </c>
      <c r="BD131" s="13" t="s">
        <v>2224</v>
      </c>
      <c r="BE131" s="13" t="s">
        <v>2218</v>
      </c>
      <c r="BF131" s="13" t="s">
        <v>2220</v>
      </c>
      <c r="BG131" s="13" t="s">
        <v>2222</v>
      </c>
      <c r="BH131" s="13" t="s">
        <v>2215</v>
      </c>
      <c r="BI131" s="13" t="s">
        <v>2223</v>
      </c>
      <c r="BJ131" s="13" t="s">
        <v>2214</v>
      </c>
      <c r="BK131" s="13" t="s">
        <v>2217</v>
      </c>
    </row>
    <row r="132" spans="2:64" x14ac:dyDescent="0.25">
      <c r="C132" s="29"/>
      <c r="D132" s="16" t="s">
        <v>2209</v>
      </c>
      <c r="E132" s="14">
        <v>27</v>
      </c>
      <c r="F132" s="14">
        <v>27</v>
      </c>
      <c r="G132" s="14">
        <v>27</v>
      </c>
      <c r="H132" s="14">
        <v>27</v>
      </c>
      <c r="I132" s="14">
        <v>27</v>
      </c>
      <c r="J132" s="14">
        <v>27</v>
      </c>
      <c r="K132" s="14">
        <v>27</v>
      </c>
      <c r="L132" s="14">
        <v>27</v>
      </c>
      <c r="M132" s="14">
        <v>27</v>
      </c>
      <c r="N132" s="14">
        <v>27</v>
      </c>
      <c r="O132" s="14">
        <v>27</v>
      </c>
      <c r="P132" s="14">
        <v>27</v>
      </c>
      <c r="Q132" s="14">
        <v>27</v>
      </c>
      <c r="R132" s="14">
        <v>27</v>
      </c>
      <c r="S132" s="14">
        <v>27</v>
      </c>
      <c r="T132" s="14">
        <v>27</v>
      </c>
      <c r="U132" s="14">
        <v>27</v>
      </c>
      <c r="V132" s="14">
        <v>27</v>
      </c>
      <c r="W132" s="14">
        <v>27</v>
      </c>
      <c r="X132" s="14">
        <v>27</v>
      </c>
      <c r="Y132" s="14">
        <v>27</v>
      </c>
      <c r="Z132" s="14">
        <v>27</v>
      </c>
      <c r="AA132" s="14">
        <v>27</v>
      </c>
      <c r="AB132" s="14">
        <v>27</v>
      </c>
      <c r="AC132" s="14">
        <v>27</v>
      </c>
      <c r="AD132" s="14">
        <v>27</v>
      </c>
      <c r="AE132" s="14">
        <v>27</v>
      </c>
      <c r="AF132" s="14">
        <v>27</v>
      </c>
      <c r="AG132" s="14">
        <v>27</v>
      </c>
      <c r="AH132" s="14">
        <v>27</v>
      </c>
      <c r="AI132" s="14">
        <v>27</v>
      </c>
      <c r="AJ132" s="14">
        <v>27</v>
      </c>
      <c r="AK132" s="14">
        <v>27</v>
      </c>
      <c r="AL132" s="14">
        <v>27</v>
      </c>
      <c r="AM132" s="14">
        <v>27</v>
      </c>
      <c r="AN132" s="14">
        <v>27</v>
      </c>
      <c r="AO132" s="14">
        <v>27</v>
      </c>
      <c r="AP132" s="14">
        <v>27</v>
      </c>
      <c r="AQ132" s="14">
        <v>27</v>
      </c>
      <c r="AR132" s="14">
        <v>27</v>
      </c>
      <c r="AS132" s="14">
        <v>27</v>
      </c>
      <c r="AT132" s="14">
        <v>27</v>
      </c>
      <c r="AU132" s="14">
        <v>27</v>
      </c>
      <c r="AV132" s="14">
        <v>27</v>
      </c>
      <c r="AW132" s="14">
        <v>27</v>
      </c>
      <c r="AX132" s="14">
        <v>27</v>
      </c>
      <c r="AY132" s="14">
        <v>27</v>
      </c>
      <c r="AZ132" s="14">
        <v>27</v>
      </c>
      <c r="BA132" s="14">
        <v>27</v>
      </c>
      <c r="BB132" s="14">
        <v>27</v>
      </c>
      <c r="BC132" s="14">
        <v>27</v>
      </c>
      <c r="BD132" s="14">
        <v>27</v>
      </c>
      <c r="BE132" s="14">
        <v>27</v>
      </c>
      <c r="BF132" s="14">
        <v>27</v>
      </c>
      <c r="BG132" s="14">
        <v>27</v>
      </c>
      <c r="BH132" s="14">
        <v>27</v>
      </c>
      <c r="BI132" s="14">
        <v>27</v>
      </c>
      <c r="BJ132" s="14">
        <v>27</v>
      </c>
      <c r="BK132" s="14">
        <v>27</v>
      </c>
      <c r="BL132" s="14">
        <v>27</v>
      </c>
    </row>
    <row r="133" spans="2:64" x14ac:dyDescent="0.25">
      <c r="D133" s="20" t="s">
        <v>2201</v>
      </c>
      <c r="E133" s="14"/>
      <c r="F133" s="14"/>
      <c r="G133" s="14">
        <v>115</v>
      </c>
      <c r="H133" s="14"/>
      <c r="I133" s="14"/>
      <c r="J133" s="14"/>
      <c r="K133" s="14">
        <v>27</v>
      </c>
      <c r="L133" s="14"/>
      <c r="M133" s="14">
        <v>31</v>
      </c>
      <c r="N133" s="14">
        <v>27</v>
      </c>
      <c r="O133" s="14"/>
      <c r="P133" s="14">
        <v>27</v>
      </c>
      <c r="Q133" s="14"/>
      <c r="R133" s="14">
        <v>27</v>
      </c>
      <c r="S133" s="14"/>
      <c r="T133" s="14"/>
      <c r="U133" s="14">
        <v>383</v>
      </c>
      <c r="V133" s="14"/>
      <c r="W133" s="14"/>
      <c r="X133" s="14">
        <v>27</v>
      </c>
      <c r="Y133" s="14"/>
      <c r="Z133" s="14">
        <v>27</v>
      </c>
      <c r="AA133" s="14">
        <v>27</v>
      </c>
      <c r="AB133" s="14">
        <v>27</v>
      </c>
      <c r="AC133" s="14"/>
      <c r="AD133" s="14"/>
      <c r="AE133" s="14">
        <v>27</v>
      </c>
      <c r="AF133" s="14"/>
      <c r="AG133" s="14"/>
      <c r="AH133" s="14">
        <v>107</v>
      </c>
      <c r="AI133" s="14">
        <v>27</v>
      </c>
      <c r="AJ133" s="14">
        <v>27</v>
      </c>
      <c r="AK133" s="14"/>
      <c r="AL133" s="14"/>
      <c r="AM133" s="14">
        <v>54</v>
      </c>
      <c r="AN133" s="14">
        <v>27</v>
      </c>
      <c r="AO133" s="14"/>
      <c r="AP133" s="14">
        <v>27</v>
      </c>
      <c r="AQ133" s="14"/>
      <c r="AR133" s="14"/>
      <c r="AS133" s="14">
        <v>27</v>
      </c>
      <c r="AT133" s="14"/>
      <c r="AU133" s="14"/>
      <c r="AV133" s="14"/>
      <c r="AW133" s="14">
        <v>358</v>
      </c>
      <c r="AX133" s="14"/>
      <c r="AY133" s="14"/>
      <c r="AZ133" s="14">
        <v>27</v>
      </c>
      <c r="BA133" s="14"/>
      <c r="BB133" s="14"/>
      <c r="BC133" s="14">
        <v>27</v>
      </c>
      <c r="BD133" s="14"/>
      <c r="BE133" s="14"/>
      <c r="BF133" s="14">
        <v>27</v>
      </c>
      <c r="BG133" s="14">
        <v>27</v>
      </c>
      <c r="BH133" s="14"/>
      <c r="BI133" s="14">
        <v>119</v>
      </c>
      <c r="BJ133" s="14"/>
      <c r="BK133" s="14">
        <v>27</v>
      </c>
      <c r="BL133" s="14">
        <v>27</v>
      </c>
    </row>
    <row r="134" spans="2:64" x14ac:dyDescent="0.25">
      <c r="D134" s="21" t="s">
        <v>2206</v>
      </c>
      <c r="E134" s="14"/>
      <c r="F134" s="14"/>
      <c r="G134" s="14"/>
      <c r="H134" s="14"/>
      <c r="I134" s="14"/>
      <c r="J134" s="14"/>
      <c r="K134" s="14"/>
      <c r="L134" s="14"/>
      <c r="M134" s="14"/>
      <c r="N134" s="14"/>
      <c r="O134" s="14"/>
      <c r="P134" s="14"/>
      <c r="Q134" s="14"/>
      <c r="R134" s="14"/>
      <c r="S134" s="14"/>
      <c r="T134" s="14"/>
      <c r="U134" s="14"/>
      <c r="V134" s="14"/>
      <c r="W134" s="14"/>
      <c r="X134" s="14"/>
      <c r="Y134" s="14"/>
      <c r="Z134" s="14">
        <v>27</v>
      </c>
      <c r="AA134" s="14"/>
      <c r="AB134" s="14">
        <v>27</v>
      </c>
      <c r="AC134" s="14"/>
      <c r="AD134" s="14"/>
      <c r="AE134" s="14">
        <v>27</v>
      </c>
      <c r="AF134" s="14"/>
      <c r="AG134" s="14"/>
      <c r="AH134" s="14"/>
      <c r="AI134" s="14"/>
      <c r="AJ134" s="14">
        <v>27</v>
      </c>
      <c r="AK134" s="14"/>
      <c r="AL134" s="14"/>
      <c r="AM134" s="14"/>
      <c r="AN134" s="14">
        <v>27</v>
      </c>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v>27</v>
      </c>
      <c r="BL134" s="14">
        <v>27</v>
      </c>
    </row>
    <row r="135" spans="2:64" x14ac:dyDescent="0.25">
      <c r="D135" s="21" t="s">
        <v>2204</v>
      </c>
      <c r="E135" s="14"/>
      <c r="F135" s="14"/>
      <c r="G135" s="14">
        <v>115</v>
      </c>
      <c r="H135" s="14"/>
      <c r="I135" s="14"/>
      <c r="J135" s="14"/>
      <c r="K135" s="14"/>
      <c r="L135" s="14"/>
      <c r="M135" s="14">
        <v>31</v>
      </c>
      <c r="N135" s="14"/>
      <c r="O135" s="14"/>
      <c r="P135" s="14">
        <v>31</v>
      </c>
      <c r="Q135" s="14"/>
      <c r="R135" s="14"/>
      <c r="S135" s="14"/>
      <c r="T135" s="14"/>
      <c r="U135" s="14">
        <v>383</v>
      </c>
      <c r="V135" s="14"/>
      <c r="W135" s="14"/>
      <c r="X135" s="14"/>
      <c r="Y135" s="14"/>
      <c r="Z135" s="14"/>
      <c r="AA135" s="14"/>
      <c r="AB135" s="14">
        <v>383</v>
      </c>
      <c r="AC135" s="14"/>
      <c r="AD135" s="14"/>
      <c r="AE135" s="14"/>
      <c r="AF135" s="14"/>
      <c r="AG135" s="14"/>
      <c r="AH135" s="14">
        <v>107</v>
      </c>
      <c r="AI135" s="14"/>
      <c r="AJ135" s="14"/>
      <c r="AK135" s="14"/>
      <c r="AL135" s="14"/>
      <c r="AM135" s="14">
        <v>54</v>
      </c>
      <c r="AN135" s="14">
        <v>54</v>
      </c>
      <c r="AO135" s="14"/>
      <c r="AP135" s="14"/>
      <c r="AQ135" s="14"/>
      <c r="AR135" s="14"/>
      <c r="AS135" s="14"/>
      <c r="AT135" s="14"/>
      <c r="AU135" s="14"/>
      <c r="AV135" s="14"/>
      <c r="AW135" s="14">
        <v>358</v>
      </c>
      <c r="AX135" s="14"/>
      <c r="AY135" s="14"/>
      <c r="AZ135" s="14">
        <v>358</v>
      </c>
      <c r="BA135" s="14"/>
      <c r="BB135" s="14"/>
      <c r="BC135" s="14"/>
      <c r="BD135" s="14"/>
      <c r="BE135" s="14"/>
      <c r="BF135" s="14"/>
      <c r="BG135" s="14"/>
      <c r="BH135" s="14"/>
      <c r="BI135" s="14">
        <v>119</v>
      </c>
      <c r="BJ135" s="14"/>
      <c r="BK135" s="14"/>
      <c r="BL135" s="14">
        <v>119</v>
      </c>
    </row>
    <row r="136" spans="2:64" x14ac:dyDescent="0.25">
      <c r="D136" s="21" t="s">
        <v>2207</v>
      </c>
      <c r="E136" s="14"/>
      <c r="F136" s="14"/>
      <c r="G136" s="14"/>
      <c r="H136" s="14"/>
      <c r="I136" s="14"/>
      <c r="J136" s="14"/>
      <c r="K136" s="14">
        <v>27</v>
      </c>
      <c r="L136" s="14"/>
      <c r="M136" s="14"/>
      <c r="N136" s="14">
        <v>27</v>
      </c>
      <c r="O136" s="14"/>
      <c r="P136" s="14">
        <v>27</v>
      </c>
      <c r="Q136" s="14"/>
      <c r="R136" s="14"/>
      <c r="S136" s="14"/>
      <c r="T136" s="14"/>
      <c r="U136" s="14"/>
      <c r="V136" s="14"/>
      <c r="W136" s="14"/>
      <c r="X136" s="14"/>
      <c r="Y136" s="14"/>
      <c r="Z136" s="14"/>
      <c r="AA136" s="14">
        <v>27</v>
      </c>
      <c r="AB136" s="14">
        <v>27</v>
      </c>
      <c r="AC136" s="14"/>
      <c r="AD136" s="14"/>
      <c r="AE136" s="14"/>
      <c r="AF136" s="14"/>
      <c r="AG136" s="14"/>
      <c r="AH136" s="14"/>
      <c r="AI136" s="14">
        <v>27</v>
      </c>
      <c r="AJ136" s="14">
        <v>27</v>
      </c>
      <c r="AK136" s="14"/>
      <c r="AL136" s="14"/>
      <c r="AM136" s="14"/>
      <c r="AN136" s="14">
        <v>27</v>
      </c>
      <c r="AO136" s="14"/>
      <c r="AP136" s="14"/>
      <c r="AQ136" s="14"/>
      <c r="AR136" s="14"/>
      <c r="AS136" s="14">
        <v>27</v>
      </c>
      <c r="AT136" s="14"/>
      <c r="AU136" s="14"/>
      <c r="AV136" s="14"/>
      <c r="AW136" s="14"/>
      <c r="AX136" s="14"/>
      <c r="AY136" s="14"/>
      <c r="AZ136" s="14">
        <v>27</v>
      </c>
      <c r="BA136" s="14"/>
      <c r="BB136" s="14"/>
      <c r="BC136" s="14">
        <v>27</v>
      </c>
      <c r="BD136" s="14"/>
      <c r="BE136" s="14"/>
      <c r="BF136" s="14">
        <v>27</v>
      </c>
      <c r="BG136" s="14"/>
      <c r="BH136" s="14"/>
      <c r="BI136" s="14"/>
      <c r="BJ136" s="14"/>
      <c r="BK136" s="14"/>
      <c r="BL136" s="14">
        <v>27</v>
      </c>
    </row>
    <row r="137" spans="2:64" x14ac:dyDescent="0.25">
      <c r="D137" s="21" t="s">
        <v>2205</v>
      </c>
      <c r="E137" s="14"/>
      <c r="F137" s="14"/>
      <c r="G137" s="14"/>
      <c r="H137" s="14"/>
      <c r="I137" s="14"/>
      <c r="J137" s="14"/>
      <c r="K137" s="14"/>
      <c r="L137" s="14"/>
      <c r="M137" s="14"/>
      <c r="N137" s="14"/>
      <c r="O137" s="14"/>
      <c r="P137" s="14"/>
      <c r="Q137" s="14"/>
      <c r="R137" s="14">
        <v>27</v>
      </c>
      <c r="S137" s="14"/>
      <c r="T137" s="14"/>
      <c r="U137" s="14"/>
      <c r="V137" s="14"/>
      <c r="W137" s="14"/>
      <c r="X137" s="14">
        <v>27</v>
      </c>
      <c r="Y137" s="14"/>
      <c r="Z137" s="14">
        <v>27</v>
      </c>
      <c r="AA137" s="14"/>
      <c r="AB137" s="14">
        <v>27</v>
      </c>
      <c r="AC137" s="14"/>
      <c r="AD137" s="14"/>
      <c r="AE137" s="14"/>
      <c r="AF137" s="14"/>
      <c r="AG137" s="14"/>
      <c r="AH137" s="14"/>
      <c r="AI137" s="14"/>
      <c r="AJ137" s="14"/>
      <c r="AK137" s="14"/>
      <c r="AL137" s="14"/>
      <c r="AM137" s="14"/>
      <c r="AN137" s="14"/>
      <c r="AO137" s="14"/>
      <c r="AP137" s="14">
        <v>27</v>
      </c>
      <c r="AQ137" s="14"/>
      <c r="AR137" s="14"/>
      <c r="AS137" s="14"/>
      <c r="AT137" s="14"/>
      <c r="AU137" s="14"/>
      <c r="AV137" s="14"/>
      <c r="AW137" s="14"/>
      <c r="AX137" s="14"/>
      <c r="AY137" s="14"/>
      <c r="AZ137" s="14">
        <v>27</v>
      </c>
      <c r="BA137" s="14"/>
      <c r="BB137" s="14"/>
      <c r="BC137" s="14"/>
      <c r="BD137" s="14"/>
      <c r="BE137" s="14"/>
      <c r="BF137" s="14"/>
      <c r="BG137" s="14">
        <v>27</v>
      </c>
      <c r="BH137" s="14"/>
      <c r="BI137" s="14"/>
      <c r="BJ137" s="14"/>
      <c r="BK137" s="14">
        <v>27</v>
      </c>
      <c r="BL137" s="14">
        <v>27</v>
      </c>
    </row>
    <row r="138" spans="2:64" x14ac:dyDescent="0.25">
      <c r="D138" s="20" t="s">
        <v>2198</v>
      </c>
      <c r="E138" s="14"/>
      <c r="F138" s="14"/>
      <c r="G138" s="14"/>
      <c r="H138" s="14"/>
      <c r="I138" s="14">
        <v>67</v>
      </c>
      <c r="J138" s="14">
        <v>325</v>
      </c>
      <c r="K138" s="14">
        <v>27</v>
      </c>
      <c r="L138" s="14"/>
      <c r="M138" s="14"/>
      <c r="N138" s="14">
        <v>27</v>
      </c>
      <c r="O138" s="14">
        <v>27</v>
      </c>
      <c r="P138" s="14">
        <v>27</v>
      </c>
      <c r="Q138" s="14"/>
      <c r="R138" s="14"/>
      <c r="S138" s="14"/>
      <c r="T138" s="14">
        <v>27</v>
      </c>
      <c r="U138" s="14"/>
      <c r="V138" s="14"/>
      <c r="W138" s="14"/>
      <c r="X138" s="14"/>
      <c r="Y138" s="14"/>
      <c r="Z138" s="14"/>
      <c r="AA138" s="14">
        <v>27</v>
      </c>
      <c r="AB138" s="14">
        <v>27</v>
      </c>
      <c r="AC138" s="14"/>
      <c r="AD138" s="14">
        <v>27</v>
      </c>
      <c r="AE138" s="14">
        <v>27</v>
      </c>
      <c r="AF138" s="14">
        <v>321</v>
      </c>
      <c r="AG138" s="14">
        <v>27</v>
      </c>
      <c r="AH138" s="14">
        <v>27</v>
      </c>
      <c r="AI138" s="14">
        <v>129</v>
      </c>
      <c r="AJ138" s="14">
        <v>27</v>
      </c>
      <c r="AK138" s="14">
        <v>27</v>
      </c>
      <c r="AL138" s="14">
        <v>142</v>
      </c>
      <c r="AM138" s="14">
        <v>139</v>
      </c>
      <c r="AN138" s="14">
        <v>27</v>
      </c>
      <c r="AO138" s="14"/>
      <c r="AP138" s="14"/>
      <c r="AQ138" s="14">
        <v>27</v>
      </c>
      <c r="AR138" s="14"/>
      <c r="AS138" s="14"/>
      <c r="AT138" s="14">
        <v>27</v>
      </c>
      <c r="AU138" s="14"/>
      <c r="AV138" s="14">
        <v>27</v>
      </c>
      <c r="AW138" s="14">
        <v>27</v>
      </c>
      <c r="AX138" s="14">
        <v>27</v>
      </c>
      <c r="AY138" s="14">
        <v>27</v>
      </c>
      <c r="AZ138" s="14">
        <v>27</v>
      </c>
      <c r="BA138" s="14">
        <v>27</v>
      </c>
      <c r="BB138" s="14"/>
      <c r="BC138" s="14"/>
      <c r="BD138" s="14">
        <v>27</v>
      </c>
      <c r="BE138" s="14">
        <v>27</v>
      </c>
      <c r="BF138" s="14"/>
      <c r="BG138" s="14"/>
      <c r="BH138" s="14"/>
      <c r="BI138" s="14"/>
      <c r="BJ138" s="14">
        <v>27</v>
      </c>
      <c r="BK138" s="14"/>
      <c r="BL138" s="14">
        <v>27</v>
      </c>
    </row>
    <row r="139" spans="2:64" x14ac:dyDescent="0.25">
      <c r="D139" s="21" t="s">
        <v>2206</v>
      </c>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v>27</v>
      </c>
      <c r="AE139" s="14"/>
      <c r="AF139" s="14"/>
      <c r="AG139" s="14"/>
      <c r="AH139" s="14"/>
      <c r="AI139" s="14"/>
      <c r="AJ139" s="14"/>
      <c r="AK139" s="14"/>
      <c r="AL139" s="14"/>
      <c r="AM139" s="14"/>
      <c r="AN139" s="14">
        <v>27</v>
      </c>
      <c r="AO139" s="14"/>
      <c r="AP139" s="14"/>
      <c r="AQ139" s="14">
        <v>27</v>
      </c>
      <c r="AR139" s="14"/>
      <c r="AS139" s="14"/>
      <c r="AT139" s="14">
        <v>27</v>
      </c>
      <c r="AU139" s="14"/>
      <c r="AV139" s="14"/>
      <c r="AW139" s="14"/>
      <c r="AX139" s="14">
        <v>27</v>
      </c>
      <c r="AY139" s="14"/>
      <c r="AZ139" s="14">
        <v>27</v>
      </c>
      <c r="BA139" s="14"/>
      <c r="BB139" s="14"/>
      <c r="BC139" s="14"/>
      <c r="BD139" s="14"/>
      <c r="BE139" s="14"/>
      <c r="BF139" s="14"/>
      <c r="BG139" s="14"/>
      <c r="BH139" s="14"/>
      <c r="BI139" s="14"/>
      <c r="BJ139" s="14"/>
      <c r="BK139" s="14"/>
      <c r="BL139" s="14"/>
    </row>
    <row r="140" spans="2:64" x14ac:dyDescent="0.25">
      <c r="D140" s="21" t="s">
        <v>2204</v>
      </c>
      <c r="E140" s="14"/>
      <c r="F140" s="14"/>
      <c r="G140" s="14"/>
      <c r="H140" s="14"/>
      <c r="I140" s="14">
        <v>67</v>
      </c>
      <c r="J140" s="14">
        <v>325</v>
      </c>
      <c r="K140" s="14"/>
      <c r="L140" s="14"/>
      <c r="M140" s="14"/>
      <c r="N140" s="14">
        <v>186</v>
      </c>
      <c r="O140" s="14"/>
      <c r="P140" s="14">
        <v>67</v>
      </c>
      <c r="Q140" s="14"/>
      <c r="R140" s="14"/>
      <c r="S140" s="14"/>
      <c r="T140" s="14"/>
      <c r="U140" s="14"/>
      <c r="V140" s="14"/>
      <c r="W140" s="14"/>
      <c r="X140" s="14"/>
      <c r="Y140" s="14"/>
      <c r="Z140" s="14"/>
      <c r="AA140" s="14"/>
      <c r="AB140" s="14"/>
      <c r="AC140" s="14"/>
      <c r="AD140" s="14"/>
      <c r="AE140" s="14"/>
      <c r="AF140" s="14">
        <v>321</v>
      </c>
      <c r="AG140" s="14"/>
      <c r="AH140" s="14"/>
      <c r="AI140" s="14">
        <v>129</v>
      </c>
      <c r="AJ140" s="14"/>
      <c r="AK140" s="14"/>
      <c r="AL140" s="14">
        <v>142</v>
      </c>
      <c r="AM140" s="14">
        <v>139</v>
      </c>
      <c r="AN140" s="14">
        <v>129</v>
      </c>
      <c r="AO140" s="14"/>
      <c r="AP140" s="14"/>
      <c r="AQ140" s="14">
        <v>352</v>
      </c>
      <c r="AR140" s="14"/>
      <c r="AS140" s="14"/>
      <c r="AT140" s="14"/>
      <c r="AU140" s="14"/>
      <c r="AV140" s="14"/>
      <c r="AW140" s="14"/>
      <c r="AX140" s="14"/>
      <c r="AY140" s="14">
        <v>306</v>
      </c>
      <c r="AZ140" s="14">
        <v>306</v>
      </c>
      <c r="BA140" s="14"/>
      <c r="BB140" s="14"/>
      <c r="BC140" s="14"/>
      <c r="BD140" s="14"/>
      <c r="BE140" s="14"/>
      <c r="BF140" s="14"/>
      <c r="BG140" s="14"/>
      <c r="BH140" s="14"/>
      <c r="BI140" s="14"/>
      <c r="BJ140" s="14">
        <v>118</v>
      </c>
      <c r="BK140" s="14"/>
      <c r="BL140" s="14">
        <v>118</v>
      </c>
    </row>
    <row r="141" spans="2:64" x14ac:dyDescent="0.25">
      <c r="D141" s="21" t="s">
        <v>2207</v>
      </c>
      <c r="E141" s="14"/>
      <c r="F141" s="14"/>
      <c r="G141" s="14"/>
      <c r="H141" s="14"/>
      <c r="I141" s="14"/>
      <c r="J141" s="14"/>
      <c r="K141" s="14">
        <v>27</v>
      </c>
      <c r="L141" s="14"/>
      <c r="M141" s="14"/>
      <c r="N141" s="14">
        <v>27</v>
      </c>
      <c r="O141" s="14"/>
      <c r="P141" s="14">
        <v>27</v>
      </c>
      <c r="Q141" s="14"/>
      <c r="R141" s="14"/>
      <c r="S141" s="14"/>
      <c r="T141" s="14"/>
      <c r="U141" s="14"/>
      <c r="V141" s="14"/>
      <c r="W141" s="14"/>
      <c r="X141" s="14"/>
      <c r="Y141" s="14"/>
      <c r="Z141" s="14"/>
      <c r="AA141" s="14">
        <v>27</v>
      </c>
      <c r="AB141" s="14">
        <v>27</v>
      </c>
      <c r="AC141" s="14"/>
      <c r="AD141" s="14"/>
      <c r="AE141" s="14"/>
      <c r="AF141" s="14"/>
      <c r="AG141" s="14">
        <v>27</v>
      </c>
      <c r="AH141" s="14">
        <v>27</v>
      </c>
      <c r="AI141" s="14"/>
      <c r="AJ141" s="14"/>
      <c r="AK141" s="14">
        <v>27</v>
      </c>
      <c r="AL141" s="14"/>
      <c r="AM141" s="14"/>
      <c r="AN141" s="14">
        <v>27</v>
      </c>
      <c r="AO141" s="14"/>
      <c r="AP141" s="14"/>
      <c r="AQ141" s="14">
        <v>27</v>
      </c>
      <c r="AR141" s="14"/>
      <c r="AS141" s="14"/>
      <c r="AT141" s="14"/>
      <c r="AU141" s="14"/>
      <c r="AV141" s="14"/>
      <c r="AW141" s="14"/>
      <c r="AX141" s="14"/>
      <c r="AY141" s="14"/>
      <c r="AZ141" s="14">
        <v>27</v>
      </c>
      <c r="BA141" s="14"/>
      <c r="BB141" s="14"/>
      <c r="BC141" s="14"/>
      <c r="BD141" s="14">
        <v>27</v>
      </c>
      <c r="BE141" s="14">
        <v>27</v>
      </c>
      <c r="BF141" s="14"/>
      <c r="BG141" s="14"/>
      <c r="BH141" s="14"/>
      <c r="BI141" s="14"/>
      <c r="BJ141" s="14">
        <v>27</v>
      </c>
      <c r="BK141" s="14"/>
      <c r="BL141" s="14">
        <v>27</v>
      </c>
    </row>
    <row r="142" spans="2:64" x14ac:dyDescent="0.25">
      <c r="D142" s="21" t="s">
        <v>2205</v>
      </c>
      <c r="E142" s="14"/>
      <c r="F142" s="14"/>
      <c r="G142" s="14"/>
      <c r="H142" s="14"/>
      <c r="I142" s="14"/>
      <c r="J142" s="14"/>
      <c r="K142" s="14"/>
      <c r="L142" s="14"/>
      <c r="M142" s="14"/>
      <c r="N142" s="14"/>
      <c r="O142" s="14">
        <v>27</v>
      </c>
      <c r="P142" s="14">
        <v>27</v>
      </c>
      <c r="Q142" s="14"/>
      <c r="R142" s="14"/>
      <c r="S142" s="14"/>
      <c r="T142" s="14">
        <v>27</v>
      </c>
      <c r="U142" s="14"/>
      <c r="V142" s="14"/>
      <c r="W142" s="14"/>
      <c r="X142" s="14"/>
      <c r="Y142" s="14"/>
      <c r="Z142" s="14"/>
      <c r="AA142" s="14">
        <v>27</v>
      </c>
      <c r="AB142" s="14">
        <v>27</v>
      </c>
      <c r="AC142" s="14"/>
      <c r="AD142" s="14"/>
      <c r="AE142" s="14">
        <v>27</v>
      </c>
      <c r="AF142" s="14"/>
      <c r="AG142" s="14"/>
      <c r="AH142" s="14"/>
      <c r="AI142" s="14"/>
      <c r="AJ142" s="14">
        <v>27</v>
      </c>
      <c r="AK142" s="14"/>
      <c r="AL142" s="14"/>
      <c r="AM142" s="14"/>
      <c r="AN142" s="14">
        <v>27</v>
      </c>
      <c r="AO142" s="14"/>
      <c r="AP142" s="14"/>
      <c r="AQ142" s="14"/>
      <c r="AR142" s="14"/>
      <c r="AS142" s="14"/>
      <c r="AT142" s="14"/>
      <c r="AU142" s="14"/>
      <c r="AV142" s="14">
        <v>27</v>
      </c>
      <c r="AW142" s="14">
        <v>27</v>
      </c>
      <c r="AX142" s="14"/>
      <c r="AY142" s="14">
        <v>27</v>
      </c>
      <c r="AZ142" s="14">
        <v>27</v>
      </c>
      <c r="BA142" s="14">
        <v>27</v>
      </c>
      <c r="BB142" s="14"/>
      <c r="BC142" s="14"/>
      <c r="BD142" s="14"/>
      <c r="BE142" s="14"/>
      <c r="BF142" s="14"/>
      <c r="BG142" s="14"/>
      <c r="BH142" s="14"/>
      <c r="BI142" s="14"/>
      <c r="BJ142" s="14"/>
      <c r="BK142" s="14"/>
      <c r="BL142" s="14">
        <v>27</v>
      </c>
    </row>
    <row r="143" spans="2:64" x14ac:dyDescent="0.25">
      <c r="D143" s="20" t="s">
        <v>2203</v>
      </c>
      <c r="E143" s="14">
        <v>196</v>
      </c>
      <c r="F143" s="14">
        <v>27</v>
      </c>
      <c r="G143" s="14"/>
      <c r="H143" s="14">
        <v>27</v>
      </c>
      <c r="I143" s="14">
        <v>27</v>
      </c>
      <c r="J143" s="14"/>
      <c r="K143" s="14">
        <v>27</v>
      </c>
      <c r="L143" s="14">
        <v>27</v>
      </c>
      <c r="M143" s="14">
        <v>27</v>
      </c>
      <c r="N143" s="14">
        <v>27</v>
      </c>
      <c r="O143" s="14">
        <v>342</v>
      </c>
      <c r="P143" s="14">
        <v>27</v>
      </c>
      <c r="Q143" s="14"/>
      <c r="R143" s="14"/>
      <c r="S143" s="14">
        <v>27</v>
      </c>
      <c r="T143" s="14"/>
      <c r="U143" s="14"/>
      <c r="V143" s="14"/>
      <c r="W143" s="14"/>
      <c r="X143" s="14"/>
      <c r="Y143" s="14"/>
      <c r="Z143" s="14">
        <v>27</v>
      </c>
      <c r="AA143" s="14"/>
      <c r="AB143" s="14">
        <v>27</v>
      </c>
      <c r="AC143" s="14"/>
      <c r="AD143" s="14">
        <v>27</v>
      </c>
      <c r="AE143" s="14"/>
      <c r="AF143" s="14"/>
      <c r="AG143" s="14">
        <v>27</v>
      </c>
      <c r="AH143" s="14">
        <v>27</v>
      </c>
      <c r="AI143" s="14">
        <v>113</v>
      </c>
      <c r="AJ143" s="14">
        <v>27</v>
      </c>
      <c r="AK143" s="14">
        <v>27</v>
      </c>
      <c r="AL143" s="14"/>
      <c r="AM143" s="14"/>
      <c r="AN143" s="14">
        <v>27</v>
      </c>
      <c r="AO143" s="14"/>
      <c r="AP143" s="14"/>
      <c r="AQ143" s="14">
        <v>27</v>
      </c>
      <c r="AR143" s="14">
        <v>27</v>
      </c>
      <c r="AS143" s="14"/>
      <c r="AT143" s="14">
        <v>106</v>
      </c>
      <c r="AU143" s="14"/>
      <c r="AV143" s="14">
        <v>27</v>
      </c>
      <c r="AW143" s="14"/>
      <c r="AX143" s="14"/>
      <c r="AY143" s="14"/>
      <c r="AZ143" s="14">
        <v>27</v>
      </c>
      <c r="BA143" s="14">
        <v>27</v>
      </c>
      <c r="BB143" s="14"/>
      <c r="BC143" s="14">
        <v>27</v>
      </c>
      <c r="BD143" s="14"/>
      <c r="BE143" s="14"/>
      <c r="BF143" s="14"/>
      <c r="BG143" s="14"/>
      <c r="BH143" s="14"/>
      <c r="BI143" s="14">
        <v>27</v>
      </c>
      <c r="BJ143" s="14"/>
      <c r="BK143" s="14"/>
      <c r="BL143" s="14">
        <v>27</v>
      </c>
    </row>
    <row r="144" spans="2:64" x14ac:dyDescent="0.25">
      <c r="D144" s="21" t="s">
        <v>2206</v>
      </c>
      <c r="E144" s="14"/>
      <c r="F144" s="14"/>
      <c r="G144" s="14"/>
      <c r="H144" s="14"/>
      <c r="I144" s="14">
        <v>27</v>
      </c>
      <c r="J144" s="14"/>
      <c r="K144" s="14">
        <v>27</v>
      </c>
      <c r="L144" s="14"/>
      <c r="M144" s="14">
        <v>27</v>
      </c>
      <c r="N144" s="14"/>
      <c r="O144" s="14"/>
      <c r="P144" s="14">
        <v>27</v>
      </c>
      <c r="Q144" s="14"/>
      <c r="R144" s="14"/>
      <c r="S144" s="14"/>
      <c r="T144" s="14"/>
      <c r="U144" s="14"/>
      <c r="V144" s="14"/>
      <c r="W144" s="14"/>
      <c r="X144" s="14"/>
      <c r="Y144" s="14"/>
      <c r="Z144" s="14"/>
      <c r="AA144" s="14"/>
      <c r="AB144" s="14"/>
      <c r="AC144" s="14"/>
      <c r="AD144" s="14"/>
      <c r="AE144" s="14"/>
      <c r="AF144" s="14"/>
      <c r="AG144" s="14"/>
      <c r="AH144" s="14"/>
      <c r="AI144" s="14"/>
      <c r="AJ144" s="14">
        <v>27</v>
      </c>
      <c r="AK144" s="14"/>
      <c r="AL144" s="14"/>
      <c r="AM144" s="14"/>
      <c r="AN144" s="14">
        <v>27</v>
      </c>
      <c r="AO144" s="14"/>
      <c r="AP144" s="14"/>
      <c r="AQ144" s="14"/>
      <c r="AR144" s="14"/>
      <c r="AS144" s="14"/>
      <c r="AT144" s="14"/>
      <c r="AU144" s="14"/>
      <c r="AV144" s="14"/>
      <c r="AW144" s="14"/>
      <c r="AX144" s="14"/>
      <c r="AY144" s="14"/>
      <c r="AZ144" s="14"/>
      <c r="BA144" s="14"/>
      <c r="BB144" s="14"/>
      <c r="BC144" s="14">
        <v>27</v>
      </c>
      <c r="BD144" s="14"/>
      <c r="BE144" s="14"/>
      <c r="BF144" s="14"/>
      <c r="BG144" s="14"/>
      <c r="BH144" s="14"/>
      <c r="BI144" s="14"/>
      <c r="BJ144" s="14"/>
      <c r="BK144" s="14"/>
      <c r="BL144" s="14">
        <v>27</v>
      </c>
    </row>
    <row r="145" spans="4:64" x14ac:dyDescent="0.25">
      <c r="D145" s="21" t="s">
        <v>2204</v>
      </c>
      <c r="E145" s="14">
        <v>196</v>
      </c>
      <c r="F145" s="14"/>
      <c r="G145" s="14"/>
      <c r="H145" s="14"/>
      <c r="I145" s="14"/>
      <c r="J145" s="14"/>
      <c r="K145" s="14"/>
      <c r="L145" s="14"/>
      <c r="M145" s="14"/>
      <c r="N145" s="14"/>
      <c r="O145" s="14">
        <v>342</v>
      </c>
      <c r="P145" s="14">
        <v>196</v>
      </c>
      <c r="Q145" s="14"/>
      <c r="R145" s="14"/>
      <c r="S145" s="14"/>
      <c r="T145" s="14"/>
      <c r="U145" s="14"/>
      <c r="V145" s="14"/>
      <c r="W145" s="14"/>
      <c r="X145" s="14"/>
      <c r="Y145" s="14"/>
      <c r="Z145" s="14"/>
      <c r="AA145" s="14"/>
      <c r="AB145" s="14"/>
      <c r="AC145" s="14"/>
      <c r="AD145" s="14"/>
      <c r="AE145" s="14"/>
      <c r="AF145" s="14"/>
      <c r="AG145" s="14"/>
      <c r="AH145" s="14"/>
      <c r="AI145" s="14">
        <v>113</v>
      </c>
      <c r="AJ145" s="14"/>
      <c r="AK145" s="14">
        <v>348</v>
      </c>
      <c r="AL145" s="14"/>
      <c r="AM145" s="14"/>
      <c r="AN145" s="14">
        <v>113</v>
      </c>
      <c r="AO145" s="14"/>
      <c r="AP145" s="14"/>
      <c r="AQ145" s="14"/>
      <c r="AR145" s="14">
        <v>32</v>
      </c>
      <c r="AS145" s="14"/>
      <c r="AT145" s="14">
        <v>106</v>
      </c>
      <c r="AU145" s="14"/>
      <c r="AV145" s="14"/>
      <c r="AW145" s="14"/>
      <c r="AX145" s="14"/>
      <c r="AY145" s="14"/>
      <c r="AZ145" s="14">
        <v>32</v>
      </c>
      <c r="BA145" s="14">
        <v>200</v>
      </c>
      <c r="BB145" s="14"/>
      <c r="BC145" s="14"/>
      <c r="BD145" s="14"/>
      <c r="BE145" s="14"/>
      <c r="BF145" s="14"/>
      <c r="BG145" s="14"/>
      <c r="BH145" s="14"/>
      <c r="BI145" s="14"/>
      <c r="BJ145" s="14"/>
      <c r="BK145" s="14"/>
      <c r="BL145" s="14">
        <v>200</v>
      </c>
    </row>
    <row r="146" spans="4:64" x14ac:dyDescent="0.25">
      <c r="D146" s="21" t="s">
        <v>2207</v>
      </c>
      <c r="E146" s="14"/>
      <c r="F146" s="14">
        <v>27</v>
      </c>
      <c r="G146" s="14"/>
      <c r="H146" s="14">
        <v>27</v>
      </c>
      <c r="I146" s="14"/>
      <c r="J146" s="14"/>
      <c r="K146" s="14">
        <v>27</v>
      </c>
      <c r="L146" s="14">
        <v>27</v>
      </c>
      <c r="M146" s="14"/>
      <c r="N146" s="14">
        <v>27</v>
      </c>
      <c r="O146" s="14"/>
      <c r="P146" s="14">
        <v>27</v>
      </c>
      <c r="Q146" s="14"/>
      <c r="R146" s="14"/>
      <c r="S146" s="14"/>
      <c r="T146" s="14"/>
      <c r="U146" s="14"/>
      <c r="V146" s="14"/>
      <c r="W146" s="14"/>
      <c r="X146" s="14"/>
      <c r="Y146" s="14"/>
      <c r="Z146" s="14">
        <v>27</v>
      </c>
      <c r="AA146" s="14"/>
      <c r="AB146" s="14">
        <v>27</v>
      </c>
      <c r="AC146" s="14"/>
      <c r="AD146" s="14"/>
      <c r="AE146" s="14"/>
      <c r="AF146" s="14"/>
      <c r="AG146" s="14"/>
      <c r="AH146" s="14"/>
      <c r="AI146" s="14"/>
      <c r="AJ146" s="14"/>
      <c r="AK146" s="14"/>
      <c r="AL146" s="14"/>
      <c r="AM146" s="14"/>
      <c r="AN146" s="14"/>
      <c r="AO146" s="14"/>
      <c r="AP146" s="14"/>
      <c r="AQ146" s="14"/>
      <c r="AR146" s="14">
        <v>27</v>
      </c>
      <c r="AS146" s="14"/>
      <c r="AT146" s="14"/>
      <c r="AU146" s="14"/>
      <c r="AV146" s="14">
        <v>27</v>
      </c>
      <c r="AW146" s="14"/>
      <c r="AX146" s="14"/>
      <c r="AY146" s="14"/>
      <c r="AZ146" s="14">
        <v>27</v>
      </c>
      <c r="BA146" s="14">
        <v>27</v>
      </c>
      <c r="BB146" s="14"/>
      <c r="BC146" s="14"/>
      <c r="BD146" s="14"/>
      <c r="BE146" s="14"/>
      <c r="BF146" s="14"/>
      <c r="BG146" s="14"/>
      <c r="BH146" s="14"/>
      <c r="BI146" s="14">
        <v>27</v>
      </c>
      <c r="BJ146" s="14"/>
      <c r="BK146" s="14"/>
      <c r="BL146" s="14">
        <v>27</v>
      </c>
    </row>
    <row r="147" spans="4:64" x14ac:dyDescent="0.25">
      <c r="D147" s="21" t="s">
        <v>2205</v>
      </c>
      <c r="E147" s="14"/>
      <c r="F147" s="14"/>
      <c r="G147" s="14"/>
      <c r="H147" s="14">
        <v>27</v>
      </c>
      <c r="I147" s="14"/>
      <c r="J147" s="14"/>
      <c r="K147" s="14">
        <v>27</v>
      </c>
      <c r="L147" s="14"/>
      <c r="M147" s="14"/>
      <c r="N147" s="14"/>
      <c r="O147" s="14"/>
      <c r="P147" s="14">
        <v>27</v>
      </c>
      <c r="Q147" s="14"/>
      <c r="R147" s="14"/>
      <c r="S147" s="14">
        <v>27</v>
      </c>
      <c r="T147" s="14"/>
      <c r="U147" s="14"/>
      <c r="V147" s="14"/>
      <c r="W147" s="14"/>
      <c r="X147" s="14"/>
      <c r="Y147" s="14"/>
      <c r="Z147" s="14"/>
      <c r="AA147" s="14"/>
      <c r="AB147" s="14">
        <v>27</v>
      </c>
      <c r="AC147" s="14"/>
      <c r="AD147" s="14">
        <v>27</v>
      </c>
      <c r="AE147" s="14"/>
      <c r="AF147" s="14"/>
      <c r="AG147" s="14">
        <v>27</v>
      </c>
      <c r="AH147" s="14">
        <v>27</v>
      </c>
      <c r="AI147" s="14"/>
      <c r="AJ147" s="14"/>
      <c r="AK147" s="14">
        <v>27</v>
      </c>
      <c r="AL147" s="14"/>
      <c r="AM147" s="14"/>
      <c r="AN147" s="14">
        <v>27</v>
      </c>
      <c r="AO147" s="14"/>
      <c r="AP147" s="14"/>
      <c r="AQ147" s="14">
        <v>27</v>
      </c>
      <c r="AR147" s="14"/>
      <c r="AS147" s="14"/>
      <c r="AT147" s="14"/>
      <c r="AU147" s="14"/>
      <c r="AV147" s="14"/>
      <c r="AW147" s="14"/>
      <c r="AX147" s="14"/>
      <c r="AY147" s="14"/>
      <c r="AZ147" s="14">
        <v>27</v>
      </c>
      <c r="BA147" s="14"/>
      <c r="BB147" s="14"/>
      <c r="BC147" s="14"/>
      <c r="BD147" s="14"/>
      <c r="BE147" s="14"/>
      <c r="BF147" s="14"/>
      <c r="BG147" s="14"/>
      <c r="BH147" s="14"/>
      <c r="BI147" s="14"/>
      <c r="BJ147" s="14"/>
      <c r="BK147" s="14"/>
      <c r="BL147" s="14"/>
    </row>
    <row r="148" spans="4:64" x14ac:dyDescent="0.25">
      <c r="D148" s="20" t="s">
        <v>2202</v>
      </c>
      <c r="E148" s="14">
        <v>27</v>
      </c>
      <c r="F148" s="14"/>
      <c r="G148" s="14">
        <v>27</v>
      </c>
      <c r="H148" s="14">
        <v>27</v>
      </c>
      <c r="I148" s="14"/>
      <c r="J148" s="14"/>
      <c r="K148" s="14"/>
      <c r="L148" s="14"/>
      <c r="M148" s="14"/>
      <c r="N148" s="14">
        <v>27</v>
      </c>
      <c r="O148" s="14"/>
      <c r="P148" s="14">
        <v>27</v>
      </c>
      <c r="Q148" s="14"/>
      <c r="R148" s="14">
        <v>27</v>
      </c>
      <c r="S148" s="14"/>
      <c r="T148" s="14"/>
      <c r="U148" s="14">
        <v>27</v>
      </c>
      <c r="V148" s="14"/>
      <c r="W148" s="14"/>
      <c r="X148" s="14"/>
      <c r="Y148" s="14"/>
      <c r="Z148" s="14"/>
      <c r="AA148" s="14"/>
      <c r="AB148" s="14">
        <v>27</v>
      </c>
      <c r="AC148" s="14"/>
      <c r="AD148" s="14"/>
      <c r="AE148" s="14"/>
      <c r="AF148" s="14"/>
      <c r="AG148" s="14"/>
      <c r="AH148" s="14">
        <v>27</v>
      </c>
      <c r="AI148" s="14"/>
      <c r="AJ148" s="14"/>
      <c r="AK148" s="14">
        <v>27</v>
      </c>
      <c r="AL148" s="14"/>
      <c r="AM148" s="14">
        <v>27</v>
      </c>
      <c r="AN148" s="14">
        <v>27</v>
      </c>
      <c r="AO148" s="14">
        <v>27</v>
      </c>
      <c r="AP148" s="14"/>
      <c r="AQ148" s="14">
        <v>27</v>
      </c>
      <c r="AR148" s="14"/>
      <c r="AS148" s="14"/>
      <c r="AT148" s="14">
        <v>27</v>
      </c>
      <c r="AU148" s="14">
        <v>27</v>
      </c>
      <c r="AV148" s="14"/>
      <c r="AW148" s="14"/>
      <c r="AX148" s="14">
        <v>27</v>
      </c>
      <c r="AY148" s="14"/>
      <c r="AZ148" s="14">
        <v>27</v>
      </c>
      <c r="BA148" s="14"/>
      <c r="BB148" s="14">
        <v>27</v>
      </c>
      <c r="BC148" s="14">
        <v>27</v>
      </c>
      <c r="BD148" s="14"/>
      <c r="BE148" s="14"/>
      <c r="BF148" s="14">
        <v>27</v>
      </c>
      <c r="BG148" s="14">
        <v>27</v>
      </c>
      <c r="BH148" s="14">
        <v>380</v>
      </c>
      <c r="BI148" s="14">
        <v>139</v>
      </c>
      <c r="BJ148" s="14"/>
      <c r="BK148" s="14"/>
      <c r="BL148" s="14">
        <v>27</v>
      </c>
    </row>
    <row r="149" spans="4:64" x14ac:dyDescent="0.25">
      <c r="D149" s="21" t="s">
        <v>2206</v>
      </c>
      <c r="E149" s="14"/>
      <c r="F149" s="14"/>
      <c r="G149" s="14">
        <v>27</v>
      </c>
      <c r="H149" s="14"/>
      <c r="I149" s="14"/>
      <c r="J149" s="14"/>
      <c r="K149" s="14"/>
      <c r="L149" s="14"/>
      <c r="M149" s="14"/>
      <c r="N149" s="14"/>
      <c r="O149" s="14"/>
      <c r="P149" s="14">
        <v>27</v>
      </c>
      <c r="Q149" s="14"/>
      <c r="R149" s="14"/>
      <c r="S149" s="14"/>
      <c r="T149" s="14"/>
      <c r="U149" s="14"/>
      <c r="V149" s="14"/>
      <c r="W149" s="14"/>
      <c r="X149" s="14"/>
      <c r="Y149" s="14"/>
      <c r="Z149" s="14"/>
      <c r="AA149" s="14"/>
      <c r="AB149" s="14"/>
      <c r="AC149" s="14"/>
      <c r="AD149" s="14"/>
      <c r="AE149" s="14"/>
      <c r="AF149" s="14"/>
      <c r="AG149" s="14"/>
      <c r="AH149" s="14"/>
      <c r="AI149" s="14"/>
      <c r="AJ149" s="14"/>
      <c r="AK149" s="14">
        <v>27</v>
      </c>
      <c r="AL149" s="14"/>
      <c r="AM149" s="14"/>
      <c r="AN149" s="14">
        <v>27</v>
      </c>
      <c r="AO149" s="14"/>
      <c r="AP149" s="14"/>
      <c r="AQ149" s="14">
        <v>27</v>
      </c>
      <c r="AR149" s="14"/>
      <c r="AS149" s="14"/>
      <c r="AT149" s="14"/>
      <c r="AU149" s="14">
        <v>27</v>
      </c>
      <c r="AV149" s="14"/>
      <c r="AW149" s="14"/>
      <c r="AX149" s="14"/>
      <c r="AY149" s="14"/>
      <c r="AZ149" s="14">
        <v>27</v>
      </c>
      <c r="BA149" s="14"/>
      <c r="BB149" s="14"/>
      <c r="BC149" s="14">
        <v>27</v>
      </c>
      <c r="BD149" s="14"/>
      <c r="BE149" s="14"/>
      <c r="BF149" s="14"/>
      <c r="BG149" s="14"/>
      <c r="BH149" s="14"/>
      <c r="BI149" s="14"/>
      <c r="BJ149" s="14"/>
      <c r="BK149" s="14"/>
      <c r="BL149" s="14">
        <v>27</v>
      </c>
    </row>
    <row r="150" spans="4:64" x14ac:dyDescent="0.25">
      <c r="D150" s="21" t="s">
        <v>2204</v>
      </c>
      <c r="E150" s="14">
        <v>218</v>
      </c>
      <c r="F150" s="14"/>
      <c r="G150" s="14"/>
      <c r="H150" s="14"/>
      <c r="I150" s="14"/>
      <c r="J150" s="14"/>
      <c r="K150" s="14"/>
      <c r="L150" s="14"/>
      <c r="M150" s="14"/>
      <c r="N150" s="14"/>
      <c r="O150" s="14"/>
      <c r="P150" s="14">
        <v>218</v>
      </c>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v>323</v>
      </c>
      <c r="BC150" s="14"/>
      <c r="BD150" s="14"/>
      <c r="BE150" s="14"/>
      <c r="BF150" s="14"/>
      <c r="BG150" s="14"/>
      <c r="BH150" s="14">
        <v>380</v>
      </c>
      <c r="BI150" s="14">
        <v>139</v>
      </c>
      <c r="BJ150" s="14"/>
      <c r="BK150" s="14"/>
      <c r="BL150" s="14">
        <v>139</v>
      </c>
    </row>
    <row r="151" spans="4:64" x14ac:dyDescent="0.25">
      <c r="D151" s="21" t="s">
        <v>2207</v>
      </c>
      <c r="E151" s="14">
        <v>27</v>
      </c>
      <c r="F151" s="14"/>
      <c r="G151" s="14"/>
      <c r="H151" s="14"/>
      <c r="I151" s="14"/>
      <c r="J151" s="14"/>
      <c r="K151" s="14"/>
      <c r="L151" s="14"/>
      <c r="M151" s="14"/>
      <c r="N151" s="14">
        <v>27</v>
      </c>
      <c r="O151" s="14"/>
      <c r="P151" s="14">
        <v>27</v>
      </c>
      <c r="Q151" s="14"/>
      <c r="R151" s="14">
        <v>27</v>
      </c>
      <c r="S151" s="14"/>
      <c r="T151" s="14"/>
      <c r="U151" s="14">
        <v>27</v>
      </c>
      <c r="V151" s="14"/>
      <c r="W151" s="14"/>
      <c r="X151" s="14"/>
      <c r="Y151" s="14"/>
      <c r="Z151" s="14"/>
      <c r="AA151" s="14"/>
      <c r="AB151" s="14">
        <v>27</v>
      </c>
      <c r="AC151" s="14"/>
      <c r="AD151" s="14"/>
      <c r="AE151" s="14"/>
      <c r="AF151" s="14"/>
      <c r="AG151" s="14"/>
      <c r="AH151" s="14"/>
      <c r="AI151" s="14"/>
      <c r="AJ151" s="14"/>
      <c r="AK151" s="14"/>
      <c r="AL151" s="14"/>
      <c r="AM151" s="14">
        <v>27</v>
      </c>
      <c r="AN151" s="14">
        <v>27</v>
      </c>
      <c r="AO151" s="14">
        <v>27</v>
      </c>
      <c r="AP151" s="14"/>
      <c r="AQ151" s="14"/>
      <c r="AR151" s="14"/>
      <c r="AS151" s="14"/>
      <c r="AT151" s="14">
        <v>27</v>
      </c>
      <c r="AU151" s="14"/>
      <c r="AV151" s="14"/>
      <c r="AW151" s="14"/>
      <c r="AX151" s="14"/>
      <c r="AY151" s="14"/>
      <c r="AZ151" s="14">
        <v>27</v>
      </c>
      <c r="BA151" s="14"/>
      <c r="BB151" s="14">
        <v>27</v>
      </c>
      <c r="BC151" s="14"/>
      <c r="BD151" s="14"/>
      <c r="BE151" s="14"/>
      <c r="BF151" s="14">
        <v>27</v>
      </c>
      <c r="BG151" s="14"/>
      <c r="BH151" s="14"/>
      <c r="BI151" s="14"/>
      <c r="BJ151" s="14"/>
      <c r="BK151" s="14"/>
      <c r="BL151" s="14">
        <v>27</v>
      </c>
    </row>
    <row r="152" spans="4:64" x14ac:dyDescent="0.25">
      <c r="D152" s="21" t="s">
        <v>2205</v>
      </c>
      <c r="E152" s="14"/>
      <c r="F152" s="14"/>
      <c r="G152" s="14"/>
      <c r="H152" s="14">
        <v>27</v>
      </c>
      <c r="I152" s="14"/>
      <c r="J152" s="14"/>
      <c r="K152" s="14"/>
      <c r="L152" s="14"/>
      <c r="M152" s="14"/>
      <c r="N152" s="14"/>
      <c r="O152" s="14"/>
      <c r="P152" s="14">
        <v>27</v>
      </c>
      <c r="Q152" s="14"/>
      <c r="R152" s="14">
        <v>27</v>
      </c>
      <c r="S152" s="14"/>
      <c r="T152" s="14"/>
      <c r="U152" s="14"/>
      <c r="V152" s="14"/>
      <c r="W152" s="14"/>
      <c r="X152" s="14"/>
      <c r="Y152" s="14"/>
      <c r="Z152" s="14"/>
      <c r="AA152" s="14"/>
      <c r="AB152" s="14">
        <v>27</v>
      </c>
      <c r="AC152" s="14"/>
      <c r="AD152" s="14"/>
      <c r="AE152" s="14"/>
      <c r="AF152" s="14"/>
      <c r="AG152" s="14"/>
      <c r="AH152" s="14">
        <v>27</v>
      </c>
      <c r="AI152" s="14"/>
      <c r="AJ152" s="14"/>
      <c r="AK152" s="14"/>
      <c r="AL152" s="14"/>
      <c r="AM152" s="14"/>
      <c r="AN152" s="14">
        <v>27</v>
      </c>
      <c r="AO152" s="14"/>
      <c r="AP152" s="14"/>
      <c r="AQ152" s="14"/>
      <c r="AR152" s="14"/>
      <c r="AS152" s="14"/>
      <c r="AT152" s="14"/>
      <c r="AU152" s="14"/>
      <c r="AV152" s="14"/>
      <c r="AW152" s="14"/>
      <c r="AX152" s="14">
        <v>27</v>
      </c>
      <c r="AY152" s="14"/>
      <c r="AZ152" s="14">
        <v>27</v>
      </c>
      <c r="BA152" s="14"/>
      <c r="BB152" s="14"/>
      <c r="BC152" s="14"/>
      <c r="BD152" s="14"/>
      <c r="BE152" s="14"/>
      <c r="BF152" s="14"/>
      <c r="BG152" s="14">
        <v>27</v>
      </c>
      <c r="BH152" s="14"/>
      <c r="BI152" s="14"/>
      <c r="BJ152" s="14"/>
      <c r="BK152" s="14"/>
      <c r="BL152" s="14">
        <v>27</v>
      </c>
    </row>
    <row r="153" spans="4:64" x14ac:dyDescent="0.25">
      <c r="D153" s="20" t="s">
        <v>2200</v>
      </c>
      <c r="E153" s="14"/>
      <c r="F153" s="14">
        <v>27</v>
      </c>
      <c r="G153" s="14">
        <v>27</v>
      </c>
      <c r="H153" s="14"/>
      <c r="I153" s="14"/>
      <c r="J153" s="14">
        <v>27</v>
      </c>
      <c r="K153" s="14">
        <v>27</v>
      </c>
      <c r="L153" s="14"/>
      <c r="M153" s="14">
        <v>27</v>
      </c>
      <c r="N153" s="14"/>
      <c r="O153" s="14">
        <v>382</v>
      </c>
      <c r="P153" s="14">
        <v>27</v>
      </c>
      <c r="Q153" s="14">
        <v>27</v>
      </c>
      <c r="R153" s="14">
        <v>27</v>
      </c>
      <c r="S153" s="14">
        <v>27</v>
      </c>
      <c r="T153" s="14"/>
      <c r="U153" s="14">
        <v>143</v>
      </c>
      <c r="V153" s="14"/>
      <c r="W153" s="14"/>
      <c r="X153" s="14">
        <v>27</v>
      </c>
      <c r="Y153" s="14">
        <v>27</v>
      </c>
      <c r="Z153" s="14"/>
      <c r="AA153" s="14">
        <v>27</v>
      </c>
      <c r="AB153" s="14">
        <v>27</v>
      </c>
      <c r="AC153" s="14">
        <v>304</v>
      </c>
      <c r="AD153" s="14">
        <v>27</v>
      </c>
      <c r="AE153" s="14"/>
      <c r="AF153" s="14">
        <v>27</v>
      </c>
      <c r="AG153" s="14">
        <v>27</v>
      </c>
      <c r="AH153" s="14"/>
      <c r="AI153" s="14"/>
      <c r="AJ153" s="14"/>
      <c r="AK153" s="14"/>
      <c r="AL153" s="14">
        <v>27</v>
      </c>
      <c r="AM153" s="14"/>
      <c r="AN153" s="14">
        <v>27</v>
      </c>
      <c r="AO153" s="14">
        <v>223</v>
      </c>
      <c r="AP153" s="14"/>
      <c r="AQ153" s="14">
        <v>27</v>
      </c>
      <c r="AR153" s="14"/>
      <c r="AS153" s="14"/>
      <c r="AT153" s="14"/>
      <c r="AU153" s="14">
        <v>27</v>
      </c>
      <c r="AV153" s="14"/>
      <c r="AW153" s="14"/>
      <c r="AX153" s="14"/>
      <c r="AY153" s="14">
        <v>27</v>
      </c>
      <c r="AZ153" s="14">
        <v>27</v>
      </c>
      <c r="BA153" s="14">
        <v>27</v>
      </c>
      <c r="BB153" s="14">
        <v>27</v>
      </c>
      <c r="BC153" s="14">
        <v>27</v>
      </c>
      <c r="BD153" s="14">
        <v>149</v>
      </c>
      <c r="BE153" s="14"/>
      <c r="BF153" s="14">
        <v>74</v>
      </c>
      <c r="BG153" s="14">
        <v>27</v>
      </c>
      <c r="BH153" s="14"/>
      <c r="BI153" s="14">
        <v>205</v>
      </c>
      <c r="BJ153" s="14"/>
      <c r="BK153" s="14">
        <v>27</v>
      </c>
      <c r="BL153" s="14">
        <v>27</v>
      </c>
    </row>
    <row r="154" spans="4:64" x14ac:dyDescent="0.25">
      <c r="D154" s="21" t="s">
        <v>2206</v>
      </c>
      <c r="E154" s="14"/>
      <c r="F154" s="14">
        <v>27</v>
      </c>
      <c r="G154" s="14">
        <v>27</v>
      </c>
      <c r="H154" s="14"/>
      <c r="I154" s="14"/>
      <c r="J154" s="14"/>
      <c r="K154" s="14"/>
      <c r="L154" s="14"/>
      <c r="M154" s="14"/>
      <c r="N154" s="14"/>
      <c r="O154" s="14"/>
      <c r="P154" s="14">
        <v>27</v>
      </c>
      <c r="Q154" s="14">
        <v>27</v>
      </c>
      <c r="R154" s="14"/>
      <c r="S154" s="14">
        <v>27</v>
      </c>
      <c r="T154" s="14"/>
      <c r="U154" s="14"/>
      <c r="V154" s="14"/>
      <c r="W154" s="14"/>
      <c r="X154" s="14">
        <v>27</v>
      </c>
      <c r="Y154" s="14"/>
      <c r="Z154" s="14"/>
      <c r="AA154" s="14"/>
      <c r="AB154" s="14">
        <v>27</v>
      </c>
      <c r="AC154" s="14"/>
      <c r="AD154" s="14">
        <v>27</v>
      </c>
      <c r="AE154" s="14"/>
      <c r="AF154" s="14"/>
      <c r="AG154" s="14"/>
      <c r="AH154" s="14"/>
      <c r="AI154" s="14"/>
      <c r="AJ154" s="14"/>
      <c r="AK154" s="14"/>
      <c r="AL154" s="14"/>
      <c r="AM154" s="14"/>
      <c r="AN154" s="14">
        <v>27</v>
      </c>
      <c r="AO154" s="14"/>
      <c r="AP154" s="14"/>
      <c r="AQ154" s="14">
        <v>27</v>
      </c>
      <c r="AR154" s="14"/>
      <c r="AS154" s="14"/>
      <c r="AT154" s="14"/>
      <c r="AU154" s="14"/>
      <c r="AV154" s="14"/>
      <c r="AW154" s="14"/>
      <c r="AX154" s="14"/>
      <c r="AY154" s="14"/>
      <c r="AZ154" s="14">
        <v>27</v>
      </c>
      <c r="BA154" s="14"/>
      <c r="BB154" s="14"/>
      <c r="BC154" s="14"/>
      <c r="BD154" s="14"/>
      <c r="BE154" s="14"/>
      <c r="BF154" s="14"/>
      <c r="BG154" s="14"/>
      <c r="BH154" s="14"/>
      <c r="BI154" s="14"/>
      <c r="BJ154" s="14"/>
      <c r="BK154" s="14">
        <v>27</v>
      </c>
      <c r="BL154" s="14">
        <v>27</v>
      </c>
    </row>
    <row r="155" spans="4:64" x14ac:dyDescent="0.25">
      <c r="D155" s="21" t="s">
        <v>2204</v>
      </c>
      <c r="E155" s="14"/>
      <c r="F155" s="14"/>
      <c r="G155" s="14"/>
      <c r="H155" s="14"/>
      <c r="I155" s="14"/>
      <c r="J155" s="14"/>
      <c r="K155" s="14"/>
      <c r="L155" s="14"/>
      <c r="M155" s="14"/>
      <c r="N155" s="14"/>
      <c r="O155" s="14">
        <v>382</v>
      </c>
      <c r="P155" s="14">
        <v>382</v>
      </c>
      <c r="Q155" s="14"/>
      <c r="R155" s="14"/>
      <c r="S155" s="14"/>
      <c r="T155" s="14"/>
      <c r="U155" s="14">
        <v>143</v>
      </c>
      <c r="V155" s="14"/>
      <c r="W155" s="14"/>
      <c r="X155" s="14"/>
      <c r="Y155" s="14"/>
      <c r="Z155" s="14"/>
      <c r="AA155" s="14"/>
      <c r="AB155" s="14">
        <v>143</v>
      </c>
      <c r="AC155" s="14">
        <v>304</v>
      </c>
      <c r="AD155" s="14"/>
      <c r="AE155" s="14"/>
      <c r="AF155" s="14"/>
      <c r="AG155" s="14"/>
      <c r="AH155" s="14"/>
      <c r="AI155" s="14"/>
      <c r="AJ155" s="14"/>
      <c r="AK155" s="14"/>
      <c r="AL155" s="14"/>
      <c r="AM155" s="14"/>
      <c r="AN155" s="14">
        <v>304</v>
      </c>
      <c r="AO155" s="14">
        <v>223</v>
      </c>
      <c r="AP155" s="14"/>
      <c r="AQ155" s="14">
        <v>298</v>
      </c>
      <c r="AR155" s="14"/>
      <c r="AS155" s="14"/>
      <c r="AT155" s="14"/>
      <c r="AU155" s="14"/>
      <c r="AV155" s="14"/>
      <c r="AW155" s="14"/>
      <c r="AX155" s="14"/>
      <c r="AY155" s="14">
        <v>116</v>
      </c>
      <c r="AZ155" s="14">
        <v>116</v>
      </c>
      <c r="BA155" s="14">
        <v>48</v>
      </c>
      <c r="BB155" s="14">
        <v>28</v>
      </c>
      <c r="BC155" s="14"/>
      <c r="BD155" s="14">
        <v>149</v>
      </c>
      <c r="BE155" s="14"/>
      <c r="BF155" s="14">
        <v>74</v>
      </c>
      <c r="BG155" s="14">
        <v>233</v>
      </c>
      <c r="BH155" s="14"/>
      <c r="BI155" s="14">
        <v>205</v>
      </c>
      <c r="BJ155" s="14"/>
      <c r="BK155" s="14"/>
      <c r="BL155" s="14">
        <v>28</v>
      </c>
    </row>
    <row r="156" spans="4:64" x14ac:dyDescent="0.25">
      <c r="D156" s="21" t="s">
        <v>2207</v>
      </c>
      <c r="E156" s="14"/>
      <c r="F156" s="14"/>
      <c r="G156" s="14"/>
      <c r="H156" s="14"/>
      <c r="I156" s="14"/>
      <c r="J156" s="14">
        <v>27</v>
      </c>
      <c r="K156" s="14">
        <v>27</v>
      </c>
      <c r="L156" s="14"/>
      <c r="M156" s="14"/>
      <c r="N156" s="14"/>
      <c r="O156" s="14"/>
      <c r="P156" s="14">
        <v>27</v>
      </c>
      <c r="Q156" s="14"/>
      <c r="R156" s="14">
        <v>27</v>
      </c>
      <c r="S156" s="14">
        <v>27</v>
      </c>
      <c r="T156" s="14"/>
      <c r="U156" s="14"/>
      <c r="V156" s="14"/>
      <c r="W156" s="14"/>
      <c r="X156" s="14">
        <v>27</v>
      </c>
      <c r="Y156" s="14">
        <v>27</v>
      </c>
      <c r="Z156" s="14"/>
      <c r="AA156" s="14">
        <v>27</v>
      </c>
      <c r="AB156" s="14">
        <v>27</v>
      </c>
      <c r="AC156" s="14"/>
      <c r="AD156" s="14"/>
      <c r="AE156" s="14"/>
      <c r="AF156" s="14">
        <v>27</v>
      </c>
      <c r="AG156" s="14"/>
      <c r="AH156" s="14"/>
      <c r="AI156" s="14"/>
      <c r="AJ156" s="14"/>
      <c r="AK156" s="14"/>
      <c r="AL156" s="14">
        <v>27</v>
      </c>
      <c r="AM156" s="14"/>
      <c r="AN156" s="14">
        <v>27</v>
      </c>
      <c r="AO156" s="14"/>
      <c r="AP156" s="14"/>
      <c r="AQ156" s="14"/>
      <c r="AR156" s="14"/>
      <c r="AS156" s="14"/>
      <c r="AT156" s="14"/>
      <c r="AU156" s="14">
        <v>27</v>
      </c>
      <c r="AV156" s="14"/>
      <c r="AW156" s="14"/>
      <c r="AX156" s="14"/>
      <c r="AY156" s="14"/>
      <c r="AZ156" s="14">
        <v>27</v>
      </c>
      <c r="BA156" s="14">
        <v>27</v>
      </c>
      <c r="BB156" s="14">
        <v>27</v>
      </c>
      <c r="BC156" s="14">
        <v>27</v>
      </c>
      <c r="BD156" s="14"/>
      <c r="BE156" s="14"/>
      <c r="BF156" s="14"/>
      <c r="BG156" s="14">
        <v>27</v>
      </c>
      <c r="BH156" s="14"/>
      <c r="BI156" s="14"/>
      <c r="BJ156" s="14"/>
      <c r="BK156" s="14"/>
      <c r="BL156" s="14">
        <v>27</v>
      </c>
    </row>
    <row r="157" spans="4:64" x14ac:dyDescent="0.25">
      <c r="D157" s="21" t="s">
        <v>2205</v>
      </c>
      <c r="E157" s="14"/>
      <c r="F157" s="14"/>
      <c r="G157" s="14"/>
      <c r="H157" s="14"/>
      <c r="I157" s="14"/>
      <c r="J157" s="14"/>
      <c r="K157" s="14"/>
      <c r="L157" s="14"/>
      <c r="M157" s="14">
        <v>27</v>
      </c>
      <c r="N157" s="14"/>
      <c r="O157" s="14"/>
      <c r="P157" s="14">
        <v>27</v>
      </c>
      <c r="Q157" s="14">
        <v>27</v>
      </c>
      <c r="R157" s="14"/>
      <c r="S157" s="14"/>
      <c r="T157" s="14"/>
      <c r="U157" s="14"/>
      <c r="V157" s="14"/>
      <c r="W157" s="14"/>
      <c r="X157" s="14"/>
      <c r="Y157" s="14"/>
      <c r="Z157" s="14"/>
      <c r="AA157" s="14"/>
      <c r="AB157" s="14">
        <v>27</v>
      </c>
      <c r="AC157" s="14"/>
      <c r="AD157" s="14"/>
      <c r="AE157" s="14"/>
      <c r="AF157" s="14"/>
      <c r="AG157" s="14">
        <v>27</v>
      </c>
      <c r="AH157" s="14"/>
      <c r="AI157" s="14"/>
      <c r="AJ157" s="14"/>
      <c r="AK157" s="14"/>
      <c r="AL157" s="14">
        <v>27</v>
      </c>
      <c r="AM157" s="14"/>
      <c r="AN157" s="14">
        <v>27</v>
      </c>
      <c r="AO157" s="14"/>
      <c r="AP157" s="14"/>
      <c r="AQ157" s="14">
        <v>27</v>
      </c>
      <c r="AR157" s="14"/>
      <c r="AS157" s="14"/>
      <c r="AT157" s="14"/>
      <c r="AU157" s="14"/>
      <c r="AV157" s="14"/>
      <c r="AW157" s="14"/>
      <c r="AX157" s="14"/>
      <c r="AY157" s="14">
        <v>27</v>
      </c>
      <c r="AZ157" s="14">
        <v>27</v>
      </c>
      <c r="BA157" s="14">
        <v>27</v>
      </c>
      <c r="BB157" s="14"/>
      <c r="BC157" s="14"/>
      <c r="BD157" s="14"/>
      <c r="BE157" s="14"/>
      <c r="BF157" s="14"/>
      <c r="BG157" s="14"/>
      <c r="BH157" s="14"/>
      <c r="BI157" s="14"/>
      <c r="BJ157" s="14"/>
      <c r="BK157" s="14">
        <v>27</v>
      </c>
      <c r="BL157" s="14">
        <v>27</v>
      </c>
    </row>
    <row r="158" spans="4:64" x14ac:dyDescent="0.25">
      <c r="D158" s="20" t="s">
        <v>2199</v>
      </c>
      <c r="E158" s="14">
        <v>27</v>
      </c>
      <c r="F158" s="14"/>
      <c r="G158" s="14"/>
      <c r="H158" s="14"/>
      <c r="I158" s="14"/>
      <c r="J158" s="14">
        <v>27</v>
      </c>
      <c r="K158" s="14"/>
      <c r="L158" s="14">
        <v>27</v>
      </c>
      <c r="M158" s="14">
        <v>132</v>
      </c>
      <c r="N158" s="14">
        <v>27</v>
      </c>
      <c r="O158" s="14"/>
      <c r="P158" s="14">
        <v>27</v>
      </c>
      <c r="Q158" s="14">
        <v>27</v>
      </c>
      <c r="R158" s="14">
        <v>27</v>
      </c>
      <c r="S158" s="14"/>
      <c r="T158" s="14"/>
      <c r="U158" s="14"/>
      <c r="V158" s="14">
        <v>27</v>
      </c>
      <c r="W158" s="14">
        <v>27</v>
      </c>
      <c r="X158" s="14">
        <v>27</v>
      </c>
      <c r="Y158" s="14"/>
      <c r="Z158" s="14"/>
      <c r="AA158" s="14"/>
      <c r="AB158" s="14">
        <v>27</v>
      </c>
      <c r="AC158" s="14"/>
      <c r="AD158" s="14">
        <v>27</v>
      </c>
      <c r="AE158" s="14"/>
      <c r="AF158" s="14"/>
      <c r="AG158" s="14"/>
      <c r="AH158" s="14">
        <v>27</v>
      </c>
      <c r="AI158" s="14">
        <v>27</v>
      </c>
      <c r="AJ158" s="14"/>
      <c r="AK158" s="14">
        <v>27</v>
      </c>
      <c r="AL158" s="14"/>
      <c r="AM158" s="14"/>
      <c r="AN158" s="14">
        <v>27</v>
      </c>
      <c r="AO158" s="14"/>
      <c r="AP158" s="14">
        <v>27</v>
      </c>
      <c r="AQ158" s="14"/>
      <c r="AR158" s="14"/>
      <c r="AS158" s="14"/>
      <c r="AT158" s="14">
        <v>76</v>
      </c>
      <c r="AU158" s="14"/>
      <c r="AV158" s="14">
        <v>27</v>
      </c>
      <c r="AW158" s="14">
        <v>27</v>
      </c>
      <c r="AX158" s="14">
        <v>27</v>
      </c>
      <c r="AY158" s="14">
        <v>27</v>
      </c>
      <c r="AZ158" s="14">
        <v>27</v>
      </c>
      <c r="BA158" s="14">
        <v>27</v>
      </c>
      <c r="BB158" s="14">
        <v>130</v>
      </c>
      <c r="BC158" s="14"/>
      <c r="BD158" s="14"/>
      <c r="BE158" s="14">
        <v>27</v>
      </c>
      <c r="BF158" s="14">
        <v>27</v>
      </c>
      <c r="BG158" s="14"/>
      <c r="BH158" s="14">
        <v>27</v>
      </c>
      <c r="BI158" s="14"/>
      <c r="BJ158" s="14">
        <v>27</v>
      </c>
      <c r="BK158" s="14">
        <v>27</v>
      </c>
      <c r="BL158" s="14">
        <v>27</v>
      </c>
    </row>
    <row r="159" spans="4:64" x14ac:dyDescent="0.25">
      <c r="D159" s="21" t="s">
        <v>2206</v>
      </c>
      <c r="E159" s="14">
        <v>27</v>
      </c>
      <c r="F159" s="14"/>
      <c r="G159" s="14"/>
      <c r="H159" s="14"/>
      <c r="I159" s="14"/>
      <c r="J159" s="14"/>
      <c r="K159" s="14"/>
      <c r="L159" s="14"/>
      <c r="M159" s="14"/>
      <c r="N159" s="14"/>
      <c r="O159" s="14"/>
      <c r="P159" s="14">
        <v>27</v>
      </c>
      <c r="Q159" s="14"/>
      <c r="R159" s="14"/>
      <c r="S159" s="14"/>
      <c r="T159" s="14"/>
      <c r="U159" s="14"/>
      <c r="V159" s="14"/>
      <c r="W159" s="14">
        <v>27</v>
      </c>
      <c r="X159" s="14">
        <v>27</v>
      </c>
      <c r="Y159" s="14"/>
      <c r="Z159" s="14"/>
      <c r="AA159" s="14"/>
      <c r="AB159" s="14">
        <v>27</v>
      </c>
      <c r="AC159" s="14"/>
      <c r="AD159" s="14">
        <v>27</v>
      </c>
      <c r="AE159" s="14"/>
      <c r="AF159" s="14"/>
      <c r="AG159" s="14"/>
      <c r="AH159" s="14">
        <v>27</v>
      </c>
      <c r="AI159" s="14"/>
      <c r="AJ159" s="14"/>
      <c r="AK159" s="14">
        <v>27</v>
      </c>
      <c r="AL159" s="14"/>
      <c r="AM159" s="14"/>
      <c r="AN159" s="14">
        <v>27</v>
      </c>
      <c r="AO159" s="14"/>
      <c r="AP159" s="14">
        <v>27</v>
      </c>
      <c r="AQ159" s="14"/>
      <c r="AR159" s="14"/>
      <c r="AS159" s="14"/>
      <c r="AT159" s="14"/>
      <c r="AU159" s="14"/>
      <c r="AV159" s="14"/>
      <c r="AW159" s="14"/>
      <c r="AX159" s="14"/>
      <c r="AY159" s="14"/>
      <c r="AZ159" s="14">
        <v>27</v>
      </c>
      <c r="BA159" s="14"/>
      <c r="BB159" s="14"/>
      <c r="BC159" s="14"/>
      <c r="BD159" s="14"/>
      <c r="BE159" s="14"/>
      <c r="BF159" s="14">
        <v>27</v>
      </c>
      <c r="BG159" s="14"/>
      <c r="BH159" s="14">
        <v>27</v>
      </c>
      <c r="BI159" s="14"/>
      <c r="BJ159" s="14"/>
      <c r="BK159" s="14">
        <v>27</v>
      </c>
      <c r="BL159" s="14">
        <v>27</v>
      </c>
    </row>
    <row r="160" spans="4:64" x14ac:dyDescent="0.25">
      <c r="D160" s="21" t="s">
        <v>2204</v>
      </c>
      <c r="E160" s="14"/>
      <c r="F160" s="14"/>
      <c r="G160" s="14"/>
      <c r="H160" s="14"/>
      <c r="I160" s="14"/>
      <c r="J160" s="14">
        <v>339</v>
      </c>
      <c r="K160" s="14"/>
      <c r="L160" s="14">
        <v>84</v>
      </c>
      <c r="M160" s="14">
        <v>132</v>
      </c>
      <c r="N160" s="14"/>
      <c r="O160" s="14"/>
      <c r="P160" s="14">
        <v>84</v>
      </c>
      <c r="Q160" s="14"/>
      <c r="R160" s="14"/>
      <c r="S160" s="14"/>
      <c r="T160" s="14"/>
      <c r="U160" s="14"/>
      <c r="V160" s="14"/>
      <c r="W160" s="14"/>
      <c r="X160" s="14"/>
      <c r="Y160" s="14"/>
      <c r="Z160" s="14"/>
      <c r="AA160" s="14"/>
      <c r="AB160" s="14"/>
      <c r="AC160" s="14"/>
      <c r="AD160" s="14"/>
      <c r="AE160" s="14"/>
      <c r="AF160" s="14"/>
      <c r="AG160" s="14"/>
      <c r="AH160" s="14"/>
      <c r="AI160" s="14">
        <v>361</v>
      </c>
      <c r="AJ160" s="14"/>
      <c r="AK160" s="14">
        <v>99</v>
      </c>
      <c r="AL160" s="14"/>
      <c r="AM160" s="14"/>
      <c r="AN160" s="14">
        <v>99</v>
      </c>
      <c r="AO160" s="14"/>
      <c r="AP160" s="14"/>
      <c r="AQ160" s="14"/>
      <c r="AR160" s="14"/>
      <c r="AS160" s="14"/>
      <c r="AT160" s="14">
        <v>76</v>
      </c>
      <c r="AU160" s="14"/>
      <c r="AV160" s="14"/>
      <c r="AW160" s="14"/>
      <c r="AX160" s="14"/>
      <c r="AY160" s="14"/>
      <c r="AZ160" s="14">
        <v>76</v>
      </c>
      <c r="BA160" s="14"/>
      <c r="BB160" s="14">
        <v>130</v>
      </c>
      <c r="BC160" s="14"/>
      <c r="BD160" s="14"/>
      <c r="BE160" s="14"/>
      <c r="BF160" s="14"/>
      <c r="BG160" s="14"/>
      <c r="BH160" s="14"/>
      <c r="BI160" s="14"/>
      <c r="BJ160" s="14"/>
      <c r="BK160" s="14"/>
      <c r="BL160" s="14">
        <v>130</v>
      </c>
    </row>
    <row r="161" spans="4:64" x14ac:dyDescent="0.25">
      <c r="D161" s="21" t="s">
        <v>2207</v>
      </c>
      <c r="E161" s="14"/>
      <c r="F161" s="14"/>
      <c r="G161" s="14"/>
      <c r="H161" s="14"/>
      <c r="I161" s="14"/>
      <c r="J161" s="14">
        <v>27</v>
      </c>
      <c r="K161" s="14"/>
      <c r="L161" s="14"/>
      <c r="M161" s="14"/>
      <c r="N161" s="14"/>
      <c r="O161" s="14"/>
      <c r="P161" s="14">
        <v>27</v>
      </c>
      <c r="Q161" s="14"/>
      <c r="R161" s="14">
        <v>27</v>
      </c>
      <c r="S161" s="14"/>
      <c r="T161" s="14"/>
      <c r="U161" s="14"/>
      <c r="V161" s="14">
        <v>27</v>
      </c>
      <c r="W161" s="14"/>
      <c r="X161" s="14"/>
      <c r="Y161" s="14"/>
      <c r="Z161" s="14"/>
      <c r="AA161" s="14"/>
      <c r="AB161" s="14">
        <v>27</v>
      </c>
      <c r="AC161" s="14"/>
      <c r="AD161" s="14"/>
      <c r="AE161" s="14"/>
      <c r="AF161" s="14"/>
      <c r="AG161" s="14"/>
      <c r="AH161" s="14"/>
      <c r="AI161" s="14">
        <v>27</v>
      </c>
      <c r="AJ161" s="14"/>
      <c r="AK161" s="14"/>
      <c r="AL161" s="14"/>
      <c r="AM161" s="14"/>
      <c r="AN161" s="14">
        <v>27</v>
      </c>
      <c r="AO161" s="14"/>
      <c r="AP161" s="14"/>
      <c r="AQ161" s="14"/>
      <c r="AR161" s="14"/>
      <c r="AS161" s="14"/>
      <c r="AT161" s="14"/>
      <c r="AU161" s="14"/>
      <c r="AV161" s="14">
        <v>27</v>
      </c>
      <c r="AW161" s="14"/>
      <c r="AX161" s="14">
        <v>27</v>
      </c>
      <c r="AY161" s="14"/>
      <c r="AZ161" s="14">
        <v>27</v>
      </c>
      <c r="BA161" s="14">
        <v>27</v>
      </c>
      <c r="BB161" s="14"/>
      <c r="BC161" s="14"/>
      <c r="BD161" s="14"/>
      <c r="BE161" s="14"/>
      <c r="BF161" s="14"/>
      <c r="BG161" s="14"/>
      <c r="BH161" s="14"/>
      <c r="BI161" s="14"/>
      <c r="BJ161" s="14">
        <v>27</v>
      </c>
      <c r="BK161" s="14"/>
      <c r="BL161" s="14">
        <v>27</v>
      </c>
    </row>
    <row r="162" spans="4:64" x14ac:dyDescent="0.25">
      <c r="D162" s="21" t="s">
        <v>2205</v>
      </c>
      <c r="E162" s="14"/>
      <c r="F162" s="14"/>
      <c r="G162" s="14"/>
      <c r="H162" s="14"/>
      <c r="I162" s="14"/>
      <c r="J162" s="14"/>
      <c r="K162" s="14"/>
      <c r="L162" s="14">
        <v>27</v>
      </c>
      <c r="M162" s="14"/>
      <c r="N162" s="14">
        <v>27</v>
      </c>
      <c r="O162" s="14"/>
      <c r="P162" s="14">
        <v>27</v>
      </c>
      <c r="Q162" s="14">
        <v>27</v>
      </c>
      <c r="R162" s="14"/>
      <c r="S162" s="14"/>
      <c r="T162" s="14"/>
      <c r="U162" s="14"/>
      <c r="V162" s="14"/>
      <c r="W162" s="14"/>
      <c r="X162" s="14"/>
      <c r="Y162" s="14"/>
      <c r="Z162" s="14"/>
      <c r="AA162" s="14"/>
      <c r="AB162" s="14">
        <v>27</v>
      </c>
      <c r="AC162" s="14"/>
      <c r="AD162" s="14"/>
      <c r="AE162" s="14"/>
      <c r="AF162" s="14"/>
      <c r="AG162" s="14"/>
      <c r="AH162" s="14"/>
      <c r="AI162" s="14"/>
      <c r="AJ162" s="14"/>
      <c r="AK162" s="14"/>
      <c r="AL162" s="14"/>
      <c r="AM162" s="14"/>
      <c r="AN162" s="14"/>
      <c r="AO162" s="14"/>
      <c r="AP162" s="14">
        <v>27</v>
      </c>
      <c r="AQ162" s="14"/>
      <c r="AR162" s="14"/>
      <c r="AS162" s="14"/>
      <c r="AT162" s="14"/>
      <c r="AU162" s="14"/>
      <c r="AV162" s="14"/>
      <c r="AW162" s="14">
        <v>27</v>
      </c>
      <c r="AX162" s="14"/>
      <c r="AY162" s="14">
        <v>27</v>
      </c>
      <c r="AZ162" s="14">
        <v>27</v>
      </c>
      <c r="BA162" s="14"/>
      <c r="BB162" s="14"/>
      <c r="BC162" s="14"/>
      <c r="BD162" s="14"/>
      <c r="BE162" s="14">
        <v>27</v>
      </c>
      <c r="BF162" s="14"/>
      <c r="BG162" s="14"/>
      <c r="BH162" s="14"/>
      <c r="BI162" s="14"/>
      <c r="BJ162" s="14"/>
      <c r="BK162" s="14"/>
      <c r="BL162" s="14">
        <v>27</v>
      </c>
    </row>
    <row r="163" spans="4:64" x14ac:dyDescent="0.25">
      <c r="D163" s="20" t="s">
        <v>2197</v>
      </c>
      <c r="E163" s="14"/>
      <c r="F163" s="14"/>
      <c r="G163" s="14">
        <v>27</v>
      </c>
      <c r="H163" s="14"/>
      <c r="I163" s="14"/>
      <c r="J163" s="14">
        <v>27</v>
      </c>
      <c r="K163" s="14">
        <v>27</v>
      </c>
      <c r="L163" s="14">
        <v>27</v>
      </c>
      <c r="M163" s="14">
        <v>27</v>
      </c>
      <c r="N163" s="14">
        <v>137</v>
      </c>
      <c r="O163" s="14">
        <v>27</v>
      </c>
      <c r="P163" s="14">
        <v>27</v>
      </c>
      <c r="Q163" s="14"/>
      <c r="R163" s="14"/>
      <c r="S163" s="14">
        <v>27</v>
      </c>
      <c r="T163" s="14"/>
      <c r="U163" s="14"/>
      <c r="V163" s="14"/>
      <c r="W163" s="14"/>
      <c r="X163" s="14"/>
      <c r="Y163" s="14">
        <v>391</v>
      </c>
      <c r="Z163" s="14"/>
      <c r="AA163" s="14">
        <v>27</v>
      </c>
      <c r="AB163" s="14">
        <v>27</v>
      </c>
      <c r="AC163" s="14">
        <v>27</v>
      </c>
      <c r="AD163" s="14">
        <v>44</v>
      </c>
      <c r="AE163" s="14"/>
      <c r="AF163" s="14">
        <v>27</v>
      </c>
      <c r="AG163" s="14"/>
      <c r="AH163" s="14">
        <v>27</v>
      </c>
      <c r="AI163" s="14">
        <v>27</v>
      </c>
      <c r="AJ163" s="14"/>
      <c r="AK163" s="14">
        <v>215</v>
      </c>
      <c r="AL163" s="14"/>
      <c r="AM163" s="14">
        <v>27</v>
      </c>
      <c r="AN163" s="14">
        <v>27</v>
      </c>
      <c r="AO163" s="14"/>
      <c r="AP163" s="14">
        <v>27</v>
      </c>
      <c r="AQ163" s="14">
        <v>27</v>
      </c>
      <c r="AR163" s="14">
        <v>178</v>
      </c>
      <c r="AS163" s="14">
        <v>27</v>
      </c>
      <c r="AT163" s="14">
        <v>27</v>
      </c>
      <c r="AU163" s="14"/>
      <c r="AV163" s="14">
        <v>27</v>
      </c>
      <c r="AW163" s="14">
        <v>41</v>
      </c>
      <c r="AX163" s="14"/>
      <c r="AY163" s="14">
        <v>336</v>
      </c>
      <c r="AZ163" s="14">
        <v>27</v>
      </c>
      <c r="BA163" s="14">
        <v>27</v>
      </c>
      <c r="BB163" s="14"/>
      <c r="BC163" s="14">
        <v>377</v>
      </c>
      <c r="BD163" s="14"/>
      <c r="BE163" s="14">
        <v>27</v>
      </c>
      <c r="BF163" s="14"/>
      <c r="BG163" s="14"/>
      <c r="BH163" s="14">
        <v>27</v>
      </c>
      <c r="BI163" s="14"/>
      <c r="BJ163" s="14">
        <v>27</v>
      </c>
      <c r="BK163" s="14">
        <v>27</v>
      </c>
      <c r="BL163" s="14">
        <v>27</v>
      </c>
    </row>
    <row r="164" spans="4:64" x14ac:dyDescent="0.25">
      <c r="D164" s="21" t="s">
        <v>2206</v>
      </c>
      <c r="E164" s="14"/>
      <c r="F164" s="14"/>
      <c r="G164" s="14">
        <v>27</v>
      </c>
      <c r="H164" s="14"/>
      <c r="I164" s="14"/>
      <c r="J164" s="14">
        <v>27</v>
      </c>
      <c r="K164" s="14"/>
      <c r="L164" s="14"/>
      <c r="M164" s="14"/>
      <c r="N164" s="14"/>
      <c r="O164" s="14"/>
      <c r="P164" s="14">
        <v>27</v>
      </c>
      <c r="Q164" s="14"/>
      <c r="R164" s="14"/>
      <c r="S164" s="14"/>
      <c r="T164" s="14"/>
      <c r="U164" s="14"/>
      <c r="V164" s="14"/>
      <c r="W164" s="14"/>
      <c r="X164" s="14"/>
      <c r="Y164" s="14"/>
      <c r="Z164" s="14"/>
      <c r="AA164" s="14">
        <v>27</v>
      </c>
      <c r="AB164" s="14">
        <v>27</v>
      </c>
      <c r="AC164" s="14"/>
      <c r="AD164" s="14"/>
      <c r="AE164" s="14"/>
      <c r="AF164" s="14">
        <v>27</v>
      </c>
      <c r="AG164" s="14"/>
      <c r="AH164" s="14">
        <v>27</v>
      </c>
      <c r="AI164" s="14">
        <v>27</v>
      </c>
      <c r="AJ164" s="14"/>
      <c r="AK164" s="14"/>
      <c r="AL164" s="14"/>
      <c r="AM164" s="14"/>
      <c r="AN164" s="14">
        <v>27</v>
      </c>
      <c r="AO164" s="14"/>
      <c r="AP164" s="14">
        <v>27</v>
      </c>
      <c r="AQ164" s="14"/>
      <c r="AR164" s="14"/>
      <c r="AS164" s="14"/>
      <c r="AT164" s="14"/>
      <c r="AU164" s="14"/>
      <c r="AV164" s="14">
        <v>27</v>
      </c>
      <c r="AW164" s="14"/>
      <c r="AX164" s="14"/>
      <c r="AY164" s="14"/>
      <c r="AZ164" s="14">
        <v>27</v>
      </c>
      <c r="BA164" s="14">
        <v>27</v>
      </c>
      <c r="BB164" s="14"/>
      <c r="BC164" s="14"/>
      <c r="BD164" s="14"/>
      <c r="BE164" s="14">
        <v>27</v>
      </c>
      <c r="BF164" s="14"/>
      <c r="BG164" s="14"/>
      <c r="BH164" s="14"/>
      <c r="BI164" s="14"/>
      <c r="BJ164" s="14"/>
      <c r="BK164" s="14"/>
      <c r="BL164" s="14">
        <v>27</v>
      </c>
    </row>
    <row r="165" spans="4:64" x14ac:dyDescent="0.25">
      <c r="D165" s="21" t="s">
        <v>2204</v>
      </c>
      <c r="E165" s="14"/>
      <c r="F165" s="14"/>
      <c r="G165" s="14">
        <v>114</v>
      </c>
      <c r="H165" s="14"/>
      <c r="I165" s="14"/>
      <c r="J165" s="14"/>
      <c r="K165" s="14"/>
      <c r="L165" s="14"/>
      <c r="M165" s="14"/>
      <c r="N165" s="14">
        <v>137</v>
      </c>
      <c r="O165" s="14"/>
      <c r="P165" s="14">
        <v>114</v>
      </c>
      <c r="Q165" s="14"/>
      <c r="R165" s="14"/>
      <c r="S165" s="14"/>
      <c r="T165" s="14"/>
      <c r="U165" s="14"/>
      <c r="V165" s="14"/>
      <c r="W165" s="14"/>
      <c r="X165" s="14"/>
      <c r="Y165" s="14">
        <v>391</v>
      </c>
      <c r="Z165" s="14"/>
      <c r="AA165" s="14"/>
      <c r="AB165" s="14">
        <v>391</v>
      </c>
      <c r="AC165" s="14"/>
      <c r="AD165" s="14">
        <v>44</v>
      </c>
      <c r="AE165" s="14"/>
      <c r="AF165" s="14"/>
      <c r="AG165" s="14"/>
      <c r="AH165" s="14"/>
      <c r="AI165" s="14"/>
      <c r="AJ165" s="14"/>
      <c r="AK165" s="14">
        <v>215</v>
      </c>
      <c r="AL165" s="14"/>
      <c r="AM165" s="14"/>
      <c r="AN165" s="14">
        <v>44</v>
      </c>
      <c r="AO165" s="14"/>
      <c r="AP165" s="14">
        <v>370</v>
      </c>
      <c r="AQ165" s="14"/>
      <c r="AR165" s="14">
        <v>178</v>
      </c>
      <c r="AS165" s="14"/>
      <c r="AT165" s="14"/>
      <c r="AU165" s="14"/>
      <c r="AV165" s="14"/>
      <c r="AW165" s="14">
        <v>41</v>
      </c>
      <c r="AX165" s="14"/>
      <c r="AY165" s="14">
        <v>336</v>
      </c>
      <c r="AZ165" s="14">
        <v>41</v>
      </c>
      <c r="BA165" s="14"/>
      <c r="BB165" s="14"/>
      <c r="BC165" s="14">
        <v>377</v>
      </c>
      <c r="BD165" s="14"/>
      <c r="BE165" s="14"/>
      <c r="BF165" s="14"/>
      <c r="BG165" s="14"/>
      <c r="BH165" s="14"/>
      <c r="BI165" s="14"/>
      <c r="BJ165" s="14"/>
      <c r="BK165" s="14"/>
      <c r="BL165" s="14">
        <v>377</v>
      </c>
    </row>
    <row r="166" spans="4:64" x14ac:dyDescent="0.25">
      <c r="D166" s="21" t="s">
        <v>2207</v>
      </c>
      <c r="E166" s="14"/>
      <c r="F166" s="14"/>
      <c r="G166" s="14"/>
      <c r="H166" s="14"/>
      <c r="I166" s="14"/>
      <c r="J166" s="14"/>
      <c r="K166" s="14"/>
      <c r="L166" s="14">
        <v>27</v>
      </c>
      <c r="M166" s="14">
        <v>27</v>
      </c>
      <c r="N166" s="14"/>
      <c r="O166" s="14"/>
      <c r="P166" s="14">
        <v>27</v>
      </c>
      <c r="Q166" s="14"/>
      <c r="R166" s="14"/>
      <c r="S166" s="14">
        <v>27</v>
      </c>
      <c r="T166" s="14"/>
      <c r="U166" s="14"/>
      <c r="V166" s="14"/>
      <c r="W166" s="14"/>
      <c r="X166" s="14"/>
      <c r="Y166" s="14"/>
      <c r="Z166" s="14"/>
      <c r="AA166" s="14"/>
      <c r="AB166" s="14">
        <v>27</v>
      </c>
      <c r="AC166" s="14">
        <v>27</v>
      </c>
      <c r="AD166" s="14"/>
      <c r="AE166" s="14"/>
      <c r="AF166" s="14"/>
      <c r="AG166" s="14"/>
      <c r="AH166" s="14">
        <v>27</v>
      </c>
      <c r="AI166" s="14"/>
      <c r="AJ166" s="14"/>
      <c r="AK166" s="14"/>
      <c r="AL166" s="14"/>
      <c r="AM166" s="14"/>
      <c r="AN166" s="14">
        <v>27</v>
      </c>
      <c r="AO166" s="14"/>
      <c r="AP166" s="14"/>
      <c r="AQ166" s="14">
        <v>27</v>
      </c>
      <c r="AR166" s="14"/>
      <c r="AS166" s="14"/>
      <c r="AT166" s="14">
        <v>27</v>
      </c>
      <c r="AU166" s="14"/>
      <c r="AV166" s="14"/>
      <c r="AW166" s="14"/>
      <c r="AX166" s="14"/>
      <c r="AY166" s="14"/>
      <c r="AZ166" s="14">
        <v>27</v>
      </c>
      <c r="BA166" s="14"/>
      <c r="BB166" s="14"/>
      <c r="BC166" s="14"/>
      <c r="BD166" s="14"/>
      <c r="BE166" s="14">
        <v>27</v>
      </c>
      <c r="BF166" s="14"/>
      <c r="BG166" s="14"/>
      <c r="BH166" s="14"/>
      <c r="BI166" s="14"/>
      <c r="BJ166" s="14">
        <v>27</v>
      </c>
      <c r="BK166" s="14"/>
      <c r="BL166" s="14">
        <v>27</v>
      </c>
    </row>
    <row r="167" spans="4:64" x14ac:dyDescent="0.25">
      <c r="D167" s="21" t="s">
        <v>2205</v>
      </c>
      <c r="E167" s="14"/>
      <c r="F167" s="14"/>
      <c r="G167" s="14"/>
      <c r="H167" s="14"/>
      <c r="I167" s="14"/>
      <c r="J167" s="14"/>
      <c r="K167" s="14">
        <v>27</v>
      </c>
      <c r="L167" s="14"/>
      <c r="M167" s="14"/>
      <c r="N167" s="14"/>
      <c r="O167" s="14">
        <v>27</v>
      </c>
      <c r="P167" s="14">
        <v>27</v>
      </c>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v>27</v>
      </c>
      <c r="AN167" s="14">
        <v>27</v>
      </c>
      <c r="AO167" s="14"/>
      <c r="AP167" s="14"/>
      <c r="AQ167" s="14"/>
      <c r="AR167" s="14"/>
      <c r="AS167" s="14">
        <v>27</v>
      </c>
      <c r="AT167" s="14"/>
      <c r="AU167" s="14"/>
      <c r="AV167" s="14"/>
      <c r="AW167" s="14"/>
      <c r="AX167" s="14"/>
      <c r="AY167" s="14"/>
      <c r="AZ167" s="14">
        <v>27</v>
      </c>
      <c r="BA167" s="14"/>
      <c r="BB167" s="14"/>
      <c r="BC167" s="14"/>
      <c r="BD167" s="14"/>
      <c r="BE167" s="14"/>
      <c r="BF167" s="14"/>
      <c r="BG167" s="14"/>
      <c r="BH167" s="14">
        <v>27</v>
      </c>
      <c r="BI167" s="14"/>
      <c r="BJ167" s="14"/>
      <c r="BK167" s="14">
        <v>27</v>
      </c>
      <c r="BL167" s="14">
        <v>27</v>
      </c>
    </row>
    <row r="168" spans="4:64" x14ac:dyDescent="0.25">
      <c r="D168" s="20" t="s">
        <v>2196</v>
      </c>
      <c r="E168" s="14">
        <v>27</v>
      </c>
      <c r="F168" s="14">
        <v>27</v>
      </c>
      <c r="G168" s="14"/>
      <c r="H168" s="14">
        <v>27</v>
      </c>
      <c r="I168" s="14">
        <v>27</v>
      </c>
      <c r="J168" s="14">
        <v>228</v>
      </c>
      <c r="K168" s="14">
        <v>27</v>
      </c>
      <c r="L168" s="14">
        <v>27</v>
      </c>
      <c r="M168" s="14">
        <v>27</v>
      </c>
      <c r="N168" s="14">
        <v>27</v>
      </c>
      <c r="O168" s="14">
        <v>27</v>
      </c>
      <c r="P168" s="14">
        <v>27</v>
      </c>
      <c r="Q168" s="14">
        <v>50</v>
      </c>
      <c r="R168" s="14"/>
      <c r="S168" s="14">
        <v>27</v>
      </c>
      <c r="T168" s="14"/>
      <c r="U168" s="14"/>
      <c r="V168" s="14"/>
      <c r="W168" s="14">
        <v>27</v>
      </c>
      <c r="X168" s="14">
        <v>27</v>
      </c>
      <c r="Y168" s="14"/>
      <c r="Z168" s="14">
        <v>27</v>
      </c>
      <c r="AA168" s="14"/>
      <c r="AB168" s="14">
        <v>27</v>
      </c>
      <c r="AC168" s="14">
        <v>197</v>
      </c>
      <c r="AD168" s="14">
        <v>346</v>
      </c>
      <c r="AE168" s="14"/>
      <c r="AF168" s="14">
        <v>27</v>
      </c>
      <c r="AG168" s="14"/>
      <c r="AH168" s="14">
        <v>27</v>
      </c>
      <c r="AI168" s="14"/>
      <c r="AJ168" s="14"/>
      <c r="AK168" s="14"/>
      <c r="AL168" s="14">
        <v>27</v>
      </c>
      <c r="AM168" s="14"/>
      <c r="AN168" s="14">
        <v>27</v>
      </c>
      <c r="AO168" s="14"/>
      <c r="AP168" s="14">
        <v>27</v>
      </c>
      <c r="AQ168" s="14"/>
      <c r="AR168" s="14"/>
      <c r="AS168" s="14">
        <v>27</v>
      </c>
      <c r="AT168" s="14">
        <v>27</v>
      </c>
      <c r="AU168" s="14"/>
      <c r="AV168" s="14"/>
      <c r="AW168" s="14"/>
      <c r="AX168" s="14">
        <v>27</v>
      </c>
      <c r="AY168" s="14">
        <v>27</v>
      </c>
      <c r="AZ168" s="14">
        <v>27</v>
      </c>
      <c r="BA168" s="14">
        <v>27</v>
      </c>
      <c r="BB168" s="14">
        <v>27</v>
      </c>
      <c r="BC168" s="14">
        <v>27</v>
      </c>
      <c r="BD168" s="14"/>
      <c r="BE168" s="14"/>
      <c r="BF168" s="14"/>
      <c r="BG168" s="14"/>
      <c r="BH168" s="14"/>
      <c r="BI168" s="14"/>
      <c r="BJ168" s="14"/>
      <c r="BK168" s="14">
        <v>27</v>
      </c>
      <c r="BL168" s="14">
        <v>27</v>
      </c>
    </row>
    <row r="169" spans="4:64" x14ac:dyDescent="0.25">
      <c r="D169" s="21" t="s">
        <v>2206</v>
      </c>
      <c r="E169" s="14"/>
      <c r="F169" s="14">
        <v>27</v>
      </c>
      <c r="G169" s="14"/>
      <c r="H169" s="14">
        <v>27</v>
      </c>
      <c r="I169" s="14">
        <v>27</v>
      </c>
      <c r="J169" s="14"/>
      <c r="K169" s="14"/>
      <c r="L169" s="14">
        <v>27</v>
      </c>
      <c r="M169" s="14"/>
      <c r="N169" s="14">
        <v>27</v>
      </c>
      <c r="O169" s="14">
        <v>27</v>
      </c>
      <c r="P169" s="14">
        <v>27</v>
      </c>
      <c r="Q169" s="14"/>
      <c r="R169" s="14"/>
      <c r="S169" s="14">
        <v>27</v>
      </c>
      <c r="T169" s="14"/>
      <c r="U169" s="14"/>
      <c r="V169" s="14"/>
      <c r="W169" s="14">
        <v>27</v>
      </c>
      <c r="X169" s="14"/>
      <c r="Y169" s="14"/>
      <c r="Z169" s="14"/>
      <c r="AA169" s="14"/>
      <c r="AB169" s="14">
        <v>27</v>
      </c>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v>27</v>
      </c>
      <c r="AY169" s="14"/>
      <c r="AZ169" s="14">
        <v>27</v>
      </c>
      <c r="BA169" s="14"/>
      <c r="BB169" s="14"/>
      <c r="BC169" s="14"/>
      <c r="BD169" s="14"/>
      <c r="BE169" s="14"/>
      <c r="BF169" s="14"/>
      <c r="BG169" s="14"/>
      <c r="BH169" s="14"/>
      <c r="BI169" s="14"/>
      <c r="BJ169" s="14"/>
      <c r="BK169" s="14"/>
      <c r="BL169" s="14"/>
    </row>
    <row r="170" spans="4:64" x14ac:dyDescent="0.25">
      <c r="D170" s="21" t="s">
        <v>2204</v>
      </c>
      <c r="E170" s="14">
        <v>217</v>
      </c>
      <c r="F170" s="14"/>
      <c r="G170" s="14"/>
      <c r="H170" s="14"/>
      <c r="I170" s="14"/>
      <c r="J170" s="14">
        <v>228</v>
      </c>
      <c r="K170" s="14"/>
      <c r="L170" s="14"/>
      <c r="M170" s="14"/>
      <c r="N170" s="14"/>
      <c r="O170" s="14"/>
      <c r="P170" s="14">
        <v>217</v>
      </c>
      <c r="Q170" s="14">
        <v>50</v>
      </c>
      <c r="R170" s="14"/>
      <c r="S170" s="14"/>
      <c r="T170" s="14"/>
      <c r="U170" s="14"/>
      <c r="V170" s="14"/>
      <c r="W170" s="14">
        <v>150</v>
      </c>
      <c r="X170" s="14"/>
      <c r="Y170" s="14"/>
      <c r="Z170" s="14">
        <v>86</v>
      </c>
      <c r="AA170" s="14"/>
      <c r="AB170" s="14">
        <v>50</v>
      </c>
      <c r="AC170" s="14">
        <v>197</v>
      </c>
      <c r="AD170" s="14">
        <v>346</v>
      </c>
      <c r="AE170" s="14"/>
      <c r="AF170" s="14"/>
      <c r="AG170" s="14"/>
      <c r="AH170" s="14"/>
      <c r="AI170" s="14"/>
      <c r="AJ170" s="14"/>
      <c r="AK170" s="14"/>
      <c r="AL170" s="14">
        <v>60</v>
      </c>
      <c r="AM170" s="14"/>
      <c r="AN170" s="14">
        <v>60</v>
      </c>
      <c r="AO170" s="14"/>
      <c r="AP170" s="14"/>
      <c r="AQ170" s="14"/>
      <c r="AR170" s="14"/>
      <c r="AS170" s="14"/>
      <c r="AT170" s="14">
        <v>160</v>
      </c>
      <c r="AU170" s="14"/>
      <c r="AV170" s="14"/>
      <c r="AW170" s="14"/>
      <c r="AX170" s="14"/>
      <c r="AY170" s="14"/>
      <c r="AZ170" s="14">
        <v>160</v>
      </c>
      <c r="BA170" s="14"/>
      <c r="BB170" s="14"/>
      <c r="BC170" s="14"/>
      <c r="BD170" s="14"/>
      <c r="BE170" s="14"/>
      <c r="BF170" s="14"/>
      <c r="BG170" s="14"/>
      <c r="BH170" s="14"/>
      <c r="BI170" s="14"/>
      <c r="BJ170" s="14"/>
      <c r="BK170" s="14"/>
      <c r="BL170" s="14"/>
    </row>
    <row r="171" spans="4:64" x14ac:dyDescent="0.25">
      <c r="D171" s="21" t="s">
        <v>2207</v>
      </c>
      <c r="E171" s="14"/>
      <c r="F171" s="14"/>
      <c r="G171" s="14"/>
      <c r="H171" s="14"/>
      <c r="I171" s="14"/>
      <c r="J171" s="14"/>
      <c r="K171" s="14">
        <v>27</v>
      </c>
      <c r="L171" s="14"/>
      <c r="M171" s="14">
        <v>27</v>
      </c>
      <c r="N171" s="14"/>
      <c r="O171" s="14"/>
      <c r="P171" s="14">
        <v>27</v>
      </c>
      <c r="Q171" s="14"/>
      <c r="R171" s="14"/>
      <c r="S171" s="14"/>
      <c r="T171" s="14"/>
      <c r="U171" s="14"/>
      <c r="V171" s="14"/>
      <c r="W171" s="14"/>
      <c r="X171" s="14">
        <v>27</v>
      </c>
      <c r="Y171" s="14"/>
      <c r="Z171" s="14"/>
      <c r="AA171" s="14"/>
      <c r="AB171" s="14">
        <v>27</v>
      </c>
      <c r="AC171" s="14"/>
      <c r="AD171" s="14"/>
      <c r="AE171" s="14"/>
      <c r="AF171" s="14"/>
      <c r="AG171" s="14"/>
      <c r="AH171" s="14"/>
      <c r="AI171" s="14"/>
      <c r="AJ171" s="14"/>
      <c r="AK171" s="14"/>
      <c r="AL171" s="14"/>
      <c r="AM171" s="14"/>
      <c r="AN171" s="14"/>
      <c r="AO171" s="14"/>
      <c r="AP171" s="14"/>
      <c r="AQ171" s="14"/>
      <c r="AR171" s="14"/>
      <c r="AS171" s="14">
        <v>27</v>
      </c>
      <c r="AT171" s="14">
        <v>27</v>
      </c>
      <c r="AU171" s="14"/>
      <c r="AV171" s="14"/>
      <c r="AW171" s="14"/>
      <c r="AX171" s="14"/>
      <c r="AY171" s="14">
        <v>27</v>
      </c>
      <c r="AZ171" s="14">
        <v>27</v>
      </c>
      <c r="BA171" s="14"/>
      <c r="BB171" s="14"/>
      <c r="BC171" s="14"/>
      <c r="BD171" s="14"/>
      <c r="BE171" s="14"/>
      <c r="BF171" s="14"/>
      <c r="BG171" s="14"/>
      <c r="BH171" s="14"/>
      <c r="BI171" s="14"/>
      <c r="BJ171" s="14"/>
      <c r="BK171" s="14"/>
      <c r="BL171" s="14"/>
    </row>
    <row r="172" spans="4:64" x14ac:dyDescent="0.25">
      <c r="D172" s="21" t="s">
        <v>2205</v>
      </c>
      <c r="E172" s="14">
        <v>27</v>
      </c>
      <c r="F172" s="14"/>
      <c r="G172" s="14"/>
      <c r="H172" s="14"/>
      <c r="I172" s="14"/>
      <c r="J172" s="14"/>
      <c r="K172" s="14"/>
      <c r="L172" s="14"/>
      <c r="M172" s="14"/>
      <c r="N172" s="14"/>
      <c r="O172" s="14"/>
      <c r="P172" s="14">
        <v>27</v>
      </c>
      <c r="Q172" s="14"/>
      <c r="R172" s="14"/>
      <c r="S172" s="14"/>
      <c r="T172" s="14"/>
      <c r="U172" s="14"/>
      <c r="V172" s="14"/>
      <c r="W172" s="14"/>
      <c r="X172" s="14"/>
      <c r="Y172" s="14"/>
      <c r="Z172" s="14">
        <v>27</v>
      </c>
      <c r="AA172" s="14"/>
      <c r="AB172" s="14">
        <v>27</v>
      </c>
      <c r="AC172" s="14"/>
      <c r="AD172" s="14"/>
      <c r="AE172" s="14"/>
      <c r="AF172" s="14">
        <v>27</v>
      </c>
      <c r="AG172" s="14"/>
      <c r="AH172" s="14">
        <v>27</v>
      </c>
      <c r="AI172" s="14"/>
      <c r="AJ172" s="14"/>
      <c r="AK172" s="14"/>
      <c r="AL172" s="14">
        <v>27</v>
      </c>
      <c r="AM172" s="14"/>
      <c r="AN172" s="14">
        <v>27</v>
      </c>
      <c r="AO172" s="14"/>
      <c r="AP172" s="14">
        <v>27</v>
      </c>
      <c r="AQ172" s="14"/>
      <c r="AR172" s="14"/>
      <c r="AS172" s="14">
        <v>27</v>
      </c>
      <c r="AT172" s="14"/>
      <c r="AU172" s="14"/>
      <c r="AV172" s="14"/>
      <c r="AW172" s="14"/>
      <c r="AX172" s="14"/>
      <c r="AY172" s="14"/>
      <c r="AZ172" s="14">
        <v>27</v>
      </c>
      <c r="BA172" s="14">
        <v>27</v>
      </c>
      <c r="BB172" s="14">
        <v>27</v>
      </c>
      <c r="BC172" s="14">
        <v>27</v>
      </c>
      <c r="BD172" s="14"/>
      <c r="BE172" s="14"/>
      <c r="BF172" s="14"/>
      <c r="BG172" s="14"/>
      <c r="BH172" s="14"/>
      <c r="BI172" s="14"/>
      <c r="BJ172" s="14"/>
      <c r="BK172" s="14">
        <v>27</v>
      </c>
      <c r="BL172" s="14">
        <v>27</v>
      </c>
    </row>
    <row r="173" spans="4:64" x14ac:dyDescent="0.25">
      <c r="D173" s="16" t="s">
        <v>2213</v>
      </c>
      <c r="E173" s="14">
        <v>27</v>
      </c>
      <c r="F173" s="14">
        <v>27</v>
      </c>
      <c r="G173" s="14">
        <v>27</v>
      </c>
      <c r="H173" s="14">
        <v>27</v>
      </c>
      <c r="I173" s="14">
        <v>27</v>
      </c>
      <c r="J173" s="14">
        <v>27</v>
      </c>
      <c r="K173" s="14">
        <v>27</v>
      </c>
      <c r="L173" s="14">
        <v>27</v>
      </c>
      <c r="M173" s="14">
        <v>27</v>
      </c>
      <c r="N173" s="14">
        <v>27</v>
      </c>
      <c r="O173" s="14">
        <v>27</v>
      </c>
      <c r="P173" s="14">
        <v>27</v>
      </c>
      <c r="Q173" s="14">
        <v>27</v>
      </c>
      <c r="R173" s="14">
        <v>27</v>
      </c>
      <c r="S173" s="14">
        <v>27</v>
      </c>
      <c r="T173" s="14">
        <v>27</v>
      </c>
      <c r="U173" s="14">
        <v>27</v>
      </c>
      <c r="V173" s="14">
        <v>27</v>
      </c>
      <c r="W173" s="14">
        <v>27</v>
      </c>
      <c r="X173" s="14">
        <v>27</v>
      </c>
      <c r="Y173" s="14">
        <v>122</v>
      </c>
      <c r="Z173" s="14">
        <v>27</v>
      </c>
      <c r="AA173" s="14">
        <v>27</v>
      </c>
      <c r="AB173" s="14">
        <v>27</v>
      </c>
      <c r="AC173" s="14">
        <v>27</v>
      </c>
      <c r="AD173" s="14">
        <v>27</v>
      </c>
      <c r="AE173" s="14">
        <v>27</v>
      </c>
      <c r="AF173" s="14">
        <v>27</v>
      </c>
      <c r="AG173" s="14">
        <v>27</v>
      </c>
      <c r="AH173" s="14">
        <v>27</v>
      </c>
      <c r="AI173" s="14">
        <v>27</v>
      </c>
      <c r="AJ173" s="14">
        <v>27</v>
      </c>
      <c r="AK173" s="14">
        <v>27</v>
      </c>
      <c r="AL173" s="14">
        <v>27</v>
      </c>
      <c r="AM173" s="14">
        <v>27</v>
      </c>
      <c r="AN173" s="14">
        <v>27</v>
      </c>
      <c r="AO173" s="14">
        <v>27</v>
      </c>
      <c r="AP173" s="14">
        <v>27</v>
      </c>
      <c r="AQ173" s="14">
        <v>27</v>
      </c>
      <c r="AR173" s="14">
        <v>27</v>
      </c>
      <c r="AS173" s="14">
        <v>27</v>
      </c>
      <c r="AT173" s="14">
        <v>27</v>
      </c>
      <c r="AU173" s="14">
        <v>27</v>
      </c>
      <c r="AV173" s="14">
        <v>27</v>
      </c>
      <c r="AW173" s="14">
        <v>27</v>
      </c>
      <c r="AX173" s="14">
        <v>27</v>
      </c>
      <c r="AY173" s="14">
        <v>27</v>
      </c>
      <c r="AZ173" s="14">
        <v>27</v>
      </c>
      <c r="BA173" s="14">
        <v>27</v>
      </c>
      <c r="BB173" s="14">
        <v>27</v>
      </c>
      <c r="BC173" s="14">
        <v>27</v>
      </c>
      <c r="BD173" s="14">
        <v>27</v>
      </c>
      <c r="BE173" s="14">
        <v>27</v>
      </c>
      <c r="BF173" s="14">
        <v>27</v>
      </c>
      <c r="BG173" s="14">
        <v>27</v>
      </c>
      <c r="BH173" s="14">
        <v>27</v>
      </c>
      <c r="BI173" s="14">
        <v>27</v>
      </c>
      <c r="BJ173" s="14">
        <v>27</v>
      </c>
      <c r="BK173" s="14">
        <v>27</v>
      </c>
      <c r="BL173" s="14">
        <v>27</v>
      </c>
    </row>
    <row r="174" spans="4:64" x14ac:dyDescent="0.25">
      <c r="D174" s="20" t="s">
        <v>2201</v>
      </c>
      <c r="E174" s="14">
        <v>27</v>
      </c>
      <c r="F174" s="14"/>
      <c r="G174" s="14"/>
      <c r="H174" s="14">
        <v>27</v>
      </c>
      <c r="I174" s="14"/>
      <c r="J174" s="14"/>
      <c r="K174" s="14"/>
      <c r="L174" s="14">
        <v>27</v>
      </c>
      <c r="M174" s="14"/>
      <c r="N174" s="14">
        <v>27</v>
      </c>
      <c r="O174" s="14">
        <v>84</v>
      </c>
      <c r="P174" s="14">
        <v>27</v>
      </c>
      <c r="Q174" s="14"/>
      <c r="R174" s="14">
        <v>27</v>
      </c>
      <c r="S174" s="14">
        <v>27</v>
      </c>
      <c r="T174" s="14"/>
      <c r="U174" s="14">
        <v>370</v>
      </c>
      <c r="V174" s="14">
        <v>27</v>
      </c>
      <c r="W174" s="14">
        <v>308</v>
      </c>
      <c r="X174" s="14"/>
      <c r="Y174" s="14"/>
      <c r="Z174" s="14"/>
      <c r="AA174" s="14">
        <v>161</v>
      </c>
      <c r="AB174" s="14">
        <v>27</v>
      </c>
      <c r="AC174" s="14"/>
      <c r="AD174" s="14">
        <v>27</v>
      </c>
      <c r="AE174" s="14">
        <v>27</v>
      </c>
      <c r="AF174" s="14"/>
      <c r="AG174" s="14"/>
      <c r="AH174" s="14"/>
      <c r="AI174" s="14">
        <v>27</v>
      </c>
      <c r="AJ174" s="14">
        <v>27</v>
      </c>
      <c r="AK174" s="14"/>
      <c r="AL174" s="14"/>
      <c r="AM174" s="14">
        <v>27</v>
      </c>
      <c r="AN174" s="14">
        <v>27</v>
      </c>
      <c r="AO174" s="14"/>
      <c r="AP174" s="14">
        <v>27</v>
      </c>
      <c r="AQ174" s="14"/>
      <c r="AR174" s="14"/>
      <c r="AS174" s="14">
        <v>27</v>
      </c>
      <c r="AT174" s="14">
        <v>27</v>
      </c>
      <c r="AU174" s="14"/>
      <c r="AV174" s="14"/>
      <c r="AW174" s="14"/>
      <c r="AX174" s="14"/>
      <c r="AY174" s="14">
        <v>27</v>
      </c>
      <c r="AZ174" s="14">
        <v>27</v>
      </c>
      <c r="BA174" s="14">
        <v>27</v>
      </c>
      <c r="BB174" s="14"/>
      <c r="BC174" s="14"/>
      <c r="BD174" s="14">
        <v>27</v>
      </c>
      <c r="BE174" s="14">
        <v>27</v>
      </c>
      <c r="BF174" s="14">
        <v>27</v>
      </c>
      <c r="BG174" s="14"/>
      <c r="BH174" s="14">
        <v>27</v>
      </c>
      <c r="BI174" s="14"/>
      <c r="BJ174" s="14">
        <v>27</v>
      </c>
      <c r="BK174" s="14">
        <v>27</v>
      </c>
      <c r="BL174" s="14">
        <v>27</v>
      </c>
    </row>
    <row r="175" spans="4:64" x14ac:dyDescent="0.25">
      <c r="D175" s="21" t="s">
        <v>2206</v>
      </c>
      <c r="E175" s="14">
        <v>27</v>
      </c>
      <c r="F175" s="14"/>
      <c r="G175" s="14"/>
      <c r="H175" s="14"/>
      <c r="I175" s="14"/>
      <c r="J175" s="14"/>
      <c r="K175" s="14"/>
      <c r="L175" s="14">
        <v>27</v>
      </c>
      <c r="M175" s="14"/>
      <c r="N175" s="14"/>
      <c r="O175" s="14"/>
      <c r="P175" s="14">
        <v>27</v>
      </c>
      <c r="Q175" s="14"/>
      <c r="R175" s="14">
        <v>27</v>
      </c>
      <c r="S175" s="14"/>
      <c r="T175" s="14"/>
      <c r="U175" s="14"/>
      <c r="V175" s="14"/>
      <c r="W175" s="14"/>
      <c r="X175" s="14"/>
      <c r="Y175" s="14"/>
      <c r="Z175" s="14"/>
      <c r="AA175" s="14"/>
      <c r="AB175" s="14">
        <v>27</v>
      </c>
      <c r="AC175" s="14"/>
      <c r="AD175" s="14"/>
      <c r="AE175" s="14">
        <v>27</v>
      </c>
      <c r="AF175" s="14"/>
      <c r="AG175" s="14"/>
      <c r="AH175" s="14"/>
      <c r="AI175" s="14">
        <v>27</v>
      </c>
      <c r="AJ175" s="14"/>
      <c r="AK175" s="14"/>
      <c r="AL175" s="14"/>
      <c r="AM175" s="14"/>
      <c r="AN175" s="14">
        <v>27</v>
      </c>
      <c r="AO175" s="14"/>
      <c r="AP175" s="14"/>
      <c r="AQ175" s="14"/>
      <c r="AR175" s="14"/>
      <c r="AS175" s="14"/>
      <c r="AT175" s="14"/>
      <c r="AU175" s="14"/>
      <c r="AV175" s="14"/>
      <c r="AW175" s="14"/>
      <c r="AX175" s="14"/>
      <c r="AY175" s="14"/>
      <c r="AZ175" s="14"/>
      <c r="BA175" s="14"/>
      <c r="BB175" s="14"/>
      <c r="BC175" s="14"/>
      <c r="BD175" s="14">
        <v>27</v>
      </c>
      <c r="BE175" s="14"/>
      <c r="BF175" s="14">
        <v>27</v>
      </c>
      <c r="BG175" s="14"/>
      <c r="BH175" s="14"/>
      <c r="BI175" s="14"/>
      <c r="BJ175" s="14">
        <v>27</v>
      </c>
      <c r="BK175" s="14">
        <v>27</v>
      </c>
      <c r="BL175" s="14">
        <v>27</v>
      </c>
    </row>
    <row r="176" spans="4:64" x14ac:dyDescent="0.25">
      <c r="D176" s="21" t="s">
        <v>2204</v>
      </c>
      <c r="E176" s="14">
        <v>338</v>
      </c>
      <c r="F176" s="14"/>
      <c r="G176" s="14"/>
      <c r="H176" s="14"/>
      <c r="I176" s="14"/>
      <c r="J176" s="14"/>
      <c r="K176" s="14"/>
      <c r="L176" s="14"/>
      <c r="M176" s="14"/>
      <c r="N176" s="14"/>
      <c r="O176" s="14">
        <v>84</v>
      </c>
      <c r="P176" s="14">
        <v>84</v>
      </c>
      <c r="Q176" s="14"/>
      <c r="R176" s="14"/>
      <c r="S176" s="14"/>
      <c r="T176" s="14"/>
      <c r="U176" s="14">
        <v>370</v>
      </c>
      <c r="V176" s="14"/>
      <c r="W176" s="14">
        <v>308</v>
      </c>
      <c r="X176" s="14"/>
      <c r="Y176" s="14"/>
      <c r="Z176" s="14"/>
      <c r="AA176" s="14">
        <v>161</v>
      </c>
      <c r="AB176" s="14">
        <v>161</v>
      </c>
      <c r="AC176" s="14"/>
      <c r="AD176" s="14"/>
      <c r="AE176" s="14"/>
      <c r="AF176" s="14"/>
      <c r="AG176" s="14"/>
      <c r="AH176" s="14"/>
      <c r="AI176" s="14"/>
      <c r="AJ176" s="14"/>
      <c r="AK176" s="14"/>
      <c r="AL176" s="14"/>
      <c r="AM176" s="14"/>
      <c r="AN176" s="14"/>
      <c r="AO176" s="14"/>
      <c r="AP176" s="14">
        <v>216</v>
      </c>
      <c r="AQ176" s="14"/>
      <c r="AR176" s="14"/>
      <c r="AS176" s="14"/>
      <c r="AT176" s="14"/>
      <c r="AU176" s="14"/>
      <c r="AV176" s="14"/>
      <c r="AW176" s="14"/>
      <c r="AX176" s="14"/>
      <c r="AY176" s="14"/>
      <c r="AZ176" s="14">
        <v>216</v>
      </c>
      <c r="BA176" s="14"/>
      <c r="BB176" s="14"/>
      <c r="BC176" s="14"/>
      <c r="BD176" s="14"/>
      <c r="BE176" s="14"/>
      <c r="BF176" s="14"/>
      <c r="BG176" s="14"/>
      <c r="BH176" s="14"/>
      <c r="BI176" s="14"/>
      <c r="BJ176" s="14"/>
      <c r="BK176" s="14"/>
      <c r="BL176" s="14"/>
    </row>
    <row r="177" spans="4:64" x14ac:dyDescent="0.25">
      <c r="D177" s="21" t="s">
        <v>2207</v>
      </c>
      <c r="E177" s="14"/>
      <c r="F177" s="14"/>
      <c r="G177" s="14"/>
      <c r="H177" s="14"/>
      <c r="I177" s="14"/>
      <c r="J177" s="14"/>
      <c r="K177" s="14"/>
      <c r="L177" s="14"/>
      <c r="M177" s="14"/>
      <c r="N177" s="14">
        <v>27</v>
      </c>
      <c r="O177" s="14"/>
      <c r="P177" s="14">
        <v>27</v>
      </c>
      <c r="Q177" s="14"/>
      <c r="R177" s="14"/>
      <c r="S177" s="14"/>
      <c r="T177" s="14"/>
      <c r="U177" s="14"/>
      <c r="V177" s="14">
        <v>27</v>
      </c>
      <c r="W177" s="14"/>
      <c r="X177" s="14"/>
      <c r="Y177" s="14"/>
      <c r="Z177" s="14"/>
      <c r="AA177" s="14"/>
      <c r="AB177" s="14">
        <v>27</v>
      </c>
      <c r="AC177" s="14"/>
      <c r="AD177" s="14">
        <v>27</v>
      </c>
      <c r="AE177" s="14"/>
      <c r="AF177" s="14"/>
      <c r="AG177" s="14"/>
      <c r="AH177" s="14"/>
      <c r="AI177" s="14"/>
      <c r="AJ177" s="14">
        <v>27</v>
      </c>
      <c r="AK177" s="14"/>
      <c r="AL177" s="14"/>
      <c r="AM177" s="14"/>
      <c r="AN177" s="14">
        <v>27</v>
      </c>
      <c r="AO177" s="14"/>
      <c r="AP177" s="14"/>
      <c r="AQ177" s="14"/>
      <c r="AR177" s="14"/>
      <c r="AS177" s="14">
        <v>27</v>
      </c>
      <c r="AT177" s="14"/>
      <c r="AU177" s="14"/>
      <c r="AV177" s="14"/>
      <c r="AW177" s="14"/>
      <c r="AX177" s="14"/>
      <c r="AY177" s="14">
        <v>27</v>
      </c>
      <c r="AZ177" s="14">
        <v>27</v>
      </c>
      <c r="BA177" s="14">
        <v>27</v>
      </c>
      <c r="BB177" s="14"/>
      <c r="BC177" s="14"/>
      <c r="BD177" s="14">
        <v>27</v>
      </c>
      <c r="BE177" s="14">
        <v>27</v>
      </c>
      <c r="BF177" s="14">
        <v>27</v>
      </c>
      <c r="BG177" s="14"/>
      <c r="BH177" s="14">
        <v>27</v>
      </c>
      <c r="BI177" s="14"/>
      <c r="BJ177" s="14"/>
      <c r="BK177" s="14"/>
      <c r="BL177" s="14">
        <v>27</v>
      </c>
    </row>
    <row r="178" spans="4:64" x14ac:dyDescent="0.25">
      <c r="D178" s="21" t="s">
        <v>2205</v>
      </c>
      <c r="E178" s="14"/>
      <c r="F178" s="14"/>
      <c r="G178" s="14"/>
      <c r="H178" s="14">
        <v>27</v>
      </c>
      <c r="I178" s="14"/>
      <c r="J178" s="14"/>
      <c r="K178" s="14"/>
      <c r="L178" s="14"/>
      <c r="M178" s="14"/>
      <c r="N178" s="14"/>
      <c r="O178" s="14"/>
      <c r="P178" s="14">
        <v>27</v>
      </c>
      <c r="Q178" s="14"/>
      <c r="R178" s="14"/>
      <c r="S178" s="14">
        <v>27</v>
      </c>
      <c r="T178" s="14"/>
      <c r="U178" s="14"/>
      <c r="V178" s="14"/>
      <c r="W178" s="14"/>
      <c r="X178" s="14"/>
      <c r="Y178" s="14"/>
      <c r="Z178" s="14"/>
      <c r="AA178" s="14"/>
      <c r="AB178" s="14">
        <v>27</v>
      </c>
      <c r="AC178" s="14"/>
      <c r="AD178" s="14"/>
      <c r="AE178" s="14"/>
      <c r="AF178" s="14"/>
      <c r="AG178" s="14"/>
      <c r="AH178" s="14"/>
      <c r="AI178" s="14"/>
      <c r="AJ178" s="14"/>
      <c r="AK178" s="14"/>
      <c r="AL178" s="14"/>
      <c r="AM178" s="14">
        <v>27</v>
      </c>
      <c r="AN178" s="14">
        <v>27</v>
      </c>
      <c r="AO178" s="14"/>
      <c r="AP178" s="14">
        <v>27</v>
      </c>
      <c r="AQ178" s="14"/>
      <c r="AR178" s="14"/>
      <c r="AS178" s="14"/>
      <c r="AT178" s="14">
        <v>27</v>
      </c>
      <c r="AU178" s="14"/>
      <c r="AV178" s="14"/>
      <c r="AW178" s="14"/>
      <c r="AX178" s="14"/>
      <c r="AY178" s="14">
        <v>27</v>
      </c>
      <c r="AZ178" s="14">
        <v>27</v>
      </c>
      <c r="BA178" s="14"/>
      <c r="BB178" s="14"/>
      <c r="BC178" s="14"/>
      <c r="BD178" s="14"/>
      <c r="BE178" s="14"/>
      <c r="BF178" s="14"/>
      <c r="BG178" s="14"/>
      <c r="BH178" s="14"/>
      <c r="BI178" s="14"/>
      <c r="BJ178" s="14"/>
      <c r="BK178" s="14"/>
      <c r="BL178" s="14"/>
    </row>
    <row r="179" spans="4:64" x14ac:dyDescent="0.25">
      <c r="D179" s="20" t="s">
        <v>2198</v>
      </c>
      <c r="E179" s="14">
        <v>27</v>
      </c>
      <c r="F179" s="14">
        <v>117</v>
      </c>
      <c r="G179" s="14">
        <v>27</v>
      </c>
      <c r="H179" s="14"/>
      <c r="I179" s="14">
        <v>27</v>
      </c>
      <c r="J179" s="14"/>
      <c r="K179" s="14"/>
      <c r="L179" s="14"/>
      <c r="M179" s="14">
        <v>30</v>
      </c>
      <c r="N179" s="14"/>
      <c r="O179" s="14">
        <v>27</v>
      </c>
      <c r="P179" s="14">
        <v>27</v>
      </c>
      <c r="Q179" s="14"/>
      <c r="R179" s="14"/>
      <c r="S179" s="14">
        <v>27</v>
      </c>
      <c r="T179" s="14"/>
      <c r="U179" s="14">
        <v>27</v>
      </c>
      <c r="V179" s="14">
        <v>27</v>
      </c>
      <c r="W179" s="14">
        <v>27</v>
      </c>
      <c r="X179" s="14"/>
      <c r="Y179" s="14"/>
      <c r="Z179" s="14">
        <v>27</v>
      </c>
      <c r="AA179" s="14"/>
      <c r="AB179" s="14">
        <v>27</v>
      </c>
      <c r="AC179" s="14">
        <v>27</v>
      </c>
      <c r="AD179" s="14"/>
      <c r="AE179" s="14"/>
      <c r="AF179" s="14"/>
      <c r="AG179" s="14">
        <v>27</v>
      </c>
      <c r="AH179" s="14">
        <v>27</v>
      </c>
      <c r="AI179" s="14">
        <v>27</v>
      </c>
      <c r="AJ179" s="14"/>
      <c r="AK179" s="14">
        <v>27</v>
      </c>
      <c r="AL179" s="14"/>
      <c r="AM179" s="14">
        <v>27</v>
      </c>
      <c r="AN179" s="14">
        <v>27</v>
      </c>
      <c r="AO179" s="14">
        <v>27</v>
      </c>
      <c r="AP179" s="14">
        <v>31</v>
      </c>
      <c r="AQ179" s="14">
        <v>211</v>
      </c>
      <c r="AR179" s="14">
        <v>27</v>
      </c>
      <c r="AS179" s="14"/>
      <c r="AT179" s="14">
        <v>47</v>
      </c>
      <c r="AU179" s="14">
        <v>27</v>
      </c>
      <c r="AV179" s="14"/>
      <c r="AW179" s="14">
        <v>27</v>
      </c>
      <c r="AX179" s="14"/>
      <c r="AY179" s="14"/>
      <c r="AZ179" s="14">
        <v>27</v>
      </c>
      <c r="BA179" s="14"/>
      <c r="BB179" s="14"/>
      <c r="BC179" s="14">
        <v>27</v>
      </c>
      <c r="BD179" s="14"/>
      <c r="BE179" s="14">
        <v>27</v>
      </c>
      <c r="BF179" s="14"/>
      <c r="BG179" s="14">
        <v>27</v>
      </c>
      <c r="BH179" s="14"/>
      <c r="BI179" s="14"/>
      <c r="BJ179" s="14">
        <v>27</v>
      </c>
      <c r="BK179" s="14">
        <v>27</v>
      </c>
      <c r="BL179" s="14">
        <v>27</v>
      </c>
    </row>
    <row r="180" spans="4:64" x14ac:dyDescent="0.25">
      <c r="D180" s="21" t="s">
        <v>2206</v>
      </c>
      <c r="E180" s="14"/>
      <c r="F180" s="14"/>
      <c r="G180" s="14">
        <v>27</v>
      </c>
      <c r="H180" s="14"/>
      <c r="I180" s="14">
        <v>27</v>
      </c>
      <c r="J180" s="14"/>
      <c r="K180" s="14"/>
      <c r="L180" s="14"/>
      <c r="M180" s="14"/>
      <c r="N180" s="14"/>
      <c r="O180" s="14"/>
      <c r="P180" s="14">
        <v>27</v>
      </c>
      <c r="Q180" s="14"/>
      <c r="R180" s="14"/>
      <c r="S180" s="14"/>
      <c r="T180" s="14"/>
      <c r="U180" s="14">
        <v>27</v>
      </c>
      <c r="V180" s="14"/>
      <c r="W180" s="14">
        <v>27</v>
      </c>
      <c r="X180" s="14"/>
      <c r="Y180" s="14"/>
      <c r="Z180" s="14"/>
      <c r="AA180" s="14"/>
      <c r="AB180" s="14">
        <v>27</v>
      </c>
      <c r="AC180" s="14"/>
      <c r="AD180" s="14"/>
      <c r="AE180" s="14"/>
      <c r="AF180" s="14"/>
      <c r="AG180" s="14"/>
      <c r="AH180" s="14"/>
      <c r="AI180" s="14"/>
      <c r="AJ180" s="14"/>
      <c r="AK180" s="14">
        <v>27</v>
      </c>
      <c r="AL180" s="14"/>
      <c r="AM180" s="14"/>
      <c r="AN180" s="14">
        <v>27</v>
      </c>
      <c r="AO180" s="14"/>
      <c r="AP180" s="14"/>
      <c r="AQ180" s="14"/>
      <c r="AR180" s="14"/>
      <c r="AS180" s="14"/>
      <c r="AT180" s="14"/>
      <c r="AU180" s="14"/>
      <c r="AV180" s="14"/>
      <c r="AW180" s="14">
        <v>27</v>
      </c>
      <c r="AX180" s="14"/>
      <c r="AY180" s="14"/>
      <c r="AZ180" s="14">
        <v>27</v>
      </c>
      <c r="BA180" s="14"/>
      <c r="BB180" s="14"/>
      <c r="BC180" s="14"/>
      <c r="BD180" s="14"/>
      <c r="BE180" s="14">
        <v>27</v>
      </c>
      <c r="BF180" s="14"/>
      <c r="BG180" s="14"/>
      <c r="BH180" s="14"/>
      <c r="BI180" s="14"/>
      <c r="BJ180" s="14">
        <v>27</v>
      </c>
      <c r="BK180" s="14"/>
      <c r="BL180" s="14">
        <v>27</v>
      </c>
    </row>
    <row r="181" spans="4:64" x14ac:dyDescent="0.25">
      <c r="D181" s="21" t="s">
        <v>2204</v>
      </c>
      <c r="E181" s="14">
        <v>124</v>
      </c>
      <c r="F181" s="14">
        <v>117</v>
      </c>
      <c r="G181" s="14"/>
      <c r="H181" s="14"/>
      <c r="I181" s="14">
        <v>227</v>
      </c>
      <c r="J181" s="14"/>
      <c r="K181" s="14"/>
      <c r="L181" s="14"/>
      <c r="M181" s="14">
        <v>30</v>
      </c>
      <c r="N181" s="14"/>
      <c r="O181" s="14"/>
      <c r="P181" s="14">
        <v>30</v>
      </c>
      <c r="Q181" s="14"/>
      <c r="R181" s="14"/>
      <c r="S181" s="14"/>
      <c r="T181" s="14"/>
      <c r="U181" s="14"/>
      <c r="V181" s="14"/>
      <c r="W181" s="14"/>
      <c r="X181" s="14"/>
      <c r="Y181" s="14"/>
      <c r="Z181" s="14">
        <v>321</v>
      </c>
      <c r="AA181" s="14"/>
      <c r="AB181" s="14">
        <v>321</v>
      </c>
      <c r="AC181" s="14"/>
      <c r="AD181" s="14"/>
      <c r="AE181" s="14"/>
      <c r="AF181" s="14"/>
      <c r="AG181" s="14"/>
      <c r="AH181" s="14">
        <v>159</v>
      </c>
      <c r="AI181" s="14"/>
      <c r="AJ181" s="14"/>
      <c r="AK181" s="14"/>
      <c r="AL181" s="14"/>
      <c r="AM181" s="14">
        <v>207</v>
      </c>
      <c r="AN181" s="14">
        <v>159</v>
      </c>
      <c r="AO181" s="14"/>
      <c r="AP181" s="14">
        <v>31</v>
      </c>
      <c r="AQ181" s="14">
        <v>211</v>
      </c>
      <c r="AR181" s="14"/>
      <c r="AS181" s="14"/>
      <c r="AT181" s="14">
        <v>47</v>
      </c>
      <c r="AU181" s="14"/>
      <c r="AV181" s="14"/>
      <c r="AW181" s="14"/>
      <c r="AX181" s="14"/>
      <c r="AY181" s="14"/>
      <c r="AZ181" s="14">
        <v>31</v>
      </c>
      <c r="BA181" s="14"/>
      <c r="BB181" s="14"/>
      <c r="BC181" s="14"/>
      <c r="BD181" s="14"/>
      <c r="BE181" s="14"/>
      <c r="BF181" s="14"/>
      <c r="BG181" s="14"/>
      <c r="BH181" s="14"/>
      <c r="BI181" s="14"/>
      <c r="BJ181" s="14"/>
      <c r="BK181" s="14"/>
      <c r="BL181" s="14"/>
    </row>
    <row r="182" spans="4:64" x14ac:dyDescent="0.25">
      <c r="D182" s="21" t="s">
        <v>2207</v>
      </c>
      <c r="E182" s="14">
        <v>27</v>
      </c>
      <c r="F182" s="14"/>
      <c r="G182" s="14"/>
      <c r="H182" s="14"/>
      <c r="I182" s="14"/>
      <c r="J182" s="14"/>
      <c r="K182" s="14"/>
      <c r="L182" s="14"/>
      <c r="M182" s="14"/>
      <c r="N182" s="14"/>
      <c r="O182" s="14">
        <v>27</v>
      </c>
      <c r="P182" s="14">
        <v>27</v>
      </c>
      <c r="Q182" s="14"/>
      <c r="R182" s="14"/>
      <c r="S182" s="14">
        <v>27</v>
      </c>
      <c r="T182" s="14"/>
      <c r="U182" s="14"/>
      <c r="V182" s="14">
        <v>27</v>
      </c>
      <c r="W182" s="14"/>
      <c r="X182" s="14"/>
      <c r="Y182" s="14"/>
      <c r="Z182" s="14">
        <v>27</v>
      </c>
      <c r="AA182" s="14"/>
      <c r="AB182" s="14">
        <v>27</v>
      </c>
      <c r="AC182" s="14"/>
      <c r="AD182" s="14"/>
      <c r="AE182" s="14"/>
      <c r="AF182" s="14"/>
      <c r="AG182" s="14">
        <v>27</v>
      </c>
      <c r="AH182" s="14">
        <v>27</v>
      </c>
      <c r="AI182" s="14">
        <v>27</v>
      </c>
      <c r="AJ182" s="14"/>
      <c r="AK182" s="14"/>
      <c r="AL182" s="14"/>
      <c r="AM182" s="14">
        <v>27</v>
      </c>
      <c r="AN182" s="14">
        <v>27</v>
      </c>
      <c r="AO182" s="14"/>
      <c r="AP182" s="14"/>
      <c r="AQ182" s="14"/>
      <c r="AR182" s="14"/>
      <c r="AS182" s="14"/>
      <c r="AT182" s="14"/>
      <c r="AU182" s="14"/>
      <c r="AV182" s="14"/>
      <c r="AW182" s="14"/>
      <c r="AX182" s="14"/>
      <c r="AY182" s="14"/>
      <c r="AZ182" s="14"/>
      <c r="BA182" s="14"/>
      <c r="BB182" s="14"/>
      <c r="BC182" s="14">
        <v>27</v>
      </c>
      <c r="BD182" s="14"/>
      <c r="BE182" s="14"/>
      <c r="BF182" s="14"/>
      <c r="BG182" s="14">
        <v>27</v>
      </c>
      <c r="BH182" s="14"/>
      <c r="BI182" s="14"/>
      <c r="BJ182" s="14"/>
      <c r="BK182" s="14"/>
      <c r="BL182" s="14">
        <v>27</v>
      </c>
    </row>
    <row r="183" spans="4:64" x14ac:dyDescent="0.25">
      <c r="D183" s="21" t="s">
        <v>2205</v>
      </c>
      <c r="E183" s="14"/>
      <c r="F183" s="14"/>
      <c r="G183" s="14"/>
      <c r="H183" s="14"/>
      <c r="I183" s="14"/>
      <c r="J183" s="14"/>
      <c r="K183" s="14"/>
      <c r="L183" s="14"/>
      <c r="M183" s="14"/>
      <c r="N183" s="14"/>
      <c r="O183" s="14"/>
      <c r="P183" s="14"/>
      <c r="Q183" s="14"/>
      <c r="R183" s="14"/>
      <c r="S183" s="14"/>
      <c r="T183" s="14"/>
      <c r="U183" s="14">
        <v>27</v>
      </c>
      <c r="V183" s="14"/>
      <c r="W183" s="14"/>
      <c r="X183" s="14"/>
      <c r="Y183" s="14"/>
      <c r="Z183" s="14"/>
      <c r="AA183" s="14"/>
      <c r="AB183" s="14">
        <v>27</v>
      </c>
      <c r="AC183" s="14">
        <v>27</v>
      </c>
      <c r="AD183" s="14"/>
      <c r="AE183" s="14"/>
      <c r="AF183" s="14"/>
      <c r="AG183" s="14"/>
      <c r="AH183" s="14"/>
      <c r="AI183" s="14"/>
      <c r="AJ183" s="14"/>
      <c r="AK183" s="14"/>
      <c r="AL183" s="14"/>
      <c r="AM183" s="14"/>
      <c r="AN183" s="14">
        <v>27</v>
      </c>
      <c r="AO183" s="14">
        <v>27</v>
      </c>
      <c r="AP183" s="14"/>
      <c r="AQ183" s="14"/>
      <c r="AR183" s="14">
        <v>27</v>
      </c>
      <c r="AS183" s="14"/>
      <c r="AT183" s="14"/>
      <c r="AU183" s="14">
        <v>27</v>
      </c>
      <c r="AV183" s="14"/>
      <c r="AW183" s="14">
        <v>27</v>
      </c>
      <c r="AX183" s="14"/>
      <c r="AY183" s="14"/>
      <c r="AZ183" s="14">
        <v>27</v>
      </c>
      <c r="BA183" s="14"/>
      <c r="BB183" s="14"/>
      <c r="BC183" s="14"/>
      <c r="BD183" s="14"/>
      <c r="BE183" s="14"/>
      <c r="BF183" s="14"/>
      <c r="BG183" s="14"/>
      <c r="BH183" s="14"/>
      <c r="BI183" s="14"/>
      <c r="BJ183" s="14"/>
      <c r="BK183" s="14">
        <v>27</v>
      </c>
      <c r="BL183" s="14">
        <v>27</v>
      </c>
    </row>
    <row r="184" spans="4:64" x14ac:dyDescent="0.25">
      <c r="D184" s="20" t="s">
        <v>2203</v>
      </c>
      <c r="E184" s="14">
        <v>27</v>
      </c>
      <c r="F184" s="14">
        <v>27</v>
      </c>
      <c r="G184" s="14"/>
      <c r="H184" s="14"/>
      <c r="I184" s="14"/>
      <c r="J184" s="14"/>
      <c r="K184" s="14"/>
      <c r="L184" s="14"/>
      <c r="M184" s="14">
        <v>27</v>
      </c>
      <c r="N184" s="14">
        <v>27</v>
      </c>
      <c r="O184" s="14">
        <v>27</v>
      </c>
      <c r="P184" s="14">
        <v>27</v>
      </c>
      <c r="Q184" s="14"/>
      <c r="R184" s="14">
        <v>27</v>
      </c>
      <c r="S184" s="14"/>
      <c r="T184" s="14"/>
      <c r="U184" s="14">
        <v>27</v>
      </c>
      <c r="V184" s="14">
        <v>27</v>
      </c>
      <c r="W184" s="14"/>
      <c r="X184" s="14">
        <v>27</v>
      </c>
      <c r="Y184" s="14"/>
      <c r="Z184" s="14"/>
      <c r="AA184" s="14">
        <v>27</v>
      </c>
      <c r="AB184" s="14">
        <v>27</v>
      </c>
      <c r="AC184" s="14"/>
      <c r="AD184" s="14"/>
      <c r="AE184" s="14">
        <v>27</v>
      </c>
      <c r="AF184" s="14"/>
      <c r="AG184" s="14"/>
      <c r="AH184" s="14">
        <v>27</v>
      </c>
      <c r="AI184" s="14"/>
      <c r="AJ184" s="14">
        <v>27</v>
      </c>
      <c r="AK184" s="14">
        <v>27</v>
      </c>
      <c r="AL184" s="14"/>
      <c r="AM184" s="14"/>
      <c r="AN184" s="14">
        <v>27</v>
      </c>
      <c r="AO184" s="14"/>
      <c r="AP184" s="14"/>
      <c r="AQ184" s="14"/>
      <c r="AR184" s="14">
        <v>27</v>
      </c>
      <c r="AS184" s="14"/>
      <c r="AT184" s="14"/>
      <c r="AU184" s="14">
        <v>27</v>
      </c>
      <c r="AV184" s="14">
        <v>27</v>
      </c>
      <c r="AW184" s="14"/>
      <c r="AX184" s="14"/>
      <c r="AY184" s="14">
        <v>27</v>
      </c>
      <c r="AZ184" s="14">
        <v>27</v>
      </c>
      <c r="BA184" s="14"/>
      <c r="BB184" s="14"/>
      <c r="BC184" s="14"/>
      <c r="BD184" s="14"/>
      <c r="BE184" s="14"/>
      <c r="BF184" s="14"/>
      <c r="BG184" s="14"/>
      <c r="BH184" s="14">
        <v>27</v>
      </c>
      <c r="BI184" s="14"/>
      <c r="BJ184" s="14">
        <v>66</v>
      </c>
      <c r="BK184" s="14"/>
      <c r="BL184" s="14">
        <v>27</v>
      </c>
    </row>
    <row r="185" spans="4:64" x14ac:dyDescent="0.25">
      <c r="D185" s="21" t="s">
        <v>2206</v>
      </c>
      <c r="E185" s="14"/>
      <c r="F185" s="14">
        <v>27</v>
      </c>
      <c r="G185" s="14"/>
      <c r="H185" s="14"/>
      <c r="I185" s="14"/>
      <c r="J185" s="14"/>
      <c r="K185" s="14"/>
      <c r="L185" s="14"/>
      <c r="M185" s="14"/>
      <c r="N185" s="14">
        <v>27</v>
      </c>
      <c r="O185" s="14">
        <v>27</v>
      </c>
      <c r="P185" s="14">
        <v>27</v>
      </c>
      <c r="Q185" s="14"/>
      <c r="R185" s="14"/>
      <c r="S185" s="14"/>
      <c r="T185" s="14"/>
      <c r="U185" s="14"/>
      <c r="V185" s="14">
        <v>27</v>
      </c>
      <c r="W185" s="14"/>
      <c r="X185" s="14"/>
      <c r="Y185" s="14"/>
      <c r="Z185" s="14"/>
      <c r="AA185" s="14"/>
      <c r="AB185" s="14">
        <v>27</v>
      </c>
      <c r="AC185" s="14"/>
      <c r="AD185" s="14"/>
      <c r="AE185" s="14">
        <v>27</v>
      </c>
      <c r="AF185" s="14"/>
      <c r="AG185" s="14"/>
      <c r="AH185" s="14"/>
      <c r="AI185" s="14"/>
      <c r="AJ185" s="14">
        <v>27</v>
      </c>
      <c r="AK185" s="14">
        <v>27</v>
      </c>
      <c r="AL185" s="14"/>
      <c r="AM185" s="14"/>
      <c r="AN185" s="14">
        <v>27</v>
      </c>
      <c r="AO185" s="14"/>
      <c r="AP185" s="14"/>
      <c r="AQ185" s="14"/>
      <c r="AR185" s="14"/>
      <c r="AS185" s="14"/>
      <c r="AT185" s="14"/>
      <c r="AU185" s="14">
        <v>27</v>
      </c>
      <c r="AV185" s="14"/>
      <c r="AW185" s="14"/>
      <c r="AX185" s="14"/>
      <c r="AY185" s="14">
        <v>27</v>
      </c>
      <c r="AZ185" s="14">
        <v>27</v>
      </c>
      <c r="BA185" s="14"/>
      <c r="BB185" s="14"/>
      <c r="BC185" s="14"/>
      <c r="BD185" s="14"/>
      <c r="BE185" s="14"/>
      <c r="BF185" s="14"/>
      <c r="BG185" s="14"/>
      <c r="BH185" s="14"/>
      <c r="BI185" s="14"/>
      <c r="BJ185" s="14"/>
      <c r="BK185" s="14"/>
      <c r="BL185" s="14"/>
    </row>
    <row r="186" spans="4:64" x14ac:dyDescent="0.25">
      <c r="D186" s="21" t="s">
        <v>2204</v>
      </c>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v>66</v>
      </c>
      <c r="BK186" s="14"/>
      <c r="BL186" s="14">
        <v>66</v>
      </c>
    </row>
    <row r="187" spans="4:64" x14ac:dyDescent="0.25">
      <c r="D187" s="21" t="s">
        <v>2207</v>
      </c>
      <c r="E187" s="14"/>
      <c r="F187" s="14"/>
      <c r="G187" s="14"/>
      <c r="H187" s="14"/>
      <c r="I187" s="14"/>
      <c r="J187" s="14"/>
      <c r="K187" s="14"/>
      <c r="L187" s="14"/>
      <c r="M187" s="14">
        <v>27</v>
      </c>
      <c r="N187" s="14"/>
      <c r="O187" s="14"/>
      <c r="P187" s="14">
        <v>27</v>
      </c>
      <c r="Q187" s="14"/>
      <c r="R187" s="14">
        <v>27</v>
      </c>
      <c r="S187" s="14"/>
      <c r="T187" s="14"/>
      <c r="U187" s="14">
        <v>27</v>
      </c>
      <c r="V187" s="14"/>
      <c r="W187" s="14"/>
      <c r="X187" s="14"/>
      <c r="Y187" s="14"/>
      <c r="Z187" s="14"/>
      <c r="AA187" s="14"/>
      <c r="AB187" s="14">
        <v>27</v>
      </c>
      <c r="AC187" s="14"/>
      <c r="AD187" s="14"/>
      <c r="AE187" s="14"/>
      <c r="AF187" s="14"/>
      <c r="AG187" s="14"/>
      <c r="AH187" s="14"/>
      <c r="AI187" s="14"/>
      <c r="AJ187" s="14">
        <v>27</v>
      </c>
      <c r="AK187" s="14"/>
      <c r="AL187" s="14"/>
      <c r="AM187" s="14"/>
      <c r="AN187" s="14">
        <v>27</v>
      </c>
      <c r="AO187" s="14"/>
      <c r="AP187" s="14"/>
      <c r="AQ187" s="14"/>
      <c r="AR187" s="14">
        <v>27</v>
      </c>
      <c r="AS187" s="14"/>
      <c r="AT187" s="14"/>
      <c r="AU187" s="14"/>
      <c r="AV187" s="14"/>
      <c r="AW187" s="14"/>
      <c r="AX187" s="14"/>
      <c r="AY187" s="14">
        <v>27</v>
      </c>
      <c r="AZ187" s="14">
        <v>27</v>
      </c>
      <c r="BA187" s="14"/>
      <c r="BB187" s="14"/>
      <c r="BC187" s="14"/>
      <c r="BD187" s="14"/>
      <c r="BE187" s="14"/>
      <c r="BF187" s="14"/>
      <c r="BG187" s="14"/>
      <c r="BH187" s="14"/>
      <c r="BI187" s="14"/>
      <c r="BJ187" s="14"/>
      <c r="BK187" s="14"/>
      <c r="BL187" s="14"/>
    </row>
    <row r="188" spans="4:64" x14ac:dyDescent="0.25">
      <c r="D188" s="21" t="s">
        <v>2205</v>
      </c>
      <c r="E188" s="14">
        <v>27</v>
      </c>
      <c r="F188" s="14"/>
      <c r="G188" s="14"/>
      <c r="H188" s="14"/>
      <c r="I188" s="14"/>
      <c r="J188" s="14"/>
      <c r="K188" s="14"/>
      <c r="L188" s="14"/>
      <c r="M188" s="14"/>
      <c r="N188" s="14">
        <v>27</v>
      </c>
      <c r="O188" s="14"/>
      <c r="P188" s="14">
        <v>27</v>
      </c>
      <c r="Q188" s="14"/>
      <c r="R188" s="14"/>
      <c r="S188" s="14"/>
      <c r="T188" s="14"/>
      <c r="U188" s="14"/>
      <c r="V188" s="14"/>
      <c r="W188" s="14"/>
      <c r="X188" s="14">
        <v>27</v>
      </c>
      <c r="Y188" s="14"/>
      <c r="Z188" s="14"/>
      <c r="AA188" s="14">
        <v>27</v>
      </c>
      <c r="AB188" s="14">
        <v>27</v>
      </c>
      <c r="AC188" s="14"/>
      <c r="AD188" s="14"/>
      <c r="AE188" s="14"/>
      <c r="AF188" s="14"/>
      <c r="AG188" s="14"/>
      <c r="AH188" s="14">
        <v>27</v>
      </c>
      <c r="AI188" s="14"/>
      <c r="AJ188" s="14"/>
      <c r="AK188" s="14"/>
      <c r="AL188" s="14"/>
      <c r="AM188" s="14"/>
      <c r="AN188" s="14">
        <v>27</v>
      </c>
      <c r="AO188" s="14"/>
      <c r="AP188" s="14"/>
      <c r="AQ188" s="14"/>
      <c r="AR188" s="14"/>
      <c r="AS188" s="14"/>
      <c r="AT188" s="14"/>
      <c r="AU188" s="14">
        <v>27</v>
      </c>
      <c r="AV188" s="14">
        <v>27</v>
      </c>
      <c r="AW188" s="14"/>
      <c r="AX188" s="14"/>
      <c r="AY188" s="14"/>
      <c r="AZ188" s="14">
        <v>27</v>
      </c>
      <c r="BA188" s="14"/>
      <c r="BB188" s="14"/>
      <c r="BC188" s="14"/>
      <c r="BD188" s="14"/>
      <c r="BE188" s="14"/>
      <c r="BF188" s="14"/>
      <c r="BG188" s="14"/>
      <c r="BH188" s="14">
        <v>27</v>
      </c>
      <c r="BI188" s="14"/>
      <c r="BJ188" s="14"/>
      <c r="BK188" s="14"/>
      <c r="BL188" s="14">
        <v>27</v>
      </c>
    </row>
    <row r="189" spans="4:64" x14ac:dyDescent="0.25">
      <c r="D189" s="20" t="s">
        <v>2202</v>
      </c>
      <c r="E189" s="14"/>
      <c r="F189" s="14"/>
      <c r="G189" s="14">
        <v>27</v>
      </c>
      <c r="H189" s="14"/>
      <c r="I189" s="14"/>
      <c r="J189" s="14">
        <v>27</v>
      </c>
      <c r="K189" s="14">
        <v>27</v>
      </c>
      <c r="L189" s="14">
        <v>361</v>
      </c>
      <c r="M189" s="14"/>
      <c r="N189" s="14">
        <v>27</v>
      </c>
      <c r="O189" s="14">
        <v>253</v>
      </c>
      <c r="P189" s="14">
        <v>27</v>
      </c>
      <c r="Q189" s="14"/>
      <c r="R189" s="14"/>
      <c r="S189" s="14"/>
      <c r="T189" s="14"/>
      <c r="U189" s="14"/>
      <c r="V189" s="14"/>
      <c r="W189" s="14">
        <v>27</v>
      </c>
      <c r="X189" s="14"/>
      <c r="Y189" s="14"/>
      <c r="Z189" s="14">
        <v>27</v>
      </c>
      <c r="AA189" s="14"/>
      <c r="AB189" s="14">
        <v>27</v>
      </c>
      <c r="AC189" s="14"/>
      <c r="AD189" s="14"/>
      <c r="AE189" s="14">
        <v>27</v>
      </c>
      <c r="AF189" s="14">
        <v>27</v>
      </c>
      <c r="AG189" s="14"/>
      <c r="AH189" s="14"/>
      <c r="AI189" s="14">
        <v>27</v>
      </c>
      <c r="AJ189" s="14"/>
      <c r="AK189" s="14">
        <v>27</v>
      </c>
      <c r="AL189" s="14"/>
      <c r="AM189" s="14"/>
      <c r="AN189" s="14">
        <v>27</v>
      </c>
      <c r="AO189" s="14"/>
      <c r="AP189" s="14">
        <v>27</v>
      </c>
      <c r="AQ189" s="14"/>
      <c r="AR189" s="14"/>
      <c r="AS189" s="14"/>
      <c r="AT189" s="14"/>
      <c r="AU189" s="14">
        <v>27</v>
      </c>
      <c r="AV189" s="14">
        <v>27</v>
      </c>
      <c r="AW189" s="14">
        <v>104</v>
      </c>
      <c r="AX189" s="14">
        <v>27</v>
      </c>
      <c r="AY189" s="14"/>
      <c r="AZ189" s="14">
        <v>27</v>
      </c>
      <c r="BA189" s="14"/>
      <c r="BB189" s="14">
        <v>27</v>
      </c>
      <c r="BC189" s="14">
        <v>27</v>
      </c>
      <c r="BD189" s="14">
        <v>27</v>
      </c>
      <c r="BE189" s="14"/>
      <c r="BF189" s="14"/>
      <c r="BG189" s="14">
        <v>27</v>
      </c>
      <c r="BH189" s="14">
        <v>27</v>
      </c>
      <c r="BI189" s="14">
        <v>27</v>
      </c>
      <c r="BJ189" s="14"/>
      <c r="BK189" s="14"/>
      <c r="BL189" s="14">
        <v>27</v>
      </c>
    </row>
    <row r="190" spans="4:64" x14ac:dyDescent="0.25">
      <c r="D190" s="21" t="s">
        <v>2206</v>
      </c>
      <c r="E190" s="14"/>
      <c r="F190" s="14"/>
      <c r="G190" s="14"/>
      <c r="H190" s="14"/>
      <c r="I190" s="14"/>
      <c r="J190" s="14"/>
      <c r="K190" s="14">
        <v>27</v>
      </c>
      <c r="L190" s="14"/>
      <c r="M190" s="14"/>
      <c r="N190" s="14"/>
      <c r="O190" s="14"/>
      <c r="P190" s="14">
        <v>27</v>
      </c>
      <c r="Q190" s="14"/>
      <c r="R190" s="14"/>
      <c r="S190" s="14"/>
      <c r="T190" s="14"/>
      <c r="U190" s="14"/>
      <c r="V190" s="14"/>
      <c r="W190" s="14">
        <v>27</v>
      </c>
      <c r="X190" s="14"/>
      <c r="Y190" s="14"/>
      <c r="Z190" s="14">
        <v>27</v>
      </c>
      <c r="AA190" s="14"/>
      <c r="AB190" s="14">
        <v>27</v>
      </c>
      <c r="AC190" s="14"/>
      <c r="AD190" s="14"/>
      <c r="AE190" s="14"/>
      <c r="AF190" s="14">
        <v>27</v>
      </c>
      <c r="AG190" s="14"/>
      <c r="AH190" s="14"/>
      <c r="AI190" s="14"/>
      <c r="AJ190" s="14"/>
      <c r="AK190" s="14">
        <v>27</v>
      </c>
      <c r="AL190" s="14"/>
      <c r="AM190" s="14"/>
      <c r="AN190" s="14">
        <v>27</v>
      </c>
      <c r="AO190" s="14"/>
      <c r="AP190" s="14"/>
      <c r="AQ190" s="14"/>
      <c r="AR190" s="14"/>
      <c r="AS190" s="14"/>
      <c r="AT190" s="14"/>
      <c r="AU190" s="14"/>
      <c r="AV190" s="14"/>
      <c r="AW190" s="14"/>
      <c r="AX190" s="14"/>
      <c r="AY190" s="14"/>
      <c r="AZ190" s="14"/>
      <c r="BA190" s="14"/>
      <c r="BB190" s="14">
        <v>27</v>
      </c>
      <c r="BC190" s="14">
        <v>27</v>
      </c>
      <c r="BD190" s="14">
        <v>27</v>
      </c>
      <c r="BE190" s="14"/>
      <c r="BF190" s="14"/>
      <c r="BG190" s="14">
        <v>27</v>
      </c>
      <c r="BH190" s="14">
        <v>27</v>
      </c>
      <c r="BI190" s="14"/>
      <c r="BJ190" s="14"/>
      <c r="BK190" s="14"/>
      <c r="BL190" s="14">
        <v>27</v>
      </c>
    </row>
    <row r="191" spans="4:64" x14ac:dyDescent="0.25">
      <c r="D191" s="21" t="s">
        <v>2204</v>
      </c>
      <c r="E191" s="14"/>
      <c r="F191" s="14"/>
      <c r="G191" s="14"/>
      <c r="H191" s="14"/>
      <c r="I191" s="14"/>
      <c r="J191" s="14"/>
      <c r="K191" s="14"/>
      <c r="L191" s="14">
        <v>361</v>
      </c>
      <c r="M191" s="14"/>
      <c r="N191" s="14"/>
      <c r="O191" s="14">
        <v>253</v>
      </c>
      <c r="P191" s="14">
        <v>253</v>
      </c>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v>104</v>
      </c>
      <c r="AX191" s="14"/>
      <c r="AY191" s="14"/>
      <c r="AZ191" s="14">
        <v>104</v>
      </c>
      <c r="BA191" s="14"/>
      <c r="BB191" s="14"/>
      <c r="BC191" s="14"/>
      <c r="BD191" s="14"/>
      <c r="BE191" s="14"/>
      <c r="BF191" s="14"/>
      <c r="BG191" s="14"/>
      <c r="BH191" s="14"/>
      <c r="BI191" s="14"/>
      <c r="BJ191" s="14"/>
      <c r="BK191" s="14"/>
      <c r="BL191" s="14"/>
    </row>
    <row r="192" spans="4:64" x14ac:dyDescent="0.25">
      <c r="D192" s="21" t="s">
        <v>2207</v>
      </c>
      <c r="E192" s="14"/>
      <c r="F192" s="14"/>
      <c r="G192" s="14">
        <v>27</v>
      </c>
      <c r="H192" s="14"/>
      <c r="I192" s="14"/>
      <c r="J192" s="14"/>
      <c r="K192" s="14"/>
      <c r="L192" s="14"/>
      <c r="M192" s="14"/>
      <c r="N192" s="14"/>
      <c r="O192" s="14"/>
      <c r="P192" s="14">
        <v>27</v>
      </c>
      <c r="Q192" s="14"/>
      <c r="R192" s="14"/>
      <c r="S192" s="14"/>
      <c r="T192" s="14"/>
      <c r="U192" s="14"/>
      <c r="V192" s="14"/>
      <c r="W192" s="14"/>
      <c r="X192" s="14"/>
      <c r="Y192" s="14"/>
      <c r="Z192" s="14"/>
      <c r="AA192" s="14"/>
      <c r="AB192" s="14"/>
      <c r="AC192" s="14"/>
      <c r="AD192" s="14"/>
      <c r="AE192" s="14">
        <v>27</v>
      </c>
      <c r="AF192" s="14"/>
      <c r="AG192" s="14"/>
      <c r="AH192" s="14"/>
      <c r="AI192" s="14"/>
      <c r="AJ192" s="14"/>
      <c r="AK192" s="14"/>
      <c r="AL192" s="14"/>
      <c r="AM192" s="14"/>
      <c r="AN192" s="14">
        <v>27</v>
      </c>
      <c r="AO192" s="14"/>
      <c r="AP192" s="14">
        <v>27</v>
      </c>
      <c r="AQ192" s="14"/>
      <c r="AR192" s="14"/>
      <c r="AS192" s="14"/>
      <c r="AT192" s="14"/>
      <c r="AU192" s="14">
        <v>27</v>
      </c>
      <c r="AV192" s="14"/>
      <c r="AW192" s="14"/>
      <c r="AX192" s="14"/>
      <c r="AY192" s="14"/>
      <c r="AZ192" s="14">
        <v>27</v>
      </c>
      <c r="BA192" s="14"/>
      <c r="BB192" s="14"/>
      <c r="BC192" s="14"/>
      <c r="BD192" s="14"/>
      <c r="BE192" s="14"/>
      <c r="BF192" s="14"/>
      <c r="BG192" s="14"/>
      <c r="BH192" s="14"/>
      <c r="BI192" s="14">
        <v>27</v>
      </c>
      <c r="BJ192" s="14"/>
      <c r="BK192" s="14"/>
      <c r="BL192" s="14">
        <v>27</v>
      </c>
    </row>
    <row r="193" spans="4:64" x14ac:dyDescent="0.25">
      <c r="D193" s="21" t="s">
        <v>2205</v>
      </c>
      <c r="E193" s="14"/>
      <c r="F193" s="14"/>
      <c r="G193" s="14"/>
      <c r="H193" s="14"/>
      <c r="I193" s="14"/>
      <c r="J193" s="14">
        <v>27</v>
      </c>
      <c r="K193" s="14"/>
      <c r="L193" s="14"/>
      <c r="M193" s="14"/>
      <c r="N193" s="14">
        <v>27</v>
      </c>
      <c r="O193" s="14"/>
      <c r="P193" s="14">
        <v>27</v>
      </c>
      <c r="Q193" s="14"/>
      <c r="R193" s="14"/>
      <c r="S193" s="14"/>
      <c r="T193" s="14"/>
      <c r="U193" s="14"/>
      <c r="V193" s="14"/>
      <c r="W193" s="14"/>
      <c r="X193" s="14"/>
      <c r="Y193" s="14"/>
      <c r="Z193" s="14"/>
      <c r="AA193" s="14"/>
      <c r="AB193" s="14"/>
      <c r="AC193" s="14"/>
      <c r="AD193" s="14"/>
      <c r="AE193" s="14"/>
      <c r="AF193" s="14">
        <v>27</v>
      </c>
      <c r="AG193" s="14"/>
      <c r="AH193" s="14"/>
      <c r="AI193" s="14">
        <v>27</v>
      </c>
      <c r="AJ193" s="14"/>
      <c r="AK193" s="14"/>
      <c r="AL193" s="14"/>
      <c r="AM193" s="14"/>
      <c r="AN193" s="14">
        <v>27</v>
      </c>
      <c r="AO193" s="14"/>
      <c r="AP193" s="14"/>
      <c r="AQ193" s="14"/>
      <c r="AR193" s="14"/>
      <c r="AS193" s="14"/>
      <c r="AT193" s="14"/>
      <c r="AU193" s="14"/>
      <c r="AV193" s="14">
        <v>27</v>
      </c>
      <c r="AW193" s="14"/>
      <c r="AX193" s="14">
        <v>27</v>
      </c>
      <c r="AY193" s="14"/>
      <c r="AZ193" s="14">
        <v>27</v>
      </c>
      <c r="BA193" s="14"/>
      <c r="BB193" s="14">
        <v>27</v>
      </c>
      <c r="BC193" s="14"/>
      <c r="BD193" s="14">
        <v>27</v>
      </c>
      <c r="BE193" s="14"/>
      <c r="BF193" s="14"/>
      <c r="BG193" s="14"/>
      <c r="BH193" s="14"/>
      <c r="BI193" s="14"/>
      <c r="BJ193" s="14"/>
      <c r="BK193" s="14"/>
      <c r="BL193" s="14">
        <v>27</v>
      </c>
    </row>
    <row r="194" spans="4:64" x14ac:dyDescent="0.25">
      <c r="D194" s="20" t="s">
        <v>2200</v>
      </c>
      <c r="E194" s="14">
        <v>27</v>
      </c>
      <c r="F194" s="14"/>
      <c r="G194" s="14">
        <v>27</v>
      </c>
      <c r="H194" s="14"/>
      <c r="I194" s="14"/>
      <c r="J194" s="14">
        <v>27</v>
      </c>
      <c r="K194" s="14">
        <v>27</v>
      </c>
      <c r="L194" s="14">
        <v>27</v>
      </c>
      <c r="M194" s="14">
        <v>249</v>
      </c>
      <c r="N194" s="14">
        <v>27</v>
      </c>
      <c r="O194" s="14">
        <v>27</v>
      </c>
      <c r="P194" s="14">
        <v>27</v>
      </c>
      <c r="Q194" s="14"/>
      <c r="R194" s="14">
        <v>27</v>
      </c>
      <c r="S194" s="14">
        <v>27</v>
      </c>
      <c r="T194" s="14"/>
      <c r="U194" s="14">
        <v>27</v>
      </c>
      <c r="V194" s="14">
        <v>67</v>
      </c>
      <c r="W194" s="14">
        <v>27</v>
      </c>
      <c r="X194" s="14">
        <v>27</v>
      </c>
      <c r="Y194" s="14">
        <v>122</v>
      </c>
      <c r="Z194" s="14">
        <v>27</v>
      </c>
      <c r="AA194" s="14"/>
      <c r="AB194" s="14">
        <v>27</v>
      </c>
      <c r="AC194" s="14">
        <v>27</v>
      </c>
      <c r="AD194" s="14">
        <v>27</v>
      </c>
      <c r="AE194" s="14"/>
      <c r="AF194" s="14"/>
      <c r="AG194" s="14"/>
      <c r="AH194" s="14"/>
      <c r="AI194" s="14">
        <v>27</v>
      </c>
      <c r="AJ194" s="14">
        <v>27</v>
      </c>
      <c r="AK194" s="14">
        <v>365</v>
      </c>
      <c r="AL194" s="14">
        <v>335</v>
      </c>
      <c r="AM194" s="14"/>
      <c r="AN194" s="14">
        <v>27</v>
      </c>
      <c r="AO194" s="14"/>
      <c r="AP194" s="14"/>
      <c r="AQ194" s="14">
        <v>27</v>
      </c>
      <c r="AR194" s="14"/>
      <c r="AS194" s="14"/>
      <c r="AT194" s="14">
        <v>27</v>
      </c>
      <c r="AU194" s="14">
        <v>27</v>
      </c>
      <c r="AV194" s="14">
        <v>27</v>
      </c>
      <c r="AW194" s="14">
        <v>27</v>
      </c>
      <c r="AX194" s="14"/>
      <c r="AY194" s="14"/>
      <c r="AZ194" s="14">
        <v>27</v>
      </c>
      <c r="BA194" s="14">
        <v>157</v>
      </c>
      <c r="BB194" s="14">
        <v>27</v>
      </c>
      <c r="BC194" s="14"/>
      <c r="BD194" s="14">
        <v>27</v>
      </c>
      <c r="BE194" s="14">
        <v>27</v>
      </c>
      <c r="BF194" s="14">
        <v>27</v>
      </c>
      <c r="BG194" s="14"/>
      <c r="BH194" s="14"/>
      <c r="BI194" s="14"/>
      <c r="BJ194" s="14">
        <v>27</v>
      </c>
      <c r="BK194" s="14"/>
      <c r="BL194" s="14">
        <v>27</v>
      </c>
    </row>
    <row r="195" spans="4:64" x14ac:dyDescent="0.25">
      <c r="D195" s="21" t="s">
        <v>2206</v>
      </c>
      <c r="E195" s="14">
        <v>27</v>
      </c>
      <c r="F195" s="14"/>
      <c r="G195" s="14"/>
      <c r="H195" s="14"/>
      <c r="I195" s="14"/>
      <c r="J195" s="14"/>
      <c r="K195" s="14"/>
      <c r="L195" s="14"/>
      <c r="M195" s="14"/>
      <c r="N195" s="14"/>
      <c r="O195" s="14"/>
      <c r="P195" s="14">
        <v>27</v>
      </c>
      <c r="Q195" s="14"/>
      <c r="R195" s="14"/>
      <c r="S195" s="14"/>
      <c r="T195" s="14"/>
      <c r="U195" s="14"/>
      <c r="V195" s="14"/>
      <c r="W195" s="14"/>
      <c r="X195" s="14">
        <v>27</v>
      </c>
      <c r="Y195" s="14"/>
      <c r="Z195" s="14"/>
      <c r="AA195" s="14"/>
      <c r="AB195" s="14">
        <v>27</v>
      </c>
      <c r="AC195" s="14">
        <v>27</v>
      </c>
      <c r="AD195" s="14"/>
      <c r="AE195" s="14"/>
      <c r="AF195" s="14"/>
      <c r="AG195" s="14"/>
      <c r="AH195" s="14"/>
      <c r="AI195" s="14">
        <v>27</v>
      </c>
      <c r="AJ195" s="14"/>
      <c r="AK195" s="14"/>
      <c r="AL195" s="14"/>
      <c r="AM195" s="14"/>
      <c r="AN195" s="14">
        <v>27</v>
      </c>
      <c r="AO195" s="14"/>
      <c r="AP195" s="14"/>
      <c r="AQ195" s="14"/>
      <c r="AR195" s="14"/>
      <c r="AS195" s="14"/>
      <c r="AT195" s="14">
        <v>27</v>
      </c>
      <c r="AU195" s="14"/>
      <c r="AV195" s="14">
        <v>27</v>
      </c>
      <c r="AW195" s="14"/>
      <c r="AX195" s="14"/>
      <c r="AY195" s="14"/>
      <c r="AZ195" s="14">
        <v>27</v>
      </c>
      <c r="BA195" s="14"/>
      <c r="BB195" s="14"/>
      <c r="BC195" s="14"/>
      <c r="BD195" s="14"/>
      <c r="BE195" s="14">
        <v>27</v>
      </c>
      <c r="BF195" s="14">
        <v>27</v>
      </c>
      <c r="BG195" s="14"/>
      <c r="BH195" s="14"/>
      <c r="BI195" s="14"/>
      <c r="BJ195" s="14">
        <v>27</v>
      </c>
      <c r="BK195" s="14"/>
      <c r="BL195" s="14">
        <v>27</v>
      </c>
    </row>
    <row r="196" spans="4:64" x14ac:dyDescent="0.25">
      <c r="D196" s="21" t="s">
        <v>2204</v>
      </c>
      <c r="E196" s="14"/>
      <c r="F196" s="14"/>
      <c r="G196" s="14"/>
      <c r="H196" s="14"/>
      <c r="I196" s="14"/>
      <c r="J196" s="14"/>
      <c r="K196" s="14"/>
      <c r="L196" s="14"/>
      <c r="M196" s="14">
        <v>249</v>
      </c>
      <c r="N196" s="14"/>
      <c r="O196" s="14"/>
      <c r="P196" s="14">
        <v>249</v>
      </c>
      <c r="Q196" s="14"/>
      <c r="R196" s="14"/>
      <c r="S196" s="14"/>
      <c r="T196" s="14"/>
      <c r="U196" s="14"/>
      <c r="V196" s="14">
        <v>67</v>
      </c>
      <c r="W196" s="14"/>
      <c r="X196" s="14"/>
      <c r="Y196" s="14">
        <v>122</v>
      </c>
      <c r="Z196" s="14">
        <v>116</v>
      </c>
      <c r="AA196" s="14"/>
      <c r="AB196" s="14">
        <v>67</v>
      </c>
      <c r="AC196" s="14"/>
      <c r="AD196" s="14"/>
      <c r="AE196" s="14"/>
      <c r="AF196" s="14"/>
      <c r="AG196" s="14"/>
      <c r="AH196" s="14"/>
      <c r="AI196" s="14"/>
      <c r="AJ196" s="14"/>
      <c r="AK196" s="14">
        <v>365</v>
      </c>
      <c r="AL196" s="14">
        <v>335</v>
      </c>
      <c r="AM196" s="14"/>
      <c r="AN196" s="14">
        <v>335</v>
      </c>
      <c r="AO196" s="14"/>
      <c r="AP196" s="14"/>
      <c r="AQ196" s="14">
        <v>247</v>
      </c>
      <c r="AR196" s="14"/>
      <c r="AS196" s="14"/>
      <c r="AT196" s="14">
        <v>237</v>
      </c>
      <c r="AU196" s="14"/>
      <c r="AV196" s="14"/>
      <c r="AW196" s="14"/>
      <c r="AX196" s="14"/>
      <c r="AY196" s="14"/>
      <c r="AZ196" s="14">
        <v>237</v>
      </c>
      <c r="BA196" s="14">
        <v>157</v>
      </c>
      <c r="BB196" s="14"/>
      <c r="BC196" s="14"/>
      <c r="BD196" s="14"/>
      <c r="BE196" s="14"/>
      <c r="BF196" s="14"/>
      <c r="BG196" s="14"/>
      <c r="BH196" s="14"/>
      <c r="BI196" s="14"/>
      <c r="BJ196" s="14"/>
      <c r="BK196" s="14"/>
      <c r="BL196" s="14">
        <v>157</v>
      </c>
    </row>
    <row r="197" spans="4:64" x14ac:dyDescent="0.25">
      <c r="D197" s="21" t="s">
        <v>2207</v>
      </c>
      <c r="E197" s="14"/>
      <c r="F197" s="14"/>
      <c r="G197" s="14"/>
      <c r="H197" s="14"/>
      <c r="I197" s="14"/>
      <c r="J197" s="14">
        <v>27</v>
      </c>
      <c r="K197" s="14">
        <v>27</v>
      </c>
      <c r="L197" s="14">
        <v>27</v>
      </c>
      <c r="M197" s="14"/>
      <c r="N197" s="14"/>
      <c r="O197" s="14">
        <v>27</v>
      </c>
      <c r="P197" s="14">
        <v>27</v>
      </c>
      <c r="Q197" s="14"/>
      <c r="R197" s="14"/>
      <c r="S197" s="14">
        <v>27</v>
      </c>
      <c r="T197" s="14"/>
      <c r="U197" s="14">
        <v>27</v>
      </c>
      <c r="V197" s="14"/>
      <c r="W197" s="14">
        <v>27</v>
      </c>
      <c r="X197" s="14"/>
      <c r="Y197" s="14"/>
      <c r="Z197" s="14"/>
      <c r="AA197" s="14"/>
      <c r="AB197" s="14">
        <v>27</v>
      </c>
      <c r="AC197" s="14"/>
      <c r="AD197" s="14">
        <v>27</v>
      </c>
      <c r="AE197" s="14"/>
      <c r="AF197" s="14"/>
      <c r="AG197" s="14"/>
      <c r="AH197" s="14"/>
      <c r="AI197" s="14"/>
      <c r="AJ197" s="14">
        <v>27</v>
      </c>
      <c r="AK197" s="14"/>
      <c r="AL197" s="14"/>
      <c r="AM197" s="14"/>
      <c r="AN197" s="14">
        <v>27</v>
      </c>
      <c r="AO197" s="14"/>
      <c r="AP197" s="14"/>
      <c r="AQ197" s="14">
        <v>27</v>
      </c>
      <c r="AR197" s="14"/>
      <c r="AS197" s="14"/>
      <c r="AT197" s="14">
        <v>27</v>
      </c>
      <c r="AU197" s="14">
        <v>27</v>
      </c>
      <c r="AV197" s="14">
        <v>27</v>
      </c>
      <c r="AW197" s="14"/>
      <c r="AX197" s="14"/>
      <c r="AY197" s="14"/>
      <c r="AZ197" s="14">
        <v>27</v>
      </c>
      <c r="BA197" s="14"/>
      <c r="BB197" s="14">
        <v>27</v>
      </c>
      <c r="BC197" s="14"/>
      <c r="BD197" s="14">
        <v>27</v>
      </c>
      <c r="BE197" s="14"/>
      <c r="BF197" s="14"/>
      <c r="BG197" s="14"/>
      <c r="BH197" s="14"/>
      <c r="BI197" s="14"/>
      <c r="BJ197" s="14"/>
      <c r="BK197" s="14"/>
      <c r="BL197" s="14">
        <v>27</v>
      </c>
    </row>
    <row r="198" spans="4:64" x14ac:dyDescent="0.25">
      <c r="D198" s="21" t="s">
        <v>2205</v>
      </c>
      <c r="E198" s="14">
        <v>27</v>
      </c>
      <c r="F198" s="14"/>
      <c r="G198" s="14">
        <v>27</v>
      </c>
      <c r="H198" s="14"/>
      <c r="I198" s="14"/>
      <c r="J198" s="14"/>
      <c r="K198" s="14"/>
      <c r="L198" s="14">
        <v>27</v>
      </c>
      <c r="M198" s="14"/>
      <c r="N198" s="14">
        <v>27</v>
      </c>
      <c r="O198" s="14"/>
      <c r="P198" s="14">
        <v>27</v>
      </c>
      <c r="Q198" s="14"/>
      <c r="R198" s="14">
        <v>27</v>
      </c>
      <c r="S198" s="14"/>
      <c r="T198" s="14"/>
      <c r="U198" s="14"/>
      <c r="V198" s="14"/>
      <c r="W198" s="14"/>
      <c r="X198" s="14"/>
      <c r="Y198" s="14"/>
      <c r="Z198" s="14">
        <v>27</v>
      </c>
      <c r="AA198" s="14"/>
      <c r="AB198" s="14">
        <v>27</v>
      </c>
      <c r="AC198" s="14"/>
      <c r="AD198" s="14"/>
      <c r="AE198" s="14"/>
      <c r="AF198" s="14"/>
      <c r="AG198" s="14"/>
      <c r="AH198" s="14"/>
      <c r="AI198" s="14"/>
      <c r="AJ198" s="14"/>
      <c r="AK198" s="14"/>
      <c r="AL198" s="14"/>
      <c r="AM198" s="14"/>
      <c r="AN198" s="14"/>
      <c r="AO198" s="14"/>
      <c r="AP198" s="14"/>
      <c r="AQ198" s="14">
        <v>27</v>
      </c>
      <c r="AR198" s="14"/>
      <c r="AS198" s="14"/>
      <c r="AT198" s="14"/>
      <c r="AU198" s="14"/>
      <c r="AV198" s="14"/>
      <c r="AW198" s="14">
        <v>27</v>
      </c>
      <c r="AX198" s="14"/>
      <c r="AY198" s="14"/>
      <c r="AZ198" s="14">
        <v>27</v>
      </c>
      <c r="BA198" s="14"/>
      <c r="BB198" s="14"/>
      <c r="BC198" s="14"/>
      <c r="BD198" s="14"/>
      <c r="BE198" s="14"/>
      <c r="BF198" s="14"/>
      <c r="BG198" s="14"/>
      <c r="BH198" s="14"/>
      <c r="BI198" s="14"/>
      <c r="BJ198" s="14"/>
      <c r="BK198" s="14"/>
      <c r="BL198" s="14"/>
    </row>
    <row r="199" spans="4:64" x14ac:dyDescent="0.25">
      <c r="D199" s="20" t="s">
        <v>2199</v>
      </c>
      <c r="E199" s="14">
        <v>27</v>
      </c>
      <c r="F199" s="14"/>
      <c r="G199" s="14">
        <v>27</v>
      </c>
      <c r="H199" s="14">
        <v>27</v>
      </c>
      <c r="I199" s="14"/>
      <c r="J199" s="14"/>
      <c r="K199" s="14"/>
      <c r="L199" s="14"/>
      <c r="M199" s="14"/>
      <c r="N199" s="14">
        <v>27</v>
      </c>
      <c r="O199" s="14">
        <v>27</v>
      </c>
      <c r="P199" s="14">
        <v>27</v>
      </c>
      <c r="Q199" s="14">
        <v>27</v>
      </c>
      <c r="R199" s="14">
        <v>27</v>
      </c>
      <c r="S199" s="14"/>
      <c r="T199" s="14"/>
      <c r="U199" s="14"/>
      <c r="V199" s="14"/>
      <c r="W199" s="14">
        <v>27</v>
      </c>
      <c r="X199" s="14"/>
      <c r="Y199" s="14"/>
      <c r="Z199" s="14">
        <v>27</v>
      </c>
      <c r="AA199" s="14"/>
      <c r="AB199" s="14">
        <v>27</v>
      </c>
      <c r="AC199" s="14"/>
      <c r="AD199" s="14"/>
      <c r="AE199" s="14"/>
      <c r="AF199" s="14"/>
      <c r="AG199" s="14">
        <v>27</v>
      </c>
      <c r="AH199" s="14">
        <v>27</v>
      </c>
      <c r="AI199" s="14">
        <v>130</v>
      </c>
      <c r="AJ199" s="14"/>
      <c r="AK199" s="14">
        <v>27</v>
      </c>
      <c r="AL199" s="14"/>
      <c r="AM199" s="14"/>
      <c r="AN199" s="14">
        <v>27</v>
      </c>
      <c r="AO199" s="14">
        <v>27</v>
      </c>
      <c r="AP199" s="14">
        <v>27</v>
      </c>
      <c r="AQ199" s="14"/>
      <c r="AR199" s="14">
        <v>27</v>
      </c>
      <c r="AS199" s="14">
        <v>27</v>
      </c>
      <c r="AT199" s="14"/>
      <c r="AU199" s="14">
        <v>27</v>
      </c>
      <c r="AV199" s="14"/>
      <c r="AW199" s="14">
        <v>274</v>
      </c>
      <c r="AX199" s="14">
        <v>27</v>
      </c>
      <c r="AY199" s="14">
        <v>27</v>
      </c>
      <c r="AZ199" s="14">
        <v>27</v>
      </c>
      <c r="BA199" s="14">
        <v>27</v>
      </c>
      <c r="BB199" s="14">
        <v>27</v>
      </c>
      <c r="BC199" s="14"/>
      <c r="BD199" s="14"/>
      <c r="BE199" s="14"/>
      <c r="BF199" s="14">
        <v>339</v>
      </c>
      <c r="BG199" s="14">
        <v>255</v>
      </c>
      <c r="BH199" s="14"/>
      <c r="BI199" s="14"/>
      <c r="BJ199" s="14"/>
      <c r="BK199" s="14"/>
      <c r="BL199" s="14">
        <v>27</v>
      </c>
    </row>
    <row r="200" spans="4:64" x14ac:dyDescent="0.25">
      <c r="D200" s="21" t="s">
        <v>2206</v>
      </c>
      <c r="E200" s="14">
        <v>27</v>
      </c>
      <c r="F200" s="14"/>
      <c r="G200" s="14">
        <v>27</v>
      </c>
      <c r="H200" s="14">
        <v>27</v>
      </c>
      <c r="I200" s="14"/>
      <c r="J200" s="14"/>
      <c r="K200" s="14"/>
      <c r="L200" s="14"/>
      <c r="M200" s="14"/>
      <c r="N200" s="14">
        <v>27</v>
      </c>
      <c r="O200" s="14"/>
      <c r="P200" s="14">
        <v>27</v>
      </c>
      <c r="Q200" s="14"/>
      <c r="R200" s="14"/>
      <c r="S200" s="14"/>
      <c r="T200" s="14"/>
      <c r="U200" s="14"/>
      <c r="V200" s="14"/>
      <c r="W200" s="14"/>
      <c r="X200" s="14"/>
      <c r="Y200" s="14"/>
      <c r="Z200" s="14">
        <v>27</v>
      </c>
      <c r="AA200" s="14"/>
      <c r="AB200" s="14">
        <v>27</v>
      </c>
      <c r="AC200" s="14"/>
      <c r="AD200" s="14"/>
      <c r="AE200" s="14"/>
      <c r="AF200" s="14"/>
      <c r="AG200" s="14"/>
      <c r="AH200" s="14">
        <v>27</v>
      </c>
      <c r="AI200" s="14"/>
      <c r="AJ200" s="14"/>
      <c r="AK200" s="14">
        <v>27</v>
      </c>
      <c r="AL200" s="14"/>
      <c r="AM200" s="14"/>
      <c r="AN200" s="14">
        <v>27</v>
      </c>
      <c r="AO200" s="14">
        <v>27</v>
      </c>
      <c r="AP200" s="14">
        <v>27</v>
      </c>
      <c r="AQ200" s="14"/>
      <c r="AR200" s="14">
        <v>27</v>
      </c>
      <c r="AS200" s="14"/>
      <c r="AT200" s="14"/>
      <c r="AU200" s="14"/>
      <c r="AV200" s="14"/>
      <c r="AW200" s="14"/>
      <c r="AX200" s="14"/>
      <c r="AY200" s="14">
        <v>27</v>
      </c>
      <c r="AZ200" s="14">
        <v>27</v>
      </c>
      <c r="BA200" s="14">
        <v>27</v>
      </c>
      <c r="BB200" s="14">
        <v>27</v>
      </c>
      <c r="BC200" s="14"/>
      <c r="BD200" s="14"/>
      <c r="BE200" s="14"/>
      <c r="BF200" s="14"/>
      <c r="BG200" s="14"/>
      <c r="BH200" s="14"/>
      <c r="BI200" s="14"/>
      <c r="BJ200" s="14"/>
      <c r="BK200" s="14"/>
      <c r="BL200" s="14">
        <v>27</v>
      </c>
    </row>
    <row r="201" spans="4:64" x14ac:dyDescent="0.25">
      <c r="D201" s="21" t="s">
        <v>2204</v>
      </c>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v>130</v>
      </c>
      <c r="AJ201" s="14"/>
      <c r="AK201" s="14"/>
      <c r="AL201" s="14"/>
      <c r="AM201" s="14"/>
      <c r="AN201" s="14">
        <v>130</v>
      </c>
      <c r="AO201" s="14"/>
      <c r="AP201" s="14"/>
      <c r="AQ201" s="14"/>
      <c r="AR201" s="14">
        <v>204</v>
      </c>
      <c r="AS201" s="14"/>
      <c r="AT201" s="14"/>
      <c r="AU201" s="14"/>
      <c r="AV201" s="14"/>
      <c r="AW201" s="14">
        <v>274</v>
      </c>
      <c r="AX201" s="14"/>
      <c r="AY201" s="14"/>
      <c r="AZ201" s="14">
        <v>204</v>
      </c>
      <c r="BA201" s="14"/>
      <c r="BB201" s="14"/>
      <c r="BC201" s="14"/>
      <c r="BD201" s="14"/>
      <c r="BE201" s="14"/>
      <c r="BF201" s="14">
        <v>339</v>
      </c>
      <c r="BG201" s="14">
        <v>255</v>
      </c>
      <c r="BH201" s="14"/>
      <c r="BI201" s="14"/>
      <c r="BJ201" s="14"/>
      <c r="BK201" s="14"/>
      <c r="BL201" s="14">
        <v>255</v>
      </c>
    </row>
    <row r="202" spans="4:64" x14ac:dyDescent="0.25">
      <c r="D202" s="21" t="s">
        <v>2207</v>
      </c>
      <c r="E202" s="14"/>
      <c r="F202" s="14"/>
      <c r="G202" s="14"/>
      <c r="H202" s="14"/>
      <c r="I202" s="14"/>
      <c r="J202" s="14"/>
      <c r="K202" s="14"/>
      <c r="L202" s="14"/>
      <c r="M202" s="14"/>
      <c r="N202" s="14"/>
      <c r="O202" s="14">
        <v>27</v>
      </c>
      <c r="P202" s="14">
        <v>27</v>
      </c>
      <c r="Q202" s="14"/>
      <c r="R202" s="14">
        <v>27</v>
      </c>
      <c r="S202" s="14"/>
      <c r="T202" s="14"/>
      <c r="U202" s="14"/>
      <c r="V202" s="14"/>
      <c r="W202" s="14"/>
      <c r="X202" s="14"/>
      <c r="Y202" s="14"/>
      <c r="Z202" s="14"/>
      <c r="AA202" s="14"/>
      <c r="AB202" s="14">
        <v>27</v>
      </c>
      <c r="AC202" s="14"/>
      <c r="AD202" s="14"/>
      <c r="AE202" s="14"/>
      <c r="AF202" s="14"/>
      <c r="AG202" s="14"/>
      <c r="AH202" s="14"/>
      <c r="AI202" s="14"/>
      <c r="AJ202" s="14"/>
      <c r="AK202" s="14">
        <v>27</v>
      </c>
      <c r="AL202" s="14"/>
      <c r="AM202" s="14"/>
      <c r="AN202" s="14">
        <v>27</v>
      </c>
      <c r="AO202" s="14"/>
      <c r="AP202" s="14">
        <v>27</v>
      </c>
      <c r="AQ202" s="14"/>
      <c r="AR202" s="14">
        <v>27</v>
      </c>
      <c r="AS202" s="14"/>
      <c r="AT202" s="14"/>
      <c r="AU202" s="14">
        <v>27</v>
      </c>
      <c r="AV202" s="14"/>
      <c r="AW202" s="14"/>
      <c r="AX202" s="14">
        <v>27</v>
      </c>
      <c r="AY202" s="14">
        <v>27</v>
      </c>
      <c r="AZ202" s="14">
        <v>27</v>
      </c>
      <c r="BA202" s="14"/>
      <c r="BB202" s="14"/>
      <c r="BC202" s="14"/>
      <c r="BD202" s="14"/>
      <c r="BE202" s="14"/>
      <c r="BF202" s="14"/>
      <c r="BG202" s="14"/>
      <c r="BH202" s="14"/>
      <c r="BI202" s="14"/>
      <c r="BJ202" s="14"/>
      <c r="BK202" s="14"/>
      <c r="BL202" s="14"/>
    </row>
    <row r="203" spans="4:64" x14ac:dyDescent="0.25">
      <c r="D203" s="21" t="s">
        <v>2205</v>
      </c>
      <c r="E203" s="14"/>
      <c r="F203" s="14"/>
      <c r="G203" s="14"/>
      <c r="H203" s="14"/>
      <c r="I203" s="14"/>
      <c r="J203" s="14"/>
      <c r="K203" s="14"/>
      <c r="L203" s="14"/>
      <c r="M203" s="14"/>
      <c r="N203" s="14"/>
      <c r="O203" s="14">
        <v>27</v>
      </c>
      <c r="P203" s="14">
        <v>27</v>
      </c>
      <c r="Q203" s="14">
        <v>27</v>
      </c>
      <c r="R203" s="14"/>
      <c r="S203" s="14"/>
      <c r="T203" s="14"/>
      <c r="U203" s="14"/>
      <c r="V203" s="14"/>
      <c r="W203" s="14">
        <v>27</v>
      </c>
      <c r="X203" s="14"/>
      <c r="Y203" s="14"/>
      <c r="Z203" s="14"/>
      <c r="AA203" s="14"/>
      <c r="AB203" s="14">
        <v>27</v>
      </c>
      <c r="AC203" s="14"/>
      <c r="AD203" s="14"/>
      <c r="AE203" s="14"/>
      <c r="AF203" s="14"/>
      <c r="AG203" s="14">
        <v>27</v>
      </c>
      <c r="AH203" s="14"/>
      <c r="AI203" s="14"/>
      <c r="AJ203" s="14"/>
      <c r="AK203" s="14"/>
      <c r="AL203" s="14"/>
      <c r="AM203" s="14"/>
      <c r="AN203" s="14">
        <v>27</v>
      </c>
      <c r="AO203" s="14"/>
      <c r="AP203" s="14">
        <v>27</v>
      </c>
      <c r="AQ203" s="14"/>
      <c r="AR203" s="14"/>
      <c r="AS203" s="14">
        <v>27</v>
      </c>
      <c r="AT203" s="14"/>
      <c r="AU203" s="14"/>
      <c r="AV203" s="14"/>
      <c r="AW203" s="14"/>
      <c r="AX203" s="14"/>
      <c r="AY203" s="14"/>
      <c r="AZ203" s="14">
        <v>27</v>
      </c>
      <c r="BA203" s="14">
        <v>27</v>
      </c>
      <c r="BB203" s="14"/>
      <c r="BC203" s="14"/>
      <c r="BD203" s="14"/>
      <c r="BE203" s="14"/>
      <c r="BF203" s="14"/>
      <c r="BG203" s="14"/>
      <c r="BH203" s="14"/>
      <c r="BI203" s="14"/>
      <c r="BJ203" s="14"/>
      <c r="BK203" s="14"/>
      <c r="BL203" s="14">
        <v>27</v>
      </c>
    </row>
    <row r="204" spans="4:64" x14ac:dyDescent="0.25">
      <c r="D204" s="20" t="s">
        <v>2197</v>
      </c>
      <c r="E204" s="14"/>
      <c r="F204" s="14">
        <v>27</v>
      </c>
      <c r="G204" s="14"/>
      <c r="H204" s="14"/>
      <c r="I204" s="14">
        <v>27</v>
      </c>
      <c r="J204" s="14"/>
      <c r="K204" s="14">
        <v>321</v>
      </c>
      <c r="L204" s="14">
        <v>34</v>
      </c>
      <c r="M204" s="14"/>
      <c r="N204" s="14">
        <v>83</v>
      </c>
      <c r="O204" s="14"/>
      <c r="P204" s="14">
        <v>27</v>
      </c>
      <c r="Q204" s="14"/>
      <c r="R204" s="14"/>
      <c r="S204" s="14"/>
      <c r="T204" s="14">
        <v>27</v>
      </c>
      <c r="U204" s="14"/>
      <c r="V204" s="14"/>
      <c r="W204" s="14">
        <v>27</v>
      </c>
      <c r="X204" s="14"/>
      <c r="Y204" s="14"/>
      <c r="Z204" s="14"/>
      <c r="AA204" s="14"/>
      <c r="AB204" s="14">
        <v>27</v>
      </c>
      <c r="AC204" s="14"/>
      <c r="AD204" s="14">
        <v>126</v>
      </c>
      <c r="AE204" s="14">
        <v>27</v>
      </c>
      <c r="AF204" s="14"/>
      <c r="AG204" s="14">
        <v>27</v>
      </c>
      <c r="AH204" s="14">
        <v>27</v>
      </c>
      <c r="AI204" s="14">
        <v>27</v>
      </c>
      <c r="AJ204" s="14"/>
      <c r="AK204" s="14">
        <v>27</v>
      </c>
      <c r="AL204" s="14"/>
      <c r="AM204" s="14"/>
      <c r="AN204" s="14">
        <v>27</v>
      </c>
      <c r="AO204" s="14"/>
      <c r="AP204" s="14"/>
      <c r="AQ204" s="14"/>
      <c r="AR204" s="14">
        <v>27</v>
      </c>
      <c r="AS204" s="14">
        <v>61</v>
      </c>
      <c r="AT204" s="14">
        <v>289</v>
      </c>
      <c r="AU204" s="14"/>
      <c r="AV204" s="14"/>
      <c r="AW204" s="14">
        <v>50</v>
      </c>
      <c r="AX204" s="14"/>
      <c r="AY204" s="14"/>
      <c r="AZ204" s="14">
        <v>27</v>
      </c>
      <c r="BA204" s="14">
        <v>27</v>
      </c>
      <c r="BB204" s="14"/>
      <c r="BC204" s="14"/>
      <c r="BD204" s="14"/>
      <c r="BE204" s="14"/>
      <c r="BF204" s="14"/>
      <c r="BG204" s="14">
        <v>27</v>
      </c>
      <c r="BH204" s="14"/>
      <c r="BI204" s="14">
        <v>27</v>
      </c>
      <c r="BJ204" s="14"/>
      <c r="BK204" s="14"/>
      <c r="BL204" s="14">
        <v>27</v>
      </c>
    </row>
    <row r="205" spans="4:64" x14ac:dyDescent="0.25">
      <c r="D205" s="21" t="s">
        <v>2206</v>
      </c>
      <c r="E205" s="14"/>
      <c r="F205" s="14"/>
      <c r="G205" s="14"/>
      <c r="H205" s="14"/>
      <c r="I205" s="14">
        <v>27</v>
      </c>
      <c r="J205" s="14"/>
      <c r="K205" s="14"/>
      <c r="L205" s="14"/>
      <c r="M205" s="14"/>
      <c r="N205" s="14"/>
      <c r="O205" s="14"/>
      <c r="P205" s="14">
        <v>27</v>
      </c>
      <c r="Q205" s="14"/>
      <c r="R205" s="14"/>
      <c r="S205" s="14"/>
      <c r="T205" s="14">
        <v>27</v>
      </c>
      <c r="U205" s="14"/>
      <c r="V205" s="14"/>
      <c r="W205" s="14">
        <v>27</v>
      </c>
      <c r="X205" s="14"/>
      <c r="Y205" s="14"/>
      <c r="Z205" s="14"/>
      <c r="AA205" s="14"/>
      <c r="AB205" s="14">
        <v>27</v>
      </c>
      <c r="AC205" s="14"/>
      <c r="AD205" s="14"/>
      <c r="AE205" s="14"/>
      <c r="AF205" s="14"/>
      <c r="AG205" s="14"/>
      <c r="AH205" s="14"/>
      <c r="AI205" s="14"/>
      <c r="AJ205" s="14"/>
      <c r="AK205" s="14">
        <v>27</v>
      </c>
      <c r="AL205" s="14"/>
      <c r="AM205" s="14"/>
      <c r="AN205" s="14">
        <v>27</v>
      </c>
      <c r="AO205" s="14"/>
      <c r="AP205" s="14"/>
      <c r="AQ205" s="14"/>
      <c r="AR205" s="14"/>
      <c r="AS205" s="14"/>
      <c r="AT205" s="14"/>
      <c r="AU205" s="14"/>
      <c r="AV205" s="14"/>
      <c r="AW205" s="14"/>
      <c r="AX205" s="14"/>
      <c r="AY205" s="14"/>
      <c r="AZ205" s="14"/>
      <c r="BA205" s="14">
        <v>27</v>
      </c>
      <c r="BB205" s="14"/>
      <c r="BC205" s="14"/>
      <c r="BD205" s="14"/>
      <c r="BE205" s="14"/>
      <c r="BF205" s="14"/>
      <c r="BG205" s="14">
        <v>27</v>
      </c>
      <c r="BH205" s="14"/>
      <c r="BI205" s="14">
        <v>27</v>
      </c>
      <c r="BJ205" s="14"/>
      <c r="BK205" s="14"/>
      <c r="BL205" s="14">
        <v>27</v>
      </c>
    </row>
    <row r="206" spans="4:64" x14ac:dyDescent="0.25">
      <c r="D206" s="21" t="s">
        <v>2204</v>
      </c>
      <c r="E206" s="14"/>
      <c r="F206" s="14"/>
      <c r="G206" s="14"/>
      <c r="H206" s="14"/>
      <c r="I206" s="14"/>
      <c r="J206" s="14"/>
      <c r="K206" s="14">
        <v>321</v>
      </c>
      <c r="L206" s="14">
        <v>34</v>
      </c>
      <c r="M206" s="14"/>
      <c r="N206" s="14">
        <v>83</v>
      </c>
      <c r="O206" s="14"/>
      <c r="P206" s="14">
        <v>34</v>
      </c>
      <c r="Q206" s="14"/>
      <c r="R206" s="14"/>
      <c r="S206" s="14"/>
      <c r="T206" s="14"/>
      <c r="U206" s="14"/>
      <c r="V206" s="14"/>
      <c r="W206" s="14"/>
      <c r="X206" s="14"/>
      <c r="Y206" s="14"/>
      <c r="Z206" s="14"/>
      <c r="AA206" s="14"/>
      <c r="AB206" s="14"/>
      <c r="AC206" s="14"/>
      <c r="AD206" s="14">
        <v>126</v>
      </c>
      <c r="AE206" s="14"/>
      <c r="AF206" s="14"/>
      <c r="AG206" s="14"/>
      <c r="AH206" s="14"/>
      <c r="AI206" s="14"/>
      <c r="AJ206" s="14"/>
      <c r="AK206" s="14"/>
      <c r="AL206" s="14"/>
      <c r="AM206" s="14"/>
      <c r="AN206" s="14">
        <v>126</v>
      </c>
      <c r="AO206" s="14"/>
      <c r="AP206" s="14"/>
      <c r="AQ206" s="14"/>
      <c r="AR206" s="14"/>
      <c r="AS206" s="14">
        <v>61</v>
      </c>
      <c r="AT206" s="14">
        <v>289</v>
      </c>
      <c r="AU206" s="14"/>
      <c r="AV206" s="14"/>
      <c r="AW206" s="14">
        <v>50</v>
      </c>
      <c r="AX206" s="14"/>
      <c r="AY206" s="14"/>
      <c r="AZ206" s="14">
        <v>50</v>
      </c>
      <c r="BA206" s="14"/>
      <c r="BB206" s="14"/>
      <c r="BC206" s="14"/>
      <c r="BD206" s="14"/>
      <c r="BE206" s="14"/>
      <c r="BF206" s="14"/>
      <c r="BG206" s="14"/>
      <c r="BH206" s="14"/>
      <c r="BI206" s="14">
        <v>311</v>
      </c>
      <c r="BJ206" s="14"/>
      <c r="BK206" s="14"/>
      <c r="BL206" s="14">
        <v>311</v>
      </c>
    </row>
    <row r="207" spans="4:64" x14ac:dyDescent="0.25">
      <c r="D207" s="21" t="s">
        <v>2207</v>
      </c>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v>27</v>
      </c>
      <c r="AF207" s="14"/>
      <c r="AG207" s="14">
        <v>27</v>
      </c>
      <c r="AH207" s="14">
        <v>27</v>
      </c>
      <c r="AI207" s="14"/>
      <c r="AJ207" s="14"/>
      <c r="AK207" s="14"/>
      <c r="AL207" s="14"/>
      <c r="AM207" s="14"/>
      <c r="AN207" s="14">
        <v>27</v>
      </c>
      <c r="AO207" s="14"/>
      <c r="AP207" s="14"/>
      <c r="AQ207" s="14"/>
      <c r="AR207" s="14">
        <v>27</v>
      </c>
      <c r="AS207" s="14"/>
      <c r="AT207" s="14"/>
      <c r="AU207" s="14"/>
      <c r="AV207" s="14"/>
      <c r="AW207" s="14"/>
      <c r="AX207" s="14"/>
      <c r="AY207" s="14"/>
      <c r="AZ207" s="14">
        <v>27</v>
      </c>
      <c r="BA207" s="14"/>
      <c r="BB207" s="14"/>
      <c r="BC207" s="14"/>
      <c r="BD207" s="14"/>
      <c r="BE207" s="14"/>
      <c r="BF207" s="14"/>
      <c r="BG207" s="14"/>
      <c r="BH207" s="14"/>
      <c r="BI207" s="14"/>
      <c r="BJ207" s="14"/>
      <c r="BK207" s="14"/>
      <c r="BL207" s="14"/>
    </row>
    <row r="208" spans="4:64" x14ac:dyDescent="0.25">
      <c r="D208" s="21" t="s">
        <v>2205</v>
      </c>
      <c r="E208" s="14"/>
      <c r="F208" s="14">
        <v>27</v>
      </c>
      <c r="G208" s="14"/>
      <c r="H208" s="14"/>
      <c r="I208" s="14"/>
      <c r="J208" s="14"/>
      <c r="K208" s="14"/>
      <c r="L208" s="14"/>
      <c r="M208" s="14"/>
      <c r="N208" s="14"/>
      <c r="O208" s="14"/>
      <c r="P208" s="14">
        <v>27</v>
      </c>
      <c r="Q208" s="14"/>
      <c r="R208" s="14"/>
      <c r="S208" s="14"/>
      <c r="T208" s="14"/>
      <c r="U208" s="14"/>
      <c r="V208" s="14"/>
      <c r="W208" s="14"/>
      <c r="X208" s="14"/>
      <c r="Y208" s="14"/>
      <c r="Z208" s="14"/>
      <c r="AA208" s="14"/>
      <c r="AB208" s="14"/>
      <c r="AC208" s="14"/>
      <c r="AD208" s="14"/>
      <c r="AE208" s="14"/>
      <c r="AF208" s="14"/>
      <c r="AG208" s="14">
        <v>27</v>
      </c>
      <c r="AH208" s="14"/>
      <c r="AI208" s="14">
        <v>27</v>
      </c>
      <c r="AJ208" s="14"/>
      <c r="AK208" s="14"/>
      <c r="AL208" s="14"/>
      <c r="AM208" s="14"/>
      <c r="AN208" s="14">
        <v>27</v>
      </c>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row>
    <row r="209" spans="4:64" x14ac:dyDescent="0.25">
      <c r="D209" s="20" t="s">
        <v>2196</v>
      </c>
      <c r="E209" s="14"/>
      <c r="F209" s="14"/>
      <c r="G209" s="14">
        <v>27</v>
      </c>
      <c r="H209" s="14"/>
      <c r="I209" s="14">
        <v>27</v>
      </c>
      <c r="J209" s="14"/>
      <c r="K209" s="14"/>
      <c r="L209" s="14">
        <v>27</v>
      </c>
      <c r="M209" s="14">
        <v>27</v>
      </c>
      <c r="N209" s="14"/>
      <c r="O209" s="14">
        <v>27</v>
      </c>
      <c r="P209" s="14">
        <v>27</v>
      </c>
      <c r="Q209" s="14">
        <v>27</v>
      </c>
      <c r="R209" s="14"/>
      <c r="S209" s="14"/>
      <c r="T209" s="14"/>
      <c r="U209" s="14"/>
      <c r="V209" s="14">
        <v>27</v>
      </c>
      <c r="W209" s="14">
        <v>281</v>
      </c>
      <c r="X209" s="14"/>
      <c r="Y209" s="14"/>
      <c r="Z209" s="14">
        <v>27</v>
      </c>
      <c r="AA209" s="14">
        <v>260</v>
      </c>
      <c r="AB209" s="14">
        <v>27</v>
      </c>
      <c r="AC209" s="14"/>
      <c r="AD209" s="14"/>
      <c r="AE209" s="14">
        <v>27</v>
      </c>
      <c r="AF209" s="14"/>
      <c r="AG209" s="14"/>
      <c r="AH209" s="14">
        <v>27</v>
      </c>
      <c r="AI209" s="14"/>
      <c r="AJ209" s="14">
        <v>27</v>
      </c>
      <c r="AK209" s="14"/>
      <c r="AL209" s="14">
        <v>27</v>
      </c>
      <c r="AM209" s="14">
        <v>27</v>
      </c>
      <c r="AN209" s="14">
        <v>27</v>
      </c>
      <c r="AO209" s="14">
        <v>27</v>
      </c>
      <c r="AP209" s="14"/>
      <c r="AQ209" s="14"/>
      <c r="AR209" s="14"/>
      <c r="AS209" s="14"/>
      <c r="AT209" s="14"/>
      <c r="AU209" s="14"/>
      <c r="AV209" s="14">
        <v>27</v>
      </c>
      <c r="AW209" s="14"/>
      <c r="AX209" s="14">
        <v>27</v>
      </c>
      <c r="AY209" s="14">
        <v>27</v>
      </c>
      <c r="AZ209" s="14">
        <v>27</v>
      </c>
      <c r="BA209" s="14"/>
      <c r="BB209" s="14">
        <v>47</v>
      </c>
      <c r="BC209" s="14"/>
      <c r="BD209" s="14">
        <v>27</v>
      </c>
      <c r="BE209" s="14"/>
      <c r="BF209" s="14"/>
      <c r="BG209" s="14">
        <v>27</v>
      </c>
      <c r="BH209" s="14"/>
      <c r="BI209" s="14">
        <v>27</v>
      </c>
      <c r="BJ209" s="14"/>
      <c r="BK209" s="14">
        <v>27</v>
      </c>
      <c r="BL209" s="14">
        <v>27</v>
      </c>
    </row>
    <row r="210" spans="4:64" x14ac:dyDescent="0.25">
      <c r="D210" s="21" t="s">
        <v>2206</v>
      </c>
      <c r="E210" s="14"/>
      <c r="F210" s="14"/>
      <c r="G210" s="14"/>
      <c r="H210" s="14"/>
      <c r="I210" s="14"/>
      <c r="J210" s="14"/>
      <c r="K210" s="14"/>
      <c r="L210" s="14"/>
      <c r="M210" s="14"/>
      <c r="N210" s="14"/>
      <c r="O210" s="14">
        <v>27</v>
      </c>
      <c r="P210" s="14">
        <v>27</v>
      </c>
      <c r="Q210" s="14">
        <v>27</v>
      </c>
      <c r="R210" s="14"/>
      <c r="S210" s="14"/>
      <c r="T210" s="14"/>
      <c r="U210" s="14"/>
      <c r="V210" s="14"/>
      <c r="W210" s="14"/>
      <c r="X210" s="14"/>
      <c r="Y210" s="14"/>
      <c r="Z210" s="14"/>
      <c r="AA210" s="14"/>
      <c r="AB210" s="14">
        <v>27</v>
      </c>
      <c r="AC210" s="14"/>
      <c r="AD210" s="14"/>
      <c r="AE210" s="14">
        <v>27</v>
      </c>
      <c r="AF210" s="14"/>
      <c r="AG210" s="14"/>
      <c r="AH210" s="14">
        <v>27</v>
      </c>
      <c r="AI210" s="14"/>
      <c r="AJ210" s="14">
        <v>27</v>
      </c>
      <c r="AK210" s="14"/>
      <c r="AL210" s="14">
        <v>27</v>
      </c>
      <c r="AM210" s="14"/>
      <c r="AN210" s="14">
        <v>27</v>
      </c>
      <c r="AO210" s="14"/>
      <c r="AP210" s="14"/>
      <c r="AQ210" s="14"/>
      <c r="AR210" s="14"/>
      <c r="AS210" s="14"/>
      <c r="AT210" s="14"/>
      <c r="AU210" s="14"/>
      <c r="AV210" s="14">
        <v>27</v>
      </c>
      <c r="AW210" s="14"/>
      <c r="AX210" s="14">
        <v>27</v>
      </c>
      <c r="AY210" s="14"/>
      <c r="AZ210" s="14">
        <v>27</v>
      </c>
      <c r="BA210" s="14"/>
      <c r="BB210" s="14"/>
      <c r="BC210" s="14"/>
      <c r="BD210" s="14">
        <v>27</v>
      </c>
      <c r="BE210" s="14"/>
      <c r="BF210" s="14"/>
      <c r="BG210" s="14"/>
      <c r="BH210" s="14"/>
      <c r="BI210" s="14"/>
      <c r="BJ210" s="14"/>
      <c r="BK210" s="14">
        <v>27</v>
      </c>
      <c r="BL210" s="14">
        <v>27</v>
      </c>
    </row>
    <row r="211" spans="4:64" x14ac:dyDescent="0.25">
      <c r="D211" s="21" t="s">
        <v>2204</v>
      </c>
      <c r="E211" s="14"/>
      <c r="F211" s="14"/>
      <c r="G211" s="14"/>
      <c r="H211" s="14"/>
      <c r="I211" s="14">
        <v>278</v>
      </c>
      <c r="J211" s="14"/>
      <c r="K211" s="14"/>
      <c r="L211" s="14"/>
      <c r="M211" s="14">
        <v>90</v>
      </c>
      <c r="N211" s="14"/>
      <c r="O211" s="14"/>
      <c r="P211" s="14">
        <v>90</v>
      </c>
      <c r="Q211" s="14"/>
      <c r="R211" s="14"/>
      <c r="S211" s="14"/>
      <c r="T211" s="14"/>
      <c r="U211" s="14"/>
      <c r="V211" s="14"/>
      <c r="W211" s="14">
        <v>281</v>
      </c>
      <c r="X211" s="14"/>
      <c r="Y211" s="14"/>
      <c r="Z211" s="14">
        <v>87</v>
      </c>
      <c r="AA211" s="14">
        <v>260</v>
      </c>
      <c r="AB211" s="14">
        <v>87</v>
      </c>
      <c r="AC211" s="14"/>
      <c r="AD211" s="14"/>
      <c r="AE211" s="14">
        <v>339</v>
      </c>
      <c r="AF211" s="14"/>
      <c r="AG211" s="14"/>
      <c r="AH211" s="14">
        <v>70</v>
      </c>
      <c r="AI211" s="14"/>
      <c r="AJ211" s="14"/>
      <c r="AK211" s="14"/>
      <c r="AL211" s="14"/>
      <c r="AM211" s="14"/>
      <c r="AN211" s="14">
        <v>70</v>
      </c>
      <c r="AO211" s="14"/>
      <c r="AP211" s="14"/>
      <c r="AQ211" s="14"/>
      <c r="AR211" s="14"/>
      <c r="AS211" s="14"/>
      <c r="AT211" s="14"/>
      <c r="AU211" s="14"/>
      <c r="AV211" s="14"/>
      <c r="AW211" s="14"/>
      <c r="AX211" s="14"/>
      <c r="AY211" s="14"/>
      <c r="AZ211" s="14"/>
      <c r="BA211" s="14"/>
      <c r="BB211" s="14">
        <v>47</v>
      </c>
      <c r="BC211" s="14"/>
      <c r="BD211" s="14"/>
      <c r="BE211" s="14"/>
      <c r="BF211" s="14"/>
      <c r="BG211" s="14"/>
      <c r="BH211" s="14"/>
      <c r="BI211" s="14"/>
      <c r="BJ211" s="14"/>
      <c r="BK211" s="14"/>
      <c r="BL211" s="14">
        <v>47</v>
      </c>
    </row>
    <row r="212" spans="4:64" x14ac:dyDescent="0.25">
      <c r="D212" s="21" t="s">
        <v>2207</v>
      </c>
      <c r="E212" s="14"/>
      <c r="F212" s="14"/>
      <c r="G212" s="14"/>
      <c r="H212" s="14"/>
      <c r="I212" s="14">
        <v>27</v>
      </c>
      <c r="J212" s="14"/>
      <c r="K212" s="14"/>
      <c r="L212" s="14">
        <v>27</v>
      </c>
      <c r="M212" s="14"/>
      <c r="N212" s="14"/>
      <c r="O212" s="14"/>
      <c r="P212" s="14">
        <v>27</v>
      </c>
      <c r="Q212" s="14"/>
      <c r="R212" s="14"/>
      <c r="S212" s="14"/>
      <c r="T212" s="14"/>
      <c r="U212" s="14"/>
      <c r="V212" s="14">
        <v>27</v>
      </c>
      <c r="W212" s="14"/>
      <c r="X212" s="14"/>
      <c r="Y212" s="14"/>
      <c r="Z212" s="14">
        <v>27</v>
      </c>
      <c r="AA212" s="14"/>
      <c r="AB212" s="14">
        <v>27</v>
      </c>
      <c r="AC212" s="14"/>
      <c r="AD212" s="14"/>
      <c r="AE212" s="14"/>
      <c r="AF212" s="14"/>
      <c r="AG212" s="14"/>
      <c r="AH212" s="14">
        <v>27</v>
      </c>
      <c r="AI212" s="14"/>
      <c r="AJ212" s="14"/>
      <c r="AK212" s="14"/>
      <c r="AL212" s="14"/>
      <c r="AM212" s="14"/>
      <c r="AN212" s="14">
        <v>27</v>
      </c>
      <c r="AO212" s="14"/>
      <c r="AP212" s="14"/>
      <c r="AQ212" s="14"/>
      <c r="AR212" s="14"/>
      <c r="AS212" s="14"/>
      <c r="AT212" s="14"/>
      <c r="AU212" s="14"/>
      <c r="AV212" s="14"/>
      <c r="AW212" s="14"/>
      <c r="AX212" s="14"/>
      <c r="AY212" s="14"/>
      <c r="AZ212" s="14"/>
      <c r="BA212" s="14"/>
      <c r="BB212" s="14"/>
      <c r="BC212" s="14"/>
      <c r="BD212" s="14"/>
      <c r="BE212" s="14"/>
      <c r="BF212" s="14"/>
      <c r="BG212" s="14">
        <v>27</v>
      </c>
      <c r="BH212" s="14"/>
      <c r="BI212" s="14">
        <v>27</v>
      </c>
      <c r="BJ212" s="14"/>
      <c r="BK212" s="14"/>
      <c r="BL212" s="14">
        <v>27</v>
      </c>
    </row>
    <row r="213" spans="4:64" x14ac:dyDescent="0.25">
      <c r="D213" s="21" t="s">
        <v>2205</v>
      </c>
      <c r="E213" s="14"/>
      <c r="F213" s="14"/>
      <c r="G213" s="14">
        <v>27</v>
      </c>
      <c r="H213" s="14"/>
      <c r="I213" s="14"/>
      <c r="J213" s="14"/>
      <c r="K213" s="14"/>
      <c r="L213" s="14"/>
      <c r="M213" s="14">
        <v>27</v>
      </c>
      <c r="N213" s="14"/>
      <c r="O213" s="14"/>
      <c r="P213" s="14">
        <v>27</v>
      </c>
      <c r="Q213" s="14"/>
      <c r="R213" s="14"/>
      <c r="S213" s="14"/>
      <c r="T213" s="14"/>
      <c r="U213" s="14"/>
      <c r="V213" s="14"/>
      <c r="W213" s="14"/>
      <c r="X213" s="14"/>
      <c r="Y213" s="14"/>
      <c r="Z213" s="14">
        <v>27</v>
      </c>
      <c r="AA213" s="14"/>
      <c r="AB213" s="14">
        <v>27</v>
      </c>
      <c r="AC213" s="14"/>
      <c r="AD213" s="14"/>
      <c r="AE213" s="14"/>
      <c r="AF213" s="14"/>
      <c r="AG213" s="14"/>
      <c r="AH213" s="14"/>
      <c r="AI213" s="14"/>
      <c r="AJ213" s="14"/>
      <c r="AK213" s="14"/>
      <c r="AL213" s="14"/>
      <c r="AM213" s="14">
        <v>27</v>
      </c>
      <c r="AN213" s="14">
        <v>27</v>
      </c>
      <c r="AO213" s="14">
        <v>27</v>
      </c>
      <c r="AP213" s="14"/>
      <c r="AQ213" s="14"/>
      <c r="AR213" s="14"/>
      <c r="AS213" s="14"/>
      <c r="AT213" s="14"/>
      <c r="AU213" s="14"/>
      <c r="AV213" s="14"/>
      <c r="AW213" s="14"/>
      <c r="AX213" s="14"/>
      <c r="AY213" s="14">
        <v>27</v>
      </c>
      <c r="AZ213" s="14">
        <v>27</v>
      </c>
      <c r="BA213" s="14"/>
      <c r="BB213" s="14"/>
      <c r="BC213" s="14"/>
      <c r="BD213" s="14"/>
      <c r="BE213" s="14"/>
      <c r="BF213" s="14"/>
      <c r="BG213" s="14"/>
      <c r="BH213" s="14"/>
      <c r="BI213" s="14"/>
      <c r="BJ213" s="14"/>
      <c r="BK213" s="14"/>
      <c r="BL213" s="14"/>
    </row>
    <row r="214" spans="4:64" x14ac:dyDescent="0.25">
      <c r="D214" s="16" t="s">
        <v>2210</v>
      </c>
      <c r="E214" s="14">
        <v>27</v>
      </c>
      <c r="F214" s="14">
        <v>27</v>
      </c>
      <c r="G214" s="14">
        <v>27</v>
      </c>
      <c r="H214" s="14">
        <v>27</v>
      </c>
      <c r="I214" s="14">
        <v>27</v>
      </c>
      <c r="J214" s="14">
        <v>27</v>
      </c>
      <c r="K214" s="14">
        <v>357</v>
      </c>
      <c r="L214" s="14">
        <v>27</v>
      </c>
      <c r="M214" s="14">
        <v>27</v>
      </c>
      <c r="N214" s="14">
        <v>27</v>
      </c>
      <c r="O214" s="14">
        <v>27</v>
      </c>
      <c r="P214" s="14">
        <v>27</v>
      </c>
      <c r="Q214" s="14">
        <v>27</v>
      </c>
      <c r="R214" s="14">
        <v>27</v>
      </c>
      <c r="S214" s="14">
        <v>27</v>
      </c>
      <c r="T214" s="14">
        <v>27</v>
      </c>
      <c r="U214" s="14">
        <v>27</v>
      </c>
      <c r="V214" s="14">
        <v>27</v>
      </c>
      <c r="W214" s="14">
        <v>27</v>
      </c>
      <c r="X214" s="14">
        <v>27</v>
      </c>
      <c r="Y214" s="14">
        <v>27</v>
      </c>
      <c r="Z214" s="14">
        <v>27</v>
      </c>
      <c r="AA214" s="14">
        <v>27</v>
      </c>
      <c r="AB214" s="14">
        <v>27</v>
      </c>
      <c r="AC214" s="14">
        <v>27</v>
      </c>
      <c r="AD214" s="14">
        <v>27</v>
      </c>
      <c r="AE214" s="14">
        <v>27</v>
      </c>
      <c r="AF214" s="14">
        <v>27</v>
      </c>
      <c r="AG214" s="14">
        <v>27</v>
      </c>
      <c r="AH214" s="14">
        <v>27</v>
      </c>
      <c r="AI214" s="14">
        <v>27</v>
      </c>
      <c r="AJ214" s="14">
        <v>27</v>
      </c>
      <c r="AK214" s="14">
        <v>27</v>
      </c>
      <c r="AL214" s="14">
        <v>27</v>
      </c>
      <c r="AM214" s="14">
        <v>27</v>
      </c>
      <c r="AN214" s="14">
        <v>27</v>
      </c>
      <c r="AO214" s="14">
        <v>27</v>
      </c>
      <c r="AP214" s="14">
        <v>27</v>
      </c>
      <c r="AQ214" s="14">
        <v>27</v>
      </c>
      <c r="AR214" s="14">
        <v>27</v>
      </c>
      <c r="AS214" s="14">
        <v>27</v>
      </c>
      <c r="AT214" s="14">
        <v>27</v>
      </c>
      <c r="AU214" s="14">
        <v>27</v>
      </c>
      <c r="AV214" s="14">
        <v>27</v>
      </c>
      <c r="AW214" s="14">
        <v>27</v>
      </c>
      <c r="AX214" s="14">
        <v>27</v>
      </c>
      <c r="AY214" s="14">
        <v>27</v>
      </c>
      <c r="AZ214" s="14">
        <v>27</v>
      </c>
      <c r="BA214" s="14">
        <v>27</v>
      </c>
      <c r="BB214" s="14">
        <v>27</v>
      </c>
      <c r="BC214" s="14">
        <v>27</v>
      </c>
      <c r="BD214" s="14">
        <v>27</v>
      </c>
      <c r="BE214" s="14">
        <v>27</v>
      </c>
      <c r="BF214" s="14">
        <v>27</v>
      </c>
      <c r="BG214" s="14">
        <v>27</v>
      </c>
      <c r="BH214" s="14">
        <v>27</v>
      </c>
      <c r="BI214" s="14">
        <v>27</v>
      </c>
      <c r="BJ214" s="14">
        <v>27</v>
      </c>
      <c r="BK214" s="14">
        <v>27</v>
      </c>
      <c r="BL214" s="14">
        <v>27</v>
      </c>
    </row>
    <row r="215" spans="4:64" x14ac:dyDescent="0.25">
      <c r="D215" s="20" t="s">
        <v>2201</v>
      </c>
      <c r="E215" s="14">
        <v>27</v>
      </c>
      <c r="F215" s="14"/>
      <c r="G215" s="14"/>
      <c r="H215" s="14">
        <v>27</v>
      </c>
      <c r="I215" s="14"/>
      <c r="J215" s="14"/>
      <c r="K215" s="14">
        <v>357</v>
      </c>
      <c r="L215" s="14"/>
      <c r="M215" s="14"/>
      <c r="N215" s="14"/>
      <c r="O215" s="14">
        <v>241</v>
      </c>
      <c r="P215" s="14">
        <v>27</v>
      </c>
      <c r="Q215" s="14"/>
      <c r="R215" s="14">
        <v>199</v>
      </c>
      <c r="S215" s="14">
        <v>27</v>
      </c>
      <c r="T215" s="14"/>
      <c r="U215" s="14">
        <v>27</v>
      </c>
      <c r="V215" s="14">
        <v>27</v>
      </c>
      <c r="W215" s="14"/>
      <c r="X215" s="14">
        <v>27</v>
      </c>
      <c r="Y215" s="14"/>
      <c r="Z215" s="14"/>
      <c r="AA215" s="14"/>
      <c r="AB215" s="14">
        <v>27</v>
      </c>
      <c r="AC215" s="14">
        <v>27</v>
      </c>
      <c r="AD215" s="14"/>
      <c r="AE215" s="14"/>
      <c r="AF215" s="14">
        <v>27</v>
      </c>
      <c r="AG215" s="14">
        <v>27</v>
      </c>
      <c r="AH215" s="14"/>
      <c r="AI215" s="14">
        <v>27</v>
      </c>
      <c r="AJ215" s="14">
        <v>27</v>
      </c>
      <c r="AK215" s="14">
        <v>27</v>
      </c>
      <c r="AL215" s="14"/>
      <c r="AM215" s="14">
        <v>27</v>
      </c>
      <c r="AN215" s="14">
        <v>27</v>
      </c>
      <c r="AO215" s="14"/>
      <c r="AP215" s="14"/>
      <c r="AQ215" s="14"/>
      <c r="AR215" s="14"/>
      <c r="AS215" s="14"/>
      <c r="AT215" s="14"/>
      <c r="AU215" s="14"/>
      <c r="AV215" s="14"/>
      <c r="AW215" s="14">
        <v>27</v>
      </c>
      <c r="AX215" s="14">
        <v>169</v>
      </c>
      <c r="AY215" s="14"/>
      <c r="AZ215" s="14">
        <v>27</v>
      </c>
      <c r="BA215" s="14"/>
      <c r="BB215" s="14">
        <v>27</v>
      </c>
      <c r="BC215" s="14">
        <v>257</v>
      </c>
      <c r="BD215" s="14">
        <v>27</v>
      </c>
      <c r="BE215" s="14">
        <v>102</v>
      </c>
      <c r="BF215" s="14"/>
      <c r="BG215" s="14">
        <v>215</v>
      </c>
      <c r="BH215" s="14"/>
      <c r="BI215" s="14">
        <v>369</v>
      </c>
      <c r="BJ215" s="14"/>
      <c r="BK215" s="14">
        <v>27</v>
      </c>
      <c r="BL215" s="14">
        <v>27</v>
      </c>
    </row>
    <row r="216" spans="4:64" x14ac:dyDescent="0.25">
      <c r="D216" s="21" t="s">
        <v>2206</v>
      </c>
      <c r="E216" s="14"/>
      <c r="F216" s="14"/>
      <c r="G216" s="14"/>
      <c r="H216" s="14">
        <v>27</v>
      </c>
      <c r="I216" s="14"/>
      <c r="J216" s="14"/>
      <c r="K216" s="14"/>
      <c r="L216" s="14"/>
      <c r="M216" s="14"/>
      <c r="N216" s="14"/>
      <c r="O216" s="14"/>
      <c r="P216" s="14">
        <v>27</v>
      </c>
      <c r="Q216" s="14"/>
      <c r="R216" s="14"/>
      <c r="S216" s="14"/>
      <c r="T216" s="14"/>
      <c r="U216" s="14"/>
      <c r="V216" s="14"/>
      <c r="W216" s="14"/>
      <c r="X216" s="14"/>
      <c r="Y216" s="14"/>
      <c r="Z216" s="14"/>
      <c r="AA216" s="14"/>
      <c r="AB216" s="14"/>
      <c r="AC216" s="14">
        <v>27</v>
      </c>
      <c r="AD216" s="14"/>
      <c r="AE216" s="14"/>
      <c r="AF216" s="14"/>
      <c r="AG216" s="14">
        <v>27</v>
      </c>
      <c r="AH216" s="14"/>
      <c r="AI216" s="14"/>
      <c r="AJ216" s="14">
        <v>27</v>
      </c>
      <c r="AK216" s="14">
        <v>27</v>
      </c>
      <c r="AL216" s="14"/>
      <c r="AM216" s="14">
        <v>27</v>
      </c>
      <c r="AN216" s="14">
        <v>27</v>
      </c>
      <c r="AO216" s="14"/>
      <c r="AP216" s="14"/>
      <c r="AQ216" s="14"/>
      <c r="AR216" s="14"/>
      <c r="AS216" s="14"/>
      <c r="AT216" s="14"/>
      <c r="AU216" s="14"/>
      <c r="AV216" s="14"/>
      <c r="AW216" s="14">
        <v>27</v>
      </c>
      <c r="AX216" s="14"/>
      <c r="AY216" s="14"/>
      <c r="AZ216" s="14">
        <v>27</v>
      </c>
      <c r="BA216" s="14"/>
      <c r="BB216" s="14">
        <v>27</v>
      </c>
      <c r="BC216" s="14"/>
      <c r="BD216" s="14"/>
      <c r="BE216" s="14"/>
      <c r="BF216" s="14"/>
      <c r="BG216" s="14"/>
      <c r="BH216" s="14"/>
      <c r="BI216" s="14"/>
      <c r="BJ216" s="14"/>
      <c r="BK216" s="14">
        <v>27</v>
      </c>
      <c r="BL216" s="14">
        <v>27</v>
      </c>
    </row>
    <row r="217" spans="4:64" x14ac:dyDescent="0.25">
      <c r="D217" s="21" t="s">
        <v>2204</v>
      </c>
      <c r="E217" s="14"/>
      <c r="F217" s="14"/>
      <c r="G217" s="14"/>
      <c r="H217" s="14"/>
      <c r="I217" s="14"/>
      <c r="J217" s="14"/>
      <c r="K217" s="14">
        <v>357</v>
      </c>
      <c r="L217" s="14"/>
      <c r="M217" s="14"/>
      <c r="N217" s="14"/>
      <c r="O217" s="14">
        <v>241</v>
      </c>
      <c r="P217" s="14">
        <v>241</v>
      </c>
      <c r="Q217" s="14"/>
      <c r="R217" s="14">
        <v>199</v>
      </c>
      <c r="S217" s="14"/>
      <c r="T217" s="14"/>
      <c r="U217" s="14">
        <v>357</v>
      </c>
      <c r="V217" s="14"/>
      <c r="W217" s="14"/>
      <c r="X217" s="14"/>
      <c r="Y217" s="14"/>
      <c r="Z217" s="14"/>
      <c r="AA217" s="14"/>
      <c r="AB217" s="14">
        <v>199</v>
      </c>
      <c r="AC217" s="14"/>
      <c r="AD217" s="14"/>
      <c r="AE217" s="14"/>
      <c r="AF217" s="14"/>
      <c r="AG217" s="14"/>
      <c r="AH217" s="14"/>
      <c r="AI217" s="14"/>
      <c r="AJ217" s="14"/>
      <c r="AK217" s="14">
        <v>151</v>
      </c>
      <c r="AL217" s="14"/>
      <c r="AM217" s="14"/>
      <c r="AN217" s="14">
        <v>151</v>
      </c>
      <c r="AO217" s="14"/>
      <c r="AP217" s="14"/>
      <c r="AQ217" s="14"/>
      <c r="AR217" s="14"/>
      <c r="AS217" s="14"/>
      <c r="AT217" s="14"/>
      <c r="AU217" s="14"/>
      <c r="AV217" s="14"/>
      <c r="AW217" s="14"/>
      <c r="AX217" s="14">
        <v>169</v>
      </c>
      <c r="AY217" s="14"/>
      <c r="AZ217" s="14">
        <v>169</v>
      </c>
      <c r="BA217" s="14"/>
      <c r="BB217" s="14"/>
      <c r="BC217" s="14">
        <v>257</v>
      </c>
      <c r="BD217" s="14"/>
      <c r="BE217" s="14">
        <v>102</v>
      </c>
      <c r="BF217" s="14"/>
      <c r="BG217" s="14">
        <v>215</v>
      </c>
      <c r="BH217" s="14"/>
      <c r="BI217" s="14">
        <v>369</v>
      </c>
      <c r="BJ217" s="14"/>
      <c r="BK217" s="14"/>
      <c r="BL217" s="14">
        <v>102</v>
      </c>
    </row>
    <row r="218" spans="4:64" x14ac:dyDescent="0.25">
      <c r="D218" s="21" t="s">
        <v>2207</v>
      </c>
      <c r="E218" s="14"/>
      <c r="F218" s="14"/>
      <c r="G218" s="14"/>
      <c r="H218" s="14"/>
      <c r="I218" s="14"/>
      <c r="J218" s="14"/>
      <c r="K218" s="14"/>
      <c r="L218" s="14"/>
      <c r="M218" s="14"/>
      <c r="N218" s="14"/>
      <c r="O218" s="14"/>
      <c r="P218" s="14"/>
      <c r="Q218" s="14"/>
      <c r="R218" s="14"/>
      <c r="S218" s="14"/>
      <c r="T218" s="14"/>
      <c r="U218" s="14">
        <v>27</v>
      </c>
      <c r="V218" s="14">
        <v>27</v>
      </c>
      <c r="W218" s="14"/>
      <c r="X218" s="14">
        <v>27</v>
      </c>
      <c r="Y218" s="14"/>
      <c r="Z218" s="14"/>
      <c r="AA218" s="14"/>
      <c r="AB218" s="14">
        <v>27</v>
      </c>
      <c r="AC218" s="14">
        <v>27</v>
      </c>
      <c r="AD218" s="14"/>
      <c r="AE218" s="14"/>
      <c r="AF218" s="14">
        <v>27</v>
      </c>
      <c r="AG218" s="14">
        <v>27</v>
      </c>
      <c r="AH218" s="14"/>
      <c r="AI218" s="14"/>
      <c r="AJ218" s="14"/>
      <c r="AK218" s="14"/>
      <c r="AL218" s="14"/>
      <c r="AM218" s="14"/>
      <c r="AN218" s="14">
        <v>27</v>
      </c>
      <c r="AO218" s="14"/>
      <c r="AP218" s="14"/>
      <c r="AQ218" s="14"/>
      <c r="AR218" s="14"/>
      <c r="AS218" s="14"/>
      <c r="AT218" s="14"/>
      <c r="AU218" s="14"/>
      <c r="AV218" s="14"/>
      <c r="AW218" s="14"/>
      <c r="AX218" s="14"/>
      <c r="AY218" s="14"/>
      <c r="AZ218" s="14"/>
      <c r="BA218" s="14"/>
      <c r="BB218" s="14">
        <v>27</v>
      </c>
      <c r="BC218" s="14"/>
      <c r="BD218" s="14">
        <v>27</v>
      </c>
      <c r="BE218" s="14"/>
      <c r="BF218" s="14"/>
      <c r="BG218" s="14"/>
      <c r="BH218" s="14"/>
      <c r="BI218" s="14"/>
      <c r="BJ218" s="14"/>
      <c r="BK218" s="14"/>
      <c r="BL218" s="14">
        <v>27</v>
      </c>
    </row>
    <row r="219" spans="4:64" x14ac:dyDescent="0.25">
      <c r="D219" s="21" t="s">
        <v>2205</v>
      </c>
      <c r="E219" s="14">
        <v>27</v>
      </c>
      <c r="F219" s="14"/>
      <c r="G219" s="14"/>
      <c r="H219" s="14"/>
      <c r="I219" s="14"/>
      <c r="J219" s="14"/>
      <c r="K219" s="14"/>
      <c r="L219" s="14"/>
      <c r="M219" s="14"/>
      <c r="N219" s="14"/>
      <c r="O219" s="14"/>
      <c r="P219" s="14">
        <v>27</v>
      </c>
      <c r="Q219" s="14"/>
      <c r="R219" s="14"/>
      <c r="S219" s="14">
        <v>27</v>
      </c>
      <c r="T219" s="14"/>
      <c r="U219" s="14"/>
      <c r="V219" s="14"/>
      <c r="W219" s="14"/>
      <c r="X219" s="14"/>
      <c r="Y219" s="14"/>
      <c r="Z219" s="14"/>
      <c r="AA219" s="14"/>
      <c r="AB219" s="14">
        <v>27</v>
      </c>
      <c r="AC219" s="14"/>
      <c r="AD219" s="14"/>
      <c r="AE219" s="14"/>
      <c r="AF219" s="14"/>
      <c r="AG219" s="14"/>
      <c r="AH219" s="14"/>
      <c r="AI219" s="14">
        <v>27</v>
      </c>
      <c r="AJ219" s="14"/>
      <c r="AK219" s="14"/>
      <c r="AL219" s="14"/>
      <c r="AM219" s="14"/>
      <c r="AN219" s="14">
        <v>27</v>
      </c>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row>
    <row r="220" spans="4:64" x14ac:dyDescent="0.25">
      <c r="D220" s="20" t="s">
        <v>2198</v>
      </c>
      <c r="E220" s="14"/>
      <c r="F220" s="14">
        <v>27</v>
      </c>
      <c r="G220" s="14"/>
      <c r="H220" s="14">
        <v>264</v>
      </c>
      <c r="I220" s="14"/>
      <c r="J220" s="14">
        <v>268</v>
      </c>
      <c r="K220" s="14"/>
      <c r="L220" s="14"/>
      <c r="M220" s="14"/>
      <c r="N220" s="14"/>
      <c r="O220" s="14">
        <v>27</v>
      </c>
      <c r="P220" s="14">
        <v>27</v>
      </c>
      <c r="Q220" s="14"/>
      <c r="R220" s="14"/>
      <c r="S220" s="14"/>
      <c r="T220" s="14">
        <v>27</v>
      </c>
      <c r="U220" s="14"/>
      <c r="V220" s="14">
        <v>27</v>
      </c>
      <c r="W220" s="14">
        <v>312</v>
      </c>
      <c r="X220" s="14"/>
      <c r="Y220" s="14">
        <v>354</v>
      </c>
      <c r="Z220" s="14"/>
      <c r="AA220" s="14">
        <v>27</v>
      </c>
      <c r="AB220" s="14">
        <v>27</v>
      </c>
      <c r="AC220" s="14"/>
      <c r="AD220" s="14"/>
      <c r="AE220" s="14"/>
      <c r="AF220" s="14">
        <v>27</v>
      </c>
      <c r="AG220" s="14">
        <v>218</v>
      </c>
      <c r="AH220" s="14"/>
      <c r="AI220" s="14"/>
      <c r="AJ220" s="14">
        <v>27</v>
      </c>
      <c r="AK220" s="14">
        <v>257</v>
      </c>
      <c r="AL220" s="14"/>
      <c r="AM220" s="14">
        <v>27</v>
      </c>
      <c r="AN220" s="14">
        <v>27</v>
      </c>
      <c r="AO220" s="14">
        <v>27</v>
      </c>
      <c r="AP220" s="14">
        <v>27</v>
      </c>
      <c r="AQ220" s="14">
        <v>27</v>
      </c>
      <c r="AR220" s="14">
        <v>27</v>
      </c>
      <c r="AS220" s="14">
        <v>27</v>
      </c>
      <c r="AT220" s="14">
        <v>27</v>
      </c>
      <c r="AU220" s="14">
        <v>27</v>
      </c>
      <c r="AV220" s="14"/>
      <c r="AW220" s="14"/>
      <c r="AX220" s="14"/>
      <c r="AY220" s="14"/>
      <c r="AZ220" s="14">
        <v>27</v>
      </c>
      <c r="BA220" s="14"/>
      <c r="BB220" s="14">
        <v>27</v>
      </c>
      <c r="BC220" s="14"/>
      <c r="BD220" s="14">
        <v>56</v>
      </c>
      <c r="BE220" s="14">
        <v>27</v>
      </c>
      <c r="BF220" s="14">
        <v>27</v>
      </c>
      <c r="BG220" s="14">
        <v>27</v>
      </c>
      <c r="BH220" s="14">
        <v>27</v>
      </c>
      <c r="BI220" s="14">
        <v>27</v>
      </c>
      <c r="BJ220" s="14">
        <v>27</v>
      </c>
      <c r="BK220" s="14"/>
      <c r="BL220" s="14">
        <v>27</v>
      </c>
    </row>
    <row r="221" spans="4:64" x14ac:dyDescent="0.25">
      <c r="D221" s="21" t="s">
        <v>2206</v>
      </c>
      <c r="E221" s="14"/>
      <c r="F221" s="14"/>
      <c r="G221" s="14"/>
      <c r="H221" s="14"/>
      <c r="I221" s="14"/>
      <c r="J221" s="14"/>
      <c r="K221" s="14"/>
      <c r="L221" s="14"/>
      <c r="M221" s="14"/>
      <c r="N221" s="14"/>
      <c r="O221" s="14"/>
      <c r="P221" s="14"/>
      <c r="Q221" s="14"/>
      <c r="R221" s="14"/>
      <c r="S221" s="14"/>
      <c r="T221" s="14">
        <v>27</v>
      </c>
      <c r="U221" s="14"/>
      <c r="V221" s="14">
        <v>27</v>
      </c>
      <c r="W221" s="14"/>
      <c r="X221" s="14"/>
      <c r="Y221" s="14"/>
      <c r="Z221" s="14"/>
      <c r="AA221" s="14"/>
      <c r="AB221" s="14">
        <v>27</v>
      </c>
      <c r="AC221" s="14"/>
      <c r="AD221" s="14"/>
      <c r="AE221" s="14"/>
      <c r="AF221" s="14">
        <v>27</v>
      </c>
      <c r="AG221" s="14"/>
      <c r="AH221" s="14"/>
      <c r="AI221" s="14"/>
      <c r="AJ221" s="14">
        <v>27</v>
      </c>
      <c r="AK221" s="14"/>
      <c r="AL221" s="14"/>
      <c r="AM221" s="14">
        <v>27</v>
      </c>
      <c r="AN221" s="14">
        <v>27</v>
      </c>
      <c r="AO221" s="14">
        <v>27</v>
      </c>
      <c r="AP221" s="14"/>
      <c r="AQ221" s="14"/>
      <c r="AR221" s="14"/>
      <c r="AS221" s="14"/>
      <c r="AT221" s="14"/>
      <c r="AU221" s="14">
        <v>27</v>
      </c>
      <c r="AV221" s="14"/>
      <c r="AW221" s="14"/>
      <c r="AX221" s="14"/>
      <c r="AY221" s="14"/>
      <c r="AZ221" s="14">
        <v>27</v>
      </c>
      <c r="BA221" s="14"/>
      <c r="BB221" s="14"/>
      <c r="BC221" s="14"/>
      <c r="BD221" s="14"/>
      <c r="BE221" s="14">
        <v>27</v>
      </c>
      <c r="BF221" s="14">
        <v>27</v>
      </c>
      <c r="BG221" s="14"/>
      <c r="BH221" s="14"/>
      <c r="BI221" s="14"/>
      <c r="BJ221" s="14"/>
      <c r="BK221" s="14"/>
      <c r="BL221" s="14">
        <v>27</v>
      </c>
    </row>
    <row r="222" spans="4:64" x14ac:dyDescent="0.25">
      <c r="D222" s="21" t="s">
        <v>2204</v>
      </c>
      <c r="E222" s="14"/>
      <c r="F222" s="14"/>
      <c r="G222" s="14"/>
      <c r="H222" s="14">
        <v>264</v>
      </c>
      <c r="I222" s="14"/>
      <c r="J222" s="14">
        <v>268</v>
      </c>
      <c r="K222" s="14"/>
      <c r="L222" s="14"/>
      <c r="M222" s="14"/>
      <c r="N222" s="14"/>
      <c r="O222" s="14"/>
      <c r="P222" s="14">
        <v>264</v>
      </c>
      <c r="Q222" s="14"/>
      <c r="R222" s="14"/>
      <c r="S222" s="14"/>
      <c r="T222" s="14"/>
      <c r="U222" s="14"/>
      <c r="V222" s="14"/>
      <c r="W222" s="14">
        <v>312</v>
      </c>
      <c r="X222" s="14"/>
      <c r="Y222" s="14">
        <v>354</v>
      </c>
      <c r="Z222" s="14"/>
      <c r="AA222" s="14"/>
      <c r="AB222" s="14">
        <v>312</v>
      </c>
      <c r="AC222" s="14"/>
      <c r="AD222" s="14"/>
      <c r="AE222" s="14"/>
      <c r="AF222" s="14">
        <v>108</v>
      </c>
      <c r="AG222" s="14">
        <v>218</v>
      </c>
      <c r="AH222" s="14"/>
      <c r="AI222" s="14"/>
      <c r="AJ222" s="14"/>
      <c r="AK222" s="14">
        <v>257</v>
      </c>
      <c r="AL222" s="14"/>
      <c r="AM222" s="14"/>
      <c r="AN222" s="14">
        <v>108</v>
      </c>
      <c r="AO222" s="14"/>
      <c r="AP222" s="14"/>
      <c r="AQ222" s="14"/>
      <c r="AR222" s="14"/>
      <c r="AS222" s="14"/>
      <c r="AT222" s="14"/>
      <c r="AU222" s="14"/>
      <c r="AV222" s="14"/>
      <c r="AW222" s="14"/>
      <c r="AX222" s="14"/>
      <c r="AY222" s="14"/>
      <c r="AZ222" s="14"/>
      <c r="BA222" s="14"/>
      <c r="BB222" s="14"/>
      <c r="BC222" s="14"/>
      <c r="BD222" s="14">
        <v>56</v>
      </c>
      <c r="BE222" s="14">
        <v>38</v>
      </c>
      <c r="BF222" s="14"/>
      <c r="BG222" s="14">
        <v>39</v>
      </c>
      <c r="BH222" s="14"/>
      <c r="BI222" s="14"/>
      <c r="BJ222" s="14"/>
      <c r="BK222" s="14"/>
      <c r="BL222" s="14">
        <v>38</v>
      </c>
    </row>
    <row r="223" spans="4:64" x14ac:dyDescent="0.25">
      <c r="D223" s="21" t="s">
        <v>2207</v>
      </c>
      <c r="E223" s="14"/>
      <c r="F223" s="14">
        <v>27</v>
      </c>
      <c r="G223" s="14"/>
      <c r="H223" s="14"/>
      <c r="I223" s="14"/>
      <c r="J223" s="14"/>
      <c r="K223" s="14"/>
      <c r="L223" s="14"/>
      <c r="M223" s="14"/>
      <c r="N223" s="14"/>
      <c r="O223" s="14">
        <v>27</v>
      </c>
      <c r="P223" s="14">
        <v>27</v>
      </c>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v>27</v>
      </c>
      <c r="AR223" s="14">
        <v>27</v>
      </c>
      <c r="AS223" s="14"/>
      <c r="AT223" s="14">
        <v>27</v>
      </c>
      <c r="AU223" s="14"/>
      <c r="AV223" s="14"/>
      <c r="AW223" s="14"/>
      <c r="AX223" s="14"/>
      <c r="AY223" s="14"/>
      <c r="AZ223" s="14">
        <v>27</v>
      </c>
      <c r="BA223" s="14"/>
      <c r="BB223" s="14">
        <v>27</v>
      </c>
      <c r="BC223" s="14"/>
      <c r="BD223" s="14"/>
      <c r="BE223" s="14"/>
      <c r="BF223" s="14"/>
      <c r="BG223" s="14"/>
      <c r="BH223" s="14"/>
      <c r="BI223" s="14"/>
      <c r="BJ223" s="14"/>
      <c r="BK223" s="14"/>
      <c r="BL223" s="14">
        <v>27</v>
      </c>
    </row>
    <row r="224" spans="4:64" x14ac:dyDescent="0.25">
      <c r="D224" s="21" t="s">
        <v>2205</v>
      </c>
      <c r="E224" s="14"/>
      <c r="F224" s="14"/>
      <c r="G224" s="14"/>
      <c r="H224" s="14"/>
      <c r="I224" s="14"/>
      <c r="J224" s="14"/>
      <c r="K224" s="14"/>
      <c r="L224" s="14"/>
      <c r="M224" s="14"/>
      <c r="N224" s="14"/>
      <c r="O224" s="14"/>
      <c r="P224" s="14"/>
      <c r="Q224" s="14"/>
      <c r="R224" s="14"/>
      <c r="S224" s="14"/>
      <c r="T224" s="14"/>
      <c r="U224" s="14"/>
      <c r="V224" s="14"/>
      <c r="W224" s="14"/>
      <c r="X224" s="14"/>
      <c r="Y224" s="14"/>
      <c r="Z224" s="14"/>
      <c r="AA224" s="14">
        <v>27</v>
      </c>
      <c r="AB224" s="14">
        <v>27</v>
      </c>
      <c r="AC224" s="14"/>
      <c r="AD224" s="14"/>
      <c r="AE224" s="14"/>
      <c r="AF224" s="14"/>
      <c r="AG224" s="14"/>
      <c r="AH224" s="14"/>
      <c r="AI224" s="14"/>
      <c r="AJ224" s="14"/>
      <c r="AK224" s="14"/>
      <c r="AL224" s="14"/>
      <c r="AM224" s="14"/>
      <c r="AN224" s="14"/>
      <c r="AO224" s="14"/>
      <c r="AP224" s="14">
        <v>27</v>
      </c>
      <c r="AQ224" s="14"/>
      <c r="AR224" s="14">
        <v>27</v>
      </c>
      <c r="AS224" s="14">
        <v>27</v>
      </c>
      <c r="AT224" s="14"/>
      <c r="AU224" s="14">
        <v>27</v>
      </c>
      <c r="AV224" s="14"/>
      <c r="AW224" s="14"/>
      <c r="AX224" s="14"/>
      <c r="AY224" s="14"/>
      <c r="AZ224" s="14">
        <v>27</v>
      </c>
      <c r="BA224" s="14"/>
      <c r="BB224" s="14"/>
      <c r="BC224" s="14"/>
      <c r="BD224" s="14"/>
      <c r="BE224" s="14"/>
      <c r="BF224" s="14"/>
      <c r="BG224" s="14">
        <v>27</v>
      </c>
      <c r="BH224" s="14">
        <v>27</v>
      </c>
      <c r="BI224" s="14">
        <v>27</v>
      </c>
      <c r="BJ224" s="14">
        <v>27</v>
      </c>
      <c r="BK224" s="14"/>
      <c r="BL224" s="14">
        <v>27</v>
      </c>
    </row>
    <row r="225" spans="4:64" x14ac:dyDescent="0.25">
      <c r="D225" s="20" t="s">
        <v>2203</v>
      </c>
      <c r="E225" s="14"/>
      <c r="F225" s="14">
        <v>27</v>
      </c>
      <c r="G225" s="14"/>
      <c r="H225" s="14">
        <v>27</v>
      </c>
      <c r="I225" s="14">
        <v>27</v>
      </c>
      <c r="J225" s="14"/>
      <c r="K225" s="14"/>
      <c r="L225" s="14">
        <v>27</v>
      </c>
      <c r="M225" s="14"/>
      <c r="N225" s="14"/>
      <c r="O225" s="14"/>
      <c r="P225" s="14">
        <v>27</v>
      </c>
      <c r="Q225" s="14"/>
      <c r="R225" s="14">
        <v>27</v>
      </c>
      <c r="S225" s="14">
        <v>27</v>
      </c>
      <c r="T225" s="14"/>
      <c r="U225" s="14"/>
      <c r="V225" s="14"/>
      <c r="W225" s="14">
        <v>27</v>
      </c>
      <c r="X225" s="14">
        <v>27</v>
      </c>
      <c r="Y225" s="14"/>
      <c r="Z225" s="14"/>
      <c r="AA225" s="14">
        <v>27</v>
      </c>
      <c r="AB225" s="14">
        <v>27</v>
      </c>
      <c r="AC225" s="14">
        <v>27</v>
      </c>
      <c r="AD225" s="14"/>
      <c r="AE225" s="14"/>
      <c r="AF225" s="14"/>
      <c r="AG225" s="14">
        <v>27</v>
      </c>
      <c r="AH225" s="14">
        <v>27</v>
      </c>
      <c r="AI225" s="14">
        <v>110</v>
      </c>
      <c r="AJ225" s="14"/>
      <c r="AK225" s="14">
        <v>27</v>
      </c>
      <c r="AL225" s="14">
        <v>27</v>
      </c>
      <c r="AM225" s="14">
        <v>122</v>
      </c>
      <c r="AN225" s="14">
        <v>27</v>
      </c>
      <c r="AO225" s="14">
        <v>27</v>
      </c>
      <c r="AP225" s="14">
        <v>27</v>
      </c>
      <c r="AQ225" s="14"/>
      <c r="AR225" s="14"/>
      <c r="AS225" s="14"/>
      <c r="AT225" s="14">
        <v>27</v>
      </c>
      <c r="AU225" s="14"/>
      <c r="AV225" s="14"/>
      <c r="AW225" s="14"/>
      <c r="AX225" s="14"/>
      <c r="AY225" s="14">
        <v>27</v>
      </c>
      <c r="AZ225" s="14">
        <v>27</v>
      </c>
      <c r="BA225" s="14">
        <v>194</v>
      </c>
      <c r="BB225" s="14"/>
      <c r="BC225" s="14"/>
      <c r="BD225" s="14"/>
      <c r="BE225" s="14"/>
      <c r="BF225" s="14"/>
      <c r="BG225" s="14"/>
      <c r="BH225" s="14">
        <v>27</v>
      </c>
      <c r="BI225" s="14"/>
      <c r="BJ225" s="14">
        <v>27</v>
      </c>
      <c r="BK225" s="14"/>
      <c r="BL225" s="14">
        <v>27</v>
      </c>
    </row>
    <row r="226" spans="4:64" x14ac:dyDescent="0.25">
      <c r="D226" s="21" t="s">
        <v>2206</v>
      </c>
      <c r="E226" s="14"/>
      <c r="F226" s="14"/>
      <c r="G226" s="14"/>
      <c r="H226" s="14">
        <v>27</v>
      </c>
      <c r="I226" s="14"/>
      <c r="J226" s="14"/>
      <c r="K226" s="14"/>
      <c r="L226" s="14"/>
      <c r="M226" s="14"/>
      <c r="N226" s="14"/>
      <c r="O226" s="14"/>
      <c r="P226" s="14">
        <v>27</v>
      </c>
      <c r="Q226" s="14"/>
      <c r="R226" s="14"/>
      <c r="S226" s="14">
        <v>27</v>
      </c>
      <c r="T226" s="14"/>
      <c r="U226" s="14"/>
      <c r="V226" s="14"/>
      <c r="W226" s="14">
        <v>27</v>
      </c>
      <c r="X226" s="14"/>
      <c r="Y226" s="14"/>
      <c r="Z226" s="14"/>
      <c r="AA226" s="14">
        <v>27</v>
      </c>
      <c r="AB226" s="14">
        <v>27</v>
      </c>
      <c r="AC226" s="14"/>
      <c r="AD226" s="14"/>
      <c r="AE226" s="14"/>
      <c r="AF226" s="14"/>
      <c r="AG226" s="14">
        <v>27</v>
      </c>
      <c r="AH226" s="14"/>
      <c r="AI226" s="14"/>
      <c r="AJ226" s="14"/>
      <c r="AK226" s="14"/>
      <c r="AL226" s="14"/>
      <c r="AM226" s="14"/>
      <c r="AN226" s="14">
        <v>27</v>
      </c>
      <c r="AO226" s="14"/>
      <c r="AP226" s="14">
        <v>27</v>
      </c>
      <c r="AQ226" s="14"/>
      <c r="AR226" s="14"/>
      <c r="AS226" s="14"/>
      <c r="AT226" s="14"/>
      <c r="AU226" s="14"/>
      <c r="AV226" s="14"/>
      <c r="AW226" s="14"/>
      <c r="AX226" s="14"/>
      <c r="AY226" s="14">
        <v>27</v>
      </c>
      <c r="AZ226" s="14">
        <v>27</v>
      </c>
      <c r="BA226" s="14"/>
      <c r="BB226" s="14"/>
      <c r="BC226" s="14"/>
      <c r="BD226" s="14"/>
      <c r="BE226" s="14"/>
      <c r="BF226" s="14"/>
      <c r="BG226" s="14"/>
      <c r="BH226" s="14"/>
      <c r="BI226" s="14"/>
      <c r="BJ226" s="14"/>
      <c r="BK226" s="14"/>
      <c r="BL226" s="14"/>
    </row>
    <row r="227" spans="4:64" x14ac:dyDescent="0.25">
      <c r="D227" s="21" t="s">
        <v>2204</v>
      </c>
      <c r="E227" s="14"/>
      <c r="F227" s="14"/>
      <c r="G227" s="14"/>
      <c r="H227" s="14"/>
      <c r="I227" s="14"/>
      <c r="J227" s="14"/>
      <c r="K227" s="14"/>
      <c r="L227" s="14"/>
      <c r="M227" s="14"/>
      <c r="N227" s="14"/>
      <c r="O227" s="14"/>
      <c r="P227" s="14"/>
      <c r="Q227" s="14"/>
      <c r="R227" s="14"/>
      <c r="S227" s="14">
        <v>36</v>
      </c>
      <c r="T227" s="14"/>
      <c r="U227" s="14"/>
      <c r="V227" s="14"/>
      <c r="W227" s="14"/>
      <c r="X227" s="14"/>
      <c r="Y227" s="14"/>
      <c r="Z227" s="14"/>
      <c r="AA227" s="14"/>
      <c r="AB227" s="14">
        <v>36</v>
      </c>
      <c r="AC227" s="14"/>
      <c r="AD227" s="14"/>
      <c r="AE227" s="14"/>
      <c r="AF227" s="14"/>
      <c r="AG227" s="14"/>
      <c r="AH227" s="14">
        <v>295</v>
      </c>
      <c r="AI227" s="14">
        <v>110</v>
      </c>
      <c r="AJ227" s="14"/>
      <c r="AK227" s="14"/>
      <c r="AL227" s="14"/>
      <c r="AM227" s="14">
        <v>122</v>
      </c>
      <c r="AN227" s="14">
        <v>110</v>
      </c>
      <c r="AO227" s="14"/>
      <c r="AP227" s="14"/>
      <c r="AQ227" s="14"/>
      <c r="AR227" s="14"/>
      <c r="AS227" s="14"/>
      <c r="AT227" s="14"/>
      <c r="AU227" s="14"/>
      <c r="AV227" s="14"/>
      <c r="AW227" s="14"/>
      <c r="AX227" s="14"/>
      <c r="AY227" s="14"/>
      <c r="AZ227" s="14"/>
      <c r="BA227" s="14">
        <v>194</v>
      </c>
      <c r="BB227" s="14"/>
      <c r="BC227" s="14"/>
      <c r="BD227" s="14"/>
      <c r="BE227" s="14"/>
      <c r="BF227" s="14"/>
      <c r="BG227" s="14"/>
      <c r="BH227" s="14"/>
      <c r="BI227" s="14"/>
      <c r="BJ227" s="14"/>
      <c r="BK227" s="14"/>
      <c r="BL227" s="14">
        <v>194</v>
      </c>
    </row>
    <row r="228" spans="4:64" x14ac:dyDescent="0.25">
      <c r="D228" s="21" t="s">
        <v>2207</v>
      </c>
      <c r="E228" s="14"/>
      <c r="F228" s="14">
        <v>27</v>
      </c>
      <c r="G228" s="14"/>
      <c r="H228" s="14"/>
      <c r="I228" s="14">
        <v>27</v>
      </c>
      <c r="J228" s="14"/>
      <c r="K228" s="14"/>
      <c r="L228" s="14"/>
      <c r="M228" s="14"/>
      <c r="N228" s="14"/>
      <c r="O228" s="14"/>
      <c r="P228" s="14">
        <v>27</v>
      </c>
      <c r="Q228" s="14"/>
      <c r="R228" s="14">
        <v>27</v>
      </c>
      <c r="S228" s="14"/>
      <c r="T228" s="14"/>
      <c r="U228" s="14"/>
      <c r="V228" s="14"/>
      <c r="W228" s="14"/>
      <c r="X228" s="14">
        <v>27</v>
      </c>
      <c r="Y228" s="14"/>
      <c r="Z228" s="14"/>
      <c r="AA228" s="14"/>
      <c r="AB228" s="14">
        <v>27</v>
      </c>
      <c r="AC228" s="14">
        <v>27</v>
      </c>
      <c r="AD228" s="14"/>
      <c r="AE228" s="14"/>
      <c r="AF228" s="14"/>
      <c r="AG228" s="14">
        <v>27</v>
      </c>
      <c r="AH228" s="14"/>
      <c r="AI228" s="14"/>
      <c r="AJ228" s="14"/>
      <c r="AK228" s="14">
        <v>27</v>
      </c>
      <c r="AL228" s="14">
        <v>27</v>
      </c>
      <c r="AM228" s="14"/>
      <c r="AN228" s="14">
        <v>27</v>
      </c>
      <c r="AO228" s="14">
        <v>27</v>
      </c>
      <c r="AP228" s="14"/>
      <c r="AQ228" s="14"/>
      <c r="AR228" s="14"/>
      <c r="AS228" s="14"/>
      <c r="AT228" s="14">
        <v>27</v>
      </c>
      <c r="AU228" s="14"/>
      <c r="AV228" s="14"/>
      <c r="AW228" s="14"/>
      <c r="AX228" s="14"/>
      <c r="AY228" s="14"/>
      <c r="AZ228" s="14">
        <v>27</v>
      </c>
      <c r="BA228" s="14"/>
      <c r="BB228" s="14"/>
      <c r="BC228" s="14"/>
      <c r="BD228" s="14"/>
      <c r="BE228" s="14"/>
      <c r="BF228" s="14"/>
      <c r="BG228" s="14"/>
      <c r="BH228" s="14">
        <v>27</v>
      </c>
      <c r="BI228" s="14"/>
      <c r="BJ228" s="14">
        <v>27</v>
      </c>
      <c r="BK228" s="14"/>
      <c r="BL228" s="14">
        <v>27</v>
      </c>
    </row>
    <row r="229" spans="4:64" x14ac:dyDescent="0.25">
      <c r="D229" s="21" t="s">
        <v>2205</v>
      </c>
      <c r="E229" s="14"/>
      <c r="F229" s="14">
        <v>27</v>
      </c>
      <c r="G229" s="14"/>
      <c r="H229" s="14">
        <v>27</v>
      </c>
      <c r="I229" s="14"/>
      <c r="J229" s="14"/>
      <c r="K229" s="14"/>
      <c r="L229" s="14">
        <v>27</v>
      </c>
      <c r="M229" s="14"/>
      <c r="N229" s="14"/>
      <c r="O229" s="14"/>
      <c r="P229" s="14">
        <v>27</v>
      </c>
      <c r="Q229" s="14"/>
      <c r="R229" s="14">
        <v>27</v>
      </c>
      <c r="S229" s="14"/>
      <c r="T229" s="14"/>
      <c r="U229" s="14"/>
      <c r="V229" s="14"/>
      <c r="W229" s="14"/>
      <c r="X229" s="14"/>
      <c r="Y229" s="14"/>
      <c r="Z229" s="14"/>
      <c r="AA229" s="14"/>
      <c r="AB229" s="14">
        <v>27</v>
      </c>
      <c r="AC229" s="14"/>
      <c r="AD229" s="14"/>
      <c r="AE229" s="14"/>
      <c r="AF229" s="14"/>
      <c r="AG229" s="14"/>
      <c r="AH229" s="14">
        <v>27</v>
      </c>
      <c r="AI229" s="14"/>
      <c r="AJ229" s="14"/>
      <c r="AK229" s="14"/>
      <c r="AL229" s="14"/>
      <c r="AM229" s="14"/>
      <c r="AN229" s="14">
        <v>27</v>
      </c>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row>
    <row r="230" spans="4:64" x14ac:dyDescent="0.25">
      <c r="D230" s="20" t="s">
        <v>2202</v>
      </c>
      <c r="E230" s="14"/>
      <c r="F230" s="14"/>
      <c r="G230" s="14"/>
      <c r="H230" s="14"/>
      <c r="I230" s="14"/>
      <c r="J230" s="14"/>
      <c r="K230" s="14"/>
      <c r="L230" s="14"/>
      <c r="M230" s="14"/>
      <c r="N230" s="14">
        <v>27</v>
      </c>
      <c r="O230" s="14">
        <v>27</v>
      </c>
      <c r="P230" s="14">
        <v>27</v>
      </c>
      <c r="Q230" s="14"/>
      <c r="R230" s="14">
        <v>27</v>
      </c>
      <c r="S230" s="14"/>
      <c r="T230" s="14">
        <v>27</v>
      </c>
      <c r="U230" s="14">
        <v>27</v>
      </c>
      <c r="V230" s="14">
        <v>27</v>
      </c>
      <c r="W230" s="14"/>
      <c r="X230" s="14"/>
      <c r="Y230" s="14"/>
      <c r="Z230" s="14">
        <v>27</v>
      </c>
      <c r="AA230" s="14">
        <v>357</v>
      </c>
      <c r="AB230" s="14">
        <v>27</v>
      </c>
      <c r="AC230" s="14"/>
      <c r="AD230" s="14">
        <v>27</v>
      </c>
      <c r="AE230" s="14"/>
      <c r="AF230" s="14"/>
      <c r="AG230" s="14"/>
      <c r="AH230" s="14">
        <v>27</v>
      </c>
      <c r="AI230" s="14">
        <v>27</v>
      </c>
      <c r="AJ230" s="14"/>
      <c r="AK230" s="14"/>
      <c r="AL230" s="14">
        <v>27</v>
      </c>
      <c r="AM230" s="14"/>
      <c r="AN230" s="14">
        <v>27</v>
      </c>
      <c r="AO230" s="14">
        <v>27</v>
      </c>
      <c r="AP230" s="14">
        <v>27</v>
      </c>
      <c r="AQ230" s="14"/>
      <c r="AR230" s="14"/>
      <c r="AS230" s="14">
        <v>27</v>
      </c>
      <c r="AT230" s="14">
        <v>27</v>
      </c>
      <c r="AU230" s="14">
        <v>27</v>
      </c>
      <c r="AV230" s="14">
        <v>226</v>
      </c>
      <c r="AW230" s="14"/>
      <c r="AX230" s="14"/>
      <c r="AY230" s="14"/>
      <c r="AZ230" s="14">
        <v>27</v>
      </c>
      <c r="BA230" s="14"/>
      <c r="BB230" s="14">
        <v>333</v>
      </c>
      <c r="BC230" s="14"/>
      <c r="BD230" s="14">
        <v>27</v>
      </c>
      <c r="BE230" s="14"/>
      <c r="BF230" s="14">
        <v>27</v>
      </c>
      <c r="BG230" s="14"/>
      <c r="BH230" s="14">
        <v>27</v>
      </c>
      <c r="BI230" s="14">
        <v>327</v>
      </c>
      <c r="BJ230" s="14">
        <v>311</v>
      </c>
      <c r="BK230" s="14"/>
      <c r="BL230" s="14">
        <v>27</v>
      </c>
    </row>
    <row r="231" spans="4:64" x14ac:dyDescent="0.25">
      <c r="D231" s="21" t="s">
        <v>2206</v>
      </c>
      <c r="E231" s="14"/>
      <c r="F231" s="14"/>
      <c r="G231" s="14"/>
      <c r="H231" s="14"/>
      <c r="I231" s="14"/>
      <c r="J231" s="14"/>
      <c r="K231" s="14"/>
      <c r="L231" s="14"/>
      <c r="M231" s="14"/>
      <c r="N231" s="14"/>
      <c r="O231" s="14"/>
      <c r="P231" s="14"/>
      <c r="Q231" s="14"/>
      <c r="R231" s="14">
        <v>27</v>
      </c>
      <c r="S231" s="14"/>
      <c r="T231" s="14"/>
      <c r="U231" s="14"/>
      <c r="V231" s="14"/>
      <c r="W231" s="14"/>
      <c r="X231" s="14"/>
      <c r="Y231" s="14"/>
      <c r="Z231" s="14"/>
      <c r="AA231" s="14"/>
      <c r="AB231" s="14">
        <v>27</v>
      </c>
      <c r="AC231" s="14"/>
      <c r="AD231" s="14"/>
      <c r="AE231" s="14"/>
      <c r="AF231" s="14"/>
      <c r="AG231" s="14"/>
      <c r="AH231" s="14"/>
      <c r="AI231" s="14"/>
      <c r="AJ231" s="14"/>
      <c r="AK231" s="14"/>
      <c r="AL231" s="14"/>
      <c r="AM231" s="14"/>
      <c r="AN231" s="14"/>
      <c r="AO231" s="14"/>
      <c r="AP231" s="14"/>
      <c r="AQ231" s="14"/>
      <c r="AR231" s="14"/>
      <c r="AS231" s="14">
        <v>27</v>
      </c>
      <c r="AT231" s="14"/>
      <c r="AU231" s="14"/>
      <c r="AV231" s="14"/>
      <c r="AW231" s="14"/>
      <c r="AX231" s="14"/>
      <c r="AY231" s="14"/>
      <c r="AZ231" s="14">
        <v>27</v>
      </c>
      <c r="BA231" s="14"/>
      <c r="BB231" s="14"/>
      <c r="BC231" s="14"/>
      <c r="BD231" s="14"/>
      <c r="BE231" s="14"/>
      <c r="BF231" s="14">
        <v>27</v>
      </c>
      <c r="BG231" s="14"/>
      <c r="BH231" s="14"/>
      <c r="BI231" s="14"/>
      <c r="BJ231" s="14"/>
      <c r="BK231" s="14"/>
      <c r="BL231" s="14">
        <v>27</v>
      </c>
    </row>
    <row r="232" spans="4:64" x14ac:dyDescent="0.25">
      <c r="D232" s="21" t="s">
        <v>2204</v>
      </c>
      <c r="E232" s="14"/>
      <c r="F232" s="14"/>
      <c r="G232" s="14"/>
      <c r="H232" s="14"/>
      <c r="I232" s="14"/>
      <c r="J232" s="14"/>
      <c r="K232" s="14"/>
      <c r="L232" s="14"/>
      <c r="M232" s="14"/>
      <c r="N232" s="14">
        <v>211</v>
      </c>
      <c r="O232" s="14"/>
      <c r="P232" s="14">
        <v>211</v>
      </c>
      <c r="Q232" s="14"/>
      <c r="R232" s="14"/>
      <c r="S232" s="14"/>
      <c r="T232" s="14"/>
      <c r="U232" s="14"/>
      <c r="V232" s="14"/>
      <c r="W232" s="14"/>
      <c r="X232" s="14"/>
      <c r="Y232" s="14"/>
      <c r="Z232" s="14"/>
      <c r="AA232" s="14">
        <v>357</v>
      </c>
      <c r="AB232" s="14">
        <v>357</v>
      </c>
      <c r="AC232" s="14"/>
      <c r="AD232" s="14"/>
      <c r="AE232" s="14"/>
      <c r="AF232" s="14"/>
      <c r="AG232" s="14"/>
      <c r="AH232" s="14">
        <v>235</v>
      </c>
      <c r="AI232" s="14"/>
      <c r="AJ232" s="14"/>
      <c r="AK232" s="14"/>
      <c r="AL232" s="14"/>
      <c r="AM232" s="14"/>
      <c r="AN232" s="14">
        <v>235</v>
      </c>
      <c r="AO232" s="14"/>
      <c r="AP232" s="14"/>
      <c r="AQ232" s="14"/>
      <c r="AR232" s="14"/>
      <c r="AS232" s="14">
        <v>85</v>
      </c>
      <c r="AT232" s="14"/>
      <c r="AU232" s="14"/>
      <c r="AV232" s="14">
        <v>226</v>
      </c>
      <c r="AW232" s="14"/>
      <c r="AX232" s="14"/>
      <c r="AY232" s="14"/>
      <c r="AZ232" s="14">
        <v>85</v>
      </c>
      <c r="BA232" s="14"/>
      <c r="BB232" s="14">
        <v>333</v>
      </c>
      <c r="BC232" s="14"/>
      <c r="BD232" s="14"/>
      <c r="BE232" s="14"/>
      <c r="BF232" s="14">
        <v>101</v>
      </c>
      <c r="BG232" s="14"/>
      <c r="BH232" s="14">
        <v>47</v>
      </c>
      <c r="BI232" s="14">
        <v>327</v>
      </c>
      <c r="BJ232" s="14">
        <v>311</v>
      </c>
      <c r="BK232" s="14"/>
      <c r="BL232" s="14">
        <v>47</v>
      </c>
    </row>
    <row r="233" spans="4:64" x14ac:dyDescent="0.25">
      <c r="D233" s="21" t="s">
        <v>2207</v>
      </c>
      <c r="E233" s="14"/>
      <c r="F233" s="14"/>
      <c r="G233" s="14"/>
      <c r="H233" s="14"/>
      <c r="I233" s="14"/>
      <c r="J233" s="14"/>
      <c r="K233" s="14"/>
      <c r="L233" s="14"/>
      <c r="M233" s="14"/>
      <c r="N233" s="14"/>
      <c r="O233" s="14"/>
      <c r="P233" s="14"/>
      <c r="Q233" s="14"/>
      <c r="R233" s="14"/>
      <c r="S233" s="14"/>
      <c r="T233" s="14">
        <v>27</v>
      </c>
      <c r="U233" s="14"/>
      <c r="V233" s="14"/>
      <c r="W233" s="14"/>
      <c r="X233" s="14"/>
      <c r="Y233" s="14"/>
      <c r="Z233" s="14">
        <v>27</v>
      </c>
      <c r="AA233" s="14"/>
      <c r="AB233" s="14">
        <v>27</v>
      </c>
      <c r="AC233" s="14"/>
      <c r="AD233" s="14">
        <v>27</v>
      </c>
      <c r="AE233" s="14"/>
      <c r="AF233" s="14"/>
      <c r="AG233" s="14"/>
      <c r="AH233" s="14">
        <v>27</v>
      </c>
      <c r="AI233" s="14">
        <v>27</v>
      </c>
      <c r="AJ233" s="14"/>
      <c r="AK233" s="14"/>
      <c r="AL233" s="14">
        <v>27</v>
      </c>
      <c r="AM233" s="14"/>
      <c r="AN233" s="14">
        <v>27</v>
      </c>
      <c r="AO233" s="14">
        <v>27</v>
      </c>
      <c r="AP233" s="14">
        <v>27</v>
      </c>
      <c r="AQ233" s="14"/>
      <c r="AR233" s="14"/>
      <c r="AS233" s="14"/>
      <c r="AT233" s="14">
        <v>27</v>
      </c>
      <c r="AU233" s="14">
        <v>27</v>
      </c>
      <c r="AV233" s="14"/>
      <c r="AW233" s="14"/>
      <c r="AX233" s="14"/>
      <c r="AY233" s="14"/>
      <c r="AZ233" s="14">
        <v>27</v>
      </c>
      <c r="BA233" s="14"/>
      <c r="BB233" s="14"/>
      <c r="BC233" s="14"/>
      <c r="BD233" s="14"/>
      <c r="BE233" s="14"/>
      <c r="BF233" s="14"/>
      <c r="BG233" s="14"/>
      <c r="BH233" s="14">
        <v>27</v>
      </c>
      <c r="BI233" s="14"/>
      <c r="BJ233" s="14"/>
      <c r="BK233" s="14"/>
      <c r="BL233" s="14">
        <v>27</v>
      </c>
    </row>
    <row r="234" spans="4:64" x14ac:dyDescent="0.25">
      <c r="D234" s="21" t="s">
        <v>2205</v>
      </c>
      <c r="E234" s="14"/>
      <c r="F234" s="14"/>
      <c r="G234" s="14"/>
      <c r="H234" s="14"/>
      <c r="I234" s="14"/>
      <c r="J234" s="14"/>
      <c r="K234" s="14"/>
      <c r="L234" s="14"/>
      <c r="M234" s="14"/>
      <c r="N234" s="14">
        <v>27</v>
      </c>
      <c r="O234" s="14">
        <v>27</v>
      </c>
      <c r="P234" s="14">
        <v>27</v>
      </c>
      <c r="Q234" s="14"/>
      <c r="R234" s="14"/>
      <c r="S234" s="14"/>
      <c r="T234" s="14"/>
      <c r="U234" s="14">
        <v>27</v>
      </c>
      <c r="V234" s="14">
        <v>27</v>
      </c>
      <c r="W234" s="14"/>
      <c r="X234" s="14"/>
      <c r="Y234" s="14"/>
      <c r="Z234" s="14"/>
      <c r="AA234" s="14"/>
      <c r="AB234" s="14">
        <v>27</v>
      </c>
      <c r="AC234" s="14"/>
      <c r="AD234" s="14"/>
      <c r="AE234" s="14"/>
      <c r="AF234" s="14"/>
      <c r="AG234" s="14"/>
      <c r="AH234" s="14">
        <v>27</v>
      </c>
      <c r="AI234" s="14"/>
      <c r="AJ234" s="14"/>
      <c r="AK234" s="14"/>
      <c r="AL234" s="14">
        <v>27</v>
      </c>
      <c r="AM234" s="14"/>
      <c r="AN234" s="14">
        <v>27</v>
      </c>
      <c r="AO234" s="14"/>
      <c r="AP234" s="14"/>
      <c r="AQ234" s="14"/>
      <c r="AR234" s="14"/>
      <c r="AS234" s="14"/>
      <c r="AT234" s="14"/>
      <c r="AU234" s="14"/>
      <c r="AV234" s="14"/>
      <c r="AW234" s="14"/>
      <c r="AX234" s="14"/>
      <c r="AY234" s="14"/>
      <c r="AZ234" s="14"/>
      <c r="BA234" s="14"/>
      <c r="BB234" s="14"/>
      <c r="BC234" s="14"/>
      <c r="BD234" s="14">
        <v>27</v>
      </c>
      <c r="BE234" s="14"/>
      <c r="BF234" s="14"/>
      <c r="BG234" s="14"/>
      <c r="BH234" s="14"/>
      <c r="BI234" s="14"/>
      <c r="BJ234" s="14"/>
      <c r="BK234" s="14"/>
      <c r="BL234" s="14">
        <v>27</v>
      </c>
    </row>
    <row r="235" spans="4:64" x14ac:dyDescent="0.25">
      <c r="D235" s="20" t="s">
        <v>2200</v>
      </c>
      <c r="E235" s="14">
        <v>27</v>
      </c>
      <c r="F235" s="14"/>
      <c r="G235" s="14">
        <v>27</v>
      </c>
      <c r="H235" s="14">
        <v>27</v>
      </c>
      <c r="I235" s="14">
        <v>27</v>
      </c>
      <c r="J235" s="14"/>
      <c r="K235" s="14"/>
      <c r="L235" s="14">
        <v>27</v>
      </c>
      <c r="M235" s="14">
        <v>27</v>
      </c>
      <c r="N235" s="14">
        <v>27</v>
      </c>
      <c r="O235" s="14">
        <v>27</v>
      </c>
      <c r="P235" s="14">
        <v>27</v>
      </c>
      <c r="Q235" s="14"/>
      <c r="R235" s="14"/>
      <c r="S235" s="14"/>
      <c r="T235" s="14"/>
      <c r="U235" s="14"/>
      <c r="V235" s="14"/>
      <c r="W235" s="14">
        <v>27</v>
      </c>
      <c r="X235" s="14">
        <v>106</v>
      </c>
      <c r="Y235" s="14">
        <v>27</v>
      </c>
      <c r="Z235" s="14"/>
      <c r="AA235" s="14">
        <v>27</v>
      </c>
      <c r="AB235" s="14">
        <v>27</v>
      </c>
      <c r="AC235" s="14">
        <v>27</v>
      </c>
      <c r="AD235" s="14"/>
      <c r="AE235" s="14"/>
      <c r="AF235" s="14"/>
      <c r="AG235" s="14"/>
      <c r="AH235" s="14"/>
      <c r="AI235" s="14"/>
      <c r="AJ235" s="14"/>
      <c r="AK235" s="14">
        <v>27</v>
      </c>
      <c r="AL235" s="14">
        <v>27</v>
      </c>
      <c r="AM235" s="14"/>
      <c r="AN235" s="14">
        <v>27</v>
      </c>
      <c r="AO235" s="14"/>
      <c r="AP235" s="14"/>
      <c r="AQ235" s="14"/>
      <c r="AR235" s="14"/>
      <c r="AS235" s="14">
        <v>27</v>
      </c>
      <c r="AT235" s="14"/>
      <c r="AU235" s="14">
        <v>27</v>
      </c>
      <c r="AV235" s="14">
        <v>27</v>
      </c>
      <c r="AW235" s="14">
        <v>259</v>
      </c>
      <c r="AX235" s="14">
        <v>27</v>
      </c>
      <c r="AY235" s="14"/>
      <c r="AZ235" s="14">
        <v>27</v>
      </c>
      <c r="BA235" s="14">
        <v>54</v>
      </c>
      <c r="BB235" s="14">
        <v>233</v>
      </c>
      <c r="BC235" s="14"/>
      <c r="BD235" s="14">
        <v>27</v>
      </c>
      <c r="BE235" s="14"/>
      <c r="BF235" s="14">
        <v>27</v>
      </c>
      <c r="BG235" s="14"/>
      <c r="BH235" s="14"/>
      <c r="BI235" s="14"/>
      <c r="BJ235" s="14"/>
      <c r="BK235" s="14">
        <v>27</v>
      </c>
      <c r="BL235" s="14">
        <v>27</v>
      </c>
    </row>
    <row r="236" spans="4:64" x14ac:dyDescent="0.25">
      <c r="D236" s="21" t="s">
        <v>2206</v>
      </c>
      <c r="E236" s="14"/>
      <c r="F236" s="14"/>
      <c r="G236" s="14">
        <v>27</v>
      </c>
      <c r="H236" s="14"/>
      <c r="I236" s="14"/>
      <c r="J236" s="14"/>
      <c r="K236" s="14"/>
      <c r="L236" s="14"/>
      <c r="M236" s="14">
        <v>27</v>
      </c>
      <c r="N236" s="14"/>
      <c r="O236" s="14"/>
      <c r="P236" s="14">
        <v>27</v>
      </c>
      <c r="Q236" s="14"/>
      <c r="R236" s="14"/>
      <c r="S236" s="14"/>
      <c r="T236" s="14"/>
      <c r="U236" s="14"/>
      <c r="V236" s="14"/>
      <c r="W236" s="14"/>
      <c r="X236" s="14"/>
      <c r="Y236" s="14">
        <v>27</v>
      </c>
      <c r="Z236" s="14"/>
      <c r="AA236" s="14"/>
      <c r="AB236" s="14">
        <v>27</v>
      </c>
      <c r="AC236" s="14"/>
      <c r="AD236" s="14"/>
      <c r="AE236" s="14"/>
      <c r="AF236" s="14"/>
      <c r="AG236" s="14"/>
      <c r="AH236" s="14"/>
      <c r="AI236" s="14"/>
      <c r="AJ236" s="14"/>
      <c r="AK236" s="14"/>
      <c r="AL236" s="14"/>
      <c r="AM236" s="14"/>
      <c r="AN236" s="14"/>
      <c r="AO236" s="14"/>
      <c r="AP236" s="14"/>
      <c r="AQ236" s="14"/>
      <c r="AR236" s="14"/>
      <c r="AS236" s="14"/>
      <c r="AT236" s="14"/>
      <c r="AU236" s="14">
        <v>27</v>
      </c>
      <c r="AV236" s="14"/>
      <c r="AW236" s="14"/>
      <c r="AX236" s="14"/>
      <c r="AY236" s="14"/>
      <c r="AZ236" s="14">
        <v>27</v>
      </c>
      <c r="BA236" s="14"/>
      <c r="BB236" s="14"/>
      <c r="BC236" s="14"/>
      <c r="BD236" s="14"/>
      <c r="BE236" s="14"/>
      <c r="BF236" s="14">
        <v>27</v>
      </c>
      <c r="BG236" s="14"/>
      <c r="BH236" s="14"/>
      <c r="BI236" s="14"/>
      <c r="BJ236" s="14"/>
      <c r="BK236" s="14"/>
      <c r="BL236" s="14">
        <v>27</v>
      </c>
    </row>
    <row r="237" spans="4:64" x14ac:dyDescent="0.25">
      <c r="D237" s="21" t="s">
        <v>2204</v>
      </c>
      <c r="E237" s="14"/>
      <c r="F237" s="14"/>
      <c r="G237" s="14"/>
      <c r="H237" s="14"/>
      <c r="I237" s="14"/>
      <c r="J237" s="14"/>
      <c r="K237" s="14"/>
      <c r="L237" s="14"/>
      <c r="M237" s="14">
        <v>266</v>
      </c>
      <c r="N237" s="14"/>
      <c r="O237" s="14">
        <v>168</v>
      </c>
      <c r="P237" s="14">
        <v>168</v>
      </c>
      <c r="Q237" s="14"/>
      <c r="R237" s="14"/>
      <c r="S237" s="14"/>
      <c r="T237" s="14"/>
      <c r="U237" s="14"/>
      <c r="V237" s="14"/>
      <c r="W237" s="14">
        <v>33</v>
      </c>
      <c r="X237" s="14">
        <v>106</v>
      </c>
      <c r="Y237" s="14"/>
      <c r="Z237" s="14"/>
      <c r="AA237" s="14"/>
      <c r="AB237" s="14">
        <v>33</v>
      </c>
      <c r="AC237" s="14">
        <v>327</v>
      </c>
      <c r="AD237" s="14"/>
      <c r="AE237" s="14"/>
      <c r="AF237" s="14"/>
      <c r="AG237" s="14"/>
      <c r="AH237" s="14"/>
      <c r="AI237" s="14"/>
      <c r="AJ237" s="14"/>
      <c r="AK237" s="14"/>
      <c r="AL237" s="14"/>
      <c r="AM237" s="14"/>
      <c r="AN237" s="14">
        <v>327</v>
      </c>
      <c r="AO237" s="14"/>
      <c r="AP237" s="14"/>
      <c r="AQ237" s="14"/>
      <c r="AR237" s="14"/>
      <c r="AS237" s="14"/>
      <c r="AT237" s="14"/>
      <c r="AU237" s="14"/>
      <c r="AV237" s="14"/>
      <c r="AW237" s="14">
        <v>259</v>
      </c>
      <c r="AX237" s="14"/>
      <c r="AY237" s="14"/>
      <c r="AZ237" s="14">
        <v>259</v>
      </c>
      <c r="BA237" s="14">
        <v>54</v>
      </c>
      <c r="BB237" s="14">
        <v>233</v>
      </c>
      <c r="BC237" s="14"/>
      <c r="BD237" s="14"/>
      <c r="BE237" s="14"/>
      <c r="BF237" s="14">
        <v>180</v>
      </c>
      <c r="BG237" s="14"/>
      <c r="BH237" s="14"/>
      <c r="BI237" s="14"/>
      <c r="BJ237" s="14"/>
      <c r="BK237" s="14">
        <v>232</v>
      </c>
      <c r="BL237" s="14">
        <v>54</v>
      </c>
    </row>
    <row r="238" spans="4:64" x14ac:dyDescent="0.25">
      <c r="D238" s="21" t="s">
        <v>2207</v>
      </c>
      <c r="E238" s="14"/>
      <c r="F238" s="14"/>
      <c r="G238" s="14">
        <v>27</v>
      </c>
      <c r="H238" s="14">
        <v>27</v>
      </c>
      <c r="I238" s="14"/>
      <c r="J238" s="14"/>
      <c r="K238" s="14"/>
      <c r="L238" s="14"/>
      <c r="M238" s="14"/>
      <c r="N238" s="14"/>
      <c r="O238" s="14">
        <v>27</v>
      </c>
      <c r="P238" s="14">
        <v>27</v>
      </c>
      <c r="Q238" s="14"/>
      <c r="R238" s="14"/>
      <c r="S238" s="14"/>
      <c r="T238" s="14"/>
      <c r="U238" s="14"/>
      <c r="V238" s="14"/>
      <c r="W238" s="14"/>
      <c r="X238" s="14"/>
      <c r="Y238" s="14">
        <v>27</v>
      </c>
      <c r="Z238" s="14"/>
      <c r="AA238" s="14"/>
      <c r="AB238" s="14">
        <v>27</v>
      </c>
      <c r="AC238" s="14"/>
      <c r="AD238" s="14"/>
      <c r="AE238" s="14"/>
      <c r="AF238" s="14"/>
      <c r="AG238" s="14"/>
      <c r="AH238" s="14"/>
      <c r="AI238" s="14"/>
      <c r="AJ238" s="14"/>
      <c r="AK238" s="14"/>
      <c r="AL238" s="14">
        <v>27</v>
      </c>
      <c r="AM238" s="14"/>
      <c r="AN238" s="14">
        <v>27</v>
      </c>
      <c r="AO238" s="14"/>
      <c r="AP238" s="14"/>
      <c r="AQ238" s="14"/>
      <c r="AR238" s="14"/>
      <c r="AS238" s="14">
        <v>27</v>
      </c>
      <c r="AT238" s="14"/>
      <c r="AU238" s="14">
        <v>27</v>
      </c>
      <c r="AV238" s="14"/>
      <c r="AW238" s="14"/>
      <c r="AX238" s="14"/>
      <c r="AY238" s="14"/>
      <c r="AZ238" s="14">
        <v>27</v>
      </c>
      <c r="BA238" s="14"/>
      <c r="BB238" s="14"/>
      <c r="BC238" s="14"/>
      <c r="BD238" s="14">
        <v>27</v>
      </c>
      <c r="BE238" s="14"/>
      <c r="BF238" s="14">
        <v>27</v>
      </c>
      <c r="BG238" s="14"/>
      <c r="BH238" s="14"/>
      <c r="BI238" s="14"/>
      <c r="BJ238" s="14"/>
      <c r="BK238" s="14">
        <v>27</v>
      </c>
      <c r="BL238" s="14">
        <v>27</v>
      </c>
    </row>
    <row r="239" spans="4:64" x14ac:dyDescent="0.25">
      <c r="D239" s="21" t="s">
        <v>2205</v>
      </c>
      <c r="E239" s="14">
        <v>27</v>
      </c>
      <c r="F239" s="14"/>
      <c r="G239" s="14"/>
      <c r="H239" s="14"/>
      <c r="I239" s="14">
        <v>27</v>
      </c>
      <c r="J239" s="14"/>
      <c r="K239" s="14"/>
      <c r="L239" s="14">
        <v>27</v>
      </c>
      <c r="M239" s="14"/>
      <c r="N239" s="14">
        <v>27</v>
      </c>
      <c r="O239" s="14"/>
      <c r="P239" s="14">
        <v>27</v>
      </c>
      <c r="Q239" s="14"/>
      <c r="R239" s="14"/>
      <c r="S239" s="14"/>
      <c r="T239" s="14"/>
      <c r="U239" s="14"/>
      <c r="V239" s="14"/>
      <c r="W239" s="14">
        <v>27</v>
      </c>
      <c r="X239" s="14"/>
      <c r="Y239" s="14"/>
      <c r="Z239" s="14"/>
      <c r="AA239" s="14">
        <v>27</v>
      </c>
      <c r="AB239" s="14">
        <v>27</v>
      </c>
      <c r="AC239" s="14">
        <v>27</v>
      </c>
      <c r="AD239" s="14"/>
      <c r="AE239" s="14"/>
      <c r="AF239" s="14"/>
      <c r="AG239" s="14"/>
      <c r="AH239" s="14"/>
      <c r="AI239" s="14"/>
      <c r="AJ239" s="14"/>
      <c r="AK239" s="14">
        <v>27</v>
      </c>
      <c r="AL239" s="14"/>
      <c r="AM239" s="14"/>
      <c r="AN239" s="14">
        <v>27</v>
      </c>
      <c r="AO239" s="14"/>
      <c r="AP239" s="14"/>
      <c r="AQ239" s="14"/>
      <c r="AR239" s="14"/>
      <c r="AS239" s="14"/>
      <c r="AT239" s="14"/>
      <c r="AU239" s="14"/>
      <c r="AV239" s="14">
        <v>27</v>
      </c>
      <c r="AW239" s="14"/>
      <c r="AX239" s="14">
        <v>27</v>
      </c>
      <c r="AY239" s="14"/>
      <c r="AZ239" s="14">
        <v>27</v>
      </c>
      <c r="BA239" s="14"/>
      <c r="BB239" s="14"/>
      <c r="BC239" s="14"/>
      <c r="BD239" s="14"/>
      <c r="BE239" s="14"/>
      <c r="BF239" s="14"/>
      <c r="BG239" s="14"/>
      <c r="BH239" s="14"/>
      <c r="BI239" s="14"/>
      <c r="BJ239" s="14"/>
      <c r="BK239" s="14"/>
      <c r="BL239" s="14"/>
    </row>
    <row r="240" spans="4:64" x14ac:dyDescent="0.25">
      <c r="D240" s="20" t="s">
        <v>2199</v>
      </c>
      <c r="E240" s="14">
        <v>27</v>
      </c>
      <c r="F240" s="14">
        <v>27</v>
      </c>
      <c r="G240" s="14">
        <v>27</v>
      </c>
      <c r="H240" s="14">
        <v>27</v>
      </c>
      <c r="I240" s="14"/>
      <c r="J240" s="14">
        <v>27</v>
      </c>
      <c r="K240" s="14"/>
      <c r="L240" s="14"/>
      <c r="M240" s="14">
        <v>27</v>
      </c>
      <c r="N240" s="14">
        <v>27</v>
      </c>
      <c r="O240" s="14">
        <v>42</v>
      </c>
      <c r="P240" s="14">
        <v>27</v>
      </c>
      <c r="Q240" s="14"/>
      <c r="R240" s="14"/>
      <c r="S240" s="14">
        <v>27</v>
      </c>
      <c r="T240" s="14"/>
      <c r="U240" s="14"/>
      <c r="V240" s="14">
        <v>27</v>
      </c>
      <c r="W240" s="14">
        <v>27</v>
      </c>
      <c r="X240" s="14">
        <v>27</v>
      </c>
      <c r="Y240" s="14">
        <v>27</v>
      </c>
      <c r="Z240" s="14"/>
      <c r="AA240" s="14">
        <v>340</v>
      </c>
      <c r="AB240" s="14">
        <v>27</v>
      </c>
      <c r="AC240" s="14"/>
      <c r="AD240" s="14">
        <v>27</v>
      </c>
      <c r="AE240" s="14">
        <v>27</v>
      </c>
      <c r="AF240" s="14">
        <v>27</v>
      </c>
      <c r="AG240" s="14"/>
      <c r="AH240" s="14">
        <v>27</v>
      </c>
      <c r="AI240" s="14"/>
      <c r="AJ240" s="14"/>
      <c r="AK240" s="14">
        <v>143</v>
      </c>
      <c r="AL240" s="14"/>
      <c r="AM240" s="14">
        <v>27</v>
      </c>
      <c r="AN240" s="14">
        <v>27</v>
      </c>
      <c r="AO240" s="14"/>
      <c r="AP240" s="14">
        <v>27</v>
      </c>
      <c r="AQ240" s="14"/>
      <c r="AR240" s="14">
        <v>27</v>
      </c>
      <c r="AS240" s="14"/>
      <c r="AT240" s="14">
        <v>27</v>
      </c>
      <c r="AU240" s="14">
        <v>27</v>
      </c>
      <c r="AV240" s="14">
        <v>27</v>
      </c>
      <c r="AW240" s="14"/>
      <c r="AX240" s="14">
        <v>27</v>
      </c>
      <c r="AY240" s="14"/>
      <c r="AZ240" s="14">
        <v>27</v>
      </c>
      <c r="BA240" s="14"/>
      <c r="BB240" s="14"/>
      <c r="BC240" s="14">
        <v>27</v>
      </c>
      <c r="BD240" s="14"/>
      <c r="BE240" s="14"/>
      <c r="BF240" s="14"/>
      <c r="BG240" s="14">
        <v>27</v>
      </c>
      <c r="BH240" s="14">
        <v>27</v>
      </c>
      <c r="BI240" s="14"/>
      <c r="BJ240" s="14">
        <v>27</v>
      </c>
      <c r="BK240" s="14"/>
      <c r="BL240" s="14">
        <v>27</v>
      </c>
    </row>
    <row r="241" spans="4:64" x14ac:dyDescent="0.25">
      <c r="D241" s="21" t="s">
        <v>2206</v>
      </c>
      <c r="E241" s="14">
        <v>27</v>
      </c>
      <c r="F241" s="14"/>
      <c r="G241" s="14"/>
      <c r="H241" s="14"/>
      <c r="I241" s="14"/>
      <c r="J241" s="14"/>
      <c r="K241" s="14"/>
      <c r="L241" s="14"/>
      <c r="M241" s="14"/>
      <c r="N241" s="14">
        <v>27</v>
      </c>
      <c r="O241" s="14"/>
      <c r="P241" s="14">
        <v>27</v>
      </c>
      <c r="Q241" s="14"/>
      <c r="R241" s="14"/>
      <c r="S241" s="14"/>
      <c r="T241" s="14"/>
      <c r="U241" s="14"/>
      <c r="V241" s="14">
        <v>27</v>
      </c>
      <c r="W241" s="14"/>
      <c r="X241" s="14">
        <v>27</v>
      </c>
      <c r="Y241" s="14"/>
      <c r="Z241" s="14"/>
      <c r="AA241" s="14"/>
      <c r="AB241" s="14">
        <v>27</v>
      </c>
      <c r="AC241" s="14"/>
      <c r="AD241" s="14"/>
      <c r="AE241" s="14"/>
      <c r="AF241" s="14"/>
      <c r="AG241" s="14"/>
      <c r="AH241" s="14">
        <v>27</v>
      </c>
      <c r="AI241" s="14"/>
      <c r="AJ241" s="14"/>
      <c r="AK241" s="14"/>
      <c r="AL241" s="14"/>
      <c r="AM241" s="14">
        <v>27</v>
      </c>
      <c r="AN241" s="14">
        <v>27</v>
      </c>
      <c r="AO241" s="14"/>
      <c r="AP241" s="14"/>
      <c r="AQ241" s="14"/>
      <c r="AR241" s="14"/>
      <c r="AS241" s="14"/>
      <c r="AT241" s="14">
        <v>27</v>
      </c>
      <c r="AU241" s="14">
        <v>27</v>
      </c>
      <c r="AV241" s="14">
        <v>27</v>
      </c>
      <c r="AW241" s="14"/>
      <c r="AX241" s="14"/>
      <c r="AY241" s="14"/>
      <c r="AZ241" s="14">
        <v>27</v>
      </c>
      <c r="BA241" s="14"/>
      <c r="BB241" s="14"/>
      <c r="BC241" s="14"/>
      <c r="BD241" s="14"/>
      <c r="BE241" s="14"/>
      <c r="BF241" s="14"/>
      <c r="BG241" s="14">
        <v>27</v>
      </c>
      <c r="BH241" s="14">
        <v>27</v>
      </c>
      <c r="BI241" s="14"/>
      <c r="BJ241" s="14"/>
      <c r="BK241" s="14"/>
      <c r="BL241" s="14">
        <v>27</v>
      </c>
    </row>
    <row r="242" spans="4:64" x14ac:dyDescent="0.25">
      <c r="D242" s="21" t="s">
        <v>2204</v>
      </c>
      <c r="E242" s="14"/>
      <c r="F242" s="14"/>
      <c r="G242" s="14"/>
      <c r="H242" s="14"/>
      <c r="I242" s="14"/>
      <c r="J242" s="14">
        <v>143</v>
      </c>
      <c r="K242" s="14"/>
      <c r="L242" s="14"/>
      <c r="M242" s="14"/>
      <c r="N242" s="14"/>
      <c r="O242" s="14">
        <v>42</v>
      </c>
      <c r="P242" s="14">
        <v>42</v>
      </c>
      <c r="Q242" s="14"/>
      <c r="R242" s="14"/>
      <c r="S242" s="14"/>
      <c r="T242" s="14"/>
      <c r="U242" s="14"/>
      <c r="V242" s="14"/>
      <c r="W242" s="14"/>
      <c r="X242" s="14"/>
      <c r="Y242" s="14">
        <v>285</v>
      </c>
      <c r="Z242" s="14"/>
      <c r="AA242" s="14">
        <v>340</v>
      </c>
      <c r="AB242" s="14">
        <v>285</v>
      </c>
      <c r="AC242" s="14"/>
      <c r="AD242" s="14"/>
      <c r="AE242" s="14"/>
      <c r="AF242" s="14"/>
      <c r="AG242" s="14"/>
      <c r="AH242" s="14"/>
      <c r="AI242" s="14"/>
      <c r="AJ242" s="14"/>
      <c r="AK242" s="14">
        <v>143</v>
      </c>
      <c r="AL242" s="14"/>
      <c r="AM242" s="14"/>
      <c r="AN242" s="14">
        <v>143</v>
      </c>
      <c r="AO242" s="14"/>
      <c r="AP242" s="14">
        <v>154</v>
      </c>
      <c r="AQ242" s="14"/>
      <c r="AR242" s="14">
        <v>295</v>
      </c>
      <c r="AS242" s="14"/>
      <c r="AT242" s="14"/>
      <c r="AU242" s="14"/>
      <c r="AV242" s="14"/>
      <c r="AW242" s="14"/>
      <c r="AX242" s="14"/>
      <c r="AY242" s="14"/>
      <c r="AZ242" s="14">
        <v>154</v>
      </c>
      <c r="BA242" s="14"/>
      <c r="BB242" s="14"/>
      <c r="BC242" s="14"/>
      <c r="BD242" s="14"/>
      <c r="BE242" s="14"/>
      <c r="BF242" s="14"/>
      <c r="BG242" s="14"/>
      <c r="BH242" s="14"/>
      <c r="BI242" s="14"/>
      <c r="BJ242" s="14"/>
      <c r="BK242" s="14"/>
      <c r="BL242" s="14"/>
    </row>
    <row r="243" spans="4:64" x14ac:dyDescent="0.25">
      <c r="D243" s="21" t="s">
        <v>2207</v>
      </c>
      <c r="E243" s="14"/>
      <c r="F243" s="14">
        <v>27</v>
      </c>
      <c r="G243" s="14">
        <v>27</v>
      </c>
      <c r="H243" s="14">
        <v>27</v>
      </c>
      <c r="I243" s="14"/>
      <c r="J243" s="14"/>
      <c r="K243" s="14"/>
      <c r="L243" s="14"/>
      <c r="M243" s="14">
        <v>27</v>
      </c>
      <c r="N243" s="14"/>
      <c r="O243" s="14"/>
      <c r="P243" s="14">
        <v>27</v>
      </c>
      <c r="Q243" s="14"/>
      <c r="R243" s="14"/>
      <c r="S243" s="14"/>
      <c r="T243" s="14"/>
      <c r="U243" s="14"/>
      <c r="V243" s="14"/>
      <c r="W243" s="14">
        <v>27</v>
      </c>
      <c r="X243" s="14"/>
      <c r="Y243" s="14"/>
      <c r="Z243" s="14"/>
      <c r="AA243" s="14"/>
      <c r="AB243" s="14">
        <v>27</v>
      </c>
      <c r="AC243" s="14"/>
      <c r="AD243" s="14">
        <v>27</v>
      </c>
      <c r="AE243" s="14">
        <v>27</v>
      </c>
      <c r="AF243" s="14"/>
      <c r="AG243" s="14"/>
      <c r="AH243" s="14"/>
      <c r="AI243" s="14"/>
      <c r="AJ243" s="14"/>
      <c r="AK243" s="14"/>
      <c r="AL243" s="14"/>
      <c r="AM243" s="14"/>
      <c r="AN243" s="14">
        <v>27</v>
      </c>
      <c r="AO243" s="14"/>
      <c r="AP243" s="14"/>
      <c r="AQ243" s="14"/>
      <c r="AR243" s="14"/>
      <c r="AS243" s="14"/>
      <c r="AT243" s="14"/>
      <c r="AU243" s="14"/>
      <c r="AV243" s="14">
        <v>27</v>
      </c>
      <c r="AW243" s="14"/>
      <c r="AX243" s="14"/>
      <c r="AY243" s="14"/>
      <c r="AZ243" s="14">
        <v>27</v>
      </c>
      <c r="BA243" s="14"/>
      <c r="BB243" s="14"/>
      <c r="BC243" s="14">
        <v>27</v>
      </c>
      <c r="BD243" s="14"/>
      <c r="BE243" s="14"/>
      <c r="BF243" s="14"/>
      <c r="BG243" s="14"/>
      <c r="BH243" s="14">
        <v>27</v>
      </c>
      <c r="BI243" s="14"/>
      <c r="BJ243" s="14">
        <v>27</v>
      </c>
      <c r="BK243" s="14"/>
      <c r="BL243" s="14">
        <v>27</v>
      </c>
    </row>
    <row r="244" spans="4:64" x14ac:dyDescent="0.25">
      <c r="D244" s="21" t="s">
        <v>2205</v>
      </c>
      <c r="E244" s="14"/>
      <c r="F244" s="14"/>
      <c r="G244" s="14"/>
      <c r="H244" s="14"/>
      <c r="I244" s="14"/>
      <c r="J244" s="14">
        <v>27</v>
      </c>
      <c r="K244" s="14"/>
      <c r="L244" s="14"/>
      <c r="M244" s="14"/>
      <c r="N244" s="14"/>
      <c r="O244" s="14"/>
      <c r="P244" s="14">
        <v>27</v>
      </c>
      <c r="Q244" s="14"/>
      <c r="R244" s="14"/>
      <c r="S244" s="14">
        <v>27</v>
      </c>
      <c r="T244" s="14"/>
      <c r="U244" s="14"/>
      <c r="V244" s="14"/>
      <c r="W244" s="14"/>
      <c r="X244" s="14"/>
      <c r="Y244" s="14">
        <v>27</v>
      </c>
      <c r="Z244" s="14"/>
      <c r="AA244" s="14"/>
      <c r="AB244" s="14">
        <v>27</v>
      </c>
      <c r="AC244" s="14"/>
      <c r="AD244" s="14"/>
      <c r="AE244" s="14"/>
      <c r="AF244" s="14">
        <v>27</v>
      </c>
      <c r="AG244" s="14"/>
      <c r="AH244" s="14"/>
      <c r="AI244" s="14"/>
      <c r="AJ244" s="14"/>
      <c r="AK244" s="14"/>
      <c r="AL244" s="14"/>
      <c r="AM244" s="14"/>
      <c r="AN244" s="14">
        <v>27</v>
      </c>
      <c r="AO244" s="14"/>
      <c r="AP244" s="14">
        <v>27</v>
      </c>
      <c r="AQ244" s="14"/>
      <c r="AR244" s="14">
        <v>27</v>
      </c>
      <c r="AS244" s="14"/>
      <c r="AT244" s="14"/>
      <c r="AU244" s="14"/>
      <c r="AV244" s="14"/>
      <c r="AW244" s="14"/>
      <c r="AX244" s="14">
        <v>27</v>
      </c>
      <c r="AY244" s="14"/>
      <c r="AZ244" s="14">
        <v>27</v>
      </c>
      <c r="BA244" s="14"/>
      <c r="BB244" s="14"/>
      <c r="BC244" s="14"/>
      <c r="BD244" s="14"/>
      <c r="BE244" s="14"/>
      <c r="BF244" s="14"/>
      <c r="BG244" s="14"/>
      <c r="BH244" s="14">
        <v>27</v>
      </c>
      <c r="BI244" s="14"/>
      <c r="BJ244" s="14"/>
      <c r="BK244" s="14"/>
      <c r="BL244" s="14">
        <v>27</v>
      </c>
    </row>
    <row r="245" spans="4:64" x14ac:dyDescent="0.25">
      <c r="D245" s="20" t="s">
        <v>2197</v>
      </c>
      <c r="E245" s="14"/>
      <c r="F245" s="14">
        <v>27</v>
      </c>
      <c r="G245" s="14"/>
      <c r="H245" s="14">
        <v>27</v>
      </c>
      <c r="I245" s="14"/>
      <c r="J245" s="14">
        <v>27</v>
      </c>
      <c r="K245" s="14"/>
      <c r="L245" s="14"/>
      <c r="M245" s="14"/>
      <c r="N245" s="14">
        <v>27</v>
      </c>
      <c r="O245" s="14">
        <v>27</v>
      </c>
      <c r="P245" s="14">
        <v>27</v>
      </c>
      <c r="Q245" s="14">
        <v>298</v>
      </c>
      <c r="R245" s="14"/>
      <c r="S245" s="14"/>
      <c r="T245" s="14"/>
      <c r="U245" s="14"/>
      <c r="V245" s="14"/>
      <c r="W245" s="14"/>
      <c r="X245" s="14">
        <v>27</v>
      </c>
      <c r="Y245" s="14"/>
      <c r="Z245" s="14">
        <v>154</v>
      </c>
      <c r="AA245" s="14"/>
      <c r="AB245" s="14">
        <v>27</v>
      </c>
      <c r="AC245" s="14">
        <v>27</v>
      </c>
      <c r="AD245" s="14">
        <v>27</v>
      </c>
      <c r="AE245" s="14"/>
      <c r="AF245" s="14">
        <v>27</v>
      </c>
      <c r="AG245" s="14"/>
      <c r="AH245" s="14"/>
      <c r="AI245" s="14">
        <v>27</v>
      </c>
      <c r="AJ245" s="14">
        <v>27</v>
      </c>
      <c r="AK245" s="14"/>
      <c r="AL245" s="14"/>
      <c r="AM245" s="14">
        <v>27</v>
      </c>
      <c r="AN245" s="14">
        <v>27</v>
      </c>
      <c r="AO245" s="14">
        <v>285</v>
      </c>
      <c r="AP245" s="14">
        <v>27</v>
      </c>
      <c r="AQ245" s="14">
        <v>27</v>
      </c>
      <c r="AR245" s="14"/>
      <c r="AS245" s="14">
        <v>27</v>
      </c>
      <c r="AT245" s="14">
        <v>84</v>
      </c>
      <c r="AU245" s="14">
        <v>358</v>
      </c>
      <c r="AV245" s="14"/>
      <c r="AW245" s="14"/>
      <c r="AX245" s="14">
        <v>27</v>
      </c>
      <c r="AY245" s="14"/>
      <c r="AZ245" s="14">
        <v>27</v>
      </c>
      <c r="BA245" s="14"/>
      <c r="BB245" s="14">
        <v>327</v>
      </c>
      <c r="BC245" s="14"/>
      <c r="BD245" s="14"/>
      <c r="BE245" s="14">
        <v>27</v>
      </c>
      <c r="BF245" s="14">
        <v>27</v>
      </c>
      <c r="BG245" s="14"/>
      <c r="BH245" s="14"/>
      <c r="BI245" s="14">
        <v>41</v>
      </c>
      <c r="BJ245" s="14">
        <v>27</v>
      </c>
      <c r="BK245" s="14">
        <v>27</v>
      </c>
      <c r="BL245" s="14">
        <v>27</v>
      </c>
    </row>
    <row r="246" spans="4:64" x14ac:dyDescent="0.25">
      <c r="D246" s="21" t="s">
        <v>2206</v>
      </c>
      <c r="E246" s="14"/>
      <c r="F246" s="14"/>
      <c r="G246" s="14"/>
      <c r="H246" s="14">
        <v>27</v>
      </c>
      <c r="I246" s="14"/>
      <c r="J246" s="14"/>
      <c r="K246" s="14"/>
      <c r="L246" s="14"/>
      <c r="M246" s="14"/>
      <c r="N246" s="14"/>
      <c r="O246" s="14"/>
      <c r="P246" s="14">
        <v>27</v>
      </c>
      <c r="Q246" s="14"/>
      <c r="R246" s="14"/>
      <c r="S246" s="14"/>
      <c r="T246" s="14"/>
      <c r="U246" s="14"/>
      <c r="V246" s="14"/>
      <c r="W246" s="14"/>
      <c r="X246" s="14">
        <v>27</v>
      </c>
      <c r="Y246" s="14"/>
      <c r="Z246" s="14"/>
      <c r="AA246" s="14"/>
      <c r="AB246" s="14">
        <v>27</v>
      </c>
      <c r="AC246" s="14">
        <v>27</v>
      </c>
      <c r="AD246" s="14">
        <v>27</v>
      </c>
      <c r="AE246" s="14"/>
      <c r="AF246" s="14"/>
      <c r="AG246" s="14"/>
      <c r="AH246" s="14"/>
      <c r="AI246" s="14"/>
      <c r="AJ246" s="14"/>
      <c r="AK246" s="14"/>
      <c r="AL246" s="14"/>
      <c r="AM246" s="14"/>
      <c r="AN246" s="14">
        <v>27</v>
      </c>
      <c r="AO246" s="14"/>
      <c r="AP246" s="14"/>
      <c r="AQ246" s="14"/>
      <c r="AR246" s="14"/>
      <c r="AS246" s="14">
        <v>27</v>
      </c>
      <c r="AT246" s="14"/>
      <c r="AU246" s="14"/>
      <c r="AV246" s="14"/>
      <c r="AW246" s="14"/>
      <c r="AX246" s="14">
        <v>27</v>
      </c>
      <c r="AY246" s="14"/>
      <c r="AZ246" s="14">
        <v>27</v>
      </c>
      <c r="BA246" s="14"/>
      <c r="BB246" s="14"/>
      <c r="BC246" s="14"/>
      <c r="BD246" s="14"/>
      <c r="BE246" s="14"/>
      <c r="BF246" s="14"/>
      <c r="BG246" s="14"/>
      <c r="BH246" s="14"/>
      <c r="BI246" s="14"/>
      <c r="BJ246" s="14"/>
      <c r="BK246" s="14"/>
      <c r="BL246" s="14"/>
    </row>
    <row r="247" spans="4:64" x14ac:dyDescent="0.25">
      <c r="D247" s="21" t="s">
        <v>2204</v>
      </c>
      <c r="E247" s="14"/>
      <c r="F247" s="14"/>
      <c r="G247" s="14"/>
      <c r="H247" s="14"/>
      <c r="I247" s="14"/>
      <c r="J247" s="14"/>
      <c r="K247" s="14"/>
      <c r="L247" s="14"/>
      <c r="M247" s="14"/>
      <c r="N247" s="14"/>
      <c r="O247" s="14"/>
      <c r="P247" s="14"/>
      <c r="Q247" s="14">
        <v>298</v>
      </c>
      <c r="R247" s="14"/>
      <c r="S247" s="14"/>
      <c r="T247" s="14"/>
      <c r="U247" s="14"/>
      <c r="V247" s="14"/>
      <c r="W247" s="14"/>
      <c r="X247" s="14">
        <v>105</v>
      </c>
      <c r="Y247" s="14"/>
      <c r="Z247" s="14">
        <v>154</v>
      </c>
      <c r="AA247" s="14"/>
      <c r="AB247" s="14">
        <v>105</v>
      </c>
      <c r="AC247" s="14"/>
      <c r="AD247" s="14"/>
      <c r="AE247" s="14"/>
      <c r="AF247" s="14">
        <v>42</v>
      </c>
      <c r="AG247" s="14"/>
      <c r="AH247" s="14"/>
      <c r="AI247" s="14"/>
      <c r="AJ247" s="14"/>
      <c r="AK247" s="14"/>
      <c r="AL247" s="14"/>
      <c r="AM247" s="14"/>
      <c r="AN247" s="14">
        <v>42</v>
      </c>
      <c r="AO247" s="14">
        <v>285</v>
      </c>
      <c r="AP247" s="14"/>
      <c r="AQ247" s="14"/>
      <c r="AR247" s="14"/>
      <c r="AS247" s="14">
        <v>371</v>
      </c>
      <c r="AT247" s="14">
        <v>84</v>
      </c>
      <c r="AU247" s="14">
        <v>358</v>
      </c>
      <c r="AV247" s="14"/>
      <c r="AW247" s="14"/>
      <c r="AX247" s="14">
        <v>347</v>
      </c>
      <c r="AY247" s="14"/>
      <c r="AZ247" s="14">
        <v>84</v>
      </c>
      <c r="BA247" s="14"/>
      <c r="BB247" s="14">
        <v>327</v>
      </c>
      <c r="BC247" s="14"/>
      <c r="BD247" s="14"/>
      <c r="BE247" s="14"/>
      <c r="BF247" s="14"/>
      <c r="BG247" s="14"/>
      <c r="BH247" s="14"/>
      <c r="BI247" s="14">
        <v>41</v>
      </c>
      <c r="BJ247" s="14"/>
      <c r="BK247" s="14"/>
      <c r="BL247" s="14">
        <v>41</v>
      </c>
    </row>
    <row r="248" spans="4:64" x14ac:dyDescent="0.25">
      <c r="D248" s="21" t="s">
        <v>2207</v>
      </c>
      <c r="E248" s="14"/>
      <c r="F248" s="14"/>
      <c r="G248" s="14"/>
      <c r="H248" s="14"/>
      <c r="I248" s="14"/>
      <c r="J248" s="14"/>
      <c r="K248" s="14"/>
      <c r="L248" s="14"/>
      <c r="M248" s="14"/>
      <c r="N248" s="14">
        <v>27</v>
      </c>
      <c r="O248" s="14">
        <v>27</v>
      </c>
      <c r="P248" s="14">
        <v>27</v>
      </c>
      <c r="Q248" s="14"/>
      <c r="R248" s="14"/>
      <c r="S248" s="14"/>
      <c r="T248" s="14"/>
      <c r="U248" s="14"/>
      <c r="V248" s="14"/>
      <c r="W248" s="14"/>
      <c r="X248" s="14"/>
      <c r="Y248" s="14"/>
      <c r="Z248" s="14"/>
      <c r="AA248" s="14"/>
      <c r="AB248" s="14"/>
      <c r="AC248" s="14"/>
      <c r="AD248" s="14"/>
      <c r="AE248" s="14"/>
      <c r="AF248" s="14">
        <v>27</v>
      </c>
      <c r="AG248" s="14"/>
      <c r="AH248" s="14"/>
      <c r="AI248" s="14">
        <v>27</v>
      </c>
      <c r="AJ248" s="14">
        <v>27</v>
      </c>
      <c r="AK248" s="14"/>
      <c r="AL248" s="14"/>
      <c r="AM248" s="14"/>
      <c r="AN248" s="14">
        <v>27</v>
      </c>
      <c r="AO248" s="14"/>
      <c r="AP248" s="14">
        <v>27</v>
      </c>
      <c r="AQ248" s="14"/>
      <c r="AR248" s="14"/>
      <c r="AS248" s="14"/>
      <c r="AT248" s="14"/>
      <c r="AU248" s="14"/>
      <c r="AV248" s="14"/>
      <c r="AW248" s="14"/>
      <c r="AX248" s="14">
        <v>27</v>
      </c>
      <c r="AY248" s="14"/>
      <c r="AZ248" s="14">
        <v>27</v>
      </c>
      <c r="BA248" s="14"/>
      <c r="BB248" s="14"/>
      <c r="BC248" s="14"/>
      <c r="BD248" s="14"/>
      <c r="BE248" s="14">
        <v>27</v>
      </c>
      <c r="BF248" s="14"/>
      <c r="BG248" s="14"/>
      <c r="BH248" s="14"/>
      <c r="BI248" s="14"/>
      <c r="BJ248" s="14">
        <v>27</v>
      </c>
      <c r="BK248" s="14">
        <v>27</v>
      </c>
      <c r="BL248" s="14">
        <v>27</v>
      </c>
    </row>
    <row r="249" spans="4:64" x14ac:dyDescent="0.25">
      <c r="D249" s="21" t="s">
        <v>2205</v>
      </c>
      <c r="E249" s="14"/>
      <c r="F249" s="14">
        <v>27</v>
      </c>
      <c r="G249" s="14"/>
      <c r="H249" s="14"/>
      <c r="I249" s="14"/>
      <c r="J249" s="14">
        <v>27</v>
      </c>
      <c r="K249" s="14"/>
      <c r="L249" s="14"/>
      <c r="M249" s="14"/>
      <c r="N249" s="14"/>
      <c r="O249" s="14"/>
      <c r="P249" s="14">
        <v>27</v>
      </c>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v>27</v>
      </c>
      <c r="AN249" s="14">
        <v>27</v>
      </c>
      <c r="AO249" s="14"/>
      <c r="AP249" s="14"/>
      <c r="AQ249" s="14">
        <v>27</v>
      </c>
      <c r="AR249" s="14"/>
      <c r="AS249" s="14"/>
      <c r="AT249" s="14"/>
      <c r="AU249" s="14"/>
      <c r="AV249" s="14"/>
      <c r="AW249" s="14"/>
      <c r="AX249" s="14"/>
      <c r="AY249" s="14"/>
      <c r="AZ249" s="14">
        <v>27</v>
      </c>
      <c r="BA249" s="14"/>
      <c r="BB249" s="14"/>
      <c r="BC249" s="14"/>
      <c r="BD249" s="14"/>
      <c r="BE249" s="14"/>
      <c r="BF249" s="14">
        <v>27</v>
      </c>
      <c r="BG249" s="14"/>
      <c r="BH249" s="14"/>
      <c r="BI249" s="14"/>
      <c r="BJ249" s="14"/>
      <c r="BK249" s="14"/>
      <c r="BL249" s="14">
        <v>27</v>
      </c>
    </row>
    <row r="250" spans="4:64" x14ac:dyDescent="0.25">
      <c r="D250" s="20" t="s">
        <v>2196</v>
      </c>
      <c r="E250" s="14">
        <v>27</v>
      </c>
      <c r="F250" s="14">
        <v>27</v>
      </c>
      <c r="G250" s="14"/>
      <c r="H250" s="14">
        <v>27</v>
      </c>
      <c r="I250" s="14">
        <v>27</v>
      </c>
      <c r="J250" s="14">
        <v>27</v>
      </c>
      <c r="K250" s="14"/>
      <c r="L250" s="14">
        <v>27</v>
      </c>
      <c r="M250" s="14"/>
      <c r="N250" s="14">
        <v>27</v>
      </c>
      <c r="O250" s="14"/>
      <c r="P250" s="14">
        <v>27</v>
      </c>
      <c r="Q250" s="14">
        <v>27</v>
      </c>
      <c r="R250" s="14">
        <v>27</v>
      </c>
      <c r="S250" s="14"/>
      <c r="T250" s="14"/>
      <c r="U250" s="14">
        <v>27</v>
      </c>
      <c r="V250" s="14">
        <v>27</v>
      </c>
      <c r="W250" s="14">
        <v>368</v>
      </c>
      <c r="X250" s="14">
        <v>27</v>
      </c>
      <c r="Y250" s="14">
        <v>27</v>
      </c>
      <c r="Z250" s="14"/>
      <c r="AA250" s="14"/>
      <c r="AB250" s="14">
        <v>27</v>
      </c>
      <c r="AC250" s="14">
        <v>27</v>
      </c>
      <c r="AD250" s="14"/>
      <c r="AE250" s="14"/>
      <c r="AF250" s="14">
        <v>40</v>
      </c>
      <c r="AG250" s="14">
        <v>27</v>
      </c>
      <c r="AH250" s="14"/>
      <c r="AI250" s="14">
        <v>27</v>
      </c>
      <c r="AJ250" s="14"/>
      <c r="AK250" s="14"/>
      <c r="AL250" s="14">
        <v>138</v>
      </c>
      <c r="AM250" s="14">
        <v>82</v>
      </c>
      <c r="AN250" s="14">
        <v>27</v>
      </c>
      <c r="AO250" s="14"/>
      <c r="AP250" s="14">
        <v>27</v>
      </c>
      <c r="AQ250" s="14"/>
      <c r="AR250" s="14">
        <v>27</v>
      </c>
      <c r="AS250" s="14">
        <v>200</v>
      </c>
      <c r="AT250" s="14">
        <v>333</v>
      </c>
      <c r="AU250" s="14"/>
      <c r="AV250" s="14"/>
      <c r="AW250" s="14">
        <v>253</v>
      </c>
      <c r="AX250" s="14">
        <v>27</v>
      </c>
      <c r="AY250" s="14">
        <v>27</v>
      </c>
      <c r="AZ250" s="14">
        <v>27</v>
      </c>
      <c r="BA250" s="14">
        <v>27</v>
      </c>
      <c r="BB250" s="14">
        <v>27</v>
      </c>
      <c r="BC250" s="14">
        <v>27</v>
      </c>
      <c r="BD250" s="14">
        <v>300</v>
      </c>
      <c r="BE250" s="14"/>
      <c r="BF250" s="14"/>
      <c r="BG250" s="14"/>
      <c r="BH250" s="14">
        <v>27</v>
      </c>
      <c r="BI250" s="14">
        <v>27</v>
      </c>
      <c r="BJ250" s="14"/>
      <c r="BK250" s="14">
        <v>27</v>
      </c>
      <c r="BL250" s="14">
        <v>27</v>
      </c>
    </row>
    <row r="251" spans="4:64" x14ac:dyDescent="0.25">
      <c r="D251" s="21" t="s">
        <v>2206</v>
      </c>
      <c r="E251" s="14">
        <v>27</v>
      </c>
      <c r="F251" s="14"/>
      <c r="G251" s="14"/>
      <c r="H251" s="14"/>
      <c r="I251" s="14">
        <v>27</v>
      </c>
      <c r="J251" s="14">
        <v>27</v>
      </c>
      <c r="K251" s="14"/>
      <c r="L251" s="14"/>
      <c r="M251" s="14"/>
      <c r="N251" s="14"/>
      <c r="O251" s="14"/>
      <c r="P251" s="14">
        <v>27</v>
      </c>
      <c r="Q251" s="14"/>
      <c r="R251" s="14">
        <v>27</v>
      </c>
      <c r="S251" s="14"/>
      <c r="T251" s="14"/>
      <c r="U251" s="14"/>
      <c r="V251" s="14"/>
      <c r="W251" s="14"/>
      <c r="X251" s="14"/>
      <c r="Y251" s="14"/>
      <c r="Z251" s="14"/>
      <c r="AA251" s="14"/>
      <c r="AB251" s="14">
        <v>27</v>
      </c>
      <c r="AC251" s="14">
        <v>27</v>
      </c>
      <c r="AD251" s="14"/>
      <c r="AE251" s="14"/>
      <c r="AF251" s="14"/>
      <c r="AG251" s="14">
        <v>27</v>
      </c>
      <c r="AH251" s="14"/>
      <c r="AI251" s="14"/>
      <c r="AJ251" s="14"/>
      <c r="AK251" s="14"/>
      <c r="AL251" s="14"/>
      <c r="AM251" s="14"/>
      <c r="AN251" s="14">
        <v>27</v>
      </c>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v>27</v>
      </c>
      <c r="BL251" s="14">
        <v>27</v>
      </c>
    </row>
    <row r="252" spans="4:64" x14ac:dyDescent="0.25">
      <c r="D252" s="21" t="s">
        <v>2204</v>
      </c>
      <c r="E252" s="14"/>
      <c r="F252" s="14"/>
      <c r="G252" s="14"/>
      <c r="H252" s="14"/>
      <c r="I252" s="14">
        <v>308</v>
      </c>
      <c r="J252" s="14"/>
      <c r="K252" s="14"/>
      <c r="L252" s="14">
        <v>132</v>
      </c>
      <c r="M252" s="14"/>
      <c r="N252" s="14"/>
      <c r="O252" s="14"/>
      <c r="P252" s="14">
        <v>132</v>
      </c>
      <c r="Q252" s="14">
        <v>243</v>
      </c>
      <c r="R252" s="14"/>
      <c r="S252" s="14"/>
      <c r="T252" s="14"/>
      <c r="U252" s="14"/>
      <c r="V252" s="14"/>
      <c r="W252" s="14">
        <v>368</v>
      </c>
      <c r="X252" s="14"/>
      <c r="Y252" s="14"/>
      <c r="Z252" s="14"/>
      <c r="AA252" s="14"/>
      <c r="AB252" s="14">
        <v>243</v>
      </c>
      <c r="AC252" s="14">
        <v>90</v>
      </c>
      <c r="AD252" s="14"/>
      <c r="AE252" s="14"/>
      <c r="AF252" s="14">
        <v>40</v>
      </c>
      <c r="AG252" s="14"/>
      <c r="AH252" s="14"/>
      <c r="AI252" s="14"/>
      <c r="AJ252" s="14"/>
      <c r="AK252" s="14"/>
      <c r="AL252" s="14">
        <v>138</v>
      </c>
      <c r="AM252" s="14">
        <v>82</v>
      </c>
      <c r="AN252" s="14">
        <v>40</v>
      </c>
      <c r="AO252" s="14"/>
      <c r="AP252" s="14"/>
      <c r="AQ252" s="14"/>
      <c r="AR252" s="14"/>
      <c r="AS252" s="14">
        <v>200</v>
      </c>
      <c r="AT252" s="14">
        <v>333</v>
      </c>
      <c r="AU252" s="14"/>
      <c r="AV252" s="14"/>
      <c r="AW252" s="14">
        <v>253</v>
      </c>
      <c r="AX252" s="14">
        <v>84</v>
      </c>
      <c r="AY252" s="14">
        <v>364</v>
      </c>
      <c r="AZ252" s="14">
        <v>84</v>
      </c>
      <c r="BA252" s="14"/>
      <c r="BB252" s="14"/>
      <c r="BC252" s="14"/>
      <c r="BD252" s="14">
        <v>300</v>
      </c>
      <c r="BE252" s="14"/>
      <c r="BF252" s="14"/>
      <c r="BG252" s="14"/>
      <c r="BH252" s="14"/>
      <c r="BI252" s="14">
        <v>62</v>
      </c>
      <c r="BJ252" s="14"/>
      <c r="BK252" s="14"/>
      <c r="BL252" s="14">
        <v>62</v>
      </c>
    </row>
    <row r="253" spans="4:64" x14ac:dyDescent="0.25">
      <c r="D253" s="21" t="s">
        <v>2207</v>
      </c>
      <c r="E253" s="14"/>
      <c r="F253" s="14"/>
      <c r="G253" s="14"/>
      <c r="H253" s="14">
        <v>27</v>
      </c>
      <c r="I253" s="14"/>
      <c r="J253" s="14"/>
      <c r="K253" s="14"/>
      <c r="L253" s="14">
        <v>27</v>
      </c>
      <c r="M253" s="14"/>
      <c r="N253" s="14"/>
      <c r="O253" s="14"/>
      <c r="P253" s="14">
        <v>27</v>
      </c>
      <c r="Q253" s="14">
        <v>27</v>
      </c>
      <c r="R253" s="14"/>
      <c r="S253" s="14"/>
      <c r="T253" s="14"/>
      <c r="U253" s="14"/>
      <c r="V253" s="14"/>
      <c r="W253" s="14"/>
      <c r="X253" s="14"/>
      <c r="Y253" s="14"/>
      <c r="Z253" s="14"/>
      <c r="AA253" s="14"/>
      <c r="AB253" s="14">
        <v>27</v>
      </c>
      <c r="AC253" s="14"/>
      <c r="AD253" s="14"/>
      <c r="AE253" s="14"/>
      <c r="AF253" s="14"/>
      <c r="AG253" s="14">
        <v>27</v>
      </c>
      <c r="AH253" s="14"/>
      <c r="AI253" s="14">
        <v>27</v>
      </c>
      <c r="AJ253" s="14"/>
      <c r="AK253" s="14"/>
      <c r="AL253" s="14"/>
      <c r="AM253" s="14"/>
      <c r="AN253" s="14">
        <v>27</v>
      </c>
      <c r="AO253" s="14"/>
      <c r="AP253" s="14">
        <v>27</v>
      </c>
      <c r="AQ253" s="14"/>
      <c r="AR253" s="14"/>
      <c r="AS253" s="14"/>
      <c r="AT253" s="14"/>
      <c r="AU253" s="14"/>
      <c r="AV253" s="14"/>
      <c r="AW253" s="14"/>
      <c r="AX253" s="14">
        <v>27</v>
      </c>
      <c r="AY253" s="14"/>
      <c r="AZ253" s="14">
        <v>27</v>
      </c>
      <c r="BA253" s="14">
        <v>27</v>
      </c>
      <c r="BB253" s="14"/>
      <c r="BC253" s="14"/>
      <c r="BD253" s="14"/>
      <c r="BE253" s="14"/>
      <c r="BF253" s="14"/>
      <c r="BG253" s="14"/>
      <c r="BH253" s="14">
        <v>27</v>
      </c>
      <c r="BI253" s="14">
        <v>27</v>
      </c>
      <c r="BJ253" s="14"/>
      <c r="BK253" s="14"/>
      <c r="BL253" s="14">
        <v>27</v>
      </c>
    </row>
    <row r="254" spans="4:64" x14ac:dyDescent="0.25">
      <c r="D254" s="21" t="s">
        <v>2205</v>
      </c>
      <c r="E254" s="14"/>
      <c r="F254" s="14">
        <v>27</v>
      </c>
      <c r="G254" s="14"/>
      <c r="H254" s="14">
        <v>27</v>
      </c>
      <c r="I254" s="14"/>
      <c r="J254" s="14"/>
      <c r="K254" s="14"/>
      <c r="L254" s="14"/>
      <c r="M254" s="14"/>
      <c r="N254" s="14">
        <v>27</v>
      </c>
      <c r="O254" s="14"/>
      <c r="P254" s="14">
        <v>27</v>
      </c>
      <c r="Q254" s="14"/>
      <c r="R254" s="14"/>
      <c r="S254" s="14"/>
      <c r="T254" s="14"/>
      <c r="U254" s="14">
        <v>27</v>
      </c>
      <c r="V254" s="14">
        <v>27</v>
      </c>
      <c r="W254" s="14"/>
      <c r="X254" s="14">
        <v>27</v>
      </c>
      <c r="Y254" s="14">
        <v>27</v>
      </c>
      <c r="Z254" s="14"/>
      <c r="AA254" s="14"/>
      <c r="AB254" s="14">
        <v>27</v>
      </c>
      <c r="AC254" s="14"/>
      <c r="AD254" s="14"/>
      <c r="AE254" s="14"/>
      <c r="AF254" s="14"/>
      <c r="AG254" s="14">
        <v>27</v>
      </c>
      <c r="AH254" s="14"/>
      <c r="AI254" s="14"/>
      <c r="AJ254" s="14"/>
      <c r="AK254" s="14"/>
      <c r="AL254" s="14"/>
      <c r="AM254" s="14"/>
      <c r="AN254" s="14">
        <v>27</v>
      </c>
      <c r="AO254" s="14"/>
      <c r="AP254" s="14"/>
      <c r="AQ254" s="14"/>
      <c r="AR254" s="14">
        <v>27</v>
      </c>
      <c r="AS254" s="14"/>
      <c r="AT254" s="14"/>
      <c r="AU254" s="14"/>
      <c r="AV254" s="14"/>
      <c r="AW254" s="14"/>
      <c r="AX254" s="14"/>
      <c r="AY254" s="14">
        <v>27</v>
      </c>
      <c r="AZ254" s="14">
        <v>27</v>
      </c>
      <c r="BA254" s="14"/>
      <c r="BB254" s="14">
        <v>27</v>
      </c>
      <c r="BC254" s="14">
        <v>27</v>
      </c>
      <c r="BD254" s="14"/>
      <c r="BE254" s="14"/>
      <c r="BF254" s="14"/>
      <c r="BG254" s="14"/>
      <c r="BH254" s="14"/>
      <c r="BI254" s="14"/>
      <c r="BJ254" s="14"/>
      <c r="BK254" s="14"/>
      <c r="BL254" s="14">
        <v>27</v>
      </c>
    </row>
    <row r="255" spans="4:64" x14ac:dyDescent="0.25">
      <c r="D255" s="16" t="s">
        <v>2208</v>
      </c>
      <c r="E255" s="14">
        <v>27</v>
      </c>
      <c r="F255" s="14">
        <v>27</v>
      </c>
      <c r="G255" s="14">
        <v>27</v>
      </c>
      <c r="H255" s="14">
        <v>27</v>
      </c>
      <c r="I255" s="14">
        <v>27</v>
      </c>
      <c r="J255" s="14">
        <v>27</v>
      </c>
      <c r="K255" s="14">
        <v>27</v>
      </c>
      <c r="L255" s="14">
        <v>27</v>
      </c>
      <c r="M255" s="14">
        <v>27</v>
      </c>
      <c r="N255" s="14">
        <v>27</v>
      </c>
      <c r="O255" s="14">
        <v>27</v>
      </c>
      <c r="P255" s="14">
        <v>27</v>
      </c>
      <c r="Q255" s="14">
        <v>27</v>
      </c>
      <c r="R255" s="14">
        <v>27</v>
      </c>
      <c r="S255" s="14">
        <v>27</v>
      </c>
      <c r="T255" s="14">
        <v>27</v>
      </c>
      <c r="U255" s="14">
        <v>27</v>
      </c>
      <c r="V255" s="14">
        <v>27</v>
      </c>
      <c r="W255" s="14">
        <v>27</v>
      </c>
      <c r="X255" s="14">
        <v>27</v>
      </c>
      <c r="Y255" s="14">
        <v>27</v>
      </c>
      <c r="Z255" s="14">
        <v>27</v>
      </c>
      <c r="AA255" s="14">
        <v>27</v>
      </c>
      <c r="AB255" s="14">
        <v>27</v>
      </c>
      <c r="AC255" s="14">
        <v>27</v>
      </c>
      <c r="AD255" s="14">
        <v>27</v>
      </c>
      <c r="AE255" s="14">
        <v>27</v>
      </c>
      <c r="AF255" s="14">
        <v>27</v>
      </c>
      <c r="AG255" s="14">
        <v>27</v>
      </c>
      <c r="AH255" s="14">
        <v>27</v>
      </c>
      <c r="AI255" s="14">
        <v>27</v>
      </c>
      <c r="AJ255" s="14">
        <v>27</v>
      </c>
      <c r="AK255" s="14"/>
      <c r="AL255" s="14">
        <v>27</v>
      </c>
      <c r="AM255" s="14">
        <v>27</v>
      </c>
      <c r="AN255" s="14">
        <v>27</v>
      </c>
      <c r="AO255" s="14">
        <v>27</v>
      </c>
      <c r="AP255" s="14">
        <v>27</v>
      </c>
      <c r="AQ255" s="14">
        <v>27</v>
      </c>
      <c r="AR255" s="14">
        <v>27</v>
      </c>
      <c r="AS255" s="14">
        <v>27</v>
      </c>
      <c r="AT255" s="14">
        <v>27</v>
      </c>
      <c r="AU255" s="14">
        <v>27</v>
      </c>
      <c r="AV255" s="14">
        <v>27</v>
      </c>
      <c r="AW255" s="14">
        <v>27</v>
      </c>
      <c r="AX255" s="14">
        <v>27</v>
      </c>
      <c r="AY255" s="14">
        <v>27</v>
      </c>
      <c r="AZ255" s="14">
        <v>27</v>
      </c>
      <c r="BA255" s="14">
        <v>27</v>
      </c>
      <c r="BB255" s="14">
        <v>27</v>
      </c>
      <c r="BC255" s="14">
        <v>27</v>
      </c>
      <c r="BD255" s="14">
        <v>27</v>
      </c>
      <c r="BE255" s="14">
        <v>27</v>
      </c>
      <c r="BF255" s="14">
        <v>27</v>
      </c>
      <c r="BG255" s="14">
        <v>27</v>
      </c>
      <c r="BH255" s="14">
        <v>27</v>
      </c>
      <c r="BI255" s="14">
        <v>27</v>
      </c>
      <c r="BJ255" s="14">
        <v>27</v>
      </c>
      <c r="BK255" s="14">
        <v>27</v>
      </c>
      <c r="BL255" s="14">
        <v>27</v>
      </c>
    </row>
    <row r="256" spans="4:64" x14ac:dyDescent="0.25">
      <c r="D256" s="20" t="s">
        <v>2201</v>
      </c>
      <c r="E256" s="14">
        <v>27</v>
      </c>
      <c r="F256" s="14">
        <v>27</v>
      </c>
      <c r="G256" s="14"/>
      <c r="H256" s="14"/>
      <c r="I256" s="14"/>
      <c r="J256" s="14"/>
      <c r="K256" s="14"/>
      <c r="L256" s="14">
        <v>27</v>
      </c>
      <c r="M256" s="14"/>
      <c r="N256" s="14"/>
      <c r="O256" s="14"/>
      <c r="P256" s="14">
        <v>27</v>
      </c>
      <c r="Q256" s="14"/>
      <c r="R256" s="14"/>
      <c r="S256" s="14"/>
      <c r="T256" s="14">
        <v>27</v>
      </c>
      <c r="U256" s="14"/>
      <c r="V256" s="14">
        <v>27</v>
      </c>
      <c r="W256" s="14">
        <v>27</v>
      </c>
      <c r="X256" s="14">
        <v>27</v>
      </c>
      <c r="Y256" s="14"/>
      <c r="Z256" s="14"/>
      <c r="AA256" s="14">
        <v>27</v>
      </c>
      <c r="AB256" s="14">
        <v>27</v>
      </c>
      <c r="AC256" s="14">
        <v>204</v>
      </c>
      <c r="AD256" s="14">
        <v>27</v>
      </c>
      <c r="AE256" s="14">
        <v>27</v>
      </c>
      <c r="AF256" s="14"/>
      <c r="AG256" s="14"/>
      <c r="AH256" s="14">
        <v>27</v>
      </c>
      <c r="AI256" s="14"/>
      <c r="AJ256" s="14">
        <v>27</v>
      </c>
      <c r="AK256" s="14"/>
      <c r="AL256" s="14">
        <v>27</v>
      </c>
      <c r="AM256" s="14"/>
      <c r="AN256" s="14">
        <v>27</v>
      </c>
      <c r="AO256" s="14">
        <v>27</v>
      </c>
      <c r="AP256" s="14"/>
      <c r="AQ256" s="14">
        <v>102</v>
      </c>
      <c r="AR256" s="14"/>
      <c r="AS256" s="14">
        <v>284</v>
      </c>
      <c r="AT256" s="14"/>
      <c r="AU256" s="14"/>
      <c r="AV256" s="14"/>
      <c r="AW256" s="14"/>
      <c r="AX256" s="14">
        <v>27</v>
      </c>
      <c r="AY256" s="14">
        <v>27</v>
      </c>
      <c r="AZ256" s="14">
        <v>27</v>
      </c>
      <c r="BA256" s="14">
        <v>126</v>
      </c>
      <c r="BB256" s="14">
        <v>27</v>
      </c>
      <c r="BC256" s="14">
        <v>95</v>
      </c>
      <c r="BD256" s="14"/>
      <c r="BE256" s="14">
        <v>27</v>
      </c>
      <c r="BF256" s="14"/>
      <c r="BG256" s="14">
        <v>27</v>
      </c>
      <c r="BH256" s="14"/>
      <c r="BI256" s="14">
        <v>27</v>
      </c>
      <c r="BJ256" s="14"/>
      <c r="BK256" s="14"/>
      <c r="BL256" s="14">
        <v>27</v>
      </c>
    </row>
    <row r="257" spans="4:64" x14ac:dyDescent="0.25">
      <c r="D257" s="21" t="s">
        <v>2206</v>
      </c>
      <c r="E257" s="14"/>
      <c r="F257" s="14">
        <v>27</v>
      </c>
      <c r="G257" s="14"/>
      <c r="H257" s="14"/>
      <c r="I257" s="14"/>
      <c r="J257" s="14"/>
      <c r="K257" s="14"/>
      <c r="L257" s="14"/>
      <c r="M257" s="14"/>
      <c r="N257" s="14"/>
      <c r="O257" s="14"/>
      <c r="P257" s="14">
        <v>27</v>
      </c>
      <c r="Q257" s="14"/>
      <c r="R257" s="14"/>
      <c r="S257" s="14"/>
      <c r="T257" s="14"/>
      <c r="U257" s="14"/>
      <c r="V257" s="14"/>
      <c r="W257" s="14"/>
      <c r="X257" s="14">
        <v>27</v>
      </c>
      <c r="Y257" s="14"/>
      <c r="Z257" s="14"/>
      <c r="AA257" s="14">
        <v>27</v>
      </c>
      <c r="AB257" s="14">
        <v>27</v>
      </c>
      <c r="AC257" s="14"/>
      <c r="AD257" s="14"/>
      <c r="AE257" s="14"/>
      <c r="AF257" s="14"/>
      <c r="AG257" s="14"/>
      <c r="AH257" s="14"/>
      <c r="AI257" s="14"/>
      <c r="AJ257" s="14">
        <v>27</v>
      </c>
      <c r="AK257" s="14"/>
      <c r="AL257" s="14"/>
      <c r="AM257" s="14"/>
      <c r="AN257" s="14">
        <v>27</v>
      </c>
      <c r="AO257" s="14">
        <v>27</v>
      </c>
      <c r="AP257" s="14"/>
      <c r="AQ257" s="14"/>
      <c r="AR257" s="14"/>
      <c r="AS257" s="14"/>
      <c r="AT257" s="14"/>
      <c r="AU257" s="14"/>
      <c r="AV257" s="14"/>
      <c r="AW257" s="14"/>
      <c r="AX257" s="14"/>
      <c r="AY257" s="14"/>
      <c r="AZ257" s="14">
        <v>27</v>
      </c>
      <c r="BA257" s="14"/>
      <c r="BB257" s="14"/>
      <c r="BC257" s="14"/>
      <c r="BD257" s="14"/>
      <c r="BE257" s="14"/>
      <c r="BF257" s="14"/>
      <c r="BG257" s="14"/>
      <c r="BH257" s="14"/>
      <c r="BI257" s="14">
        <v>27</v>
      </c>
      <c r="BJ257" s="14"/>
      <c r="BK257" s="14"/>
      <c r="BL257" s="14">
        <v>27</v>
      </c>
    </row>
    <row r="258" spans="4:64" x14ac:dyDescent="0.25">
      <c r="D258" s="21" t="s">
        <v>2204</v>
      </c>
      <c r="E258" s="14">
        <v>109</v>
      </c>
      <c r="F258" s="14"/>
      <c r="G258" s="14"/>
      <c r="H258" s="14"/>
      <c r="I258" s="14"/>
      <c r="J258" s="14"/>
      <c r="K258" s="14"/>
      <c r="L258" s="14">
        <v>198</v>
      </c>
      <c r="M258" s="14"/>
      <c r="N258" s="14"/>
      <c r="O258" s="14"/>
      <c r="P258" s="14">
        <v>109</v>
      </c>
      <c r="Q258" s="14"/>
      <c r="R258" s="14"/>
      <c r="S258" s="14"/>
      <c r="T258" s="14"/>
      <c r="U258" s="14"/>
      <c r="V258" s="14"/>
      <c r="W258" s="14"/>
      <c r="X258" s="14"/>
      <c r="Y258" s="14"/>
      <c r="Z258" s="14"/>
      <c r="AA258" s="14"/>
      <c r="AB258" s="14"/>
      <c r="AC258" s="14">
        <v>204</v>
      </c>
      <c r="AD258" s="14"/>
      <c r="AE258" s="14"/>
      <c r="AF258" s="14"/>
      <c r="AG258" s="14"/>
      <c r="AH258" s="14">
        <v>313</v>
      </c>
      <c r="AI258" s="14"/>
      <c r="AJ258" s="14"/>
      <c r="AK258" s="14"/>
      <c r="AL258" s="14"/>
      <c r="AM258" s="14"/>
      <c r="AN258" s="14">
        <v>204</v>
      </c>
      <c r="AO258" s="14"/>
      <c r="AP258" s="14"/>
      <c r="AQ258" s="14">
        <v>102</v>
      </c>
      <c r="AR258" s="14"/>
      <c r="AS258" s="14">
        <v>284</v>
      </c>
      <c r="AT258" s="14"/>
      <c r="AU258" s="14"/>
      <c r="AV258" s="14"/>
      <c r="AW258" s="14"/>
      <c r="AX258" s="14">
        <v>42</v>
      </c>
      <c r="AY258" s="14"/>
      <c r="AZ258" s="14">
        <v>42</v>
      </c>
      <c r="BA258" s="14">
        <v>126</v>
      </c>
      <c r="BB258" s="14"/>
      <c r="BC258" s="14">
        <v>95</v>
      </c>
      <c r="BD258" s="14"/>
      <c r="BE258" s="14"/>
      <c r="BF258" s="14"/>
      <c r="BG258" s="14">
        <v>348</v>
      </c>
      <c r="BH258" s="14"/>
      <c r="BI258" s="14"/>
      <c r="BJ258" s="14"/>
      <c r="BK258" s="14"/>
      <c r="BL258" s="14">
        <v>95</v>
      </c>
    </row>
    <row r="259" spans="4:64" x14ac:dyDescent="0.25">
      <c r="D259" s="21" t="s">
        <v>2207</v>
      </c>
      <c r="E259" s="14">
        <v>27</v>
      </c>
      <c r="F259" s="14"/>
      <c r="G259" s="14"/>
      <c r="H259" s="14"/>
      <c r="I259" s="14"/>
      <c r="J259" s="14"/>
      <c r="K259" s="14"/>
      <c r="L259" s="14">
        <v>27</v>
      </c>
      <c r="M259" s="14"/>
      <c r="N259" s="14"/>
      <c r="O259" s="14"/>
      <c r="P259" s="14">
        <v>27</v>
      </c>
      <c r="Q259" s="14"/>
      <c r="R259" s="14"/>
      <c r="S259" s="14"/>
      <c r="T259" s="14">
        <v>27</v>
      </c>
      <c r="U259" s="14"/>
      <c r="V259" s="14"/>
      <c r="W259" s="14"/>
      <c r="X259" s="14"/>
      <c r="Y259" s="14"/>
      <c r="Z259" s="14"/>
      <c r="AA259" s="14">
        <v>27</v>
      </c>
      <c r="AB259" s="14">
        <v>27</v>
      </c>
      <c r="AC259" s="14"/>
      <c r="AD259" s="14">
        <v>27</v>
      </c>
      <c r="AE259" s="14">
        <v>27</v>
      </c>
      <c r="AF259" s="14"/>
      <c r="AG259" s="14"/>
      <c r="AH259" s="14">
        <v>27</v>
      </c>
      <c r="AI259" s="14"/>
      <c r="AJ259" s="14"/>
      <c r="AK259" s="14"/>
      <c r="AL259" s="14">
        <v>27</v>
      </c>
      <c r="AM259" s="14"/>
      <c r="AN259" s="14">
        <v>27</v>
      </c>
      <c r="AO259" s="14"/>
      <c r="AP259" s="14"/>
      <c r="AQ259" s="14"/>
      <c r="AR259" s="14"/>
      <c r="AS259" s="14"/>
      <c r="AT259" s="14"/>
      <c r="AU259" s="14"/>
      <c r="AV259" s="14"/>
      <c r="AW259" s="14"/>
      <c r="AX259" s="14">
        <v>27</v>
      </c>
      <c r="AY259" s="14"/>
      <c r="AZ259" s="14">
        <v>27</v>
      </c>
      <c r="BA259" s="14"/>
      <c r="BB259" s="14"/>
      <c r="BC259" s="14"/>
      <c r="BD259" s="14"/>
      <c r="BE259" s="14"/>
      <c r="BF259" s="14"/>
      <c r="BG259" s="14"/>
      <c r="BH259" s="14"/>
      <c r="BI259" s="14"/>
      <c r="BJ259" s="14"/>
      <c r="BK259" s="14"/>
      <c r="BL259" s="14"/>
    </row>
    <row r="260" spans="4:64" x14ac:dyDescent="0.25">
      <c r="D260" s="21" t="s">
        <v>2205</v>
      </c>
      <c r="E260" s="14"/>
      <c r="F260" s="14"/>
      <c r="G260" s="14"/>
      <c r="H260" s="14"/>
      <c r="I260" s="14"/>
      <c r="J260" s="14"/>
      <c r="K260" s="14"/>
      <c r="L260" s="14"/>
      <c r="M260" s="14"/>
      <c r="N260" s="14"/>
      <c r="O260" s="14"/>
      <c r="P260" s="14"/>
      <c r="Q260" s="14"/>
      <c r="R260" s="14"/>
      <c r="S260" s="14"/>
      <c r="T260" s="14"/>
      <c r="U260" s="14"/>
      <c r="V260" s="14">
        <v>27</v>
      </c>
      <c r="W260" s="14">
        <v>27</v>
      </c>
      <c r="X260" s="14"/>
      <c r="Y260" s="14"/>
      <c r="Z260" s="14"/>
      <c r="AA260" s="14">
        <v>27</v>
      </c>
      <c r="AB260" s="14">
        <v>27</v>
      </c>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v>27</v>
      </c>
      <c r="AZ260" s="14">
        <v>27</v>
      </c>
      <c r="BA260" s="14"/>
      <c r="BB260" s="14">
        <v>27</v>
      </c>
      <c r="BC260" s="14"/>
      <c r="BD260" s="14"/>
      <c r="BE260" s="14">
        <v>27</v>
      </c>
      <c r="BF260" s="14"/>
      <c r="BG260" s="14">
        <v>27</v>
      </c>
      <c r="BH260" s="14"/>
      <c r="BI260" s="14"/>
      <c r="BJ260" s="14"/>
      <c r="BK260" s="14"/>
      <c r="BL260" s="14">
        <v>27</v>
      </c>
    </row>
    <row r="261" spans="4:64" x14ac:dyDescent="0.25">
      <c r="D261" s="20" t="s">
        <v>2198</v>
      </c>
      <c r="E261" s="14">
        <v>77</v>
      </c>
      <c r="F261" s="14"/>
      <c r="G261" s="14"/>
      <c r="H261" s="14">
        <v>27</v>
      </c>
      <c r="I261" s="14">
        <v>27</v>
      </c>
      <c r="J261" s="14"/>
      <c r="K261" s="14">
        <v>382</v>
      </c>
      <c r="L261" s="14"/>
      <c r="M261" s="14"/>
      <c r="N261" s="14">
        <v>27</v>
      </c>
      <c r="O261" s="14">
        <v>27</v>
      </c>
      <c r="P261" s="14">
        <v>27</v>
      </c>
      <c r="Q261" s="14"/>
      <c r="R261" s="14"/>
      <c r="S261" s="14">
        <v>27</v>
      </c>
      <c r="T261" s="14">
        <v>329</v>
      </c>
      <c r="U261" s="14"/>
      <c r="V261" s="14">
        <v>27</v>
      </c>
      <c r="W261" s="14"/>
      <c r="X261" s="14"/>
      <c r="Y261" s="14">
        <v>27</v>
      </c>
      <c r="Z261" s="14"/>
      <c r="AA261" s="14">
        <v>27</v>
      </c>
      <c r="AB261" s="14">
        <v>27</v>
      </c>
      <c r="AC261" s="14">
        <v>27</v>
      </c>
      <c r="AD261" s="14">
        <v>27</v>
      </c>
      <c r="AE261" s="14">
        <v>27</v>
      </c>
      <c r="AF261" s="14">
        <v>27</v>
      </c>
      <c r="AG261" s="14"/>
      <c r="AH261" s="14"/>
      <c r="AI261" s="14"/>
      <c r="AJ261" s="14"/>
      <c r="AK261" s="14"/>
      <c r="AL261" s="14">
        <v>34</v>
      </c>
      <c r="AM261" s="14"/>
      <c r="AN261" s="14">
        <v>27</v>
      </c>
      <c r="AO261" s="14">
        <v>27</v>
      </c>
      <c r="AP261" s="14"/>
      <c r="AQ261" s="14">
        <v>27</v>
      </c>
      <c r="AR261" s="14"/>
      <c r="AS261" s="14"/>
      <c r="AT261" s="14">
        <v>256</v>
      </c>
      <c r="AU261" s="14"/>
      <c r="AV261" s="14">
        <v>27</v>
      </c>
      <c r="AW261" s="14"/>
      <c r="AX261" s="14">
        <v>27</v>
      </c>
      <c r="AY261" s="14">
        <v>27</v>
      </c>
      <c r="AZ261" s="14">
        <v>27</v>
      </c>
      <c r="BA261" s="14"/>
      <c r="BB261" s="14">
        <v>27</v>
      </c>
      <c r="BC261" s="14">
        <v>334</v>
      </c>
      <c r="BD261" s="14"/>
      <c r="BE261" s="14">
        <v>27</v>
      </c>
      <c r="BF261" s="14">
        <v>27</v>
      </c>
      <c r="BG261" s="14"/>
      <c r="BH261" s="14"/>
      <c r="BI261" s="14">
        <v>27</v>
      </c>
      <c r="BJ261" s="14"/>
      <c r="BK261" s="14">
        <v>27</v>
      </c>
      <c r="BL261" s="14">
        <v>27</v>
      </c>
    </row>
    <row r="262" spans="4:64" x14ac:dyDescent="0.25">
      <c r="D262" s="21" t="s">
        <v>2206</v>
      </c>
      <c r="E262" s="14"/>
      <c r="F262" s="14"/>
      <c r="G262" s="14"/>
      <c r="H262" s="14"/>
      <c r="I262" s="14"/>
      <c r="J262" s="14"/>
      <c r="K262" s="14"/>
      <c r="L262" s="14"/>
      <c r="M262" s="14"/>
      <c r="N262" s="14">
        <v>27</v>
      </c>
      <c r="O262" s="14"/>
      <c r="P262" s="14">
        <v>27</v>
      </c>
      <c r="Q262" s="14"/>
      <c r="R262" s="14"/>
      <c r="S262" s="14"/>
      <c r="T262" s="14"/>
      <c r="U262" s="14"/>
      <c r="V262" s="14"/>
      <c r="W262" s="14"/>
      <c r="X262" s="14"/>
      <c r="Y262" s="14">
        <v>27</v>
      </c>
      <c r="Z262" s="14"/>
      <c r="AA262" s="14">
        <v>27</v>
      </c>
      <c r="AB262" s="14">
        <v>27</v>
      </c>
      <c r="AC262" s="14"/>
      <c r="AD262" s="14">
        <v>27</v>
      </c>
      <c r="AE262" s="14">
        <v>27</v>
      </c>
      <c r="AF262" s="14">
        <v>27</v>
      </c>
      <c r="AG262" s="14"/>
      <c r="AH262" s="14"/>
      <c r="AI262" s="14"/>
      <c r="AJ262" s="14"/>
      <c r="AK262" s="14"/>
      <c r="AL262" s="14"/>
      <c r="AM262" s="14"/>
      <c r="AN262" s="14">
        <v>27</v>
      </c>
      <c r="AO262" s="14"/>
      <c r="AP262" s="14"/>
      <c r="AQ262" s="14"/>
      <c r="AR262" s="14"/>
      <c r="AS262" s="14"/>
      <c r="AT262" s="14"/>
      <c r="AU262" s="14"/>
      <c r="AV262" s="14"/>
      <c r="AW262" s="14"/>
      <c r="AX262" s="14"/>
      <c r="AY262" s="14"/>
      <c r="AZ262" s="14"/>
      <c r="BA262" s="14"/>
      <c r="BB262" s="14">
        <v>27</v>
      </c>
      <c r="BC262" s="14"/>
      <c r="BD262" s="14"/>
      <c r="BE262" s="14"/>
      <c r="BF262" s="14"/>
      <c r="BG262" s="14"/>
      <c r="BH262" s="14"/>
      <c r="BI262" s="14">
        <v>27</v>
      </c>
      <c r="BJ262" s="14"/>
      <c r="BK262" s="14">
        <v>27</v>
      </c>
      <c r="BL262" s="14">
        <v>27</v>
      </c>
    </row>
    <row r="263" spans="4:64" x14ac:dyDescent="0.25">
      <c r="D263" s="21" t="s">
        <v>2204</v>
      </c>
      <c r="E263" s="14">
        <v>77</v>
      </c>
      <c r="F263" s="14"/>
      <c r="G263" s="14"/>
      <c r="H263" s="14"/>
      <c r="I263" s="14"/>
      <c r="J263" s="14"/>
      <c r="K263" s="14">
        <v>382</v>
      </c>
      <c r="L263" s="14"/>
      <c r="M263" s="14"/>
      <c r="N263" s="14">
        <v>231</v>
      </c>
      <c r="O263" s="14"/>
      <c r="P263" s="14">
        <v>77</v>
      </c>
      <c r="Q263" s="14"/>
      <c r="R263" s="14"/>
      <c r="S263" s="14">
        <v>124</v>
      </c>
      <c r="T263" s="14">
        <v>329</v>
      </c>
      <c r="U263" s="14"/>
      <c r="V263" s="14"/>
      <c r="W263" s="14"/>
      <c r="X263" s="14"/>
      <c r="Y263" s="14">
        <v>290</v>
      </c>
      <c r="Z263" s="14"/>
      <c r="AA263" s="14"/>
      <c r="AB263" s="14">
        <v>124</v>
      </c>
      <c r="AC263" s="14"/>
      <c r="AD263" s="14"/>
      <c r="AE263" s="14"/>
      <c r="AF263" s="14">
        <v>161</v>
      </c>
      <c r="AG263" s="14"/>
      <c r="AH263" s="14"/>
      <c r="AI263" s="14"/>
      <c r="AJ263" s="14"/>
      <c r="AK263" s="14"/>
      <c r="AL263" s="14">
        <v>34</v>
      </c>
      <c r="AM263" s="14"/>
      <c r="AN263" s="14">
        <v>34</v>
      </c>
      <c r="AO263" s="14">
        <v>340</v>
      </c>
      <c r="AP263" s="14"/>
      <c r="AQ263" s="14"/>
      <c r="AR263" s="14"/>
      <c r="AS263" s="14"/>
      <c r="AT263" s="14">
        <v>256</v>
      </c>
      <c r="AU263" s="14"/>
      <c r="AV263" s="14"/>
      <c r="AW263" s="14"/>
      <c r="AX263" s="14"/>
      <c r="AY263" s="14"/>
      <c r="AZ263" s="14">
        <v>256</v>
      </c>
      <c r="BA263" s="14"/>
      <c r="BB263" s="14"/>
      <c r="BC263" s="14">
        <v>334</v>
      </c>
      <c r="BD263" s="14"/>
      <c r="BE263" s="14"/>
      <c r="BF263" s="14"/>
      <c r="BG263" s="14"/>
      <c r="BH263" s="14"/>
      <c r="BI263" s="14"/>
      <c r="BJ263" s="14"/>
      <c r="BK263" s="14"/>
      <c r="BL263" s="14">
        <v>334</v>
      </c>
    </row>
    <row r="264" spans="4:64" x14ac:dyDescent="0.25">
      <c r="D264" s="21" t="s">
        <v>2207</v>
      </c>
      <c r="E264" s="14"/>
      <c r="F264" s="14"/>
      <c r="G264" s="14"/>
      <c r="H264" s="14">
        <v>27</v>
      </c>
      <c r="I264" s="14"/>
      <c r="J264" s="14"/>
      <c r="K264" s="14"/>
      <c r="L264" s="14"/>
      <c r="M264" s="14"/>
      <c r="N264" s="14"/>
      <c r="O264" s="14"/>
      <c r="P264" s="14">
        <v>27</v>
      </c>
      <c r="Q264" s="14"/>
      <c r="R264" s="14"/>
      <c r="S264" s="14">
        <v>27</v>
      </c>
      <c r="T264" s="14"/>
      <c r="U264" s="14"/>
      <c r="V264" s="14">
        <v>27</v>
      </c>
      <c r="W264" s="14"/>
      <c r="X264" s="14"/>
      <c r="Y264" s="14">
        <v>27</v>
      </c>
      <c r="Z264" s="14"/>
      <c r="AA264" s="14">
        <v>27</v>
      </c>
      <c r="AB264" s="14">
        <v>27</v>
      </c>
      <c r="AC264" s="14"/>
      <c r="AD264" s="14">
        <v>27</v>
      </c>
      <c r="AE264" s="14"/>
      <c r="AF264" s="14"/>
      <c r="AG264" s="14"/>
      <c r="AH264" s="14"/>
      <c r="AI264" s="14"/>
      <c r="AJ264" s="14"/>
      <c r="AK264" s="14"/>
      <c r="AL264" s="14"/>
      <c r="AM264" s="14"/>
      <c r="AN264" s="14">
        <v>27</v>
      </c>
      <c r="AO264" s="14">
        <v>27</v>
      </c>
      <c r="AP264" s="14"/>
      <c r="AQ264" s="14">
        <v>27</v>
      </c>
      <c r="AR264" s="14"/>
      <c r="AS264" s="14"/>
      <c r="AT264" s="14"/>
      <c r="AU264" s="14"/>
      <c r="AV264" s="14">
        <v>27</v>
      </c>
      <c r="AW264" s="14"/>
      <c r="AX264" s="14">
        <v>27</v>
      </c>
      <c r="AY264" s="14">
        <v>27</v>
      </c>
      <c r="AZ264" s="14">
        <v>27</v>
      </c>
      <c r="BA264" s="14"/>
      <c r="BB264" s="14"/>
      <c r="BC264" s="14"/>
      <c r="BD264" s="14"/>
      <c r="BE264" s="14">
        <v>27</v>
      </c>
      <c r="BF264" s="14"/>
      <c r="BG264" s="14"/>
      <c r="BH264" s="14"/>
      <c r="BI264" s="14">
        <v>27</v>
      </c>
      <c r="BJ264" s="14"/>
      <c r="BK264" s="14"/>
      <c r="BL264" s="14">
        <v>27</v>
      </c>
    </row>
    <row r="265" spans="4:64" x14ac:dyDescent="0.25">
      <c r="D265" s="21" t="s">
        <v>2205</v>
      </c>
      <c r="E265" s="14"/>
      <c r="F265" s="14"/>
      <c r="G265" s="14"/>
      <c r="H265" s="14"/>
      <c r="I265" s="14">
        <v>27</v>
      </c>
      <c r="J265" s="14"/>
      <c r="K265" s="14"/>
      <c r="L265" s="14"/>
      <c r="M265" s="14"/>
      <c r="N265" s="14"/>
      <c r="O265" s="14">
        <v>27</v>
      </c>
      <c r="P265" s="14">
        <v>27</v>
      </c>
      <c r="Q265" s="14"/>
      <c r="R265" s="14"/>
      <c r="S265" s="14">
        <v>27</v>
      </c>
      <c r="T265" s="14"/>
      <c r="U265" s="14"/>
      <c r="V265" s="14">
        <v>27</v>
      </c>
      <c r="W265" s="14"/>
      <c r="X265" s="14"/>
      <c r="Y265" s="14"/>
      <c r="Z265" s="14"/>
      <c r="AA265" s="14">
        <v>27</v>
      </c>
      <c r="AB265" s="14">
        <v>27</v>
      </c>
      <c r="AC265" s="14">
        <v>27</v>
      </c>
      <c r="AD265" s="14"/>
      <c r="AE265" s="14"/>
      <c r="AF265" s="14"/>
      <c r="AG265" s="14"/>
      <c r="AH265" s="14"/>
      <c r="AI265" s="14"/>
      <c r="AJ265" s="14"/>
      <c r="AK265" s="14"/>
      <c r="AL265" s="14"/>
      <c r="AM265" s="14"/>
      <c r="AN265" s="14">
        <v>27</v>
      </c>
      <c r="AO265" s="14"/>
      <c r="AP265" s="14"/>
      <c r="AQ265" s="14"/>
      <c r="AR265" s="14"/>
      <c r="AS265" s="14"/>
      <c r="AT265" s="14"/>
      <c r="AU265" s="14"/>
      <c r="AV265" s="14"/>
      <c r="AW265" s="14"/>
      <c r="AX265" s="14">
        <v>27</v>
      </c>
      <c r="AY265" s="14"/>
      <c r="AZ265" s="14">
        <v>27</v>
      </c>
      <c r="BA265" s="14"/>
      <c r="BB265" s="14">
        <v>27</v>
      </c>
      <c r="BC265" s="14"/>
      <c r="BD265" s="14"/>
      <c r="BE265" s="14"/>
      <c r="BF265" s="14">
        <v>27</v>
      </c>
      <c r="BG265" s="14"/>
      <c r="BH265" s="14"/>
      <c r="BI265" s="14"/>
      <c r="BJ265" s="14"/>
      <c r="BK265" s="14"/>
      <c r="BL265" s="14">
        <v>27</v>
      </c>
    </row>
    <row r="266" spans="4:64" x14ac:dyDescent="0.25">
      <c r="D266" s="20" t="s">
        <v>2203</v>
      </c>
      <c r="E266" s="14">
        <v>27</v>
      </c>
      <c r="F266" s="14">
        <v>27</v>
      </c>
      <c r="G266" s="14">
        <v>27</v>
      </c>
      <c r="H266" s="14"/>
      <c r="I266" s="14"/>
      <c r="J266" s="14">
        <v>27</v>
      </c>
      <c r="K266" s="14"/>
      <c r="L266" s="14">
        <v>27</v>
      </c>
      <c r="M266" s="14"/>
      <c r="N266" s="14"/>
      <c r="O266" s="14">
        <v>27</v>
      </c>
      <c r="P266" s="14">
        <v>27</v>
      </c>
      <c r="Q266" s="14"/>
      <c r="R266" s="14"/>
      <c r="S266" s="14"/>
      <c r="T266" s="14">
        <v>27</v>
      </c>
      <c r="U266" s="14"/>
      <c r="V266" s="14">
        <v>27</v>
      </c>
      <c r="W266" s="14"/>
      <c r="X266" s="14"/>
      <c r="Y266" s="14"/>
      <c r="Z266" s="14"/>
      <c r="AA266" s="14">
        <v>27</v>
      </c>
      <c r="AB266" s="14">
        <v>27</v>
      </c>
      <c r="AC266" s="14">
        <v>27</v>
      </c>
      <c r="AD266" s="14"/>
      <c r="AE266" s="14"/>
      <c r="AF266" s="14"/>
      <c r="AG266" s="14"/>
      <c r="AH266" s="14"/>
      <c r="AI266" s="14">
        <v>27</v>
      </c>
      <c r="AJ266" s="14">
        <v>27</v>
      </c>
      <c r="AK266" s="14"/>
      <c r="AL266" s="14">
        <v>27</v>
      </c>
      <c r="AM266" s="14"/>
      <c r="AN266" s="14">
        <v>27</v>
      </c>
      <c r="AO266" s="14"/>
      <c r="AP266" s="14"/>
      <c r="AQ266" s="14"/>
      <c r="AR266" s="14"/>
      <c r="AS266" s="14">
        <v>360</v>
      </c>
      <c r="AT266" s="14">
        <v>27</v>
      </c>
      <c r="AU266" s="14"/>
      <c r="AV266" s="14"/>
      <c r="AW266" s="14">
        <v>241</v>
      </c>
      <c r="AX266" s="14">
        <v>27</v>
      </c>
      <c r="AY266" s="14"/>
      <c r="AZ266" s="14">
        <v>27</v>
      </c>
      <c r="BA266" s="14"/>
      <c r="BB266" s="14">
        <v>27</v>
      </c>
      <c r="BC266" s="14">
        <v>27</v>
      </c>
      <c r="BD266" s="14">
        <v>27</v>
      </c>
      <c r="BE266" s="14"/>
      <c r="BF266" s="14"/>
      <c r="BG266" s="14"/>
      <c r="BH266" s="14"/>
      <c r="BI266" s="14"/>
      <c r="BJ266" s="14"/>
      <c r="BK266" s="14"/>
      <c r="BL266" s="14">
        <v>27</v>
      </c>
    </row>
    <row r="267" spans="4:64" x14ac:dyDescent="0.25">
      <c r="D267" s="21" t="s">
        <v>2206</v>
      </c>
      <c r="E267" s="14"/>
      <c r="F267" s="14"/>
      <c r="G267" s="14"/>
      <c r="H267" s="14"/>
      <c r="I267" s="14"/>
      <c r="J267" s="14"/>
      <c r="K267" s="14"/>
      <c r="L267" s="14">
        <v>27</v>
      </c>
      <c r="M267" s="14"/>
      <c r="N267" s="14"/>
      <c r="O267" s="14"/>
      <c r="P267" s="14">
        <v>27</v>
      </c>
      <c r="Q267" s="14"/>
      <c r="R267" s="14"/>
      <c r="S267" s="14"/>
      <c r="T267" s="14"/>
      <c r="U267" s="14"/>
      <c r="V267" s="14">
        <v>27</v>
      </c>
      <c r="W267" s="14"/>
      <c r="X267" s="14"/>
      <c r="Y267" s="14"/>
      <c r="Z267" s="14"/>
      <c r="AA267" s="14"/>
      <c r="AB267" s="14">
        <v>27</v>
      </c>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v>27</v>
      </c>
      <c r="BE267" s="14"/>
      <c r="BF267" s="14"/>
      <c r="BG267" s="14"/>
      <c r="BH267" s="14"/>
      <c r="BI267" s="14"/>
      <c r="BJ267" s="14"/>
      <c r="BK267" s="14"/>
      <c r="BL267" s="14">
        <v>27</v>
      </c>
    </row>
    <row r="268" spans="4:64" x14ac:dyDescent="0.25">
      <c r="D268" s="21" t="s">
        <v>2204</v>
      </c>
      <c r="E268" s="14"/>
      <c r="F268" s="14">
        <v>372</v>
      </c>
      <c r="G268" s="14"/>
      <c r="H268" s="14"/>
      <c r="I268" s="14"/>
      <c r="J268" s="14">
        <v>290</v>
      </c>
      <c r="K268" s="14"/>
      <c r="L268" s="14"/>
      <c r="M268" s="14"/>
      <c r="N268" s="14"/>
      <c r="O268" s="14"/>
      <c r="P268" s="14">
        <v>290</v>
      </c>
      <c r="Q268" s="14"/>
      <c r="R268" s="14"/>
      <c r="S268" s="14"/>
      <c r="T268" s="14"/>
      <c r="U268" s="14"/>
      <c r="V268" s="14">
        <v>359</v>
      </c>
      <c r="W268" s="14"/>
      <c r="X268" s="14"/>
      <c r="Y268" s="14"/>
      <c r="Z268" s="14"/>
      <c r="AA268" s="14"/>
      <c r="AB268" s="14">
        <v>359</v>
      </c>
      <c r="AC268" s="14"/>
      <c r="AD268" s="14"/>
      <c r="AE268" s="14"/>
      <c r="AF268" s="14"/>
      <c r="AG268" s="14"/>
      <c r="AH268" s="14"/>
      <c r="AI268" s="14"/>
      <c r="AJ268" s="14"/>
      <c r="AK268" s="14"/>
      <c r="AL268" s="14">
        <v>198</v>
      </c>
      <c r="AM268" s="14"/>
      <c r="AN268" s="14">
        <v>198</v>
      </c>
      <c r="AO268" s="14"/>
      <c r="AP268" s="14"/>
      <c r="AQ268" s="14"/>
      <c r="AR268" s="14"/>
      <c r="AS268" s="14">
        <v>360</v>
      </c>
      <c r="AT268" s="14"/>
      <c r="AU268" s="14"/>
      <c r="AV268" s="14"/>
      <c r="AW268" s="14">
        <v>241</v>
      </c>
      <c r="AX268" s="14"/>
      <c r="AY268" s="14"/>
      <c r="AZ268" s="14">
        <v>241</v>
      </c>
      <c r="BA268" s="14"/>
      <c r="BB268" s="14">
        <v>219</v>
      </c>
      <c r="BC268" s="14"/>
      <c r="BD268" s="14"/>
      <c r="BE268" s="14"/>
      <c r="BF268" s="14"/>
      <c r="BG268" s="14"/>
      <c r="BH268" s="14"/>
      <c r="BI268" s="14"/>
      <c r="BJ268" s="14"/>
      <c r="BK268" s="14"/>
      <c r="BL268" s="14">
        <v>219</v>
      </c>
    </row>
    <row r="269" spans="4:64" x14ac:dyDescent="0.25">
      <c r="D269" s="21" t="s">
        <v>2207</v>
      </c>
      <c r="E269" s="14"/>
      <c r="F269" s="14">
        <v>27</v>
      </c>
      <c r="G269" s="14">
        <v>27</v>
      </c>
      <c r="H269" s="14"/>
      <c r="I269" s="14"/>
      <c r="J269" s="14"/>
      <c r="K269" s="14"/>
      <c r="L269" s="14">
        <v>27</v>
      </c>
      <c r="M269" s="14"/>
      <c r="N269" s="14"/>
      <c r="O269" s="14">
        <v>27</v>
      </c>
      <c r="P269" s="14">
        <v>27</v>
      </c>
      <c r="Q269" s="14"/>
      <c r="R269" s="14"/>
      <c r="S269" s="14"/>
      <c r="T269" s="14">
        <v>27</v>
      </c>
      <c r="U269" s="14"/>
      <c r="V269" s="14"/>
      <c r="W269" s="14"/>
      <c r="X269" s="14"/>
      <c r="Y269" s="14"/>
      <c r="Z269" s="14"/>
      <c r="AA269" s="14">
        <v>27</v>
      </c>
      <c r="AB269" s="14">
        <v>27</v>
      </c>
      <c r="AC269" s="14">
        <v>27</v>
      </c>
      <c r="AD269" s="14"/>
      <c r="AE269" s="14"/>
      <c r="AF269" s="14"/>
      <c r="AG269" s="14"/>
      <c r="AH269" s="14"/>
      <c r="AI269" s="14">
        <v>27</v>
      </c>
      <c r="AJ269" s="14"/>
      <c r="AK269" s="14"/>
      <c r="AL269" s="14">
        <v>27</v>
      </c>
      <c r="AM269" s="14"/>
      <c r="AN269" s="14">
        <v>27</v>
      </c>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row>
    <row r="270" spans="4:64" x14ac:dyDescent="0.25">
      <c r="D270" s="21" t="s">
        <v>2205</v>
      </c>
      <c r="E270" s="14">
        <v>27</v>
      </c>
      <c r="F270" s="14"/>
      <c r="G270" s="14"/>
      <c r="H270" s="14"/>
      <c r="I270" s="14"/>
      <c r="J270" s="14">
        <v>27</v>
      </c>
      <c r="K270" s="14"/>
      <c r="L270" s="14"/>
      <c r="M270" s="14"/>
      <c r="N270" s="14"/>
      <c r="O270" s="14">
        <v>27</v>
      </c>
      <c r="P270" s="14">
        <v>27</v>
      </c>
      <c r="Q270" s="14"/>
      <c r="R270" s="14"/>
      <c r="S270" s="14"/>
      <c r="T270" s="14"/>
      <c r="U270" s="14"/>
      <c r="V270" s="14"/>
      <c r="W270" s="14"/>
      <c r="X270" s="14"/>
      <c r="Y270" s="14"/>
      <c r="Z270" s="14"/>
      <c r="AA270" s="14"/>
      <c r="AB270" s="14"/>
      <c r="AC270" s="14"/>
      <c r="AD270" s="14"/>
      <c r="AE270" s="14"/>
      <c r="AF270" s="14"/>
      <c r="AG270" s="14"/>
      <c r="AH270" s="14"/>
      <c r="AI270" s="14"/>
      <c r="AJ270" s="14">
        <v>27</v>
      </c>
      <c r="AK270" s="14"/>
      <c r="AL270" s="14">
        <v>27</v>
      </c>
      <c r="AM270" s="14"/>
      <c r="AN270" s="14">
        <v>27</v>
      </c>
      <c r="AO270" s="14"/>
      <c r="AP270" s="14"/>
      <c r="AQ270" s="14"/>
      <c r="AR270" s="14"/>
      <c r="AS270" s="14"/>
      <c r="AT270" s="14">
        <v>27</v>
      </c>
      <c r="AU270" s="14"/>
      <c r="AV270" s="14"/>
      <c r="AW270" s="14"/>
      <c r="AX270" s="14">
        <v>27</v>
      </c>
      <c r="AY270" s="14"/>
      <c r="AZ270" s="14">
        <v>27</v>
      </c>
      <c r="BA270" s="14"/>
      <c r="BB270" s="14">
        <v>27</v>
      </c>
      <c r="BC270" s="14">
        <v>27</v>
      </c>
      <c r="BD270" s="14"/>
      <c r="BE270" s="14"/>
      <c r="BF270" s="14"/>
      <c r="BG270" s="14"/>
      <c r="BH270" s="14"/>
      <c r="BI270" s="14"/>
      <c r="BJ270" s="14"/>
      <c r="BK270" s="14"/>
      <c r="BL270" s="14">
        <v>27</v>
      </c>
    </row>
    <row r="271" spans="4:64" x14ac:dyDescent="0.25">
      <c r="D271" s="20" t="s">
        <v>2202</v>
      </c>
      <c r="E271" s="14">
        <v>27</v>
      </c>
      <c r="F271" s="14"/>
      <c r="G271" s="14"/>
      <c r="H271" s="14"/>
      <c r="I271" s="14"/>
      <c r="J271" s="14">
        <v>27</v>
      </c>
      <c r="K271" s="14">
        <v>27</v>
      </c>
      <c r="L271" s="14"/>
      <c r="M271" s="14"/>
      <c r="N271" s="14"/>
      <c r="O271" s="14"/>
      <c r="P271" s="14">
        <v>27</v>
      </c>
      <c r="Q271" s="14"/>
      <c r="R271" s="14">
        <v>27</v>
      </c>
      <c r="S271" s="14">
        <v>27</v>
      </c>
      <c r="T271" s="14"/>
      <c r="U271" s="14">
        <v>27</v>
      </c>
      <c r="V271" s="14"/>
      <c r="W271" s="14"/>
      <c r="X271" s="14">
        <v>27</v>
      </c>
      <c r="Y271" s="14">
        <v>27</v>
      </c>
      <c r="Z271" s="14">
        <v>386</v>
      </c>
      <c r="AA271" s="14"/>
      <c r="AB271" s="14">
        <v>27</v>
      </c>
      <c r="AC271" s="14">
        <v>27</v>
      </c>
      <c r="AD271" s="14"/>
      <c r="AE271" s="14"/>
      <c r="AF271" s="14"/>
      <c r="AG271" s="14">
        <v>27</v>
      </c>
      <c r="AH271" s="14">
        <v>323</v>
      </c>
      <c r="AI271" s="14"/>
      <c r="AJ271" s="14"/>
      <c r="AK271" s="14"/>
      <c r="AL271" s="14"/>
      <c r="AM271" s="14">
        <v>27</v>
      </c>
      <c r="AN271" s="14">
        <v>27</v>
      </c>
      <c r="AO271" s="14">
        <v>27</v>
      </c>
      <c r="AP271" s="14"/>
      <c r="AQ271" s="14"/>
      <c r="AR271" s="14">
        <v>27</v>
      </c>
      <c r="AS271" s="14"/>
      <c r="AT271" s="14">
        <v>27</v>
      </c>
      <c r="AU271" s="14"/>
      <c r="AV271" s="14">
        <v>27</v>
      </c>
      <c r="AW271" s="14"/>
      <c r="AX271" s="14">
        <v>313</v>
      </c>
      <c r="AY271" s="14"/>
      <c r="AZ271" s="14">
        <v>27</v>
      </c>
      <c r="BA271" s="14"/>
      <c r="BB271" s="14">
        <v>27</v>
      </c>
      <c r="BC271" s="14">
        <v>27</v>
      </c>
      <c r="BD271" s="14"/>
      <c r="BE271" s="14">
        <v>27</v>
      </c>
      <c r="BF271" s="14"/>
      <c r="BG271" s="14"/>
      <c r="BH271" s="14"/>
      <c r="BI271" s="14">
        <v>27</v>
      </c>
      <c r="BJ271" s="14"/>
      <c r="BK271" s="14"/>
      <c r="BL271" s="14">
        <v>27</v>
      </c>
    </row>
    <row r="272" spans="4:64" x14ac:dyDescent="0.25">
      <c r="D272" s="21" t="s">
        <v>2206</v>
      </c>
      <c r="E272" s="14">
        <v>27</v>
      </c>
      <c r="F272" s="14"/>
      <c r="G272" s="14"/>
      <c r="H272" s="14"/>
      <c r="I272" s="14"/>
      <c r="J272" s="14"/>
      <c r="K272" s="14">
        <v>27</v>
      </c>
      <c r="L272" s="14"/>
      <c r="M272" s="14"/>
      <c r="N272" s="14"/>
      <c r="O272" s="14"/>
      <c r="P272" s="14">
        <v>27</v>
      </c>
      <c r="Q272" s="14"/>
      <c r="R272" s="14"/>
      <c r="S272" s="14">
        <v>27</v>
      </c>
      <c r="T272" s="14"/>
      <c r="U272" s="14">
        <v>27</v>
      </c>
      <c r="V272" s="14"/>
      <c r="W272" s="14"/>
      <c r="X272" s="14"/>
      <c r="Y272" s="14">
        <v>27</v>
      </c>
      <c r="Z272" s="14"/>
      <c r="AA272" s="14"/>
      <c r="AB272" s="14">
        <v>27</v>
      </c>
      <c r="AC272" s="14"/>
      <c r="AD272" s="14"/>
      <c r="AE272" s="14"/>
      <c r="AF272" s="14"/>
      <c r="AG272" s="14"/>
      <c r="AH272" s="14"/>
      <c r="AI272" s="14"/>
      <c r="AJ272" s="14"/>
      <c r="AK272" s="14"/>
      <c r="AL272" s="14"/>
      <c r="AM272" s="14"/>
      <c r="AN272" s="14"/>
      <c r="AO272" s="14"/>
      <c r="AP272" s="14"/>
      <c r="AQ272" s="14"/>
      <c r="AR272" s="14">
        <v>27</v>
      </c>
      <c r="AS272" s="14"/>
      <c r="AT272" s="14">
        <v>27</v>
      </c>
      <c r="AU272" s="14"/>
      <c r="AV272" s="14">
        <v>27</v>
      </c>
      <c r="AW272" s="14"/>
      <c r="AX272" s="14"/>
      <c r="AY272" s="14"/>
      <c r="AZ272" s="14">
        <v>27</v>
      </c>
      <c r="BA272" s="14"/>
      <c r="BB272" s="14">
        <v>27</v>
      </c>
      <c r="BC272" s="14"/>
      <c r="BD272" s="14"/>
      <c r="BE272" s="14"/>
      <c r="BF272" s="14"/>
      <c r="BG272" s="14"/>
      <c r="BH272" s="14"/>
      <c r="BI272" s="14"/>
      <c r="BJ272" s="14"/>
      <c r="BK272" s="14"/>
      <c r="BL272" s="14">
        <v>27</v>
      </c>
    </row>
    <row r="273" spans="4:64" x14ac:dyDescent="0.25">
      <c r="D273" s="21" t="s">
        <v>2204</v>
      </c>
      <c r="E273" s="14"/>
      <c r="F273" s="14"/>
      <c r="G273" s="14"/>
      <c r="H273" s="14"/>
      <c r="I273" s="14"/>
      <c r="J273" s="14"/>
      <c r="K273" s="14"/>
      <c r="L273" s="14"/>
      <c r="M273" s="14"/>
      <c r="N273" s="14"/>
      <c r="O273" s="14"/>
      <c r="P273" s="14"/>
      <c r="Q273" s="14"/>
      <c r="R273" s="14"/>
      <c r="S273" s="14"/>
      <c r="T273" s="14"/>
      <c r="U273" s="14">
        <v>79</v>
      </c>
      <c r="V273" s="14"/>
      <c r="W273" s="14"/>
      <c r="X273" s="14"/>
      <c r="Y273" s="14"/>
      <c r="Z273" s="14">
        <v>386</v>
      </c>
      <c r="AA273" s="14"/>
      <c r="AB273" s="14">
        <v>79</v>
      </c>
      <c r="AC273" s="14"/>
      <c r="AD273" s="14"/>
      <c r="AE273" s="14"/>
      <c r="AF273" s="14"/>
      <c r="AG273" s="14"/>
      <c r="AH273" s="14">
        <v>323</v>
      </c>
      <c r="AI273" s="14"/>
      <c r="AJ273" s="14"/>
      <c r="AK273" s="14"/>
      <c r="AL273" s="14"/>
      <c r="AM273" s="14"/>
      <c r="AN273" s="14">
        <v>323</v>
      </c>
      <c r="AO273" s="14"/>
      <c r="AP273" s="14"/>
      <c r="AQ273" s="14"/>
      <c r="AR273" s="14"/>
      <c r="AS273" s="14"/>
      <c r="AT273" s="14"/>
      <c r="AU273" s="14"/>
      <c r="AV273" s="14"/>
      <c r="AW273" s="14"/>
      <c r="AX273" s="14">
        <v>313</v>
      </c>
      <c r="AY273" s="14"/>
      <c r="AZ273" s="14">
        <v>313</v>
      </c>
      <c r="BA273" s="14"/>
      <c r="BB273" s="14"/>
      <c r="BC273" s="14"/>
      <c r="BD273" s="14"/>
      <c r="BE273" s="14">
        <v>140</v>
      </c>
      <c r="BF273" s="14"/>
      <c r="BG273" s="14"/>
      <c r="BH273" s="14"/>
      <c r="BI273" s="14"/>
      <c r="BJ273" s="14"/>
      <c r="BK273" s="14"/>
      <c r="BL273" s="14">
        <v>140</v>
      </c>
    </row>
    <row r="274" spans="4:64" x14ac:dyDescent="0.25">
      <c r="D274" s="21" t="s">
        <v>2207</v>
      </c>
      <c r="E274" s="14">
        <v>27</v>
      </c>
      <c r="F274" s="14"/>
      <c r="G274" s="14"/>
      <c r="H274" s="14"/>
      <c r="I274" s="14"/>
      <c r="J274" s="14"/>
      <c r="K274" s="14">
        <v>27</v>
      </c>
      <c r="L274" s="14"/>
      <c r="M274" s="14"/>
      <c r="N274" s="14"/>
      <c r="O274" s="14"/>
      <c r="P274" s="14">
        <v>27</v>
      </c>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v>27</v>
      </c>
      <c r="AU274" s="14"/>
      <c r="AV274" s="14"/>
      <c r="AW274" s="14"/>
      <c r="AX274" s="14"/>
      <c r="AY274" s="14"/>
      <c r="AZ274" s="14">
        <v>27</v>
      </c>
      <c r="BA274" s="14"/>
      <c r="BB274" s="14">
        <v>27</v>
      </c>
      <c r="BC274" s="14">
        <v>27</v>
      </c>
      <c r="BD274" s="14"/>
      <c r="BE274" s="14"/>
      <c r="BF274" s="14"/>
      <c r="BG274" s="14"/>
      <c r="BH274" s="14"/>
      <c r="BI274" s="14"/>
      <c r="BJ274" s="14"/>
      <c r="BK274" s="14"/>
      <c r="BL274" s="14">
        <v>27</v>
      </c>
    </row>
    <row r="275" spans="4:64" x14ac:dyDescent="0.25">
      <c r="D275" s="21" t="s">
        <v>2205</v>
      </c>
      <c r="E275" s="14"/>
      <c r="F275" s="14"/>
      <c r="G275" s="14"/>
      <c r="H275" s="14"/>
      <c r="I275" s="14"/>
      <c r="J275" s="14">
        <v>27</v>
      </c>
      <c r="K275" s="14"/>
      <c r="L275" s="14"/>
      <c r="M275" s="14"/>
      <c r="N275" s="14"/>
      <c r="O275" s="14"/>
      <c r="P275" s="14">
        <v>27</v>
      </c>
      <c r="Q275" s="14"/>
      <c r="R275" s="14">
        <v>27</v>
      </c>
      <c r="S275" s="14"/>
      <c r="T275" s="14"/>
      <c r="U275" s="14"/>
      <c r="V275" s="14"/>
      <c r="W275" s="14"/>
      <c r="X275" s="14">
        <v>27</v>
      </c>
      <c r="Y275" s="14"/>
      <c r="Z275" s="14"/>
      <c r="AA275" s="14"/>
      <c r="AB275" s="14">
        <v>27</v>
      </c>
      <c r="AC275" s="14">
        <v>27</v>
      </c>
      <c r="AD275" s="14"/>
      <c r="AE275" s="14"/>
      <c r="AF275" s="14"/>
      <c r="AG275" s="14">
        <v>27</v>
      </c>
      <c r="AH275" s="14"/>
      <c r="AI275" s="14"/>
      <c r="AJ275" s="14"/>
      <c r="AK275" s="14"/>
      <c r="AL275" s="14"/>
      <c r="AM275" s="14">
        <v>27</v>
      </c>
      <c r="AN275" s="14">
        <v>27</v>
      </c>
      <c r="AO275" s="14">
        <v>27</v>
      </c>
      <c r="AP275" s="14"/>
      <c r="AQ275" s="14"/>
      <c r="AR275" s="14"/>
      <c r="AS275" s="14"/>
      <c r="AT275" s="14"/>
      <c r="AU275" s="14"/>
      <c r="AV275" s="14">
        <v>27</v>
      </c>
      <c r="AW275" s="14"/>
      <c r="AX275" s="14"/>
      <c r="AY275" s="14"/>
      <c r="AZ275" s="14">
        <v>27</v>
      </c>
      <c r="BA275" s="14"/>
      <c r="BB275" s="14"/>
      <c r="BC275" s="14"/>
      <c r="BD275" s="14"/>
      <c r="BE275" s="14">
        <v>27</v>
      </c>
      <c r="BF275" s="14"/>
      <c r="BG275" s="14"/>
      <c r="BH275" s="14"/>
      <c r="BI275" s="14">
        <v>27</v>
      </c>
      <c r="BJ275" s="14"/>
      <c r="BK275" s="14"/>
      <c r="BL275" s="14">
        <v>27</v>
      </c>
    </row>
    <row r="276" spans="4:64" x14ac:dyDescent="0.25">
      <c r="D276" s="20" t="s">
        <v>2200</v>
      </c>
      <c r="E276" s="14"/>
      <c r="F276" s="14"/>
      <c r="G276" s="14">
        <v>27</v>
      </c>
      <c r="H276" s="14">
        <v>27</v>
      </c>
      <c r="I276" s="14"/>
      <c r="J276" s="14"/>
      <c r="K276" s="14"/>
      <c r="L276" s="14">
        <v>27</v>
      </c>
      <c r="M276" s="14"/>
      <c r="N276" s="14">
        <v>61</v>
      </c>
      <c r="O276" s="14"/>
      <c r="P276" s="14">
        <v>27</v>
      </c>
      <c r="Q276" s="14"/>
      <c r="R276" s="14"/>
      <c r="S276" s="14">
        <v>27</v>
      </c>
      <c r="T276" s="14">
        <v>27</v>
      </c>
      <c r="U276" s="14"/>
      <c r="V276" s="14">
        <v>27</v>
      </c>
      <c r="W276" s="14">
        <v>209</v>
      </c>
      <c r="X276" s="14">
        <v>27</v>
      </c>
      <c r="Y276" s="14"/>
      <c r="Z276" s="14">
        <v>27</v>
      </c>
      <c r="AA276" s="14"/>
      <c r="AB276" s="14">
        <v>27</v>
      </c>
      <c r="AC276" s="14"/>
      <c r="AD276" s="14"/>
      <c r="AE276" s="14">
        <v>27</v>
      </c>
      <c r="AF276" s="14">
        <v>27</v>
      </c>
      <c r="AG276" s="14">
        <v>27</v>
      </c>
      <c r="AH276" s="14"/>
      <c r="AI276" s="14"/>
      <c r="AJ276" s="14"/>
      <c r="AK276" s="14"/>
      <c r="AL276" s="14"/>
      <c r="AM276" s="14"/>
      <c r="AN276" s="14">
        <v>27</v>
      </c>
      <c r="AO276" s="14"/>
      <c r="AP276" s="14">
        <v>27</v>
      </c>
      <c r="AQ276" s="14">
        <v>27</v>
      </c>
      <c r="AR276" s="14">
        <v>27</v>
      </c>
      <c r="AS276" s="14">
        <v>27</v>
      </c>
      <c r="AT276" s="14">
        <v>27</v>
      </c>
      <c r="AU276" s="14">
        <v>27</v>
      </c>
      <c r="AV276" s="14">
        <v>27</v>
      </c>
      <c r="AW276" s="14"/>
      <c r="AX276" s="14">
        <v>140</v>
      </c>
      <c r="AY276" s="14">
        <v>27</v>
      </c>
      <c r="AZ276" s="14">
        <v>27</v>
      </c>
      <c r="BA276" s="14"/>
      <c r="BB276" s="14">
        <v>49</v>
      </c>
      <c r="BC276" s="14">
        <v>175</v>
      </c>
      <c r="BD276" s="14">
        <v>224</v>
      </c>
      <c r="BE276" s="14"/>
      <c r="BF276" s="14"/>
      <c r="BG276" s="14">
        <v>27</v>
      </c>
      <c r="BH276" s="14">
        <v>27</v>
      </c>
      <c r="BI276" s="14"/>
      <c r="BJ276" s="14"/>
      <c r="BK276" s="14"/>
      <c r="BL276" s="14">
        <v>27</v>
      </c>
    </row>
    <row r="277" spans="4:64" x14ac:dyDescent="0.25">
      <c r="D277" s="21" t="s">
        <v>2206</v>
      </c>
      <c r="E277" s="14"/>
      <c r="F277" s="14"/>
      <c r="G277" s="14">
        <v>27</v>
      </c>
      <c r="H277" s="14"/>
      <c r="I277" s="14"/>
      <c r="J277" s="14"/>
      <c r="K277" s="14"/>
      <c r="L277" s="14"/>
      <c r="M277" s="14"/>
      <c r="N277" s="14"/>
      <c r="O277" s="14"/>
      <c r="P277" s="14">
        <v>27</v>
      </c>
      <c r="Q277" s="14"/>
      <c r="R277" s="14"/>
      <c r="S277" s="14">
        <v>27</v>
      </c>
      <c r="T277" s="14"/>
      <c r="U277" s="14"/>
      <c r="V277" s="14">
        <v>27</v>
      </c>
      <c r="W277" s="14"/>
      <c r="X277" s="14"/>
      <c r="Y277" s="14"/>
      <c r="Z277" s="14">
        <v>27</v>
      </c>
      <c r="AA277" s="14"/>
      <c r="AB277" s="14">
        <v>27</v>
      </c>
      <c r="AC277" s="14"/>
      <c r="AD277" s="14"/>
      <c r="AE277" s="14">
        <v>27</v>
      </c>
      <c r="AF277" s="14"/>
      <c r="AG277" s="14"/>
      <c r="AH277" s="14"/>
      <c r="AI277" s="14"/>
      <c r="AJ277" s="14"/>
      <c r="AK277" s="14"/>
      <c r="AL277" s="14"/>
      <c r="AM277" s="14"/>
      <c r="AN277" s="14">
        <v>27</v>
      </c>
      <c r="AO277" s="14"/>
      <c r="AP277" s="14">
        <v>27</v>
      </c>
      <c r="AQ277" s="14"/>
      <c r="AR277" s="14">
        <v>27</v>
      </c>
      <c r="AS277" s="14"/>
      <c r="AT277" s="14"/>
      <c r="AU277" s="14"/>
      <c r="AV277" s="14">
        <v>27</v>
      </c>
      <c r="AW277" s="14"/>
      <c r="AX277" s="14"/>
      <c r="AY277" s="14">
        <v>27</v>
      </c>
      <c r="AZ277" s="14">
        <v>27</v>
      </c>
      <c r="BA277" s="14"/>
      <c r="BB277" s="14"/>
      <c r="BC277" s="14"/>
      <c r="BD277" s="14"/>
      <c r="BE277" s="14"/>
      <c r="BF277" s="14"/>
      <c r="BG277" s="14"/>
      <c r="BH277" s="14"/>
      <c r="BI277" s="14"/>
      <c r="BJ277" s="14"/>
      <c r="BK277" s="14"/>
      <c r="BL277" s="14"/>
    </row>
    <row r="278" spans="4:64" x14ac:dyDescent="0.25">
      <c r="D278" s="21" t="s">
        <v>2204</v>
      </c>
      <c r="E278" s="14"/>
      <c r="F278" s="14"/>
      <c r="G278" s="14"/>
      <c r="H278" s="14"/>
      <c r="I278" s="14"/>
      <c r="J278" s="14"/>
      <c r="K278" s="14"/>
      <c r="L278" s="14"/>
      <c r="M278" s="14"/>
      <c r="N278" s="14">
        <v>61</v>
      </c>
      <c r="O278" s="14"/>
      <c r="P278" s="14">
        <v>61</v>
      </c>
      <c r="Q278" s="14"/>
      <c r="R278" s="14"/>
      <c r="S278" s="14">
        <v>158</v>
      </c>
      <c r="T278" s="14">
        <v>325</v>
      </c>
      <c r="U278" s="14"/>
      <c r="V278" s="14"/>
      <c r="W278" s="14">
        <v>209</v>
      </c>
      <c r="X278" s="14"/>
      <c r="Y278" s="14"/>
      <c r="Z278" s="14"/>
      <c r="AA278" s="14"/>
      <c r="AB278" s="14">
        <v>158</v>
      </c>
      <c r="AC278" s="14"/>
      <c r="AD278" s="14"/>
      <c r="AE278" s="14"/>
      <c r="AF278" s="14"/>
      <c r="AG278" s="14">
        <v>164</v>
      </c>
      <c r="AH278" s="14"/>
      <c r="AI278" s="14"/>
      <c r="AJ278" s="14"/>
      <c r="AK278" s="14"/>
      <c r="AL278" s="14"/>
      <c r="AM278" s="14"/>
      <c r="AN278" s="14">
        <v>164</v>
      </c>
      <c r="AO278" s="14"/>
      <c r="AP278" s="14">
        <v>199</v>
      </c>
      <c r="AQ278" s="14"/>
      <c r="AR278" s="14"/>
      <c r="AS278" s="14"/>
      <c r="AT278" s="14"/>
      <c r="AU278" s="14"/>
      <c r="AV278" s="14"/>
      <c r="AW278" s="14"/>
      <c r="AX278" s="14">
        <v>140</v>
      </c>
      <c r="AY278" s="14">
        <v>170</v>
      </c>
      <c r="AZ278" s="14">
        <v>140</v>
      </c>
      <c r="BA278" s="14"/>
      <c r="BB278" s="14">
        <v>49</v>
      </c>
      <c r="BC278" s="14">
        <v>175</v>
      </c>
      <c r="BD278" s="14">
        <v>224</v>
      </c>
      <c r="BE278" s="14"/>
      <c r="BF278" s="14"/>
      <c r="BG278" s="14">
        <v>266</v>
      </c>
      <c r="BH278" s="14"/>
      <c r="BI278" s="14"/>
      <c r="BJ278" s="14"/>
      <c r="BK278" s="14"/>
      <c r="BL278" s="14">
        <v>49</v>
      </c>
    </row>
    <row r="279" spans="4:64" x14ac:dyDescent="0.25">
      <c r="D279" s="21" t="s">
        <v>2207</v>
      </c>
      <c r="E279" s="14"/>
      <c r="F279" s="14"/>
      <c r="G279" s="14"/>
      <c r="H279" s="14">
        <v>27</v>
      </c>
      <c r="I279" s="14"/>
      <c r="J279" s="14"/>
      <c r="K279" s="14"/>
      <c r="L279" s="14">
        <v>27</v>
      </c>
      <c r="M279" s="14"/>
      <c r="N279" s="14"/>
      <c r="O279" s="14"/>
      <c r="P279" s="14">
        <v>27</v>
      </c>
      <c r="Q279" s="14"/>
      <c r="R279" s="14"/>
      <c r="S279" s="14">
        <v>27</v>
      </c>
      <c r="T279" s="14">
        <v>27</v>
      </c>
      <c r="U279" s="14"/>
      <c r="V279" s="14"/>
      <c r="W279" s="14"/>
      <c r="X279" s="14"/>
      <c r="Y279" s="14"/>
      <c r="Z279" s="14"/>
      <c r="AA279" s="14"/>
      <c r="AB279" s="14">
        <v>27</v>
      </c>
      <c r="AC279" s="14"/>
      <c r="AD279" s="14"/>
      <c r="AE279" s="14"/>
      <c r="AF279" s="14">
        <v>27</v>
      </c>
      <c r="AG279" s="14"/>
      <c r="AH279" s="14"/>
      <c r="AI279" s="14"/>
      <c r="AJ279" s="14"/>
      <c r="AK279" s="14"/>
      <c r="AL279" s="14"/>
      <c r="AM279" s="14"/>
      <c r="AN279" s="14">
        <v>27</v>
      </c>
      <c r="AO279" s="14"/>
      <c r="AP279" s="14">
        <v>27</v>
      </c>
      <c r="AQ279" s="14"/>
      <c r="AR279" s="14"/>
      <c r="AS279" s="14">
        <v>27</v>
      </c>
      <c r="AT279" s="14">
        <v>27</v>
      </c>
      <c r="AU279" s="14"/>
      <c r="AV279" s="14"/>
      <c r="AW279" s="14"/>
      <c r="AX279" s="14"/>
      <c r="AY279" s="14"/>
      <c r="AZ279" s="14">
        <v>27</v>
      </c>
      <c r="BA279" s="14"/>
      <c r="BB279" s="14"/>
      <c r="BC279" s="14"/>
      <c r="BD279" s="14"/>
      <c r="BE279" s="14"/>
      <c r="BF279" s="14"/>
      <c r="BG279" s="14">
        <v>27</v>
      </c>
      <c r="BH279" s="14"/>
      <c r="BI279" s="14"/>
      <c r="BJ279" s="14"/>
      <c r="BK279" s="14"/>
      <c r="BL279" s="14">
        <v>27</v>
      </c>
    </row>
    <row r="280" spans="4:64" x14ac:dyDescent="0.25">
      <c r="D280" s="21" t="s">
        <v>2205</v>
      </c>
      <c r="E280" s="14"/>
      <c r="F280" s="14"/>
      <c r="G280" s="14"/>
      <c r="H280" s="14"/>
      <c r="I280" s="14"/>
      <c r="J280" s="14"/>
      <c r="K280" s="14"/>
      <c r="L280" s="14"/>
      <c r="M280" s="14"/>
      <c r="N280" s="14"/>
      <c r="O280" s="14"/>
      <c r="P280" s="14"/>
      <c r="Q280" s="14"/>
      <c r="R280" s="14"/>
      <c r="S280" s="14"/>
      <c r="T280" s="14"/>
      <c r="U280" s="14"/>
      <c r="V280" s="14"/>
      <c r="W280" s="14"/>
      <c r="X280" s="14">
        <v>27</v>
      </c>
      <c r="Y280" s="14"/>
      <c r="Z280" s="14"/>
      <c r="AA280" s="14"/>
      <c r="AB280" s="14">
        <v>27</v>
      </c>
      <c r="AC280" s="14"/>
      <c r="AD280" s="14"/>
      <c r="AE280" s="14"/>
      <c r="AF280" s="14"/>
      <c r="AG280" s="14">
        <v>27</v>
      </c>
      <c r="AH280" s="14"/>
      <c r="AI280" s="14"/>
      <c r="AJ280" s="14"/>
      <c r="AK280" s="14"/>
      <c r="AL280" s="14"/>
      <c r="AM280" s="14"/>
      <c r="AN280" s="14">
        <v>27</v>
      </c>
      <c r="AO280" s="14"/>
      <c r="AP280" s="14"/>
      <c r="AQ280" s="14">
        <v>27</v>
      </c>
      <c r="AR280" s="14"/>
      <c r="AS280" s="14"/>
      <c r="AT280" s="14"/>
      <c r="AU280" s="14">
        <v>27</v>
      </c>
      <c r="AV280" s="14"/>
      <c r="AW280" s="14"/>
      <c r="AX280" s="14"/>
      <c r="AY280" s="14"/>
      <c r="AZ280" s="14">
        <v>27</v>
      </c>
      <c r="BA280" s="14"/>
      <c r="BB280" s="14"/>
      <c r="BC280" s="14"/>
      <c r="BD280" s="14"/>
      <c r="BE280" s="14"/>
      <c r="BF280" s="14"/>
      <c r="BG280" s="14"/>
      <c r="BH280" s="14">
        <v>27</v>
      </c>
      <c r="BI280" s="14"/>
      <c r="BJ280" s="14"/>
      <c r="BK280" s="14"/>
      <c r="BL280" s="14">
        <v>27</v>
      </c>
    </row>
    <row r="281" spans="4:64" x14ac:dyDescent="0.25">
      <c r="D281" s="20" t="s">
        <v>2199</v>
      </c>
      <c r="E281" s="14"/>
      <c r="F281" s="14">
        <v>27</v>
      </c>
      <c r="G281" s="14"/>
      <c r="H281" s="14"/>
      <c r="I281" s="14"/>
      <c r="J281" s="14">
        <v>27</v>
      </c>
      <c r="K281" s="14"/>
      <c r="L281" s="14">
        <v>27</v>
      </c>
      <c r="M281" s="14">
        <v>27</v>
      </c>
      <c r="N281" s="14">
        <v>380</v>
      </c>
      <c r="O281" s="14"/>
      <c r="P281" s="14">
        <v>27</v>
      </c>
      <c r="Q281" s="14"/>
      <c r="R281" s="14">
        <v>27</v>
      </c>
      <c r="S281" s="14">
        <v>27</v>
      </c>
      <c r="T281" s="14"/>
      <c r="U281" s="14"/>
      <c r="V281" s="14">
        <v>27</v>
      </c>
      <c r="W281" s="14">
        <v>27</v>
      </c>
      <c r="X281" s="14">
        <v>95</v>
      </c>
      <c r="Y281" s="14">
        <v>27</v>
      </c>
      <c r="Z281" s="14"/>
      <c r="AA281" s="14">
        <v>27</v>
      </c>
      <c r="AB281" s="14">
        <v>27</v>
      </c>
      <c r="AC281" s="14"/>
      <c r="AD281" s="14"/>
      <c r="AE281" s="14">
        <v>27</v>
      </c>
      <c r="AF281" s="14"/>
      <c r="AG281" s="14"/>
      <c r="AH281" s="14"/>
      <c r="AI281" s="14">
        <v>27</v>
      </c>
      <c r="AJ281" s="14">
        <v>27</v>
      </c>
      <c r="AK281" s="14"/>
      <c r="AL281" s="14"/>
      <c r="AM281" s="14"/>
      <c r="AN281" s="14">
        <v>27</v>
      </c>
      <c r="AO281" s="14"/>
      <c r="AP281" s="14"/>
      <c r="AQ281" s="14"/>
      <c r="AR281" s="14">
        <v>27</v>
      </c>
      <c r="AS281" s="14"/>
      <c r="AT281" s="14"/>
      <c r="AU281" s="14"/>
      <c r="AV281" s="14">
        <v>27</v>
      </c>
      <c r="AW281" s="14">
        <v>27</v>
      </c>
      <c r="AX281" s="14"/>
      <c r="AY281" s="14"/>
      <c r="AZ281" s="14">
        <v>27</v>
      </c>
      <c r="BA281" s="14">
        <v>81</v>
      </c>
      <c r="BB281" s="14">
        <v>27</v>
      </c>
      <c r="BC281" s="14"/>
      <c r="BD281" s="14">
        <v>148</v>
      </c>
      <c r="BE281" s="14">
        <v>289</v>
      </c>
      <c r="BF281" s="14"/>
      <c r="BG281" s="14">
        <v>27</v>
      </c>
      <c r="BH281" s="14">
        <v>27</v>
      </c>
      <c r="BI281" s="14"/>
      <c r="BJ281" s="14">
        <v>251</v>
      </c>
      <c r="BK281" s="14">
        <v>302</v>
      </c>
      <c r="BL281" s="14">
        <v>27</v>
      </c>
    </row>
    <row r="282" spans="4:64" x14ac:dyDescent="0.25">
      <c r="D282" s="21" t="s">
        <v>2206</v>
      </c>
      <c r="E282" s="14"/>
      <c r="F282" s="14"/>
      <c r="G282" s="14"/>
      <c r="H282" s="14"/>
      <c r="I282" s="14"/>
      <c r="J282" s="14"/>
      <c r="K282" s="14"/>
      <c r="L282" s="14">
        <v>27</v>
      </c>
      <c r="M282" s="14"/>
      <c r="N282" s="14"/>
      <c r="O282" s="14"/>
      <c r="P282" s="14">
        <v>27</v>
      </c>
      <c r="Q282" s="14"/>
      <c r="R282" s="14"/>
      <c r="S282" s="14"/>
      <c r="T282" s="14"/>
      <c r="U282" s="14"/>
      <c r="V282" s="14">
        <v>27</v>
      </c>
      <c r="W282" s="14"/>
      <c r="X282" s="14"/>
      <c r="Y282" s="14"/>
      <c r="Z282" s="14"/>
      <c r="AA282" s="14">
        <v>27</v>
      </c>
      <c r="AB282" s="14">
        <v>27</v>
      </c>
      <c r="AC282" s="14"/>
      <c r="AD282" s="14"/>
      <c r="AE282" s="14">
        <v>27</v>
      </c>
      <c r="AF282" s="14"/>
      <c r="AG282" s="14"/>
      <c r="AH282" s="14"/>
      <c r="AI282" s="14"/>
      <c r="AJ282" s="14"/>
      <c r="AK282" s="14"/>
      <c r="AL282" s="14"/>
      <c r="AM282" s="14"/>
      <c r="AN282" s="14">
        <v>27</v>
      </c>
      <c r="AO282" s="14"/>
      <c r="AP282" s="14"/>
      <c r="AQ282" s="14"/>
      <c r="AR282" s="14"/>
      <c r="AS282" s="14"/>
      <c r="AT282" s="14"/>
      <c r="AU282" s="14"/>
      <c r="AV282" s="14">
        <v>27</v>
      </c>
      <c r="AW282" s="14"/>
      <c r="AX282" s="14"/>
      <c r="AY282" s="14"/>
      <c r="AZ282" s="14">
        <v>27</v>
      </c>
      <c r="BA282" s="14"/>
      <c r="BB282" s="14"/>
      <c r="BC282" s="14"/>
      <c r="BD282" s="14"/>
      <c r="BE282" s="14"/>
      <c r="BF282" s="14"/>
      <c r="BG282" s="14">
        <v>27</v>
      </c>
      <c r="BH282" s="14">
        <v>27</v>
      </c>
      <c r="BI282" s="14"/>
      <c r="BJ282" s="14"/>
      <c r="BK282" s="14"/>
      <c r="BL282" s="14">
        <v>27</v>
      </c>
    </row>
    <row r="283" spans="4:64" x14ac:dyDescent="0.25">
      <c r="D283" s="21" t="s">
        <v>2204</v>
      </c>
      <c r="E283" s="14"/>
      <c r="F283" s="14"/>
      <c r="G283" s="14"/>
      <c r="H283" s="14"/>
      <c r="I283" s="14"/>
      <c r="J283" s="14"/>
      <c r="K283" s="14"/>
      <c r="L283" s="14">
        <v>53</v>
      </c>
      <c r="M283" s="14">
        <v>292</v>
      </c>
      <c r="N283" s="14">
        <v>380</v>
      </c>
      <c r="O283" s="14"/>
      <c r="P283" s="14">
        <v>53</v>
      </c>
      <c r="Q283" s="14"/>
      <c r="R283" s="14"/>
      <c r="S283" s="14"/>
      <c r="T283" s="14"/>
      <c r="U283" s="14"/>
      <c r="V283" s="14">
        <v>365</v>
      </c>
      <c r="W283" s="14"/>
      <c r="X283" s="14">
        <v>95</v>
      </c>
      <c r="Y283" s="14"/>
      <c r="Z283" s="14"/>
      <c r="AA283" s="14"/>
      <c r="AB283" s="14">
        <v>95</v>
      </c>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v>81</v>
      </c>
      <c r="BB283" s="14"/>
      <c r="BC283" s="14"/>
      <c r="BD283" s="14">
        <v>148</v>
      </c>
      <c r="BE283" s="14">
        <v>289</v>
      </c>
      <c r="BF283" s="14"/>
      <c r="BG283" s="14"/>
      <c r="BH283" s="14"/>
      <c r="BI283" s="14"/>
      <c r="BJ283" s="14">
        <v>251</v>
      </c>
      <c r="BK283" s="14">
        <v>302</v>
      </c>
      <c r="BL283" s="14">
        <v>81</v>
      </c>
    </row>
    <row r="284" spans="4:64" x14ac:dyDescent="0.25">
      <c r="D284" s="21" t="s">
        <v>2207</v>
      </c>
      <c r="E284" s="14"/>
      <c r="F284" s="14">
        <v>27</v>
      </c>
      <c r="G284" s="14"/>
      <c r="H284" s="14"/>
      <c r="I284" s="14"/>
      <c r="J284" s="14">
        <v>27</v>
      </c>
      <c r="K284" s="14"/>
      <c r="L284" s="14"/>
      <c r="M284" s="14">
        <v>27</v>
      </c>
      <c r="N284" s="14"/>
      <c r="O284" s="14"/>
      <c r="P284" s="14">
        <v>27</v>
      </c>
      <c r="Q284" s="14"/>
      <c r="R284" s="14"/>
      <c r="S284" s="14">
        <v>27</v>
      </c>
      <c r="T284" s="14"/>
      <c r="U284" s="14"/>
      <c r="V284" s="14"/>
      <c r="W284" s="14"/>
      <c r="X284" s="14"/>
      <c r="Y284" s="14">
        <v>27</v>
      </c>
      <c r="Z284" s="14"/>
      <c r="AA284" s="14">
        <v>27</v>
      </c>
      <c r="AB284" s="14">
        <v>27</v>
      </c>
      <c r="AC284" s="14"/>
      <c r="AD284" s="14"/>
      <c r="AE284" s="14"/>
      <c r="AF284" s="14"/>
      <c r="AG284" s="14"/>
      <c r="AH284" s="14"/>
      <c r="AI284" s="14"/>
      <c r="AJ284" s="14"/>
      <c r="AK284" s="14"/>
      <c r="AL284" s="14"/>
      <c r="AM284" s="14"/>
      <c r="AN284" s="14"/>
      <c r="AO284" s="14"/>
      <c r="AP284" s="14"/>
      <c r="AQ284" s="14"/>
      <c r="AR284" s="14">
        <v>27</v>
      </c>
      <c r="AS284" s="14"/>
      <c r="AT284" s="14"/>
      <c r="AU284" s="14"/>
      <c r="AV284" s="14"/>
      <c r="AW284" s="14"/>
      <c r="AX284" s="14"/>
      <c r="AY284" s="14"/>
      <c r="AZ284" s="14">
        <v>27</v>
      </c>
      <c r="BA284" s="14"/>
      <c r="BB284" s="14">
        <v>27</v>
      </c>
      <c r="BC284" s="14"/>
      <c r="BD284" s="14"/>
      <c r="BE284" s="14"/>
      <c r="BF284" s="14"/>
      <c r="BG284" s="14"/>
      <c r="BH284" s="14"/>
      <c r="BI284" s="14"/>
      <c r="BJ284" s="14"/>
      <c r="BK284" s="14"/>
      <c r="BL284" s="14">
        <v>27</v>
      </c>
    </row>
    <row r="285" spans="4:64" x14ac:dyDescent="0.25">
      <c r="D285" s="21" t="s">
        <v>2205</v>
      </c>
      <c r="E285" s="14"/>
      <c r="F285" s="14">
        <v>27</v>
      </c>
      <c r="G285" s="14"/>
      <c r="H285" s="14"/>
      <c r="I285" s="14"/>
      <c r="J285" s="14"/>
      <c r="K285" s="14"/>
      <c r="L285" s="14"/>
      <c r="M285" s="14"/>
      <c r="N285" s="14"/>
      <c r="O285" s="14"/>
      <c r="P285" s="14">
        <v>27</v>
      </c>
      <c r="Q285" s="14"/>
      <c r="R285" s="14">
        <v>27</v>
      </c>
      <c r="S285" s="14">
        <v>27</v>
      </c>
      <c r="T285" s="14"/>
      <c r="U285" s="14"/>
      <c r="V285" s="14"/>
      <c r="W285" s="14">
        <v>27</v>
      </c>
      <c r="X285" s="14"/>
      <c r="Y285" s="14"/>
      <c r="Z285" s="14"/>
      <c r="AA285" s="14"/>
      <c r="AB285" s="14">
        <v>27</v>
      </c>
      <c r="AC285" s="14"/>
      <c r="AD285" s="14"/>
      <c r="AE285" s="14"/>
      <c r="AF285" s="14"/>
      <c r="AG285" s="14"/>
      <c r="AH285" s="14"/>
      <c r="AI285" s="14">
        <v>27</v>
      </c>
      <c r="AJ285" s="14">
        <v>27</v>
      </c>
      <c r="AK285" s="14"/>
      <c r="AL285" s="14"/>
      <c r="AM285" s="14"/>
      <c r="AN285" s="14">
        <v>27</v>
      </c>
      <c r="AO285" s="14"/>
      <c r="AP285" s="14"/>
      <c r="AQ285" s="14"/>
      <c r="AR285" s="14"/>
      <c r="AS285" s="14"/>
      <c r="AT285" s="14"/>
      <c r="AU285" s="14"/>
      <c r="AV285" s="14"/>
      <c r="AW285" s="14">
        <v>27</v>
      </c>
      <c r="AX285" s="14"/>
      <c r="AY285" s="14"/>
      <c r="AZ285" s="14">
        <v>27</v>
      </c>
      <c r="BA285" s="14"/>
      <c r="BB285" s="14"/>
      <c r="BC285" s="14"/>
      <c r="BD285" s="14"/>
      <c r="BE285" s="14"/>
      <c r="BF285" s="14"/>
      <c r="BG285" s="14"/>
      <c r="BH285" s="14"/>
      <c r="BI285" s="14"/>
      <c r="BJ285" s="14"/>
      <c r="BK285" s="14"/>
      <c r="BL285" s="14"/>
    </row>
    <row r="286" spans="4:64" x14ac:dyDescent="0.25">
      <c r="D286" s="20" t="s">
        <v>2197</v>
      </c>
      <c r="E286" s="14"/>
      <c r="F286" s="14"/>
      <c r="G286" s="14"/>
      <c r="H286" s="14"/>
      <c r="I286" s="14">
        <v>40</v>
      </c>
      <c r="J286" s="14"/>
      <c r="K286" s="14"/>
      <c r="L286" s="14"/>
      <c r="M286" s="14"/>
      <c r="N286" s="14">
        <v>27</v>
      </c>
      <c r="O286" s="14"/>
      <c r="P286" s="14">
        <v>27</v>
      </c>
      <c r="Q286" s="14"/>
      <c r="R286" s="14">
        <v>318</v>
      </c>
      <c r="S286" s="14">
        <v>27</v>
      </c>
      <c r="T286" s="14">
        <v>27</v>
      </c>
      <c r="U286" s="14">
        <v>27</v>
      </c>
      <c r="V286" s="14">
        <v>362</v>
      </c>
      <c r="W286" s="14"/>
      <c r="X286" s="14">
        <v>27</v>
      </c>
      <c r="Y286" s="14"/>
      <c r="Z286" s="14"/>
      <c r="AA286" s="14"/>
      <c r="AB286" s="14">
        <v>27</v>
      </c>
      <c r="AC286" s="14">
        <v>27</v>
      </c>
      <c r="AD286" s="14"/>
      <c r="AE286" s="14"/>
      <c r="AF286" s="14"/>
      <c r="AG286" s="14"/>
      <c r="AH286" s="14">
        <v>27</v>
      </c>
      <c r="AI286" s="14"/>
      <c r="AJ286" s="14">
        <v>27</v>
      </c>
      <c r="AK286" s="14"/>
      <c r="AL286" s="14"/>
      <c r="AM286" s="14">
        <v>300</v>
      </c>
      <c r="AN286" s="14">
        <v>27</v>
      </c>
      <c r="AO286" s="14"/>
      <c r="AP286" s="14">
        <v>27</v>
      </c>
      <c r="AQ286" s="14">
        <v>27</v>
      </c>
      <c r="AR286" s="14"/>
      <c r="AS286" s="14">
        <v>27</v>
      </c>
      <c r="AT286" s="14"/>
      <c r="AU286" s="14"/>
      <c r="AV286" s="14"/>
      <c r="AW286" s="14"/>
      <c r="AX286" s="14"/>
      <c r="AY286" s="14"/>
      <c r="AZ286" s="14">
        <v>27</v>
      </c>
      <c r="BA286" s="14">
        <v>27</v>
      </c>
      <c r="BB286" s="14">
        <v>27</v>
      </c>
      <c r="BC286" s="14">
        <v>27</v>
      </c>
      <c r="BD286" s="14"/>
      <c r="BE286" s="14">
        <v>27</v>
      </c>
      <c r="BF286" s="14">
        <v>27</v>
      </c>
      <c r="BG286" s="14">
        <v>27</v>
      </c>
      <c r="BH286" s="14"/>
      <c r="BI286" s="14"/>
      <c r="BJ286" s="14">
        <v>191</v>
      </c>
      <c r="BK286" s="14">
        <v>27</v>
      </c>
      <c r="BL286" s="14">
        <v>27</v>
      </c>
    </row>
    <row r="287" spans="4:64" x14ac:dyDescent="0.25">
      <c r="D287" s="21" t="s">
        <v>2206</v>
      </c>
      <c r="E287" s="14"/>
      <c r="F287" s="14"/>
      <c r="G287" s="14"/>
      <c r="H287" s="14"/>
      <c r="I287" s="14"/>
      <c r="J287" s="14"/>
      <c r="K287" s="14"/>
      <c r="L287" s="14"/>
      <c r="M287" s="14"/>
      <c r="N287" s="14">
        <v>27</v>
      </c>
      <c r="O287" s="14"/>
      <c r="P287" s="14">
        <v>27</v>
      </c>
      <c r="Q287" s="14"/>
      <c r="R287" s="14"/>
      <c r="S287" s="14"/>
      <c r="T287" s="14"/>
      <c r="U287" s="14">
        <v>27</v>
      </c>
      <c r="V287" s="14"/>
      <c r="W287" s="14"/>
      <c r="X287" s="14"/>
      <c r="Y287" s="14"/>
      <c r="Z287" s="14"/>
      <c r="AA287" s="14"/>
      <c r="AB287" s="14">
        <v>27</v>
      </c>
      <c r="AC287" s="14">
        <v>27</v>
      </c>
      <c r="AD287" s="14"/>
      <c r="AE287" s="14"/>
      <c r="AF287" s="14"/>
      <c r="AG287" s="14"/>
      <c r="AH287" s="14"/>
      <c r="AI287" s="14"/>
      <c r="AJ287" s="14">
        <v>27</v>
      </c>
      <c r="AK287" s="14"/>
      <c r="AL287" s="14"/>
      <c r="AM287" s="14"/>
      <c r="AN287" s="14">
        <v>27</v>
      </c>
      <c r="AO287" s="14"/>
      <c r="AP287" s="14"/>
      <c r="AQ287" s="14"/>
      <c r="AR287" s="14"/>
      <c r="AS287" s="14">
        <v>27</v>
      </c>
      <c r="AT287" s="14"/>
      <c r="AU287" s="14"/>
      <c r="AV287" s="14"/>
      <c r="AW287" s="14"/>
      <c r="AX287" s="14"/>
      <c r="AY287" s="14"/>
      <c r="AZ287" s="14">
        <v>27</v>
      </c>
      <c r="BA287" s="14">
        <v>27</v>
      </c>
      <c r="BB287" s="14"/>
      <c r="BC287" s="14">
        <v>27</v>
      </c>
      <c r="BD287" s="14"/>
      <c r="BE287" s="14"/>
      <c r="BF287" s="14">
        <v>27</v>
      </c>
      <c r="BG287" s="14"/>
      <c r="BH287" s="14"/>
      <c r="BI287" s="14"/>
      <c r="BJ287" s="14"/>
      <c r="BK287" s="14"/>
      <c r="BL287" s="14">
        <v>27</v>
      </c>
    </row>
    <row r="288" spans="4:64" x14ac:dyDescent="0.25">
      <c r="D288" s="21" t="s">
        <v>2204</v>
      </c>
      <c r="E288" s="14"/>
      <c r="F288" s="14"/>
      <c r="G288" s="14"/>
      <c r="H288" s="14"/>
      <c r="I288" s="14">
        <v>40</v>
      </c>
      <c r="J288" s="14"/>
      <c r="K288" s="14"/>
      <c r="L288" s="14"/>
      <c r="M288" s="14"/>
      <c r="N288" s="14"/>
      <c r="O288" s="14"/>
      <c r="P288" s="14">
        <v>40</v>
      </c>
      <c r="Q288" s="14"/>
      <c r="R288" s="14">
        <v>318</v>
      </c>
      <c r="S288" s="14"/>
      <c r="T288" s="14"/>
      <c r="U288" s="14">
        <v>151</v>
      </c>
      <c r="V288" s="14">
        <v>362</v>
      </c>
      <c r="W288" s="14"/>
      <c r="X288" s="14"/>
      <c r="Y288" s="14"/>
      <c r="Z288" s="14"/>
      <c r="AA288" s="14"/>
      <c r="AB288" s="14">
        <v>151</v>
      </c>
      <c r="AC288" s="14"/>
      <c r="AD288" s="14"/>
      <c r="AE288" s="14"/>
      <c r="AF288" s="14"/>
      <c r="AG288" s="14"/>
      <c r="AH288" s="14">
        <v>162</v>
      </c>
      <c r="AI288" s="14"/>
      <c r="AJ288" s="14"/>
      <c r="AK288" s="14"/>
      <c r="AL288" s="14"/>
      <c r="AM288" s="14">
        <v>300</v>
      </c>
      <c r="AN288" s="14">
        <v>162</v>
      </c>
      <c r="AO288" s="14"/>
      <c r="AP288" s="14">
        <v>57</v>
      </c>
      <c r="AQ288" s="14">
        <v>179</v>
      </c>
      <c r="AR288" s="14"/>
      <c r="AS288" s="14"/>
      <c r="AT288" s="14"/>
      <c r="AU288" s="14"/>
      <c r="AV288" s="14"/>
      <c r="AW288" s="14"/>
      <c r="AX288" s="14"/>
      <c r="AY288" s="14"/>
      <c r="AZ288" s="14">
        <v>57</v>
      </c>
      <c r="BA288" s="14"/>
      <c r="BB288" s="14"/>
      <c r="BC288" s="14"/>
      <c r="BD288" s="14"/>
      <c r="BE288" s="14"/>
      <c r="BF288" s="14">
        <v>108</v>
      </c>
      <c r="BG288" s="14"/>
      <c r="BH288" s="14"/>
      <c r="BI288" s="14"/>
      <c r="BJ288" s="14">
        <v>191</v>
      </c>
      <c r="BK288" s="14"/>
      <c r="BL288" s="14">
        <v>108</v>
      </c>
    </row>
    <row r="289" spans="4:64" x14ac:dyDescent="0.25">
      <c r="D289" s="21" t="s">
        <v>2207</v>
      </c>
      <c r="E289" s="14"/>
      <c r="F289" s="14"/>
      <c r="G289" s="14"/>
      <c r="H289" s="14"/>
      <c r="I289" s="14"/>
      <c r="J289" s="14"/>
      <c r="K289" s="14"/>
      <c r="L289" s="14"/>
      <c r="M289" s="14"/>
      <c r="N289" s="14"/>
      <c r="O289" s="14"/>
      <c r="P289" s="14"/>
      <c r="Q289" s="14"/>
      <c r="R289" s="14"/>
      <c r="S289" s="14"/>
      <c r="T289" s="14">
        <v>27</v>
      </c>
      <c r="U289" s="14"/>
      <c r="V289" s="14"/>
      <c r="W289" s="14"/>
      <c r="X289" s="14">
        <v>27</v>
      </c>
      <c r="Y289" s="14"/>
      <c r="Z289" s="14"/>
      <c r="AA289" s="14"/>
      <c r="AB289" s="14">
        <v>27</v>
      </c>
      <c r="AC289" s="14"/>
      <c r="AD289" s="14"/>
      <c r="AE289" s="14"/>
      <c r="AF289" s="14"/>
      <c r="AG289" s="14"/>
      <c r="AH289" s="14">
        <v>27</v>
      </c>
      <c r="AI289" s="14"/>
      <c r="AJ289" s="14">
        <v>27</v>
      </c>
      <c r="AK289" s="14"/>
      <c r="AL289" s="14"/>
      <c r="AM289" s="14"/>
      <c r="AN289" s="14">
        <v>27</v>
      </c>
      <c r="AO289" s="14"/>
      <c r="AP289" s="14">
        <v>27</v>
      </c>
      <c r="AQ289" s="14"/>
      <c r="AR289" s="14"/>
      <c r="AS289" s="14"/>
      <c r="AT289" s="14"/>
      <c r="AU289" s="14"/>
      <c r="AV289" s="14"/>
      <c r="AW289" s="14"/>
      <c r="AX289" s="14"/>
      <c r="AY289" s="14"/>
      <c r="AZ289" s="14">
        <v>27</v>
      </c>
      <c r="BA289" s="14"/>
      <c r="BB289" s="14"/>
      <c r="BC289" s="14"/>
      <c r="BD289" s="14"/>
      <c r="BE289" s="14">
        <v>27</v>
      </c>
      <c r="BF289" s="14"/>
      <c r="BG289" s="14"/>
      <c r="BH289" s="14"/>
      <c r="BI289" s="14"/>
      <c r="BJ289" s="14"/>
      <c r="BK289" s="14"/>
      <c r="BL289" s="14">
        <v>27</v>
      </c>
    </row>
    <row r="290" spans="4:64" x14ac:dyDescent="0.25">
      <c r="D290" s="21" t="s">
        <v>2205</v>
      </c>
      <c r="E290" s="14"/>
      <c r="F290" s="14"/>
      <c r="G290" s="14"/>
      <c r="H290" s="14"/>
      <c r="I290" s="14"/>
      <c r="J290" s="14"/>
      <c r="K290" s="14"/>
      <c r="L290" s="14"/>
      <c r="M290" s="14"/>
      <c r="N290" s="14"/>
      <c r="O290" s="14"/>
      <c r="P290" s="14"/>
      <c r="Q290" s="14"/>
      <c r="R290" s="14"/>
      <c r="S290" s="14">
        <v>27</v>
      </c>
      <c r="T290" s="14"/>
      <c r="U290" s="14">
        <v>27</v>
      </c>
      <c r="V290" s="14"/>
      <c r="W290" s="14"/>
      <c r="X290" s="14"/>
      <c r="Y290" s="14"/>
      <c r="Z290" s="14"/>
      <c r="AA290" s="14"/>
      <c r="AB290" s="14">
        <v>27</v>
      </c>
      <c r="AC290" s="14">
        <v>27</v>
      </c>
      <c r="AD290" s="14"/>
      <c r="AE290" s="14"/>
      <c r="AF290" s="14"/>
      <c r="AG290" s="14"/>
      <c r="AH290" s="14"/>
      <c r="AI290" s="14"/>
      <c r="AJ290" s="14"/>
      <c r="AK290" s="14"/>
      <c r="AL290" s="14"/>
      <c r="AM290" s="14"/>
      <c r="AN290" s="14">
        <v>27</v>
      </c>
      <c r="AO290" s="14"/>
      <c r="AP290" s="14"/>
      <c r="AQ290" s="14">
        <v>27</v>
      </c>
      <c r="AR290" s="14"/>
      <c r="AS290" s="14"/>
      <c r="AT290" s="14"/>
      <c r="AU290" s="14"/>
      <c r="AV290" s="14"/>
      <c r="AW290" s="14"/>
      <c r="AX290" s="14"/>
      <c r="AY290" s="14"/>
      <c r="AZ290" s="14">
        <v>27</v>
      </c>
      <c r="BA290" s="14"/>
      <c r="BB290" s="14">
        <v>27</v>
      </c>
      <c r="BC290" s="14"/>
      <c r="BD290" s="14"/>
      <c r="BE290" s="14"/>
      <c r="BF290" s="14"/>
      <c r="BG290" s="14">
        <v>27</v>
      </c>
      <c r="BH290" s="14"/>
      <c r="BI290" s="14"/>
      <c r="BJ290" s="14"/>
      <c r="BK290" s="14">
        <v>27</v>
      </c>
      <c r="BL290" s="14">
        <v>27</v>
      </c>
    </row>
    <row r="291" spans="4:64" x14ac:dyDescent="0.25">
      <c r="D291" s="20" t="s">
        <v>2196</v>
      </c>
      <c r="E291" s="14">
        <v>27</v>
      </c>
      <c r="F291" s="14">
        <v>27</v>
      </c>
      <c r="G291" s="14"/>
      <c r="H291" s="14">
        <v>27</v>
      </c>
      <c r="I291" s="14">
        <v>27</v>
      </c>
      <c r="J291" s="14"/>
      <c r="K291" s="14"/>
      <c r="L291" s="14">
        <v>27</v>
      </c>
      <c r="M291" s="14"/>
      <c r="N291" s="14"/>
      <c r="O291" s="14">
        <v>27</v>
      </c>
      <c r="P291" s="14">
        <v>27</v>
      </c>
      <c r="Q291" s="14">
        <v>27</v>
      </c>
      <c r="R291" s="14"/>
      <c r="S291" s="14"/>
      <c r="T291" s="14"/>
      <c r="U291" s="14"/>
      <c r="V291" s="14">
        <v>27</v>
      </c>
      <c r="W291" s="14">
        <v>27</v>
      </c>
      <c r="X291" s="14"/>
      <c r="Y291" s="14">
        <v>27</v>
      </c>
      <c r="Z291" s="14">
        <v>27</v>
      </c>
      <c r="AA291" s="14"/>
      <c r="AB291" s="14">
        <v>27</v>
      </c>
      <c r="AC291" s="14">
        <v>27</v>
      </c>
      <c r="AD291" s="14">
        <v>199</v>
      </c>
      <c r="AE291" s="14">
        <v>194</v>
      </c>
      <c r="AF291" s="14"/>
      <c r="AG291" s="14">
        <v>27</v>
      </c>
      <c r="AH291" s="14"/>
      <c r="AI291" s="14"/>
      <c r="AJ291" s="14"/>
      <c r="AK291" s="14"/>
      <c r="AL291" s="14">
        <v>59</v>
      </c>
      <c r="AM291" s="14"/>
      <c r="AN291" s="14">
        <v>27</v>
      </c>
      <c r="AO291" s="14"/>
      <c r="AP291" s="14"/>
      <c r="AQ291" s="14">
        <v>27</v>
      </c>
      <c r="AR291" s="14"/>
      <c r="AS291" s="14"/>
      <c r="AT291" s="14">
        <v>27</v>
      </c>
      <c r="AU291" s="14">
        <v>27</v>
      </c>
      <c r="AV291" s="14">
        <v>130</v>
      </c>
      <c r="AW291" s="14">
        <v>321</v>
      </c>
      <c r="AX291" s="14">
        <v>27</v>
      </c>
      <c r="AY291" s="14">
        <v>27</v>
      </c>
      <c r="AZ291" s="14">
        <v>27</v>
      </c>
      <c r="BA291" s="14"/>
      <c r="BB291" s="14">
        <v>27</v>
      </c>
      <c r="BC291" s="14">
        <v>27</v>
      </c>
      <c r="BD291" s="14"/>
      <c r="BE291" s="14"/>
      <c r="BF291" s="14"/>
      <c r="BG291" s="14"/>
      <c r="BH291" s="14">
        <v>27</v>
      </c>
      <c r="BI291" s="14">
        <v>27</v>
      </c>
      <c r="BJ291" s="14">
        <v>27</v>
      </c>
      <c r="BK291" s="14">
        <v>27</v>
      </c>
      <c r="BL291" s="14">
        <v>27</v>
      </c>
    </row>
    <row r="292" spans="4:64" x14ac:dyDescent="0.25">
      <c r="D292" s="21" t="s">
        <v>2206</v>
      </c>
      <c r="E292" s="14"/>
      <c r="F292" s="14"/>
      <c r="G292" s="14"/>
      <c r="H292" s="14"/>
      <c r="I292" s="14">
        <v>27</v>
      </c>
      <c r="J292" s="14"/>
      <c r="K292" s="14"/>
      <c r="L292" s="14"/>
      <c r="M292" s="14"/>
      <c r="N292" s="14"/>
      <c r="O292" s="14"/>
      <c r="P292" s="14">
        <v>27</v>
      </c>
      <c r="Q292" s="14"/>
      <c r="R292" s="14"/>
      <c r="S292" s="14"/>
      <c r="T292" s="14"/>
      <c r="U292" s="14"/>
      <c r="V292" s="14"/>
      <c r="W292" s="14"/>
      <c r="X292" s="14"/>
      <c r="Y292" s="14">
        <v>27</v>
      </c>
      <c r="Z292" s="14"/>
      <c r="AA292" s="14"/>
      <c r="AB292" s="14">
        <v>27</v>
      </c>
      <c r="AC292" s="14">
        <v>27</v>
      </c>
      <c r="AD292" s="14"/>
      <c r="AE292" s="14"/>
      <c r="AF292" s="14"/>
      <c r="AG292" s="14"/>
      <c r="AH292" s="14"/>
      <c r="AI292" s="14"/>
      <c r="AJ292" s="14"/>
      <c r="AK292" s="14"/>
      <c r="AL292" s="14"/>
      <c r="AM292" s="14"/>
      <c r="AN292" s="14">
        <v>27</v>
      </c>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v>27</v>
      </c>
      <c r="BK292" s="14"/>
      <c r="BL292" s="14">
        <v>27</v>
      </c>
    </row>
    <row r="293" spans="4:64" x14ac:dyDescent="0.25">
      <c r="D293" s="21" t="s">
        <v>2204</v>
      </c>
      <c r="E293" s="14"/>
      <c r="F293" s="14"/>
      <c r="G293" s="14"/>
      <c r="H293" s="14">
        <v>312</v>
      </c>
      <c r="I293" s="14"/>
      <c r="J293" s="14"/>
      <c r="K293" s="14"/>
      <c r="L293" s="14"/>
      <c r="M293" s="14"/>
      <c r="N293" s="14"/>
      <c r="O293" s="14"/>
      <c r="P293" s="14">
        <v>312</v>
      </c>
      <c r="Q293" s="14"/>
      <c r="R293" s="14"/>
      <c r="S293" s="14"/>
      <c r="T293" s="14"/>
      <c r="U293" s="14"/>
      <c r="V293" s="14"/>
      <c r="W293" s="14">
        <v>160</v>
      </c>
      <c r="X293" s="14"/>
      <c r="Y293" s="14"/>
      <c r="Z293" s="14"/>
      <c r="AA293" s="14"/>
      <c r="AB293" s="14">
        <v>160</v>
      </c>
      <c r="AC293" s="14"/>
      <c r="AD293" s="14">
        <v>199</v>
      </c>
      <c r="AE293" s="14">
        <v>194</v>
      </c>
      <c r="AF293" s="14"/>
      <c r="AG293" s="14"/>
      <c r="AH293" s="14"/>
      <c r="AI293" s="14"/>
      <c r="AJ293" s="14"/>
      <c r="AK293" s="14"/>
      <c r="AL293" s="14">
        <v>59</v>
      </c>
      <c r="AM293" s="14"/>
      <c r="AN293" s="14">
        <v>59</v>
      </c>
      <c r="AO293" s="14"/>
      <c r="AP293" s="14"/>
      <c r="AQ293" s="14">
        <v>153</v>
      </c>
      <c r="AR293" s="14"/>
      <c r="AS293" s="14"/>
      <c r="AT293" s="14"/>
      <c r="AU293" s="14"/>
      <c r="AV293" s="14">
        <v>130</v>
      </c>
      <c r="AW293" s="14">
        <v>321</v>
      </c>
      <c r="AX293" s="14"/>
      <c r="AY293" s="14"/>
      <c r="AZ293" s="14">
        <v>130</v>
      </c>
      <c r="BA293" s="14"/>
      <c r="BB293" s="14"/>
      <c r="BC293" s="14">
        <v>109</v>
      </c>
      <c r="BD293" s="14"/>
      <c r="BE293" s="14"/>
      <c r="BF293" s="14"/>
      <c r="BG293" s="14"/>
      <c r="BH293" s="14"/>
      <c r="BI293" s="14"/>
      <c r="BJ293" s="14">
        <v>173</v>
      </c>
      <c r="BK293" s="14"/>
      <c r="BL293" s="14">
        <v>109</v>
      </c>
    </row>
    <row r="294" spans="4:64" x14ac:dyDescent="0.25">
      <c r="D294" s="21" t="s">
        <v>2207</v>
      </c>
      <c r="E294" s="14">
        <v>27</v>
      </c>
      <c r="F294" s="14">
        <v>27</v>
      </c>
      <c r="G294" s="14"/>
      <c r="H294" s="14"/>
      <c r="I294" s="14">
        <v>27</v>
      </c>
      <c r="J294" s="14"/>
      <c r="K294" s="14"/>
      <c r="L294" s="14"/>
      <c r="M294" s="14"/>
      <c r="N294" s="14"/>
      <c r="O294" s="14">
        <v>27</v>
      </c>
      <c r="P294" s="14">
        <v>27</v>
      </c>
      <c r="Q294" s="14">
        <v>27</v>
      </c>
      <c r="R294" s="14"/>
      <c r="S294" s="14"/>
      <c r="T294" s="14"/>
      <c r="U294" s="14"/>
      <c r="V294" s="14"/>
      <c r="W294" s="14"/>
      <c r="X294" s="14"/>
      <c r="Y294" s="14">
        <v>27</v>
      </c>
      <c r="Z294" s="14"/>
      <c r="AA294" s="14"/>
      <c r="AB294" s="14">
        <v>27</v>
      </c>
      <c r="AC294" s="14"/>
      <c r="AD294" s="14"/>
      <c r="AE294" s="14"/>
      <c r="AF294" s="14"/>
      <c r="AG294" s="14"/>
      <c r="AH294" s="14"/>
      <c r="AI294" s="14"/>
      <c r="AJ294" s="14"/>
      <c r="AK294" s="14"/>
      <c r="AL294" s="14"/>
      <c r="AM294" s="14"/>
      <c r="AN294" s="14"/>
      <c r="AO294" s="14"/>
      <c r="AP294" s="14"/>
      <c r="AQ294" s="14"/>
      <c r="AR294" s="14"/>
      <c r="AS294" s="14"/>
      <c r="AT294" s="14">
        <v>27</v>
      </c>
      <c r="AU294" s="14"/>
      <c r="AV294" s="14"/>
      <c r="AW294" s="14"/>
      <c r="AX294" s="14">
        <v>27</v>
      </c>
      <c r="AY294" s="14"/>
      <c r="AZ294" s="14">
        <v>27</v>
      </c>
      <c r="BA294" s="14"/>
      <c r="BB294" s="14"/>
      <c r="BC294" s="14"/>
      <c r="BD294" s="14"/>
      <c r="BE294" s="14"/>
      <c r="BF294" s="14"/>
      <c r="BG294" s="14"/>
      <c r="BH294" s="14">
        <v>27</v>
      </c>
      <c r="BI294" s="14">
        <v>27</v>
      </c>
      <c r="BJ294" s="14"/>
      <c r="BK294" s="14">
        <v>27</v>
      </c>
      <c r="BL294" s="14">
        <v>27</v>
      </c>
    </row>
    <row r="295" spans="4:64" x14ac:dyDescent="0.25">
      <c r="D295" s="21" t="s">
        <v>2205</v>
      </c>
      <c r="E295" s="14"/>
      <c r="F295" s="14"/>
      <c r="G295" s="14"/>
      <c r="H295" s="14">
        <v>27</v>
      </c>
      <c r="I295" s="14">
        <v>27</v>
      </c>
      <c r="J295" s="14"/>
      <c r="K295" s="14"/>
      <c r="L295" s="14">
        <v>27</v>
      </c>
      <c r="M295" s="14"/>
      <c r="N295" s="14"/>
      <c r="O295" s="14"/>
      <c r="P295" s="14">
        <v>27</v>
      </c>
      <c r="Q295" s="14"/>
      <c r="R295" s="14"/>
      <c r="S295" s="14"/>
      <c r="T295" s="14"/>
      <c r="U295" s="14"/>
      <c r="V295" s="14">
        <v>27</v>
      </c>
      <c r="W295" s="14">
        <v>27</v>
      </c>
      <c r="X295" s="14"/>
      <c r="Y295" s="14"/>
      <c r="Z295" s="14">
        <v>27</v>
      </c>
      <c r="AA295" s="14"/>
      <c r="AB295" s="14">
        <v>27</v>
      </c>
      <c r="AC295" s="14"/>
      <c r="AD295" s="14"/>
      <c r="AE295" s="14"/>
      <c r="AF295" s="14"/>
      <c r="AG295" s="14">
        <v>27</v>
      </c>
      <c r="AH295" s="14"/>
      <c r="AI295" s="14"/>
      <c r="AJ295" s="14"/>
      <c r="AK295" s="14"/>
      <c r="AL295" s="14"/>
      <c r="AM295" s="14"/>
      <c r="AN295" s="14">
        <v>27</v>
      </c>
      <c r="AO295" s="14"/>
      <c r="AP295" s="14"/>
      <c r="AQ295" s="14">
        <v>27</v>
      </c>
      <c r="AR295" s="14"/>
      <c r="AS295" s="14"/>
      <c r="AT295" s="14"/>
      <c r="AU295" s="14">
        <v>27</v>
      </c>
      <c r="AV295" s="14"/>
      <c r="AW295" s="14"/>
      <c r="AX295" s="14"/>
      <c r="AY295" s="14">
        <v>27</v>
      </c>
      <c r="AZ295" s="14">
        <v>27</v>
      </c>
      <c r="BA295" s="14"/>
      <c r="BB295" s="14">
        <v>27</v>
      </c>
      <c r="BC295" s="14">
        <v>27</v>
      </c>
      <c r="BD295" s="14"/>
      <c r="BE295" s="14"/>
      <c r="BF295" s="14"/>
      <c r="BG295" s="14"/>
      <c r="BH295" s="14"/>
      <c r="BI295" s="14"/>
      <c r="BJ295" s="14"/>
      <c r="BK295" s="14"/>
      <c r="BL295" s="14">
        <v>27</v>
      </c>
    </row>
    <row r="296" spans="4:64" x14ac:dyDescent="0.25">
      <c r="D296" s="16" t="s">
        <v>2212</v>
      </c>
      <c r="E296" s="14">
        <v>27</v>
      </c>
      <c r="F296" s="14">
        <v>27</v>
      </c>
      <c r="G296" s="14">
        <v>27</v>
      </c>
      <c r="H296" s="14">
        <v>27</v>
      </c>
      <c r="I296" s="14">
        <v>27</v>
      </c>
      <c r="J296" s="14">
        <v>27</v>
      </c>
      <c r="K296" s="14">
        <v>27</v>
      </c>
      <c r="L296" s="14">
        <v>27</v>
      </c>
      <c r="M296" s="14">
        <v>27</v>
      </c>
      <c r="N296" s="14">
        <v>27</v>
      </c>
      <c r="O296" s="14">
        <v>27</v>
      </c>
      <c r="P296" s="14">
        <v>27</v>
      </c>
      <c r="Q296" s="14">
        <v>27</v>
      </c>
      <c r="R296" s="14">
        <v>27</v>
      </c>
      <c r="S296" s="14">
        <v>27</v>
      </c>
      <c r="T296" s="14">
        <v>27</v>
      </c>
      <c r="U296" s="14">
        <v>27</v>
      </c>
      <c r="V296" s="14">
        <v>27</v>
      </c>
      <c r="W296" s="14">
        <v>27</v>
      </c>
      <c r="X296" s="14">
        <v>27</v>
      </c>
      <c r="Y296" s="14">
        <v>27</v>
      </c>
      <c r="Z296" s="14">
        <v>27</v>
      </c>
      <c r="AA296" s="14">
        <v>27</v>
      </c>
      <c r="AB296" s="14">
        <v>27</v>
      </c>
      <c r="AC296" s="14">
        <v>27</v>
      </c>
      <c r="AD296" s="14">
        <v>27</v>
      </c>
      <c r="AE296" s="14">
        <v>27</v>
      </c>
      <c r="AF296" s="14">
        <v>27</v>
      </c>
      <c r="AG296" s="14">
        <v>27</v>
      </c>
      <c r="AH296" s="14">
        <v>27</v>
      </c>
      <c r="AI296" s="14">
        <v>27</v>
      </c>
      <c r="AJ296" s="14">
        <v>27</v>
      </c>
      <c r="AK296" s="14">
        <v>27</v>
      </c>
      <c r="AL296" s="14">
        <v>27</v>
      </c>
      <c r="AM296" s="14">
        <v>27</v>
      </c>
      <c r="AN296" s="14">
        <v>27</v>
      </c>
      <c r="AO296" s="14">
        <v>27</v>
      </c>
      <c r="AP296" s="14">
        <v>27</v>
      </c>
      <c r="AQ296" s="14">
        <v>27</v>
      </c>
      <c r="AR296" s="14">
        <v>27</v>
      </c>
      <c r="AS296" s="14">
        <v>27</v>
      </c>
      <c r="AT296" s="14">
        <v>27</v>
      </c>
      <c r="AU296" s="14">
        <v>27</v>
      </c>
      <c r="AV296" s="14">
        <v>27</v>
      </c>
      <c r="AW296" s="14">
        <v>27</v>
      </c>
      <c r="AX296" s="14">
        <v>27</v>
      </c>
      <c r="AY296" s="14">
        <v>27</v>
      </c>
      <c r="AZ296" s="14">
        <v>27</v>
      </c>
      <c r="BA296" s="14">
        <v>27</v>
      </c>
      <c r="BB296" s="14">
        <v>27</v>
      </c>
      <c r="BC296" s="14">
        <v>27</v>
      </c>
      <c r="BD296" s="14">
        <v>27</v>
      </c>
      <c r="BE296" s="14">
        <v>27</v>
      </c>
      <c r="BF296" s="14">
        <v>27</v>
      </c>
      <c r="BG296" s="14">
        <v>27</v>
      </c>
      <c r="BH296" s="14">
        <v>27</v>
      </c>
      <c r="BI296" s="14">
        <v>27</v>
      </c>
      <c r="BJ296" s="14">
        <v>27</v>
      </c>
      <c r="BK296" s="14">
        <v>27</v>
      </c>
      <c r="BL296" s="14">
        <v>27</v>
      </c>
    </row>
    <row r="297" spans="4:64" x14ac:dyDescent="0.25">
      <c r="D297" s="20" t="s">
        <v>2201</v>
      </c>
      <c r="E297" s="14"/>
      <c r="F297" s="14">
        <v>27</v>
      </c>
      <c r="G297" s="14"/>
      <c r="H297" s="14">
        <v>27</v>
      </c>
      <c r="I297" s="14">
        <v>27</v>
      </c>
      <c r="J297" s="14"/>
      <c r="K297" s="14"/>
      <c r="L297" s="14"/>
      <c r="M297" s="14"/>
      <c r="N297" s="14">
        <v>219</v>
      </c>
      <c r="O297" s="14"/>
      <c r="P297" s="14">
        <v>27</v>
      </c>
      <c r="Q297" s="14"/>
      <c r="R297" s="14"/>
      <c r="S297" s="14"/>
      <c r="T297" s="14"/>
      <c r="U297" s="14">
        <v>303</v>
      </c>
      <c r="V297" s="14">
        <v>27</v>
      </c>
      <c r="W297" s="14">
        <v>27</v>
      </c>
      <c r="X297" s="14"/>
      <c r="Y297" s="14"/>
      <c r="Z297" s="14">
        <v>27</v>
      </c>
      <c r="AA297" s="14"/>
      <c r="AB297" s="14">
        <v>27</v>
      </c>
      <c r="AC297" s="14">
        <v>183</v>
      </c>
      <c r="AD297" s="14">
        <v>27</v>
      </c>
      <c r="AE297" s="14"/>
      <c r="AF297" s="14">
        <v>142</v>
      </c>
      <c r="AG297" s="14"/>
      <c r="AH297" s="14"/>
      <c r="AI297" s="14">
        <v>316</v>
      </c>
      <c r="AJ297" s="14">
        <v>27</v>
      </c>
      <c r="AK297" s="14">
        <v>27</v>
      </c>
      <c r="AL297" s="14">
        <v>27</v>
      </c>
      <c r="AM297" s="14">
        <v>27</v>
      </c>
      <c r="AN297" s="14">
        <v>27</v>
      </c>
      <c r="AO297" s="14"/>
      <c r="AP297" s="14">
        <v>27</v>
      </c>
      <c r="AQ297" s="14"/>
      <c r="AR297" s="14"/>
      <c r="AS297" s="14">
        <v>282</v>
      </c>
      <c r="AT297" s="14"/>
      <c r="AU297" s="14"/>
      <c r="AV297" s="14"/>
      <c r="AW297" s="14">
        <v>27</v>
      </c>
      <c r="AX297" s="14"/>
      <c r="AY297" s="14">
        <v>27</v>
      </c>
      <c r="AZ297" s="14">
        <v>27</v>
      </c>
      <c r="BA297" s="14">
        <v>102</v>
      </c>
      <c r="BB297" s="14">
        <v>27</v>
      </c>
      <c r="BC297" s="14"/>
      <c r="BD297" s="14"/>
      <c r="BE297" s="14">
        <v>27</v>
      </c>
      <c r="BF297" s="14">
        <v>27</v>
      </c>
      <c r="BG297" s="14"/>
      <c r="BH297" s="14">
        <v>180</v>
      </c>
      <c r="BI297" s="14"/>
      <c r="BJ297" s="14">
        <v>27</v>
      </c>
      <c r="BK297" s="14"/>
      <c r="BL297" s="14">
        <v>27</v>
      </c>
    </row>
    <row r="298" spans="4:64" x14ac:dyDescent="0.25">
      <c r="D298" s="21" t="s">
        <v>2206</v>
      </c>
      <c r="E298" s="14"/>
      <c r="F298" s="14"/>
      <c r="G298" s="14"/>
      <c r="H298" s="14">
        <v>27</v>
      </c>
      <c r="I298" s="14"/>
      <c r="J298" s="14"/>
      <c r="K298" s="14"/>
      <c r="L298" s="14"/>
      <c r="M298" s="14"/>
      <c r="N298" s="14"/>
      <c r="O298" s="14"/>
      <c r="P298" s="14">
        <v>27</v>
      </c>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v>27</v>
      </c>
      <c r="AX298" s="14"/>
      <c r="AY298" s="14">
        <v>27</v>
      </c>
      <c r="AZ298" s="14">
        <v>27</v>
      </c>
      <c r="BA298" s="14"/>
      <c r="BB298" s="14"/>
      <c r="BC298" s="14"/>
      <c r="BD298" s="14"/>
      <c r="BE298" s="14">
        <v>27</v>
      </c>
      <c r="BF298" s="14"/>
      <c r="BG298" s="14"/>
      <c r="BH298" s="14"/>
      <c r="BI298" s="14"/>
      <c r="BJ298" s="14">
        <v>27</v>
      </c>
      <c r="BK298" s="14"/>
      <c r="BL298" s="14">
        <v>27</v>
      </c>
    </row>
    <row r="299" spans="4:64" x14ac:dyDescent="0.25">
      <c r="D299" s="21" t="s">
        <v>2204</v>
      </c>
      <c r="E299" s="14"/>
      <c r="F299" s="14"/>
      <c r="G299" s="14"/>
      <c r="H299" s="14"/>
      <c r="I299" s="14"/>
      <c r="J299" s="14"/>
      <c r="K299" s="14"/>
      <c r="L299" s="14"/>
      <c r="M299" s="14"/>
      <c r="N299" s="14">
        <v>219</v>
      </c>
      <c r="O299" s="14"/>
      <c r="P299" s="14">
        <v>219</v>
      </c>
      <c r="Q299" s="14"/>
      <c r="R299" s="14"/>
      <c r="S299" s="14"/>
      <c r="T299" s="14"/>
      <c r="U299" s="14">
        <v>303</v>
      </c>
      <c r="V299" s="14"/>
      <c r="W299" s="14"/>
      <c r="X299" s="14"/>
      <c r="Y299" s="14"/>
      <c r="Z299" s="14"/>
      <c r="AA299" s="14"/>
      <c r="AB299" s="14">
        <v>303</v>
      </c>
      <c r="AC299" s="14">
        <v>183</v>
      </c>
      <c r="AD299" s="14"/>
      <c r="AE299" s="14"/>
      <c r="AF299" s="14">
        <v>142</v>
      </c>
      <c r="AG299" s="14"/>
      <c r="AH299" s="14"/>
      <c r="AI299" s="14">
        <v>316</v>
      </c>
      <c r="AJ299" s="14">
        <v>181</v>
      </c>
      <c r="AK299" s="14"/>
      <c r="AL299" s="14"/>
      <c r="AM299" s="14">
        <v>214</v>
      </c>
      <c r="AN299" s="14">
        <v>142</v>
      </c>
      <c r="AO299" s="14"/>
      <c r="AP299" s="14"/>
      <c r="AQ299" s="14"/>
      <c r="AR299" s="14"/>
      <c r="AS299" s="14">
        <v>282</v>
      </c>
      <c r="AT299" s="14"/>
      <c r="AU299" s="14"/>
      <c r="AV299" s="14"/>
      <c r="AW299" s="14">
        <v>339</v>
      </c>
      <c r="AX299" s="14"/>
      <c r="AY299" s="14"/>
      <c r="AZ299" s="14">
        <v>282</v>
      </c>
      <c r="BA299" s="14">
        <v>102</v>
      </c>
      <c r="BB299" s="14"/>
      <c r="BC299" s="14"/>
      <c r="BD299" s="14"/>
      <c r="BE299" s="14"/>
      <c r="BF299" s="14"/>
      <c r="BG299" s="14"/>
      <c r="BH299" s="14">
        <v>180</v>
      </c>
      <c r="BI299" s="14"/>
      <c r="BJ299" s="14"/>
      <c r="BK299" s="14"/>
      <c r="BL299" s="14">
        <v>102</v>
      </c>
    </row>
    <row r="300" spans="4:64" x14ac:dyDescent="0.25">
      <c r="D300" s="21" t="s">
        <v>2207</v>
      </c>
      <c r="E300" s="14"/>
      <c r="F300" s="14"/>
      <c r="G300" s="14"/>
      <c r="H300" s="14"/>
      <c r="I300" s="14">
        <v>27</v>
      </c>
      <c r="J300" s="14"/>
      <c r="K300" s="14"/>
      <c r="L300" s="14"/>
      <c r="M300" s="14"/>
      <c r="N300" s="14"/>
      <c r="O300" s="14"/>
      <c r="P300" s="14">
        <v>27</v>
      </c>
      <c r="Q300" s="14"/>
      <c r="R300" s="14"/>
      <c r="S300" s="14"/>
      <c r="T300" s="14"/>
      <c r="U300" s="14"/>
      <c r="V300" s="14"/>
      <c r="W300" s="14">
        <v>27</v>
      </c>
      <c r="X300" s="14"/>
      <c r="Y300" s="14"/>
      <c r="Z300" s="14"/>
      <c r="AA300" s="14"/>
      <c r="AB300" s="14">
        <v>27</v>
      </c>
      <c r="AC300" s="14"/>
      <c r="AD300" s="14"/>
      <c r="AE300" s="14"/>
      <c r="AF300" s="14"/>
      <c r="AG300" s="14"/>
      <c r="AH300" s="14"/>
      <c r="AI300" s="14"/>
      <c r="AJ300" s="14"/>
      <c r="AK300" s="14"/>
      <c r="AL300" s="14">
        <v>27</v>
      </c>
      <c r="AM300" s="14"/>
      <c r="AN300" s="14">
        <v>27</v>
      </c>
      <c r="AO300" s="14"/>
      <c r="AP300" s="14">
        <v>27</v>
      </c>
      <c r="AQ300" s="14"/>
      <c r="AR300" s="14"/>
      <c r="AS300" s="14"/>
      <c r="AT300" s="14"/>
      <c r="AU300" s="14"/>
      <c r="AV300" s="14"/>
      <c r="AW300" s="14"/>
      <c r="AX300" s="14"/>
      <c r="AY300" s="14"/>
      <c r="AZ300" s="14">
        <v>27</v>
      </c>
      <c r="BA300" s="14"/>
      <c r="BB300" s="14">
        <v>27</v>
      </c>
      <c r="BC300" s="14"/>
      <c r="BD300" s="14"/>
      <c r="BE300" s="14"/>
      <c r="BF300" s="14">
        <v>27</v>
      </c>
      <c r="BG300" s="14"/>
      <c r="BH300" s="14"/>
      <c r="BI300" s="14"/>
      <c r="BJ300" s="14"/>
      <c r="BK300" s="14"/>
      <c r="BL300" s="14">
        <v>27</v>
      </c>
    </row>
    <row r="301" spans="4:64" x14ac:dyDescent="0.25">
      <c r="D301" s="21" t="s">
        <v>2205</v>
      </c>
      <c r="E301" s="14"/>
      <c r="F301" s="14">
        <v>27</v>
      </c>
      <c r="G301" s="14"/>
      <c r="H301" s="14"/>
      <c r="I301" s="14"/>
      <c r="J301" s="14"/>
      <c r="K301" s="14"/>
      <c r="L301" s="14"/>
      <c r="M301" s="14"/>
      <c r="N301" s="14"/>
      <c r="O301" s="14"/>
      <c r="P301" s="14">
        <v>27</v>
      </c>
      <c r="Q301" s="14"/>
      <c r="R301" s="14"/>
      <c r="S301" s="14"/>
      <c r="T301" s="14"/>
      <c r="U301" s="14"/>
      <c r="V301" s="14">
        <v>27</v>
      </c>
      <c r="W301" s="14"/>
      <c r="X301" s="14"/>
      <c r="Y301" s="14"/>
      <c r="Z301" s="14">
        <v>27</v>
      </c>
      <c r="AA301" s="14"/>
      <c r="AB301" s="14">
        <v>27</v>
      </c>
      <c r="AC301" s="14"/>
      <c r="AD301" s="14">
        <v>27</v>
      </c>
      <c r="AE301" s="14"/>
      <c r="AF301" s="14"/>
      <c r="AG301" s="14"/>
      <c r="AH301" s="14"/>
      <c r="AI301" s="14"/>
      <c r="AJ301" s="14">
        <v>27</v>
      </c>
      <c r="AK301" s="14">
        <v>27</v>
      </c>
      <c r="AL301" s="14"/>
      <c r="AM301" s="14">
        <v>27</v>
      </c>
      <c r="AN301" s="14">
        <v>27</v>
      </c>
      <c r="AO301" s="14"/>
      <c r="AP301" s="14"/>
      <c r="AQ301" s="14"/>
      <c r="AR301" s="14"/>
      <c r="AS301" s="14"/>
      <c r="AT301" s="14"/>
      <c r="AU301" s="14"/>
      <c r="AV301" s="14"/>
      <c r="AW301" s="14">
        <v>27</v>
      </c>
      <c r="AX301" s="14"/>
      <c r="AY301" s="14"/>
      <c r="AZ301" s="14">
        <v>27</v>
      </c>
      <c r="BA301" s="14"/>
      <c r="BB301" s="14"/>
      <c r="BC301" s="14"/>
      <c r="BD301" s="14"/>
      <c r="BE301" s="14"/>
      <c r="BF301" s="14"/>
      <c r="BG301" s="14"/>
      <c r="BH301" s="14"/>
      <c r="BI301" s="14"/>
      <c r="BJ301" s="14"/>
      <c r="BK301" s="14"/>
      <c r="BL301" s="14"/>
    </row>
    <row r="302" spans="4:64" x14ac:dyDescent="0.25">
      <c r="D302" s="20" t="s">
        <v>2198</v>
      </c>
      <c r="E302" s="14">
        <v>27</v>
      </c>
      <c r="F302" s="14">
        <v>27</v>
      </c>
      <c r="G302" s="14"/>
      <c r="H302" s="14">
        <v>27</v>
      </c>
      <c r="I302" s="14">
        <v>27</v>
      </c>
      <c r="J302" s="14"/>
      <c r="K302" s="14"/>
      <c r="L302" s="14">
        <v>27</v>
      </c>
      <c r="M302" s="14"/>
      <c r="N302" s="14">
        <v>27</v>
      </c>
      <c r="O302" s="14">
        <v>27</v>
      </c>
      <c r="P302" s="14">
        <v>27</v>
      </c>
      <c r="Q302" s="14">
        <v>27</v>
      </c>
      <c r="R302" s="14">
        <v>132</v>
      </c>
      <c r="S302" s="14"/>
      <c r="T302" s="14">
        <v>369</v>
      </c>
      <c r="U302" s="14"/>
      <c r="V302" s="14"/>
      <c r="W302" s="14"/>
      <c r="X302" s="14"/>
      <c r="Y302" s="14">
        <v>172</v>
      </c>
      <c r="Z302" s="14"/>
      <c r="AA302" s="14">
        <v>259</v>
      </c>
      <c r="AB302" s="14">
        <v>27</v>
      </c>
      <c r="AC302" s="14"/>
      <c r="AD302" s="14"/>
      <c r="AE302" s="14">
        <v>27</v>
      </c>
      <c r="AF302" s="14"/>
      <c r="AG302" s="14">
        <v>27</v>
      </c>
      <c r="AH302" s="14">
        <v>27</v>
      </c>
      <c r="AI302" s="14">
        <v>47</v>
      </c>
      <c r="AJ302" s="14">
        <v>27</v>
      </c>
      <c r="AK302" s="14"/>
      <c r="AL302" s="14"/>
      <c r="AM302" s="14">
        <v>27</v>
      </c>
      <c r="AN302" s="14">
        <v>27</v>
      </c>
      <c r="AO302" s="14"/>
      <c r="AP302" s="14">
        <v>27</v>
      </c>
      <c r="AQ302" s="14">
        <v>27</v>
      </c>
      <c r="AR302" s="14"/>
      <c r="AS302" s="14">
        <v>27</v>
      </c>
      <c r="AT302" s="14">
        <v>359</v>
      </c>
      <c r="AU302" s="14">
        <v>27</v>
      </c>
      <c r="AV302" s="14"/>
      <c r="AW302" s="14">
        <v>27</v>
      </c>
      <c r="AX302" s="14"/>
      <c r="AY302" s="14"/>
      <c r="AZ302" s="14">
        <v>27</v>
      </c>
      <c r="BA302" s="14"/>
      <c r="BB302" s="14">
        <v>27</v>
      </c>
      <c r="BC302" s="14">
        <v>27</v>
      </c>
      <c r="BD302" s="14"/>
      <c r="BE302" s="14"/>
      <c r="BF302" s="14"/>
      <c r="BG302" s="14"/>
      <c r="BH302" s="14"/>
      <c r="BI302" s="14">
        <v>145</v>
      </c>
      <c r="BJ302" s="14">
        <v>27</v>
      </c>
      <c r="BK302" s="14"/>
      <c r="BL302" s="14">
        <v>27</v>
      </c>
    </row>
    <row r="303" spans="4:64" x14ac:dyDescent="0.25">
      <c r="D303" s="21" t="s">
        <v>2206</v>
      </c>
      <c r="E303" s="14"/>
      <c r="F303" s="14"/>
      <c r="G303" s="14"/>
      <c r="H303" s="14">
        <v>27</v>
      </c>
      <c r="I303" s="14"/>
      <c r="J303" s="14"/>
      <c r="K303" s="14"/>
      <c r="L303" s="14">
        <v>27</v>
      </c>
      <c r="M303" s="14"/>
      <c r="N303" s="14">
        <v>27</v>
      </c>
      <c r="O303" s="14"/>
      <c r="P303" s="14">
        <v>27</v>
      </c>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v>27</v>
      </c>
      <c r="AV303" s="14"/>
      <c r="AW303" s="14"/>
      <c r="AX303" s="14"/>
      <c r="AY303" s="14"/>
      <c r="AZ303" s="14">
        <v>27</v>
      </c>
      <c r="BA303" s="14"/>
      <c r="BB303" s="14">
        <v>27</v>
      </c>
      <c r="BC303" s="14">
        <v>27</v>
      </c>
      <c r="BD303" s="14"/>
      <c r="BE303" s="14"/>
      <c r="BF303" s="14"/>
      <c r="BG303" s="14"/>
      <c r="BH303" s="14"/>
      <c r="BI303" s="14"/>
      <c r="BJ303" s="14"/>
      <c r="BK303" s="14"/>
      <c r="BL303" s="14">
        <v>27</v>
      </c>
    </row>
    <row r="304" spans="4:64" x14ac:dyDescent="0.25">
      <c r="D304" s="21" t="s">
        <v>2204</v>
      </c>
      <c r="E304" s="14"/>
      <c r="F304" s="14"/>
      <c r="G304" s="14"/>
      <c r="H304" s="14">
        <v>358</v>
      </c>
      <c r="I304" s="14"/>
      <c r="J304" s="14"/>
      <c r="K304" s="14"/>
      <c r="L304" s="14">
        <v>203</v>
      </c>
      <c r="M304" s="14"/>
      <c r="N304" s="14"/>
      <c r="O304" s="14"/>
      <c r="P304" s="14">
        <v>203</v>
      </c>
      <c r="Q304" s="14"/>
      <c r="R304" s="14">
        <v>132</v>
      </c>
      <c r="S304" s="14"/>
      <c r="T304" s="14">
        <v>369</v>
      </c>
      <c r="U304" s="14"/>
      <c r="V304" s="14"/>
      <c r="W304" s="14"/>
      <c r="X304" s="14"/>
      <c r="Y304" s="14">
        <v>172</v>
      </c>
      <c r="Z304" s="14"/>
      <c r="AA304" s="14">
        <v>259</v>
      </c>
      <c r="AB304" s="14">
        <v>132</v>
      </c>
      <c r="AC304" s="14"/>
      <c r="AD304" s="14"/>
      <c r="AE304" s="14"/>
      <c r="AF304" s="14"/>
      <c r="AG304" s="14"/>
      <c r="AH304" s="14"/>
      <c r="AI304" s="14">
        <v>47</v>
      </c>
      <c r="AJ304" s="14"/>
      <c r="AK304" s="14"/>
      <c r="AL304" s="14"/>
      <c r="AM304" s="14"/>
      <c r="AN304" s="14">
        <v>47</v>
      </c>
      <c r="AO304" s="14"/>
      <c r="AP304" s="14"/>
      <c r="AQ304" s="14"/>
      <c r="AR304" s="14"/>
      <c r="AS304" s="14"/>
      <c r="AT304" s="14">
        <v>359</v>
      </c>
      <c r="AU304" s="14"/>
      <c r="AV304" s="14"/>
      <c r="AW304" s="14"/>
      <c r="AX304" s="14"/>
      <c r="AY304" s="14"/>
      <c r="AZ304" s="14">
        <v>359</v>
      </c>
      <c r="BA304" s="14"/>
      <c r="BB304" s="14"/>
      <c r="BC304" s="14"/>
      <c r="BD304" s="14"/>
      <c r="BE304" s="14"/>
      <c r="BF304" s="14"/>
      <c r="BG304" s="14"/>
      <c r="BH304" s="14"/>
      <c r="BI304" s="14">
        <v>145</v>
      </c>
      <c r="BJ304" s="14"/>
      <c r="BK304" s="14"/>
      <c r="BL304" s="14">
        <v>145</v>
      </c>
    </row>
    <row r="305" spans="4:64" x14ac:dyDescent="0.25">
      <c r="D305" s="21" t="s">
        <v>2207</v>
      </c>
      <c r="E305" s="14">
        <v>27</v>
      </c>
      <c r="F305" s="14">
        <v>27</v>
      </c>
      <c r="G305" s="14"/>
      <c r="H305" s="14"/>
      <c r="I305" s="14">
        <v>27</v>
      </c>
      <c r="J305" s="14"/>
      <c r="K305" s="14"/>
      <c r="L305" s="14"/>
      <c r="M305" s="14"/>
      <c r="N305" s="14"/>
      <c r="O305" s="14">
        <v>27</v>
      </c>
      <c r="P305" s="14">
        <v>27</v>
      </c>
      <c r="Q305" s="14">
        <v>27</v>
      </c>
      <c r="R305" s="14"/>
      <c r="S305" s="14"/>
      <c r="T305" s="14"/>
      <c r="U305" s="14"/>
      <c r="V305" s="14"/>
      <c r="W305" s="14"/>
      <c r="X305" s="14"/>
      <c r="Y305" s="14"/>
      <c r="Z305" s="14"/>
      <c r="AA305" s="14"/>
      <c r="AB305" s="14">
        <v>27</v>
      </c>
      <c r="AC305" s="14"/>
      <c r="AD305" s="14"/>
      <c r="AE305" s="14"/>
      <c r="AF305" s="14"/>
      <c r="AG305" s="14"/>
      <c r="AH305" s="14">
        <v>27</v>
      </c>
      <c r="AI305" s="14"/>
      <c r="AJ305" s="14"/>
      <c r="AK305" s="14"/>
      <c r="AL305" s="14"/>
      <c r="AM305" s="14"/>
      <c r="AN305" s="14">
        <v>27</v>
      </c>
      <c r="AO305" s="14"/>
      <c r="AP305" s="14">
        <v>27</v>
      </c>
      <c r="AQ305" s="14">
        <v>27</v>
      </c>
      <c r="AR305" s="14"/>
      <c r="AS305" s="14"/>
      <c r="AT305" s="14"/>
      <c r="AU305" s="14"/>
      <c r="AV305" s="14"/>
      <c r="AW305" s="14">
        <v>27</v>
      </c>
      <c r="AX305" s="14"/>
      <c r="AY305" s="14"/>
      <c r="AZ305" s="14">
        <v>27</v>
      </c>
      <c r="BA305" s="14"/>
      <c r="BB305" s="14"/>
      <c r="BC305" s="14"/>
      <c r="BD305" s="14"/>
      <c r="BE305" s="14"/>
      <c r="BF305" s="14"/>
      <c r="BG305" s="14"/>
      <c r="BH305" s="14"/>
      <c r="BI305" s="14"/>
      <c r="BJ305" s="14"/>
      <c r="BK305" s="14"/>
      <c r="BL305" s="14"/>
    </row>
    <row r="306" spans="4:64" x14ac:dyDescent="0.25">
      <c r="D306" s="21" t="s">
        <v>2205</v>
      </c>
      <c r="E306" s="14"/>
      <c r="F306" s="14">
        <v>27</v>
      </c>
      <c r="G306" s="14"/>
      <c r="H306" s="14"/>
      <c r="I306" s="14"/>
      <c r="J306" s="14"/>
      <c r="K306" s="14"/>
      <c r="L306" s="14">
        <v>27</v>
      </c>
      <c r="M306" s="14"/>
      <c r="N306" s="14">
        <v>27</v>
      </c>
      <c r="O306" s="14"/>
      <c r="P306" s="14">
        <v>27</v>
      </c>
      <c r="Q306" s="14"/>
      <c r="R306" s="14"/>
      <c r="S306" s="14"/>
      <c r="T306" s="14"/>
      <c r="U306" s="14"/>
      <c r="V306" s="14"/>
      <c r="W306" s="14"/>
      <c r="X306" s="14"/>
      <c r="Y306" s="14"/>
      <c r="Z306" s="14"/>
      <c r="AA306" s="14"/>
      <c r="AB306" s="14"/>
      <c r="AC306" s="14"/>
      <c r="AD306" s="14"/>
      <c r="AE306" s="14">
        <v>27</v>
      </c>
      <c r="AF306" s="14"/>
      <c r="AG306" s="14">
        <v>27</v>
      </c>
      <c r="AH306" s="14"/>
      <c r="AI306" s="14"/>
      <c r="AJ306" s="14">
        <v>27</v>
      </c>
      <c r="AK306" s="14"/>
      <c r="AL306" s="14"/>
      <c r="AM306" s="14">
        <v>27</v>
      </c>
      <c r="AN306" s="14">
        <v>27</v>
      </c>
      <c r="AO306" s="14"/>
      <c r="AP306" s="14"/>
      <c r="AQ306" s="14"/>
      <c r="AR306" s="14"/>
      <c r="AS306" s="14">
        <v>27</v>
      </c>
      <c r="AT306" s="14"/>
      <c r="AU306" s="14"/>
      <c r="AV306" s="14"/>
      <c r="AW306" s="14"/>
      <c r="AX306" s="14"/>
      <c r="AY306" s="14"/>
      <c r="AZ306" s="14">
        <v>27</v>
      </c>
      <c r="BA306" s="14"/>
      <c r="BB306" s="14"/>
      <c r="BC306" s="14">
        <v>27</v>
      </c>
      <c r="BD306" s="14"/>
      <c r="BE306" s="14"/>
      <c r="BF306" s="14"/>
      <c r="BG306" s="14"/>
      <c r="BH306" s="14"/>
      <c r="BI306" s="14"/>
      <c r="BJ306" s="14">
        <v>27</v>
      </c>
      <c r="BK306" s="14"/>
      <c r="BL306" s="14">
        <v>27</v>
      </c>
    </row>
    <row r="307" spans="4:64" x14ac:dyDescent="0.25">
      <c r="D307" s="20" t="s">
        <v>2203</v>
      </c>
      <c r="E307" s="14"/>
      <c r="F307" s="14">
        <v>27</v>
      </c>
      <c r="G307" s="14"/>
      <c r="H307" s="14">
        <v>238</v>
      </c>
      <c r="I307" s="14">
        <v>27</v>
      </c>
      <c r="J307" s="14"/>
      <c r="K307" s="14"/>
      <c r="L307" s="14">
        <v>27</v>
      </c>
      <c r="M307" s="14"/>
      <c r="N307" s="14">
        <v>27</v>
      </c>
      <c r="O307" s="14"/>
      <c r="P307" s="14">
        <v>27</v>
      </c>
      <c r="Q307" s="14"/>
      <c r="R307" s="14"/>
      <c r="S307" s="14">
        <v>27</v>
      </c>
      <c r="T307" s="14">
        <v>27</v>
      </c>
      <c r="U307" s="14"/>
      <c r="V307" s="14">
        <v>154</v>
      </c>
      <c r="W307" s="14">
        <v>27</v>
      </c>
      <c r="X307" s="14">
        <v>27</v>
      </c>
      <c r="Y307" s="14"/>
      <c r="Z307" s="14"/>
      <c r="AA307" s="14">
        <v>27</v>
      </c>
      <c r="AB307" s="14">
        <v>27</v>
      </c>
      <c r="AC307" s="14">
        <v>27</v>
      </c>
      <c r="AD307" s="14"/>
      <c r="AE307" s="14">
        <v>255</v>
      </c>
      <c r="AF307" s="14"/>
      <c r="AG307" s="14"/>
      <c r="AH307" s="14"/>
      <c r="AI307" s="14">
        <v>27</v>
      </c>
      <c r="AJ307" s="14"/>
      <c r="AK307" s="14">
        <v>27</v>
      </c>
      <c r="AL307" s="14"/>
      <c r="AM307" s="14"/>
      <c r="AN307" s="14">
        <v>27</v>
      </c>
      <c r="AO307" s="14"/>
      <c r="AP307" s="14"/>
      <c r="AQ307" s="14"/>
      <c r="AR307" s="14"/>
      <c r="AS307" s="14"/>
      <c r="AT307" s="14"/>
      <c r="AU307" s="14"/>
      <c r="AV307" s="14"/>
      <c r="AW307" s="14">
        <v>27</v>
      </c>
      <c r="AX307" s="14"/>
      <c r="AY307" s="14">
        <v>27</v>
      </c>
      <c r="AZ307" s="14">
        <v>27</v>
      </c>
      <c r="BA307" s="14"/>
      <c r="BB307" s="14"/>
      <c r="BC307" s="14">
        <v>27</v>
      </c>
      <c r="BD307" s="14">
        <v>27</v>
      </c>
      <c r="BE307" s="14"/>
      <c r="BF307" s="14">
        <v>27</v>
      </c>
      <c r="BG307" s="14">
        <v>226</v>
      </c>
      <c r="BH307" s="14">
        <v>379</v>
      </c>
      <c r="BI307" s="14"/>
      <c r="BJ307" s="14">
        <v>27</v>
      </c>
      <c r="BK307" s="14">
        <v>27</v>
      </c>
      <c r="BL307" s="14">
        <v>27</v>
      </c>
    </row>
    <row r="308" spans="4:64" x14ac:dyDescent="0.25">
      <c r="D308" s="21" t="s">
        <v>2206</v>
      </c>
      <c r="E308" s="14"/>
      <c r="F308" s="14"/>
      <c r="G308" s="14"/>
      <c r="H308" s="14"/>
      <c r="I308" s="14"/>
      <c r="J308" s="14"/>
      <c r="K308" s="14"/>
      <c r="L308" s="14">
        <v>27</v>
      </c>
      <c r="M308" s="14"/>
      <c r="N308" s="14"/>
      <c r="O308" s="14"/>
      <c r="P308" s="14">
        <v>27</v>
      </c>
      <c r="Q308" s="14"/>
      <c r="R308" s="14"/>
      <c r="S308" s="14">
        <v>27</v>
      </c>
      <c r="T308" s="14"/>
      <c r="U308" s="14"/>
      <c r="V308" s="14"/>
      <c r="W308" s="14">
        <v>27</v>
      </c>
      <c r="X308" s="14">
        <v>27</v>
      </c>
      <c r="Y308" s="14"/>
      <c r="Z308" s="14"/>
      <c r="AA308" s="14"/>
      <c r="AB308" s="14">
        <v>27</v>
      </c>
      <c r="AC308" s="14">
        <v>27</v>
      </c>
      <c r="AD308" s="14"/>
      <c r="AE308" s="14"/>
      <c r="AF308" s="14"/>
      <c r="AG308" s="14"/>
      <c r="AH308" s="14"/>
      <c r="AI308" s="14">
        <v>27</v>
      </c>
      <c r="AJ308" s="14"/>
      <c r="AK308" s="14"/>
      <c r="AL308" s="14"/>
      <c r="AM308" s="14"/>
      <c r="AN308" s="14">
        <v>27</v>
      </c>
      <c r="AO308" s="14"/>
      <c r="AP308" s="14"/>
      <c r="AQ308" s="14"/>
      <c r="AR308" s="14"/>
      <c r="AS308" s="14"/>
      <c r="AT308" s="14"/>
      <c r="AU308" s="14"/>
      <c r="AV308" s="14"/>
      <c r="AW308" s="14">
        <v>27</v>
      </c>
      <c r="AX308" s="14"/>
      <c r="AY308" s="14"/>
      <c r="AZ308" s="14">
        <v>27</v>
      </c>
      <c r="BA308" s="14"/>
      <c r="BB308" s="14"/>
      <c r="BC308" s="14">
        <v>27</v>
      </c>
      <c r="BD308" s="14"/>
      <c r="BE308" s="14"/>
      <c r="BF308" s="14">
        <v>27</v>
      </c>
      <c r="BG308" s="14"/>
      <c r="BH308" s="14"/>
      <c r="BI308" s="14"/>
      <c r="BJ308" s="14"/>
      <c r="BK308" s="14">
        <v>27</v>
      </c>
      <c r="BL308" s="14">
        <v>27</v>
      </c>
    </row>
    <row r="309" spans="4:64" x14ac:dyDescent="0.25">
      <c r="D309" s="21" t="s">
        <v>2204</v>
      </c>
      <c r="E309" s="14"/>
      <c r="F309" s="14"/>
      <c r="G309" s="14"/>
      <c r="H309" s="14">
        <v>238</v>
      </c>
      <c r="I309" s="14">
        <v>318</v>
      </c>
      <c r="J309" s="14"/>
      <c r="K309" s="14"/>
      <c r="L309" s="14"/>
      <c r="M309" s="14"/>
      <c r="N309" s="14"/>
      <c r="O309" s="14"/>
      <c r="P309" s="14">
        <v>238</v>
      </c>
      <c r="Q309" s="14"/>
      <c r="R309" s="14"/>
      <c r="S309" s="14"/>
      <c r="T309" s="14"/>
      <c r="U309" s="14"/>
      <c r="V309" s="14">
        <v>154</v>
      </c>
      <c r="W309" s="14"/>
      <c r="X309" s="14"/>
      <c r="Y309" s="14"/>
      <c r="Z309" s="14"/>
      <c r="AA309" s="14"/>
      <c r="AB309" s="14">
        <v>154</v>
      </c>
      <c r="AC309" s="14"/>
      <c r="AD309" s="14"/>
      <c r="AE309" s="14">
        <v>255</v>
      </c>
      <c r="AF309" s="14"/>
      <c r="AG309" s="14"/>
      <c r="AH309" s="14"/>
      <c r="AI309" s="14"/>
      <c r="AJ309" s="14"/>
      <c r="AK309" s="14"/>
      <c r="AL309" s="14"/>
      <c r="AM309" s="14"/>
      <c r="AN309" s="14">
        <v>255</v>
      </c>
      <c r="AO309" s="14"/>
      <c r="AP309" s="14"/>
      <c r="AQ309" s="14"/>
      <c r="AR309" s="14"/>
      <c r="AS309" s="14"/>
      <c r="AT309" s="14"/>
      <c r="AU309" s="14"/>
      <c r="AV309" s="14"/>
      <c r="AW309" s="14"/>
      <c r="AX309" s="14"/>
      <c r="AY309" s="14"/>
      <c r="AZ309" s="14"/>
      <c r="BA309" s="14"/>
      <c r="BB309" s="14"/>
      <c r="BC309" s="14"/>
      <c r="BD309" s="14"/>
      <c r="BE309" s="14"/>
      <c r="BF309" s="14">
        <v>249</v>
      </c>
      <c r="BG309" s="14">
        <v>226</v>
      </c>
      <c r="BH309" s="14">
        <v>379</v>
      </c>
      <c r="BI309" s="14"/>
      <c r="BJ309" s="14"/>
      <c r="BK309" s="14"/>
      <c r="BL309" s="14">
        <v>226</v>
      </c>
    </row>
    <row r="310" spans="4:64" x14ac:dyDescent="0.25">
      <c r="D310" s="21" t="s">
        <v>2207</v>
      </c>
      <c r="E310" s="14"/>
      <c r="F310" s="14"/>
      <c r="G310" s="14"/>
      <c r="H310" s="14"/>
      <c r="I310" s="14">
        <v>27</v>
      </c>
      <c r="J310" s="14"/>
      <c r="K310" s="14"/>
      <c r="L310" s="14"/>
      <c r="M310" s="14"/>
      <c r="N310" s="14"/>
      <c r="O310" s="14"/>
      <c r="P310" s="14">
        <v>27</v>
      </c>
      <c r="Q310" s="14"/>
      <c r="R310" s="14"/>
      <c r="S310" s="14"/>
      <c r="T310" s="14">
        <v>27</v>
      </c>
      <c r="U310" s="14"/>
      <c r="V310" s="14"/>
      <c r="W310" s="14"/>
      <c r="X310" s="14">
        <v>27</v>
      </c>
      <c r="Y310" s="14"/>
      <c r="Z310" s="14"/>
      <c r="AA310" s="14"/>
      <c r="AB310" s="14">
        <v>27</v>
      </c>
      <c r="AC310" s="14"/>
      <c r="AD310" s="14"/>
      <c r="AE310" s="14"/>
      <c r="AF310" s="14"/>
      <c r="AG310" s="14"/>
      <c r="AH310" s="14"/>
      <c r="AI310" s="14"/>
      <c r="AJ310" s="14"/>
      <c r="AK310" s="14">
        <v>27</v>
      </c>
      <c r="AL310" s="14"/>
      <c r="AM310" s="14"/>
      <c r="AN310" s="14">
        <v>27</v>
      </c>
      <c r="AO310" s="14"/>
      <c r="AP310" s="14"/>
      <c r="AQ310" s="14"/>
      <c r="AR310" s="14"/>
      <c r="AS310" s="14"/>
      <c r="AT310" s="14"/>
      <c r="AU310" s="14"/>
      <c r="AV310" s="14"/>
      <c r="AW310" s="14"/>
      <c r="AX310" s="14"/>
      <c r="AY310" s="14"/>
      <c r="AZ310" s="14"/>
      <c r="BA310" s="14"/>
      <c r="BB310" s="14"/>
      <c r="BC310" s="14"/>
      <c r="BD310" s="14">
        <v>27</v>
      </c>
      <c r="BE310" s="14"/>
      <c r="BF310" s="14"/>
      <c r="BG310" s="14"/>
      <c r="BH310" s="14"/>
      <c r="BI310" s="14"/>
      <c r="BJ310" s="14"/>
      <c r="BK310" s="14"/>
      <c r="BL310" s="14">
        <v>27</v>
      </c>
    </row>
    <row r="311" spans="4:64" x14ac:dyDescent="0.25">
      <c r="D311" s="21" t="s">
        <v>2205</v>
      </c>
      <c r="E311" s="14"/>
      <c r="F311" s="14">
        <v>27</v>
      </c>
      <c r="G311" s="14"/>
      <c r="H311" s="14"/>
      <c r="I311" s="14"/>
      <c r="J311" s="14"/>
      <c r="K311" s="14"/>
      <c r="L311" s="14"/>
      <c r="M311" s="14"/>
      <c r="N311" s="14">
        <v>27</v>
      </c>
      <c r="O311" s="14"/>
      <c r="P311" s="14">
        <v>27</v>
      </c>
      <c r="Q311" s="14"/>
      <c r="R311" s="14"/>
      <c r="S311" s="14"/>
      <c r="T311" s="14"/>
      <c r="U311" s="14"/>
      <c r="V311" s="14"/>
      <c r="W311" s="14"/>
      <c r="X311" s="14">
        <v>27</v>
      </c>
      <c r="Y311" s="14"/>
      <c r="Z311" s="14"/>
      <c r="AA311" s="14">
        <v>27</v>
      </c>
      <c r="AB311" s="14">
        <v>27</v>
      </c>
      <c r="AC311" s="14"/>
      <c r="AD311" s="14"/>
      <c r="AE311" s="14"/>
      <c r="AF311" s="14"/>
      <c r="AG311" s="14"/>
      <c r="AH311" s="14"/>
      <c r="AI311" s="14"/>
      <c r="AJ311" s="14"/>
      <c r="AK311" s="14">
        <v>27</v>
      </c>
      <c r="AL311" s="14"/>
      <c r="AM311" s="14"/>
      <c r="AN311" s="14">
        <v>27</v>
      </c>
      <c r="AO311" s="14"/>
      <c r="AP311" s="14"/>
      <c r="AQ311" s="14"/>
      <c r="AR311" s="14"/>
      <c r="AS311" s="14"/>
      <c r="AT311" s="14"/>
      <c r="AU311" s="14"/>
      <c r="AV311" s="14"/>
      <c r="AW311" s="14"/>
      <c r="AX311" s="14"/>
      <c r="AY311" s="14">
        <v>27</v>
      </c>
      <c r="AZ311" s="14">
        <v>27</v>
      </c>
      <c r="BA311" s="14"/>
      <c r="BB311" s="14"/>
      <c r="BC311" s="14">
        <v>27</v>
      </c>
      <c r="BD311" s="14">
        <v>27</v>
      </c>
      <c r="BE311" s="14"/>
      <c r="BF311" s="14"/>
      <c r="BG311" s="14"/>
      <c r="BH311" s="14"/>
      <c r="BI311" s="14"/>
      <c r="BJ311" s="14">
        <v>27</v>
      </c>
      <c r="BK311" s="14"/>
      <c r="BL311" s="14">
        <v>27</v>
      </c>
    </row>
    <row r="312" spans="4:64" x14ac:dyDescent="0.25">
      <c r="D312" s="20" t="s">
        <v>2202</v>
      </c>
      <c r="E312" s="14"/>
      <c r="F312" s="14">
        <v>27</v>
      </c>
      <c r="G312" s="14">
        <v>27</v>
      </c>
      <c r="H312" s="14"/>
      <c r="I312" s="14">
        <v>27</v>
      </c>
      <c r="J312" s="14"/>
      <c r="K312" s="14">
        <v>27</v>
      </c>
      <c r="L312" s="14">
        <v>27</v>
      </c>
      <c r="M312" s="14"/>
      <c r="N312" s="14"/>
      <c r="O312" s="14">
        <v>27</v>
      </c>
      <c r="P312" s="14">
        <v>27</v>
      </c>
      <c r="Q312" s="14"/>
      <c r="R312" s="14"/>
      <c r="S312" s="14">
        <v>131</v>
      </c>
      <c r="T312" s="14"/>
      <c r="U312" s="14"/>
      <c r="V312" s="14"/>
      <c r="W312" s="14"/>
      <c r="X312" s="14"/>
      <c r="Y312" s="14"/>
      <c r="Z312" s="14"/>
      <c r="AA312" s="14"/>
      <c r="AB312" s="14">
        <v>131</v>
      </c>
      <c r="AC312" s="14"/>
      <c r="AD312" s="14">
        <v>27</v>
      </c>
      <c r="AE312" s="14">
        <v>27</v>
      </c>
      <c r="AF312" s="14">
        <v>27</v>
      </c>
      <c r="AG312" s="14"/>
      <c r="AH312" s="14"/>
      <c r="AI312" s="14">
        <v>27</v>
      </c>
      <c r="AJ312" s="14"/>
      <c r="AK312" s="14">
        <v>27</v>
      </c>
      <c r="AL312" s="14">
        <v>27</v>
      </c>
      <c r="AM312" s="14"/>
      <c r="AN312" s="14">
        <v>27</v>
      </c>
      <c r="AO312" s="14">
        <v>27</v>
      </c>
      <c r="AP312" s="14"/>
      <c r="AQ312" s="14">
        <v>27</v>
      </c>
      <c r="AR312" s="14">
        <v>27</v>
      </c>
      <c r="AS312" s="14">
        <v>228</v>
      </c>
      <c r="AT312" s="14">
        <v>27</v>
      </c>
      <c r="AU312" s="14"/>
      <c r="AV312" s="14"/>
      <c r="AW312" s="14">
        <v>249</v>
      </c>
      <c r="AX312" s="14"/>
      <c r="AY312" s="14">
        <v>27</v>
      </c>
      <c r="AZ312" s="14">
        <v>27</v>
      </c>
      <c r="BA312" s="14">
        <v>27</v>
      </c>
      <c r="BB312" s="14"/>
      <c r="BC312" s="14"/>
      <c r="BD312" s="14">
        <v>27</v>
      </c>
      <c r="BE312" s="14">
        <v>27</v>
      </c>
      <c r="BF312" s="14">
        <v>172</v>
      </c>
      <c r="BG312" s="14">
        <v>27</v>
      </c>
      <c r="BH312" s="14"/>
      <c r="BI312" s="14">
        <v>27</v>
      </c>
      <c r="BJ312" s="14">
        <v>27</v>
      </c>
      <c r="BK312" s="14">
        <v>27</v>
      </c>
      <c r="BL312" s="14">
        <v>27</v>
      </c>
    </row>
    <row r="313" spans="4:64" x14ac:dyDescent="0.25">
      <c r="D313" s="21" t="s">
        <v>2206</v>
      </c>
      <c r="E313" s="14"/>
      <c r="F313" s="14">
        <v>27</v>
      </c>
      <c r="G313" s="14"/>
      <c r="H313" s="14"/>
      <c r="I313" s="14"/>
      <c r="J313" s="14"/>
      <c r="K313" s="14"/>
      <c r="L313" s="14"/>
      <c r="M313" s="14"/>
      <c r="N313" s="14"/>
      <c r="O313" s="14">
        <v>27</v>
      </c>
      <c r="P313" s="14">
        <v>27</v>
      </c>
      <c r="Q313" s="14"/>
      <c r="R313" s="14"/>
      <c r="S313" s="14"/>
      <c r="T313" s="14"/>
      <c r="U313" s="14"/>
      <c r="V313" s="14"/>
      <c r="W313" s="14"/>
      <c r="X313" s="14"/>
      <c r="Y313" s="14"/>
      <c r="Z313" s="14"/>
      <c r="AA313" s="14"/>
      <c r="AB313" s="14"/>
      <c r="AC313" s="14"/>
      <c r="AD313" s="14">
        <v>27</v>
      </c>
      <c r="AE313" s="14"/>
      <c r="AF313" s="14">
        <v>27</v>
      </c>
      <c r="AG313" s="14"/>
      <c r="AH313" s="14"/>
      <c r="AI313" s="14"/>
      <c r="AJ313" s="14"/>
      <c r="AK313" s="14">
        <v>27</v>
      </c>
      <c r="AL313" s="14">
        <v>27</v>
      </c>
      <c r="AM313" s="14"/>
      <c r="AN313" s="14">
        <v>27</v>
      </c>
      <c r="AO313" s="14">
        <v>27</v>
      </c>
      <c r="AP313" s="14"/>
      <c r="AQ313" s="14">
        <v>27</v>
      </c>
      <c r="AR313" s="14">
        <v>27</v>
      </c>
      <c r="AS313" s="14"/>
      <c r="AT313" s="14">
        <v>27</v>
      </c>
      <c r="AU313" s="14"/>
      <c r="AV313" s="14"/>
      <c r="AW313" s="14"/>
      <c r="AX313" s="14"/>
      <c r="AY313" s="14">
        <v>27</v>
      </c>
      <c r="AZ313" s="14">
        <v>27</v>
      </c>
      <c r="BA313" s="14">
        <v>27</v>
      </c>
      <c r="BB313" s="14"/>
      <c r="BC313" s="14"/>
      <c r="BD313" s="14"/>
      <c r="BE313" s="14">
        <v>27</v>
      </c>
      <c r="BF313" s="14"/>
      <c r="BG313" s="14">
        <v>27</v>
      </c>
      <c r="BH313" s="14"/>
      <c r="BI313" s="14"/>
      <c r="BJ313" s="14">
        <v>27</v>
      </c>
      <c r="BK313" s="14"/>
      <c r="BL313" s="14">
        <v>27</v>
      </c>
    </row>
    <row r="314" spans="4:64" x14ac:dyDescent="0.25">
      <c r="D314" s="21" t="s">
        <v>2204</v>
      </c>
      <c r="E314" s="14"/>
      <c r="F314" s="14"/>
      <c r="G314" s="14"/>
      <c r="H314" s="14"/>
      <c r="I314" s="14">
        <v>297</v>
      </c>
      <c r="J314" s="14"/>
      <c r="K314" s="14"/>
      <c r="L314" s="14"/>
      <c r="M314" s="14"/>
      <c r="N314" s="14"/>
      <c r="O314" s="14"/>
      <c r="P314" s="14">
        <v>297</v>
      </c>
      <c r="Q314" s="14"/>
      <c r="R314" s="14"/>
      <c r="S314" s="14">
        <v>131</v>
      </c>
      <c r="T314" s="14"/>
      <c r="U314" s="14"/>
      <c r="V314" s="14"/>
      <c r="W314" s="14"/>
      <c r="X314" s="14"/>
      <c r="Y314" s="14"/>
      <c r="Z314" s="14"/>
      <c r="AA314" s="14"/>
      <c r="AB314" s="14">
        <v>131</v>
      </c>
      <c r="AC314" s="14"/>
      <c r="AD314" s="14"/>
      <c r="AE314" s="14"/>
      <c r="AF314" s="14"/>
      <c r="AG314" s="14"/>
      <c r="AH314" s="14"/>
      <c r="AI314" s="14"/>
      <c r="AJ314" s="14"/>
      <c r="AK314" s="14"/>
      <c r="AL314" s="14">
        <v>62</v>
      </c>
      <c r="AM314" s="14"/>
      <c r="AN314" s="14">
        <v>62</v>
      </c>
      <c r="AO314" s="14"/>
      <c r="AP314" s="14"/>
      <c r="AQ314" s="14"/>
      <c r="AR314" s="14"/>
      <c r="AS314" s="14">
        <v>228</v>
      </c>
      <c r="AT314" s="14"/>
      <c r="AU314" s="14"/>
      <c r="AV314" s="14"/>
      <c r="AW314" s="14">
        <v>249</v>
      </c>
      <c r="AX314" s="14"/>
      <c r="AY314" s="14">
        <v>106</v>
      </c>
      <c r="AZ314" s="14">
        <v>106</v>
      </c>
      <c r="BA314" s="14"/>
      <c r="BB314" s="14"/>
      <c r="BC314" s="14"/>
      <c r="BD314" s="14">
        <v>369</v>
      </c>
      <c r="BE314" s="14"/>
      <c r="BF314" s="14">
        <v>172</v>
      </c>
      <c r="BG314" s="14"/>
      <c r="BH314" s="14"/>
      <c r="BI314" s="14"/>
      <c r="BJ314" s="14">
        <v>116</v>
      </c>
      <c r="BK314" s="14"/>
      <c r="BL314" s="14">
        <v>116</v>
      </c>
    </row>
    <row r="315" spans="4:64" x14ac:dyDescent="0.25">
      <c r="D315" s="21" t="s">
        <v>2207</v>
      </c>
      <c r="E315" s="14"/>
      <c r="F315" s="14">
        <v>27</v>
      </c>
      <c r="G315" s="14">
        <v>27</v>
      </c>
      <c r="H315" s="14"/>
      <c r="I315" s="14">
        <v>27</v>
      </c>
      <c r="J315" s="14"/>
      <c r="K315" s="14"/>
      <c r="L315" s="14"/>
      <c r="M315" s="14"/>
      <c r="N315" s="14"/>
      <c r="O315" s="14">
        <v>27</v>
      </c>
      <c r="P315" s="14">
        <v>27</v>
      </c>
      <c r="Q315" s="14"/>
      <c r="R315" s="14"/>
      <c r="S315" s="14"/>
      <c r="T315" s="14"/>
      <c r="U315" s="14"/>
      <c r="V315" s="14"/>
      <c r="W315" s="14"/>
      <c r="X315" s="14"/>
      <c r="Y315" s="14"/>
      <c r="Z315" s="14"/>
      <c r="AA315" s="14"/>
      <c r="AB315" s="14"/>
      <c r="AC315" s="14"/>
      <c r="AD315" s="14"/>
      <c r="AE315" s="14">
        <v>27</v>
      </c>
      <c r="AF315" s="14"/>
      <c r="AG315" s="14"/>
      <c r="AH315" s="14"/>
      <c r="AI315" s="14">
        <v>27</v>
      </c>
      <c r="AJ315" s="14"/>
      <c r="AK315" s="14"/>
      <c r="AL315" s="14"/>
      <c r="AM315" s="14"/>
      <c r="AN315" s="14">
        <v>27</v>
      </c>
      <c r="AO315" s="14"/>
      <c r="AP315" s="14"/>
      <c r="AQ315" s="14">
        <v>27</v>
      </c>
      <c r="AR315" s="14"/>
      <c r="AS315" s="14"/>
      <c r="AT315" s="14"/>
      <c r="AU315" s="14"/>
      <c r="AV315" s="14"/>
      <c r="AW315" s="14"/>
      <c r="AX315" s="14"/>
      <c r="AY315" s="14"/>
      <c r="AZ315" s="14">
        <v>27</v>
      </c>
      <c r="BA315" s="14"/>
      <c r="BB315" s="14"/>
      <c r="BC315" s="14"/>
      <c r="BD315" s="14"/>
      <c r="BE315" s="14"/>
      <c r="BF315" s="14"/>
      <c r="BG315" s="14"/>
      <c r="BH315" s="14"/>
      <c r="BI315" s="14"/>
      <c r="BJ315" s="14"/>
      <c r="BK315" s="14"/>
      <c r="BL315" s="14"/>
    </row>
    <row r="316" spans="4:64" x14ac:dyDescent="0.25">
      <c r="D316" s="21" t="s">
        <v>2205</v>
      </c>
      <c r="E316" s="14"/>
      <c r="F316" s="14"/>
      <c r="G316" s="14"/>
      <c r="H316" s="14"/>
      <c r="I316" s="14"/>
      <c r="J316" s="14"/>
      <c r="K316" s="14">
        <v>27</v>
      </c>
      <c r="L316" s="14">
        <v>27</v>
      </c>
      <c r="M316" s="14"/>
      <c r="N316" s="14"/>
      <c r="O316" s="14"/>
      <c r="P316" s="14">
        <v>27</v>
      </c>
      <c r="Q316" s="14"/>
      <c r="R316" s="14"/>
      <c r="S316" s="14"/>
      <c r="T316" s="14"/>
      <c r="U316" s="14"/>
      <c r="V316" s="14"/>
      <c r="W316" s="14"/>
      <c r="X316" s="14"/>
      <c r="Y316" s="14"/>
      <c r="Z316" s="14"/>
      <c r="AA316" s="14"/>
      <c r="AB316" s="14"/>
      <c r="AC316" s="14"/>
      <c r="AD316" s="14"/>
      <c r="AE316" s="14"/>
      <c r="AF316" s="14"/>
      <c r="AG316" s="14"/>
      <c r="AH316" s="14"/>
      <c r="AI316" s="14"/>
      <c r="AJ316" s="14"/>
      <c r="AK316" s="14">
        <v>27</v>
      </c>
      <c r="AL316" s="14"/>
      <c r="AM316" s="14"/>
      <c r="AN316" s="14">
        <v>27</v>
      </c>
      <c r="AO316" s="14"/>
      <c r="AP316" s="14"/>
      <c r="AQ316" s="14"/>
      <c r="AR316" s="14">
        <v>27</v>
      </c>
      <c r="AS316" s="14"/>
      <c r="AT316" s="14"/>
      <c r="AU316" s="14"/>
      <c r="AV316" s="14"/>
      <c r="AW316" s="14"/>
      <c r="AX316" s="14"/>
      <c r="AY316" s="14"/>
      <c r="AZ316" s="14">
        <v>27</v>
      </c>
      <c r="BA316" s="14"/>
      <c r="BB316" s="14"/>
      <c r="BC316" s="14"/>
      <c r="BD316" s="14">
        <v>27</v>
      </c>
      <c r="BE316" s="14">
        <v>27</v>
      </c>
      <c r="BF316" s="14"/>
      <c r="BG316" s="14"/>
      <c r="BH316" s="14"/>
      <c r="BI316" s="14">
        <v>27</v>
      </c>
      <c r="BJ316" s="14"/>
      <c r="BK316" s="14">
        <v>27</v>
      </c>
      <c r="BL316" s="14">
        <v>27</v>
      </c>
    </row>
    <row r="317" spans="4:64" x14ac:dyDescent="0.25">
      <c r="D317" s="20" t="s">
        <v>2200</v>
      </c>
      <c r="E317" s="14">
        <v>27</v>
      </c>
      <c r="F317" s="14">
        <v>27</v>
      </c>
      <c r="G317" s="14"/>
      <c r="H317" s="14">
        <v>99</v>
      </c>
      <c r="I317" s="14">
        <v>27</v>
      </c>
      <c r="J317" s="14"/>
      <c r="K317" s="14">
        <v>27</v>
      </c>
      <c r="L317" s="14"/>
      <c r="M317" s="14">
        <v>153</v>
      </c>
      <c r="N317" s="14"/>
      <c r="O317" s="14">
        <v>27</v>
      </c>
      <c r="P317" s="14">
        <v>27</v>
      </c>
      <c r="Q317" s="14">
        <v>27</v>
      </c>
      <c r="R317" s="14">
        <v>27</v>
      </c>
      <c r="S317" s="14">
        <v>27</v>
      </c>
      <c r="T317" s="14"/>
      <c r="U317" s="14">
        <v>27</v>
      </c>
      <c r="V317" s="14"/>
      <c r="W317" s="14"/>
      <c r="X317" s="14">
        <v>27</v>
      </c>
      <c r="Y317" s="14">
        <v>27</v>
      </c>
      <c r="Z317" s="14"/>
      <c r="AA317" s="14"/>
      <c r="AB317" s="14">
        <v>27</v>
      </c>
      <c r="AC317" s="14"/>
      <c r="AD317" s="14">
        <v>27</v>
      </c>
      <c r="AE317" s="14"/>
      <c r="AF317" s="14">
        <v>27</v>
      </c>
      <c r="AG317" s="14">
        <v>27</v>
      </c>
      <c r="AH317" s="14"/>
      <c r="AI317" s="14">
        <v>27</v>
      </c>
      <c r="AJ317" s="14">
        <v>27</v>
      </c>
      <c r="AK317" s="14">
        <v>215</v>
      </c>
      <c r="AL317" s="14">
        <v>341</v>
      </c>
      <c r="AM317" s="14"/>
      <c r="AN317" s="14">
        <v>27</v>
      </c>
      <c r="AO317" s="14">
        <v>27</v>
      </c>
      <c r="AP317" s="14"/>
      <c r="AQ317" s="14">
        <v>366</v>
      </c>
      <c r="AR317" s="14"/>
      <c r="AS317" s="14"/>
      <c r="AT317" s="14">
        <v>27</v>
      </c>
      <c r="AU317" s="14">
        <v>27</v>
      </c>
      <c r="AV317" s="14"/>
      <c r="AW317" s="14">
        <v>27</v>
      </c>
      <c r="AX317" s="14"/>
      <c r="AY317" s="14">
        <v>27</v>
      </c>
      <c r="AZ317" s="14">
        <v>27</v>
      </c>
      <c r="BA317" s="14"/>
      <c r="BB317" s="14"/>
      <c r="BC317" s="14"/>
      <c r="BD317" s="14">
        <v>27</v>
      </c>
      <c r="BE317" s="14"/>
      <c r="BF317" s="14"/>
      <c r="BG317" s="14">
        <v>339</v>
      </c>
      <c r="BH317" s="14"/>
      <c r="BI317" s="14">
        <v>27</v>
      </c>
      <c r="BJ317" s="14"/>
      <c r="BK317" s="14">
        <v>27</v>
      </c>
      <c r="BL317" s="14">
        <v>27</v>
      </c>
    </row>
    <row r="318" spans="4:64" x14ac:dyDescent="0.25">
      <c r="D318" s="21" t="s">
        <v>2206</v>
      </c>
      <c r="E318" s="14">
        <v>27</v>
      </c>
      <c r="F318" s="14">
        <v>27</v>
      </c>
      <c r="G318" s="14"/>
      <c r="H318" s="14"/>
      <c r="I318" s="14">
        <v>27</v>
      </c>
      <c r="J318" s="14"/>
      <c r="K318" s="14"/>
      <c r="L318" s="14"/>
      <c r="M318" s="14"/>
      <c r="N318" s="14"/>
      <c r="O318" s="14"/>
      <c r="P318" s="14">
        <v>27</v>
      </c>
      <c r="Q318" s="14">
        <v>27</v>
      </c>
      <c r="R318" s="14">
        <v>27</v>
      </c>
      <c r="S318" s="14"/>
      <c r="T318" s="14"/>
      <c r="U318" s="14">
        <v>27</v>
      </c>
      <c r="V318" s="14"/>
      <c r="W318" s="14"/>
      <c r="X318" s="14"/>
      <c r="Y318" s="14"/>
      <c r="Z318" s="14"/>
      <c r="AA318" s="14"/>
      <c r="AB318" s="14">
        <v>27</v>
      </c>
      <c r="AC318" s="14"/>
      <c r="AD318" s="14">
        <v>27</v>
      </c>
      <c r="AE318" s="14"/>
      <c r="AF318" s="14"/>
      <c r="AG318" s="14"/>
      <c r="AH318" s="14"/>
      <c r="AI318" s="14"/>
      <c r="AJ318" s="14"/>
      <c r="AK318" s="14"/>
      <c r="AL318" s="14"/>
      <c r="AM318" s="14"/>
      <c r="AN318" s="14">
        <v>27</v>
      </c>
      <c r="AO318" s="14"/>
      <c r="AP318" s="14"/>
      <c r="AQ318" s="14"/>
      <c r="AR318" s="14"/>
      <c r="AS318" s="14"/>
      <c r="AT318" s="14"/>
      <c r="AU318" s="14">
        <v>27</v>
      </c>
      <c r="AV318" s="14"/>
      <c r="AW318" s="14"/>
      <c r="AX318" s="14"/>
      <c r="AY318" s="14"/>
      <c r="AZ318" s="14">
        <v>27</v>
      </c>
      <c r="BA318" s="14"/>
      <c r="BB318" s="14"/>
      <c r="BC318" s="14"/>
      <c r="BD318" s="14"/>
      <c r="BE318" s="14"/>
      <c r="BF318" s="14"/>
      <c r="BG318" s="14"/>
      <c r="BH318" s="14"/>
      <c r="BI318" s="14"/>
      <c r="BJ318" s="14"/>
      <c r="BK318" s="14">
        <v>27</v>
      </c>
      <c r="BL318" s="14">
        <v>27</v>
      </c>
    </row>
    <row r="319" spans="4:64" x14ac:dyDescent="0.25">
      <c r="D319" s="21" t="s">
        <v>2204</v>
      </c>
      <c r="E319" s="14">
        <v>166</v>
      </c>
      <c r="F319" s="14">
        <v>304</v>
      </c>
      <c r="G319" s="14"/>
      <c r="H319" s="14">
        <v>99</v>
      </c>
      <c r="I319" s="14"/>
      <c r="J319" s="14"/>
      <c r="K319" s="14"/>
      <c r="L319" s="14"/>
      <c r="M319" s="14">
        <v>153</v>
      </c>
      <c r="N319" s="14"/>
      <c r="O319" s="14"/>
      <c r="P319" s="14">
        <v>99</v>
      </c>
      <c r="Q319" s="14"/>
      <c r="R319" s="14"/>
      <c r="S319" s="14"/>
      <c r="T319" s="14"/>
      <c r="U319" s="14"/>
      <c r="V319" s="14"/>
      <c r="W319" s="14"/>
      <c r="X319" s="14"/>
      <c r="Y319" s="14"/>
      <c r="Z319" s="14"/>
      <c r="AA319" s="14"/>
      <c r="AB319" s="14"/>
      <c r="AC319" s="14"/>
      <c r="AD319" s="14">
        <v>139</v>
      </c>
      <c r="AE319" s="14"/>
      <c r="AF319" s="14"/>
      <c r="AG319" s="14"/>
      <c r="AH319" s="14"/>
      <c r="AI319" s="14"/>
      <c r="AJ319" s="14"/>
      <c r="AK319" s="14">
        <v>215</v>
      </c>
      <c r="AL319" s="14">
        <v>341</v>
      </c>
      <c r="AM319" s="14"/>
      <c r="AN319" s="14">
        <v>139</v>
      </c>
      <c r="AO319" s="14"/>
      <c r="AP319" s="14"/>
      <c r="AQ319" s="14">
        <v>366</v>
      </c>
      <c r="AR319" s="14"/>
      <c r="AS319" s="14"/>
      <c r="AT319" s="14">
        <v>60</v>
      </c>
      <c r="AU319" s="14"/>
      <c r="AV319" s="14"/>
      <c r="AW319" s="14"/>
      <c r="AX319" s="14"/>
      <c r="AY319" s="14"/>
      <c r="AZ319" s="14">
        <v>60</v>
      </c>
      <c r="BA319" s="14"/>
      <c r="BB319" s="14"/>
      <c r="BC319" s="14"/>
      <c r="BD319" s="14"/>
      <c r="BE319" s="14"/>
      <c r="BF319" s="14"/>
      <c r="BG319" s="14">
        <v>339</v>
      </c>
      <c r="BH319" s="14"/>
      <c r="BI319" s="14"/>
      <c r="BJ319" s="14"/>
      <c r="BK319" s="14"/>
      <c r="BL319" s="14">
        <v>339</v>
      </c>
    </row>
    <row r="320" spans="4:64" x14ac:dyDescent="0.25">
      <c r="D320" s="21" t="s">
        <v>2207</v>
      </c>
      <c r="E320" s="14"/>
      <c r="F320" s="14"/>
      <c r="G320" s="14"/>
      <c r="H320" s="14"/>
      <c r="I320" s="14"/>
      <c r="J320" s="14"/>
      <c r="K320" s="14">
        <v>27</v>
      </c>
      <c r="L320" s="14"/>
      <c r="M320" s="14"/>
      <c r="N320" s="14"/>
      <c r="O320" s="14">
        <v>27</v>
      </c>
      <c r="P320" s="14">
        <v>27</v>
      </c>
      <c r="Q320" s="14"/>
      <c r="R320" s="14">
        <v>27</v>
      </c>
      <c r="S320" s="14"/>
      <c r="T320" s="14"/>
      <c r="U320" s="14"/>
      <c r="V320" s="14"/>
      <c r="W320" s="14"/>
      <c r="X320" s="14">
        <v>27</v>
      </c>
      <c r="Y320" s="14">
        <v>27</v>
      </c>
      <c r="Z320" s="14"/>
      <c r="AA320" s="14"/>
      <c r="AB320" s="14">
        <v>27</v>
      </c>
      <c r="AC320" s="14"/>
      <c r="AD320" s="14"/>
      <c r="AE320" s="14"/>
      <c r="AF320" s="14">
        <v>27</v>
      </c>
      <c r="AG320" s="14">
        <v>27</v>
      </c>
      <c r="AH320" s="14"/>
      <c r="AI320" s="14">
        <v>27</v>
      </c>
      <c r="AJ320" s="14">
        <v>27</v>
      </c>
      <c r="AK320" s="14"/>
      <c r="AL320" s="14"/>
      <c r="AM320" s="14"/>
      <c r="AN320" s="14">
        <v>27</v>
      </c>
      <c r="AO320" s="14"/>
      <c r="AP320" s="14"/>
      <c r="AQ320" s="14"/>
      <c r="AR320" s="14"/>
      <c r="AS320" s="14"/>
      <c r="AT320" s="14">
        <v>27</v>
      </c>
      <c r="AU320" s="14"/>
      <c r="AV320" s="14"/>
      <c r="AW320" s="14">
        <v>27</v>
      </c>
      <c r="AX320" s="14"/>
      <c r="AY320" s="14">
        <v>27</v>
      </c>
      <c r="AZ320" s="14">
        <v>27</v>
      </c>
      <c r="BA320" s="14"/>
      <c r="BB320" s="14"/>
      <c r="BC320" s="14"/>
      <c r="BD320" s="14"/>
      <c r="BE320" s="14"/>
      <c r="BF320" s="14"/>
      <c r="BG320" s="14"/>
      <c r="BH320" s="14"/>
      <c r="BI320" s="14">
        <v>27</v>
      </c>
      <c r="BJ320" s="14"/>
      <c r="BK320" s="14"/>
      <c r="BL320" s="14">
        <v>27</v>
      </c>
    </row>
    <row r="321" spans="4:64" x14ac:dyDescent="0.25">
      <c r="D321" s="21" t="s">
        <v>2205</v>
      </c>
      <c r="E321" s="14"/>
      <c r="F321" s="14">
        <v>27</v>
      </c>
      <c r="G321" s="14"/>
      <c r="H321" s="14"/>
      <c r="I321" s="14"/>
      <c r="J321" s="14"/>
      <c r="K321" s="14">
        <v>27</v>
      </c>
      <c r="L321" s="14"/>
      <c r="M321" s="14"/>
      <c r="N321" s="14"/>
      <c r="O321" s="14"/>
      <c r="P321" s="14">
        <v>27</v>
      </c>
      <c r="Q321" s="14"/>
      <c r="R321" s="14"/>
      <c r="S321" s="14">
        <v>27</v>
      </c>
      <c r="T321" s="14"/>
      <c r="U321" s="14"/>
      <c r="V321" s="14"/>
      <c r="W321" s="14"/>
      <c r="X321" s="14"/>
      <c r="Y321" s="14"/>
      <c r="Z321" s="14"/>
      <c r="AA321" s="14"/>
      <c r="AB321" s="14">
        <v>27</v>
      </c>
      <c r="AC321" s="14"/>
      <c r="AD321" s="14"/>
      <c r="AE321" s="14"/>
      <c r="AF321" s="14"/>
      <c r="AG321" s="14"/>
      <c r="AH321" s="14"/>
      <c r="AI321" s="14"/>
      <c r="AJ321" s="14"/>
      <c r="AK321" s="14"/>
      <c r="AL321" s="14"/>
      <c r="AM321" s="14"/>
      <c r="AN321" s="14"/>
      <c r="AO321" s="14">
        <v>27</v>
      </c>
      <c r="AP321" s="14"/>
      <c r="AQ321" s="14"/>
      <c r="AR321" s="14"/>
      <c r="AS321" s="14"/>
      <c r="AT321" s="14"/>
      <c r="AU321" s="14"/>
      <c r="AV321" s="14"/>
      <c r="AW321" s="14">
        <v>27</v>
      </c>
      <c r="AX321" s="14"/>
      <c r="AY321" s="14">
        <v>27</v>
      </c>
      <c r="AZ321" s="14">
        <v>27</v>
      </c>
      <c r="BA321" s="14"/>
      <c r="BB321" s="14"/>
      <c r="BC321" s="14"/>
      <c r="BD321" s="14">
        <v>27</v>
      </c>
      <c r="BE321" s="14"/>
      <c r="BF321" s="14"/>
      <c r="BG321" s="14"/>
      <c r="BH321" s="14"/>
      <c r="BI321" s="14"/>
      <c r="BJ321" s="14"/>
      <c r="BK321" s="14"/>
      <c r="BL321" s="14">
        <v>27</v>
      </c>
    </row>
    <row r="322" spans="4:64" x14ac:dyDescent="0.25">
      <c r="D322" s="20" t="s">
        <v>2199</v>
      </c>
      <c r="E322" s="14"/>
      <c r="F322" s="14"/>
      <c r="G322" s="14">
        <v>27</v>
      </c>
      <c r="H322" s="14"/>
      <c r="I322" s="14"/>
      <c r="J322" s="14">
        <v>232</v>
      </c>
      <c r="K322" s="14"/>
      <c r="L322" s="14">
        <v>27</v>
      </c>
      <c r="M322" s="14"/>
      <c r="N322" s="14"/>
      <c r="O322" s="14">
        <v>27</v>
      </c>
      <c r="P322" s="14">
        <v>27</v>
      </c>
      <c r="Q322" s="14">
        <v>27</v>
      </c>
      <c r="R322" s="14"/>
      <c r="S322" s="14">
        <v>27</v>
      </c>
      <c r="T322" s="14">
        <v>27</v>
      </c>
      <c r="U322" s="14">
        <v>27</v>
      </c>
      <c r="V322" s="14">
        <v>115</v>
      </c>
      <c r="W322" s="14">
        <v>27</v>
      </c>
      <c r="X322" s="14">
        <v>311</v>
      </c>
      <c r="Y322" s="14"/>
      <c r="Z322" s="14"/>
      <c r="AA322" s="14"/>
      <c r="AB322" s="14">
        <v>27</v>
      </c>
      <c r="AC322" s="14"/>
      <c r="AD322" s="14"/>
      <c r="AE322" s="14"/>
      <c r="AF322" s="14"/>
      <c r="AG322" s="14">
        <v>139</v>
      </c>
      <c r="AH322" s="14">
        <v>27</v>
      </c>
      <c r="AI322" s="14"/>
      <c r="AJ322" s="14">
        <v>27</v>
      </c>
      <c r="AK322" s="14">
        <v>27</v>
      </c>
      <c r="AL322" s="14"/>
      <c r="AM322" s="14">
        <v>386</v>
      </c>
      <c r="AN322" s="14">
        <v>27</v>
      </c>
      <c r="AO322" s="14">
        <v>27</v>
      </c>
      <c r="AP322" s="14">
        <v>27</v>
      </c>
      <c r="AQ322" s="14"/>
      <c r="AR322" s="14">
        <v>27</v>
      </c>
      <c r="AS322" s="14"/>
      <c r="AT322" s="14">
        <v>27</v>
      </c>
      <c r="AU322" s="14"/>
      <c r="AV322" s="14">
        <v>27</v>
      </c>
      <c r="AW322" s="14"/>
      <c r="AX322" s="14">
        <v>27</v>
      </c>
      <c r="AY322" s="14">
        <v>27</v>
      </c>
      <c r="AZ322" s="14">
        <v>27</v>
      </c>
      <c r="BA322" s="14"/>
      <c r="BB322" s="14">
        <v>27</v>
      </c>
      <c r="BC322" s="14">
        <v>27</v>
      </c>
      <c r="BD322" s="14"/>
      <c r="BE322" s="14"/>
      <c r="BF322" s="14">
        <v>27</v>
      </c>
      <c r="BG322" s="14">
        <v>27</v>
      </c>
      <c r="BH322" s="14">
        <v>27</v>
      </c>
      <c r="BI322" s="14"/>
      <c r="BJ322" s="14">
        <v>27</v>
      </c>
      <c r="BK322" s="14">
        <v>27</v>
      </c>
      <c r="BL322" s="14">
        <v>27</v>
      </c>
    </row>
    <row r="323" spans="4:64" x14ac:dyDescent="0.25">
      <c r="D323" s="21" t="s">
        <v>2206</v>
      </c>
      <c r="E323" s="14"/>
      <c r="F323" s="14"/>
      <c r="G323" s="14"/>
      <c r="H323" s="14"/>
      <c r="I323" s="14"/>
      <c r="J323" s="14"/>
      <c r="K323" s="14"/>
      <c r="L323" s="14">
        <v>27</v>
      </c>
      <c r="M323" s="14"/>
      <c r="N323" s="14"/>
      <c r="O323" s="14">
        <v>27</v>
      </c>
      <c r="P323" s="14">
        <v>27</v>
      </c>
      <c r="Q323" s="14"/>
      <c r="R323" s="14"/>
      <c r="S323" s="14">
        <v>27</v>
      </c>
      <c r="T323" s="14">
        <v>27</v>
      </c>
      <c r="U323" s="14"/>
      <c r="V323" s="14"/>
      <c r="W323" s="14"/>
      <c r="X323" s="14"/>
      <c r="Y323" s="14"/>
      <c r="Z323" s="14"/>
      <c r="AA323" s="14"/>
      <c r="AB323" s="14">
        <v>27</v>
      </c>
      <c r="AC323" s="14"/>
      <c r="AD323" s="14"/>
      <c r="AE323" s="14"/>
      <c r="AF323" s="14"/>
      <c r="AG323" s="14"/>
      <c r="AH323" s="14"/>
      <c r="AI323" s="14"/>
      <c r="AJ323" s="14"/>
      <c r="AK323" s="14">
        <v>27</v>
      </c>
      <c r="AL323" s="14"/>
      <c r="AM323" s="14"/>
      <c r="AN323" s="14">
        <v>27</v>
      </c>
      <c r="AO323" s="14">
        <v>27</v>
      </c>
      <c r="AP323" s="14"/>
      <c r="AQ323" s="14"/>
      <c r="AR323" s="14"/>
      <c r="AS323" s="14"/>
      <c r="AT323" s="14"/>
      <c r="AU323" s="14"/>
      <c r="AV323" s="14">
        <v>27</v>
      </c>
      <c r="AW323" s="14"/>
      <c r="AX323" s="14">
        <v>27</v>
      </c>
      <c r="AY323" s="14"/>
      <c r="AZ323" s="14">
        <v>27</v>
      </c>
      <c r="BA323" s="14"/>
      <c r="BB323" s="14"/>
      <c r="BC323" s="14"/>
      <c r="BD323" s="14"/>
      <c r="BE323" s="14"/>
      <c r="BF323" s="14"/>
      <c r="BG323" s="14"/>
      <c r="BH323" s="14">
        <v>27</v>
      </c>
      <c r="BI323" s="14"/>
      <c r="BJ323" s="14">
        <v>27</v>
      </c>
      <c r="BK323" s="14">
        <v>27</v>
      </c>
      <c r="BL323" s="14">
        <v>27</v>
      </c>
    </row>
    <row r="324" spans="4:64" x14ac:dyDescent="0.25">
      <c r="D324" s="21" t="s">
        <v>2204</v>
      </c>
      <c r="E324" s="14"/>
      <c r="F324" s="14"/>
      <c r="G324" s="14"/>
      <c r="H324" s="14"/>
      <c r="I324" s="14"/>
      <c r="J324" s="14">
        <v>232</v>
      </c>
      <c r="K324" s="14"/>
      <c r="L324" s="14"/>
      <c r="M324" s="14"/>
      <c r="N324" s="14"/>
      <c r="O324" s="14">
        <v>93</v>
      </c>
      <c r="P324" s="14">
        <v>93</v>
      </c>
      <c r="Q324" s="14">
        <v>179</v>
      </c>
      <c r="R324" s="14"/>
      <c r="S324" s="14">
        <v>272</v>
      </c>
      <c r="T324" s="14"/>
      <c r="U324" s="14"/>
      <c r="V324" s="14">
        <v>115</v>
      </c>
      <c r="W324" s="14"/>
      <c r="X324" s="14">
        <v>311</v>
      </c>
      <c r="Y324" s="14"/>
      <c r="Z324" s="14"/>
      <c r="AA324" s="14"/>
      <c r="AB324" s="14">
        <v>115</v>
      </c>
      <c r="AC324" s="14"/>
      <c r="AD324" s="14"/>
      <c r="AE324" s="14"/>
      <c r="AF324" s="14"/>
      <c r="AG324" s="14">
        <v>139</v>
      </c>
      <c r="AH324" s="14"/>
      <c r="AI324" s="14"/>
      <c r="AJ324" s="14"/>
      <c r="AK324" s="14"/>
      <c r="AL324" s="14"/>
      <c r="AM324" s="14">
        <v>386</v>
      </c>
      <c r="AN324" s="14">
        <v>139</v>
      </c>
      <c r="AO324" s="14"/>
      <c r="AP324" s="14"/>
      <c r="AQ324" s="14"/>
      <c r="AR324" s="14"/>
      <c r="AS324" s="14"/>
      <c r="AT324" s="14"/>
      <c r="AU324" s="14"/>
      <c r="AV324" s="14">
        <v>390</v>
      </c>
      <c r="AW324" s="14"/>
      <c r="AX324" s="14"/>
      <c r="AY324" s="14"/>
      <c r="AZ324" s="14">
        <v>390</v>
      </c>
      <c r="BA324" s="14"/>
      <c r="BB324" s="14"/>
      <c r="BC324" s="14"/>
      <c r="BD324" s="14"/>
      <c r="BE324" s="14"/>
      <c r="BF324" s="14"/>
      <c r="BG324" s="14"/>
      <c r="BH324" s="14"/>
      <c r="BI324" s="14"/>
      <c r="BJ324" s="14"/>
      <c r="BK324" s="14"/>
      <c r="BL324" s="14"/>
    </row>
    <row r="325" spans="4:64" x14ac:dyDescent="0.25">
      <c r="D325" s="21" t="s">
        <v>2207</v>
      </c>
      <c r="E325" s="14"/>
      <c r="F325" s="14"/>
      <c r="G325" s="14">
        <v>27</v>
      </c>
      <c r="H325" s="14"/>
      <c r="I325" s="14"/>
      <c r="J325" s="14"/>
      <c r="K325" s="14"/>
      <c r="L325" s="14"/>
      <c r="M325" s="14"/>
      <c r="N325" s="14"/>
      <c r="O325" s="14"/>
      <c r="P325" s="14">
        <v>27</v>
      </c>
      <c r="Q325" s="14"/>
      <c r="R325" s="14"/>
      <c r="S325" s="14"/>
      <c r="T325" s="14"/>
      <c r="U325" s="14"/>
      <c r="V325" s="14"/>
      <c r="W325" s="14">
        <v>27</v>
      </c>
      <c r="X325" s="14"/>
      <c r="Y325" s="14"/>
      <c r="Z325" s="14"/>
      <c r="AA325" s="14"/>
      <c r="AB325" s="14">
        <v>27</v>
      </c>
      <c r="AC325" s="14"/>
      <c r="AD325" s="14"/>
      <c r="AE325" s="14"/>
      <c r="AF325" s="14"/>
      <c r="AG325" s="14"/>
      <c r="AH325" s="14">
        <v>27</v>
      </c>
      <c r="AI325" s="14"/>
      <c r="AJ325" s="14"/>
      <c r="AK325" s="14"/>
      <c r="AL325" s="14"/>
      <c r="AM325" s="14"/>
      <c r="AN325" s="14">
        <v>27</v>
      </c>
      <c r="AO325" s="14">
        <v>27</v>
      </c>
      <c r="AP325" s="14"/>
      <c r="AQ325" s="14"/>
      <c r="AR325" s="14"/>
      <c r="AS325" s="14"/>
      <c r="AT325" s="14">
        <v>27</v>
      </c>
      <c r="AU325" s="14"/>
      <c r="AV325" s="14"/>
      <c r="AW325" s="14"/>
      <c r="AX325" s="14"/>
      <c r="AY325" s="14">
        <v>27</v>
      </c>
      <c r="AZ325" s="14">
        <v>27</v>
      </c>
      <c r="BA325" s="14"/>
      <c r="BB325" s="14">
        <v>27</v>
      </c>
      <c r="BC325" s="14"/>
      <c r="BD325" s="14"/>
      <c r="BE325" s="14"/>
      <c r="BF325" s="14">
        <v>27</v>
      </c>
      <c r="BG325" s="14"/>
      <c r="BH325" s="14"/>
      <c r="BI325" s="14"/>
      <c r="BJ325" s="14"/>
      <c r="BK325" s="14"/>
      <c r="BL325" s="14">
        <v>27</v>
      </c>
    </row>
    <row r="326" spans="4:64" x14ac:dyDescent="0.25">
      <c r="D326" s="21" t="s">
        <v>2205</v>
      </c>
      <c r="E326" s="14"/>
      <c r="F326" s="14"/>
      <c r="G326" s="14"/>
      <c r="H326" s="14"/>
      <c r="I326" s="14"/>
      <c r="J326" s="14"/>
      <c r="K326" s="14"/>
      <c r="L326" s="14"/>
      <c r="M326" s="14"/>
      <c r="N326" s="14"/>
      <c r="O326" s="14"/>
      <c r="P326" s="14"/>
      <c r="Q326" s="14">
        <v>27</v>
      </c>
      <c r="R326" s="14"/>
      <c r="S326" s="14"/>
      <c r="T326" s="14"/>
      <c r="U326" s="14">
        <v>27</v>
      </c>
      <c r="V326" s="14"/>
      <c r="W326" s="14"/>
      <c r="X326" s="14"/>
      <c r="Y326" s="14"/>
      <c r="Z326" s="14"/>
      <c r="AA326" s="14"/>
      <c r="AB326" s="14">
        <v>27</v>
      </c>
      <c r="AC326" s="14"/>
      <c r="AD326" s="14"/>
      <c r="AE326" s="14"/>
      <c r="AF326" s="14"/>
      <c r="AG326" s="14"/>
      <c r="AH326" s="14"/>
      <c r="AI326" s="14"/>
      <c r="AJ326" s="14">
        <v>27</v>
      </c>
      <c r="AK326" s="14"/>
      <c r="AL326" s="14"/>
      <c r="AM326" s="14"/>
      <c r="AN326" s="14">
        <v>27</v>
      </c>
      <c r="AO326" s="14"/>
      <c r="AP326" s="14">
        <v>27</v>
      </c>
      <c r="AQ326" s="14"/>
      <c r="AR326" s="14">
        <v>27</v>
      </c>
      <c r="AS326" s="14"/>
      <c r="AT326" s="14"/>
      <c r="AU326" s="14"/>
      <c r="AV326" s="14"/>
      <c r="AW326" s="14"/>
      <c r="AX326" s="14"/>
      <c r="AY326" s="14"/>
      <c r="AZ326" s="14">
        <v>27</v>
      </c>
      <c r="BA326" s="14"/>
      <c r="BB326" s="14"/>
      <c r="BC326" s="14">
        <v>27</v>
      </c>
      <c r="BD326" s="14"/>
      <c r="BE326" s="14"/>
      <c r="BF326" s="14"/>
      <c r="BG326" s="14">
        <v>27</v>
      </c>
      <c r="BH326" s="14"/>
      <c r="BI326" s="14"/>
      <c r="BJ326" s="14"/>
      <c r="BK326" s="14"/>
      <c r="BL326" s="14">
        <v>27</v>
      </c>
    </row>
    <row r="327" spans="4:64" x14ac:dyDescent="0.25">
      <c r="D327" s="20" t="s">
        <v>2197</v>
      </c>
      <c r="E327" s="14">
        <v>27</v>
      </c>
      <c r="F327" s="14"/>
      <c r="G327" s="14"/>
      <c r="H327" s="14"/>
      <c r="I327" s="14"/>
      <c r="J327" s="14">
        <v>27</v>
      </c>
      <c r="K327" s="14"/>
      <c r="L327" s="14">
        <v>27</v>
      </c>
      <c r="M327" s="14">
        <v>27</v>
      </c>
      <c r="N327" s="14"/>
      <c r="O327" s="14">
        <v>27</v>
      </c>
      <c r="P327" s="14">
        <v>27</v>
      </c>
      <c r="Q327" s="14">
        <v>27</v>
      </c>
      <c r="R327" s="14"/>
      <c r="S327" s="14">
        <v>27</v>
      </c>
      <c r="T327" s="14"/>
      <c r="U327" s="14"/>
      <c r="V327" s="14"/>
      <c r="W327" s="14"/>
      <c r="X327" s="14"/>
      <c r="Y327" s="14"/>
      <c r="Z327" s="14">
        <v>27</v>
      </c>
      <c r="AA327" s="14">
        <v>27</v>
      </c>
      <c r="AB327" s="14">
        <v>27</v>
      </c>
      <c r="AC327" s="14"/>
      <c r="AD327" s="14">
        <v>27</v>
      </c>
      <c r="AE327" s="14">
        <v>27</v>
      </c>
      <c r="AF327" s="14">
        <v>117</v>
      </c>
      <c r="AG327" s="14">
        <v>27</v>
      </c>
      <c r="AH327" s="14"/>
      <c r="AI327" s="14">
        <v>27</v>
      </c>
      <c r="AJ327" s="14">
        <v>322</v>
      </c>
      <c r="AK327" s="14">
        <v>27</v>
      </c>
      <c r="AL327" s="14"/>
      <c r="AM327" s="14">
        <v>27</v>
      </c>
      <c r="AN327" s="14">
        <v>27</v>
      </c>
      <c r="AO327" s="14"/>
      <c r="AP327" s="14">
        <v>27</v>
      </c>
      <c r="AQ327" s="14">
        <v>27</v>
      </c>
      <c r="AR327" s="14"/>
      <c r="AS327" s="14">
        <v>172</v>
      </c>
      <c r="AT327" s="14">
        <v>27</v>
      </c>
      <c r="AU327" s="14"/>
      <c r="AV327" s="14">
        <v>27</v>
      </c>
      <c r="AW327" s="14"/>
      <c r="AX327" s="14"/>
      <c r="AY327" s="14">
        <v>27</v>
      </c>
      <c r="AZ327" s="14">
        <v>27</v>
      </c>
      <c r="BA327" s="14"/>
      <c r="BB327" s="14"/>
      <c r="BC327" s="14">
        <v>233</v>
      </c>
      <c r="BD327" s="14"/>
      <c r="BE327" s="14"/>
      <c r="BF327" s="14"/>
      <c r="BG327" s="14"/>
      <c r="BH327" s="14"/>
      <c r="BI327" s="14">
        <v>27</v>
      </c>
      <c r="BJ327" s="14">
        <v>388</v>
      </c>
      <c r="BK327" s="14"/>
      <c r="BL327" s="14">
        <v>27</v>
      </c>
    </row>
    <row r="328" spans="4:64" x14ac:dyDescent="0.25">
      <c r="D328" s="21" t="s">
        <v>2206</v>
      </c>
      <c r="E328" s="14"/>
      <c r="F328" s="14"/>
      <c r="G328" s="14"/>
      <c r="H328" s="14"/>
      <c r="I328" s="14"/>
      <c r="J328" s="14">
        <v>27</v>
      </c>
      <c r="K328" s="14"/>
      <c r="L328" s="14"/>
      <c r="M328" s="14">
        <v>27</v>
      </c>
      <c r="N328" s="14"/>
      <c r="O328" s="14"/>
      <c r="P328" s="14">
        <v>27</v>
      </c>
      <c r="Q328" s="14">
        <v>27</v>
      </c>
      <c r="R328" s="14"/>
      <c r="S328" s="14"/>
      <c r="T328" s="14"/>
      <c r="U328" s="14"/>
      <c r="V328" s="14"/>
      <c r="W328" s="14"/>
      <c r="X328" s="14"/>
      <c r="Y328" s="14"/>
      <c r="Z328" s="14">
        <v>27</v>
      </c>
      <c r="AA328" s="14"/>
      <c r="AB328" s="14">
        <v>27</v>
      </c>
      <c r="AC328" s="14"/>
      <c r="AD328" s="14">
        <v>27</v>
      </c>
      <c r="AE328" s="14">
        <v>27</v>
      </c>
      <c r="AF328" s="14"/>
      <c r="AG328" s="14"/>
      <c r="AH328" s="14"/>
      <c r="AI328" s="14"/>
      <c r="AJ328" s="14"/>
      <c r="AK328" s="14">
        <v>27</v>
      </c>
      <c r="AL328" s="14"/>
      <c r="AM328" s="14">
        <v>27</v>
      </c>
      <c r="AN328" s="14">
        <v>27</v>
      </c>
      <c r="AO328" s="14"/>
      <c r="AP328" s="14"/>
      <c r="AQ328" s="14"/>
      <c r="AR328" s="14"/>
      <c r="AS328" s="14"/>
      <c r="AT328" s="14"/>
      <c r="AU328" s="14"/>
      <c r="AV328" s="14">
        <v>27</v>
      </c>
      <c r="AW328" s="14"/>
      <c r="AX328" s="14"/>
      <c r="AY328" s="14"/>
      <c r="AZ328" s="14">
        <v>27</v>
      </c>
      <c r="BA328" s="14"/>
      <c r="BB328" s="14"/>
      <c r="BC328" s="14"/>
      <c r="BD328" s="14"/>
      <c r="BE328" s="14"/>
      <c r="BF328" s="14"/>
      <c r="BG328" s="14"/>
      <c r="BH328" s="14"/>
      <c r="BI328" s="14">
        <v>27</v>
      </c>
      <c r="BJ328" s="14"/>
      <c r="BK328" s="14"/>
      <c r="BL328" s="14">
        <v>27</v>
      </c>
    </row>
    <row r="329" spans="4:64" x14ac:dyDescent="0.25">
      <c r="D329" s="21" t="s">
        <v>2204</v>
      </c>
      <c r="E329" s="14"/>
      <c r="F329" s="14"/>
      <c r="G329" s="14"/>
      <c r="H329" s="14"/>
      <c r="I329" s="14"/>
      <c r="J329" s="14"/>
      <c r="K329" s="14"/>
      <c r="L329" s="14">
        <v>346</v>
      </c>
      <c r="M329" s="14"/>
      <c r="N329" s="14"/>
      <c r="O329" s="14"/>
      <c r="P329" s="14">
        <v>346</v>
      </c>
      <c r="Q329" s="14"/>
      <c r="R329" s="14"/>
      <c r="S329" s="14"/>
      <c r="T329" s="14"/>
      <c r="U329" s="14"/>
      <c r="V329" s="14"/>
      <c r="W329" s="14"/>
      <c r="X329" s="14"/>
      <c r="Y329" s="14"/>
      <c r="Z329" s="14">
        <v>380</v>
      </c>
      <c r="AA329" s="14"/>
      <c r="AB329" s="14">
        <v>380</v>
      </c>
      <c r="AC329" s="14"/>
      <c r="AD329" s="14"/>
      <c r="AE329" s="14"/>
      <c r="AF329" s="14">
        <v>117</v>
      </c>
      <c r="AG329" s="14"/>
      <c r="AH329" s="14"/>
      <c r="AI329" s="14"/>
      <c r="AJ329" s="14">
        <v>322</v>
      </c>
      <c r="AK329" s="14"/>
      <c r="AL329" s="14"/>
      <c r="AM329" s="14"/>
      <c r="AN329" s="14">
        <v>117</v>
      </c>
      <c r="AO329" s="14"/>
      <c r="AP329" s="14"/>
      <c r="AQ329" s="14">
        <v>299</v>
      </c>
      <c r="AR329" s="14"/>
      <c r="AS329" s="14">
        <v>172</v>
      </c>
      <c r="AT329" s="14"/>
      <c r="AU329" s="14"/>
      <c r="AV329" s="14"/>
      <c r="AW329" s="14"/>
      <c r="AX329" s="14"/>
      <c r="AY329" s="14"/>
      <c r="AZ329" s="14">
        <v>172</v>
      </c>
      <c r="BA329" s="14"/>
      <c r="BB329" s="14"/>
      <c r="BC329" s="14">
        <v>233</v>
      </c>
      <c r="BD329" s="14"/>
      <c r="BE329" s="14"/>
      <c r="BF329" s="14"/>
      <c r="BG329" s="14"/>
      <c r="BH329" s="14"/>
      <c r="BI329" s="14"/>
      <c r="BJ329" s="14">
        <v>388</v>
      </c>
      <c r="BK329" s="14"/>
      <c r="BL329" s="14">
        <v>233</v>
      </c>
    </row>
    <row r="330" spans="4:64" x14ac:dyDescent="0.25">
      <c r="D330" s="21" t="s">
        <v>2207</v>
      </c>
      <c r="E330" s="14">
        <v>27</v>
      </c>
      <c r="F330" s="14"/>
      <c r="G330" s="14"/>
      <c r="H330" s="14"/>
      <c r="I330" s="14"/>
      <c r="J330" s="14"/>
      <c r="K330" s="14"/>
      <c r="L330" s="14">
        <v>27</v>
      </c>
      <c r="M330" s="14"/>
      <c r="N330" s="14"/>
      <c r="O330" s="14">
        <v>27</v>
      </c>
      <c r="P330" s="14">
        <v>27</v>
      </c>
      <c r="Q330" s="14"/>
      <c r="R330" s="14"/>
      <c r="S330" s="14">
        <v>27</v>
      </c>
      <c r="T330" s="14"/>
      <c r="U330" s="14"/>
      <c r="V330" s="14"/>
      <c r="W330" s="14"/>
      <c r="X330" s="14"/>
      <c r="Y330" s="14"/>
      <c r="Z330" s="14"/>
      <c r="AA330" s="14">
        <v>27</v>
      </c>
      <c r="AB330" s="14">
        <v>27</v>
      </c>
      <c r="AC330" s="14"/>
      <c r="AD330" s="14"/>
      <c r="AE330" s="14"/>
      <c r="AF330" s="14"/>
      <c r="AG330" s="14">
        <v>27</v>
      </c>
      <c r="AH330" s="14"/>
      <c r="AI330" s="14"/>
      <c r="AJ330" s="14"/>
      <c r="AK330" s="14">
        <v>27</v>
      </c>
      <c r="AL330" s="14"/>
      <c r="AM330" s="14"/>
      <c r="AN330" s="14">
        <v>27</v>
      </c>
      <c r="AO330" s="14"/>
      <c r="AP330" s="14">
        <v>27</v>
      </c>
      <c r="AQ330" s="14">
        <v>27</v>
      </c>
      <c r="AR330" s="14"/>
      <c r="AS330" s="14"/>
      <c r="AT330" s="14"/>
      <c r="AU330" s="14"/>
      <c r="AV330" s="14">
        <v>27</v>
      </c>
      <c r="AW330" s="14"/>
      <c r="AX330" s="14"/>
      <c r="AY330" s="14">
        <v>27</v>
      </c>
      <c r="AZ330" s="14">
        <v>27</v>
      </c>
      <c r="BA330" s="14"/>
      <c r="BB330" s="14"/>
      <c r="BC330" s="14"/>
      <c r="BD330" s="14"/>
      <c r="BE330" s="14"/>
      <c r="BF330" s="14"/>
      <c r="BG330" s="14"/>
      <c r="BH330" s="14"/>
      <c r="BI330" s="14"/>
      <c r="BJ330" s="14"/>
      <c r="BK330" s="14"/>
      <c r="BL330" s="14"/>
    </row>
    <row r="331" spans="4:64" x14ac:dyDescent="0.25">
      <c r="D331" s="21" t="s">
        <v>2205</v>
      </c>
      <c r="E331" s="14"/>
      <c r="F331" s="14"/>
      <c r="G331" s="14"/>
      <c r="H331" s="14"/>
      <c r="I331" s="14"/>
      <c r="J331" s="14">
        <v>27</v>
      </c>
      <c r="K331" s="14"/>
      <c r="L331" s="14"/>
      <c r="M331" s="14"/>
      <c r="N331" s="14"/>
      <c r="O331" s="14"/>
      <c r="P331" s="14">
        <v>27</v>
      </c>
      <c r="Q331" s="14"/>
      <c r="R331" s="14"/>
      <c r="S331" s="14"/>
      <c r="T331" s="14"/>
      <c r="U331" s="14"/>
      <c r="V331" s="14"/>
      <c r="W331" s="14"/>
      <c r="X331" s="14"/>
      <c r="Y331" s="14"/>
      <c r="Z331" s="14"/>
      <c r="AA331" s="14">
        <v>27</v>
      </c>
      <c r="AB331" s="14">
        <v>27</v>
      </c>
      <c r="AC331" s="14"/>
      <c r="AD331" s="14"/>
      <c r="AE331" s="14"/>
      <c r="AF331" s="14"/>
      <c r="AG331" s="14"/>
      <c r="AH331" s="14"/>
      <c r="AI331" s="14">
        <v>27</v>
      </c>
      <c r="AJ331" s="14"/>
      <c r="AK331" s="14"/>
      <c r="AL331" s="14"/>
      <c r="AM331" s="14"/>
      <c r="AN331" s="14">
        <v>27</v>
      </c>
      <c r="AO331" s="14"/>
      <c r="AP331" s="14"/>
      <c r="AQ331" s="14"/>
      <c r="AR331" s="14"/>
      <c r="AS331" s="14"/>
      <c r="AT331" s="14">
        <v>27</v>
      </c>
      <c r="AU331" s="14"/>
      <c r="AV331" s="14"/>
      <c r="AW331" s="14"/>
      <c r="AX331" s="14"/>
      <c r="AY331" s="14"/>
      <c r="AZ331" s="14">
        <v>27</v>
      </c>
      <c r="BA331" s="14"/>
      <c r="BB331" s="14"/>
      <c r="BC331" s="14"/>
      <c r="BD331" s="14"/>
      <c r="BE331" s="14"/>
      <c r="BF331" s="14"/>
      <c r="BG331" s="14"/>
      <c r="BH331" s="14"/>
      <c r="BI331" s="14"/>
      <c r="BJ331" s="14"/>
      <c r="BK331" s="14"/>
      <c r="BL331" s="14"/>
    </row>
    <row r="332" spans="4:64" x14ac:dyDescent="0.25">
      <c r="D332" s="20" t="s">
        <v>2196</v>
      </c>
      <c r="E332" s="14">
        <v>27</v>
      </c>
      <c r="F332" s="14"/>
      <c r="G332" s="14">
        <v>304</v>
      </c>
      <c r="H332" s="14">
        <v>27</v>
      </c>
      <c r="I332" s="14">
        <v>27</v>
      </c>
      <c r="J332" s="14">
        <v>27</v>
      </c>
      <c r="K332" s="14"/>
      <c r="L332" s="14">
        <v>27</v>
      </c>
      <c r="M332" s="14">
        <v>27</v>
      </c>
      <c r="N332" s="14"/>
      <c r="O332" s="14"/>
      <c r="P332" s="14">
        <v>27</v>
      </c>
      <c r="Q332" s="14"/>
      <c r="R332" s="14">
        <v>27</v>
      </c>
      <c r="S332" s="14">
        <v>27</v>
      </c>
      <c r="T332" s="14"/>
      <c r="U332" s="14"/>
      <c r="V332" s="14"/>
      <c r="W332" s="14">
        <v>213</v>
      </c>
      <c r="X332" s="14"/>
      <c r="Y332" s="14">
        <v>238</v>
      </c>
      <c r="Z332" s="14"/>
      <c r="AA332" s="14"/>
      <c r="AB332" s="14">
        <v>27</v>
      </c>
      <c r="AC332" s="14">
        <v>207</v>
      </c>
      <c r="AD332" s="14"/>
      <c r="AE332" s="14"/>
      <c r="AF332" s="14"/>
      <c r="AG332" s="14"/>
      <c r="AH332" s="14"/>
      <c r="AI332" s="14">
        <v>27</v>
      </c>
      <c r="AJ332" s="14">
        <v>27</v>
      </c>
      <c r="AK332" s="14"/>
      <c r="AL332" s="14">
        <v>27</v>
      </c>
      <c r="AM332" s="14"/>
      <c r="AN332" s="14">
        <v>27</v>
      </c>
      <c r="AO332" s="14">
        <v>27</v>
      </c>
      <c r="AP332" s="14">
        <v>27</v>
      </c>
      <c r="AQ332" s="14"/>
      <c r="AR332" s="14">
        <v>27</v>
      </c>
      <c r="AS332" s="14"/>
      <c r="AT332" s="14">
        <v>27</v>
      </c>
      <c r="AU332" s="14"/>
      <c r="AV332" s="14"/>
      <c r="AW332" s="14">
        <v>27</v>
      </c>
      <c r="AX332" s="14">
        <v>27</v>
      </c>
      <c r="AY332" s="14">
        <v>334</v>
      </c>
      <c r="AZ332" s="14">
        <v>27</v>
      </c>
      <c r="BA332" s="14">
        <v>27</v>
      </c>
      <c r="BB332" s="14">
        <v>27</v>
      </c>
      <c r="BC332" s="14"/>
      <c r="BD332" s="14">
        <v>27</v>
      </c>
      <c r="BE332" s="14">
        <v>27</v>
      </c>
      <c r="BF332" s="14"/>
      <c r="BG332" s="14"/>
      <c r="BH332" s="14"/>
      <c r="BI332" s="14">
        <v>230</v>
      </c>
      <c r="BJ332" s="14">
        <v>27</v>
      </c>
      <c r="BK332" s="14">
        <v>27</v>
      </c>
      <c r="BL332" s="14">
        <v>27</v>
      </c>
    </row>
    <row r="333" spans="4:64" x14ac:dyDescent="0.25">
      <c r="D333" s="21" t="s">
        <v>2206</v>
      </c>
      <c r="E333" s="14">
        <v>27</v>
      </c>
      <c r="F333" s="14"/>
      <c r="G333" s="14"/>
      <c r="H333" s="14"/>
      <c r="I333" s="14"/>
      <c r="J333" s="14">
        <v>27</v>
      </c>
      <c r="K333" s="14"/>
      <c r="L333" s="14">
        <v>27</v>
      </c>
      <c r="M333" s="14"/>
      <c r="N333" s="14"/>
      <c r="O333" s="14"/>
      <c r="P333" s="14">
        <v>27</v>
      </c>
      <c r="Q333" s="14"/>
      <c r="R333" s="14"/>
      <c r="S333" s="14"/>
      <c r="T333" s="14"/>
      <c r="U333" s="14"/>
      <c r="V333" s="14"/>
      <c r="W333" s="14"/>
      <c r="X333" s="14"/>
      <c r="Y333" s="14"/>
      <c r="Z333" s="14"/>
      <c r="AA333" s="14"/>
      <c r="AB333" s="14"/>
      <c r="AC333" s="14"/>
      <c r="AD333" s="14"/>
      <c r="AE333" s="14"/>
      <c r="AF333" s="14"/>
      <c r="AG333" s="14"/>
      <c r="AH333" s="14"/>
      <c r="AI333" s="14"/>
      <c r="AJ333" s="14"/>
      <c r="AK333" s="14"/>
      <c r="AL333" s="14">
        <v>27</v>
      </c>
      <c r="AM333" s="14"/>
      <c r="AN333" s="14">
        <v>27</v>
      </c>
      <c r="AO333" s="14"/>
      <c r="AP333" s="14">
        <v>27</v>
      </c>
      <c r="AQ333" s="14"/>
      <c r="AR333" s="14"/>
      <c r="AS333" s="14"/>
      <c r="AT333" s="14">
        <v>27</v>
      </c>
      <c r="AU333" s="14"/>
      <c r="AV333" s="14"/>
      <c r="AW333" s="14"/>
      <c r="AX333" s="14">
        <v>27</v>
      </c>
      <c r="AY333" s="14"/>
      <c r="AZ333" s="14">
        <v>27</v>
      </c>
      <c r="BA333" s="14"/>
      <c r="BB333" s="14">
        <v>27</v>
      </c>
      <c r="BC333" s="14"/>
      <c r="BD333" s="14"/>
      <c r="BE333" s="14"/>
      <c r="BF333" s="14"/>
      <c r="BG333" s="14"/>
      <c r="BH333" s="14"/>
      <c r="BI333" s="14"/>
      <c r="BJ333" s="14"/>
      <c r="BK333" s="14">
        <v>27</v>
      </c>
      <c r="BL333" s="14">
        <v>27</v>
      </c>
    </row>
    <row r="334" spans="4:64" x14ac:dyDescent="0.25">
      <c r="D334" s="21" t="s">
        <v>2204</v>
      </c>
      <c r="E334" s="14"/>
      <c r="F334" s="14"/>
      <c r="G334" s="14">
        <v>304</v>
      </c>
      <c r="H334" s="14"/>
      <c r="I334" s="14"/>
      <c r="J334" s="14">
        <v>283</v>
      </c>
      <c r="K334" s="14"/>
      <c r="L334" s="14"/>
      <c r="M334" s="14"/>
      <c r="N334" s="14"/>
      <c r="O334" s="14"/>
      <c r="P334" s="14">
        <v>283</v>
      </c>
      <c r="Q334" s="14"/>
      <c r="R334" s="14"/>
      <c r="S334" s="14">
        <v>55</v>
      </c>
      <c r="T334" s="14"/>
      <c r="U334" s="14"/>
      <c r="V334" s="14"/>
      <c r="W334" s="14">
        <v>213</v>
      </c>
      <c r="X334" s="14"/>
      <c r="Y334" s="14">
        <v>238</v>
      </c>
      <c r="Z334" s="14"/>
      <c r="AA334" s="14"/>
      <c r="AB334" s="14">
        <v>55</v>
      </c>
      <c r="AC334" s="14">
        <v>207</v>
      </c>
      <c r="AD334" s="14"/>
      <c r="AE334" s="14"/>
      <c r="AF334" s="14"/>
      <c r="AG334" s="14"/>
      <c r="AH334" s="14"/>
      <c r="AI334" s="14"/>
      <c r="AJ334" s="14"/>
      <c r="AK334" s="14"/>
      <c r="AL334" s="14"/>
      <c r="AM334" s="14"/>
      <c r="AN334" s="14">
        <v>207</v>
      </c>
      <c r="AO334" s="14"/>
      <c r="AP334" s="14"/>
      <c r="AQ334" s="14"/>
      <c r="AR334" s="14"/>
      <c r="AS334" s="14"/>
      <c r="AT334" s="14"/>
      <c r="AU334" s="14"/>
      <c r="AV334" s="14"/>
      <c r="AW334" s="14"/>
      <c r="AX334" s="14"/>
      <c r="AY334" s="14">
        <v>334</v>
      </c>
      <c r="AZ334" s="14">
        <v>334</v>
      </c>
      <c r="BA334" s="14">
        <v>116</v>
      </c>
      <c r="BB334" s="14"/>
      <c r="BC334" s="14"/>
      <c r="BD334" s="14"/>
      <c r="BE334" s="14">
        <v>80</v>
      </c>
      <c r="BF334" s="14"/>
      <c r="BG334" s="14"/>
      <c r="BH334" s="14"/>
      <c r="BI334" s="14">
        <v>230</v>
      </c>
      <c r="BJ334" s="14"/>
      <c r="BK334" s="14"/>
      <c r="BL334" s="14">
        <v>80</v>
      </c>
    </row>
    <row r="335" spans="4:64" x14ac:dyDescent="0.25">
      <c r="D335" s="21" t="s">
        <v>2207</v>
      </c>
      <c r="E335" s="14"/>
      <c r="F335" s="14"/>
      <c r="G335" s="14"/>
      <c r="H335" s="14"/>
      <c r="I335" s="14"/>
      <c r="J335" s="14">
        <v>27</v>
      </c>
      <c r="K335" s="14"/>
      <c r="L335" s="14"/>
      <c r="M335" s="14">
        <v>27</v>
      </c>
      <c r="N335" s="14"/>
      <c r="O335" s="14"/>
      <c r="P335" s="14">
        <v>27</v>
      </c>
      <c r="Q335" s="14"/>
      <c r="R335" s="14"/>
      <c r="S335" s="14"/>
      <c r="T335" s="14"/>
      <c r="U335" s="14"/>
      <c r="V335" s="14"/>
      <c r="W335" s="14"/>
      <c r="X335" s="14"/>
      <c r="Y335" s="14"/>
      <c r="Z335" s="14"/>
      <c r="AA335" s="14"/>
      <c r="AB335" s="14"/>
      <c r="AC335" s="14"/>
      <c r="AD335" s="14"/>
      <c r="AE335" s="14"/>
      <c r="AF335" s="14"/>
      <c r="AG335" s="14"/>
      <c r="AH335" s="14"/>
      <c r="AI335" s="14"/>
      <c r="AJ335" s="14">
        <v>27</v>
      </c>
      <c r="AK335" s="14"/>
      <c r="AL335" s="14"/>
      <c r="AM335" s="14"/>
      <c r="AN335" s="14">
        <v>27</v>
      </c>
      <c r="AO335" s="14">
        <v>27</v>
      </c>
      <c r="AP335" s="14">
        <v>27</v>
      </c>
      <c r="AQ335" s="14"/>
      <c r="AR335" s="14">
        <v>27</v>
      </c>
      <c r="AS335" s="14"/>
      <c r="AT335" s="14"/>
      <c r="AU335" s="14"/>
      <c r="AV335" s="14"/>
      <c r="AW335" s="14">
        <v>27</v>
      </c>
      <c r="AX335" s="14">
        <v>27</v>
      </c>
      <c r="AY335" s="14"/>
      <c r="AZ335" s="14">
        <v>27</v>
      </c>
      <c r="BA335" s="14"/>
      <c r="BB335" s="14"/>
      <c r="BC335" s="14"/>
      <c r="BD335" s="14">
        <v>27</v>
      </c>
      <c r="BE335" s="14"/>
      <c r="BF335" s="14"/>
      <c r="BG335" s="14"/>
      <c r="BH335" s="14"/>
      <c r="BI335" s="14"/>
      <c r="BJ335" s="14"/>
      <c r="BK335" s="14"/>
      <c r="BL335" s="14">
        <v>27</v>
      </c>
    </row>
    <row r="336" spans="4:64" x14ac:dyDescent="0.25">
      <c r="D336" s="21" t="s">
        <v>2205</v>
      </c>
      <c r="E336" s="14"/>
      <c r="F336" s="14"/>
      <c r="G336" s="14"/>
      <c r="H336" s="14">
        <v>27</v>
      </c>
      <c r="I336" s="14">
        <v>27</v>
      </c>
      <c r="J336" s="14"/>
      <c r="K336" s="14"/>
      <c r="L336" s="14"/>
      <c r="M336" s="14">
        <v>27</v>
      </c>
      <c r="N336" s="14"/>
      <c r="O336" s="14"/>
      <c r="P336" s="14">
        <v>27</v>
      </c>
      <c r="Q336" s="14"/>
      <c r="R336" s="14">
        <v>27</v>
      </c>
      <c r="S336" s="14">
        <v>27</v>
      </c>
      <c r="T336" s="14"/>
      <c r="U336" s="14"/>
      <c r="V336" s="14"/>
      <c r="W336" s="14"/>
      <c r="X336" s="14"/>
      <c r="Y336" s="14"/>
      <c r="Z336" s="14"/>
      <c r="AA336" s="14"/>
      <c r="AB336" s="14">
        <v>27</v>
      </c>
      <c r="AC336" s="14"/>
      <c r="AD336" s="14"/>
      <c r="AE336" s="14"/>
      <c r="AF336" s="14"/>
      <c r="AG336" s="14"/>
      <c r="AH336" s="14"/>
      <c r="AI336" s="14">
        <v>27</v>
      </c>
      <c r="AJ336" s="14"/>
      <c r="AK336" s="14"/>
      <c r="AL336" s="14"/>
      <c r="AM336" s="14"/>
      <c r="AN336" s="14">
        <v>27</v>
      </c>
      <c r="AO336" s="14"/>
      <c r="AP336" s="14"/>
      <c r="AQ336" s="14"/>
      <c r="AR336" s="14"/>
      <c r="AS336" s="14"/>
      <c r="AT336" s="14">
        <v>27</v>
      </c>
      <c r="AU336" s="14"/>
      <c r="AV336" s="14"/>
      <c r="AW336" s="14"/>
      <c r="AX336" s="14"/>
      <c r="AY336" s="14"/>
      <c r="AZ336" s="14">
        <v>27</v>
      </c>
      <c r="BA336" s="14">
        <v>27</v>
      </c>
      <c r="BB336" s="14"/>
      <c r="BC336" s="14"/>
      <c r="BD336" s="14"/>
      <c r="BE336" s="14">
        <v>27</v>
      </c>
      <c r="BF336" s="14"/>
      <c r="BG336" s="14"/>
      <c r="BH336" s="14"/>
      <c r="BI336" s="14"/>
      <c r="BJ336" s="14">
        <v>27</v>
      </c>
      <c r="BK336" s="14"/>
      <c r="BL336" s="14">
        <v>27</v>
      </c>
    </row>
    <row r="337" spans="4:64" x14ac:dyDescent="0.25">
      <c r="D337" s="16" t="s">
        <v>2211</v>
      </c>
      <c r="E337" s="14">
        <v>27</v>
      </c>
      <c r="F337" s="14">
        <v>27</v>
      </c>
      <c r="G337" s="14">
        <v>27</v>
      </c>
      <c r="H337" s="14">
        <v>27</v>
      </c>
      <c r="I337" s="14">
        <v>27</v>
      </c>
      <c r="J337" s="14">
        <v>27</v>
      </c>
      <c r="K337" s="14">
        <v>27</v>
      </c>
      <c r="L337" s="14">
        <v>27</v>
      </c>
      <c r="M337" s="14">
        <v>27</v>
      </c>
      <c r="N337" s="14">
        <v>27</v>
      </c>
      <c r="O337" s="14">
        <v>27</v>
      </c>
      <c r="P337" s="14">
        <v>27</v>
      </c>
      <c r="Q337" s="14">
        <v>27</v>
      </c>
      <c r="R337" s="14">
        <v>27</v>
      </c>
      <c r="S337" s="14">
        <v>27</v>
      </c>
      <c r="T337" s="14">
        <v>27</v>
      </c>
      <c r="U337" s="14">
        <v>27</v>
      </c>
      <c r="V337" s="14">
        <v>27</v>
      </c>
      <c r="W337" s="14">
        <v>27</v>
      </c>
      <c r="X337" s="14">
        <v>27</v>
      </c>
      <c r="Y337" s="14">
        <v>257</v>
      </c>
      <c r="Z337" s="14">
        <v>27</v>
      </c>
      <c r="AA337" s="14">
        <v>27</v>
      </c>
      <c r="AB337" s="14">
        <v>27</v>
      </c>
      <c r="AC337" s="14">
        <v>27</v>
      </c>
      <c r="AD337" s="14">
        <v>27</v>
      </c>
      <c r="AE337" s="14">
        <v>27</v>
      </c>
      <c r="AF337" s="14">
        <v>27</v>
      </c>
      <c r="AG337" s="14">
        <v>27</v>
      </c>
      <c r="AH337" s="14">
        <v>27</v>
      </c>
      <c r="AI337" s="14">
        <v>27</v>
      </c>
      <c r="AJ337" s="14">
        <v>27</v>
      </c>
      <c r="AK337" s="14">
        <v>27</v>
      </c>
      <c r="AL337" s="14">
        <v>27</v>
      </c>
      <c r="AM337" s="14">
        <v>27</v>
      </c>
      <c r="AN337" s="14">
        <v>27</v>
      </c>
      <c r="AO337" s="14">
        <v>27</v>
      </c>
      <c r="AP337" s="14">
        <v>27</v>
      </c>
      <c r="AQ337" s="14">
        <v>27</v>
      </c>
      <c r="AR337" s="14">
        <v>27</v>
      </c>
      <c r="AS337" s="14">
        <v>27</v>
      </c>
      <c r="AT337" s="14">
        <v>27</v>
      </c>
      <c r="AU337" s="14">
        <v>27</v>
      </c>
      <c r="AV337" s="14">
        <v>27</v>
      </c>
      <c r="AW337" s="14">
        <v>27</v>
      </c>
      <c r="AX337" s="14">
        <v>27</v>
      </c>
      <c r="AY337" s="14">
        <v>27</v>
      </c>
      <c r="AZ337" s="14">
        <v>27</v>
      </c>
      <c r="BA337" s="14">
        <v>27</v>
      </c>
      <c r="BB337" s="14">
        <v>27</v>
      </c>
      <c r="BC337" s="14">
        <v>27</v>
      </c>
      <c r="BD337" s="14">
        <v>27</v>
      </c>
      <c r="BE337" s="14">
        <v>27</v>
      </c>
      <c r="BF337" s="14">
        <v>27</v>
      </c>
      <c r="BG337" s="14">
        <v>27</v>
      </c>
      <c r="BH337" s="14">
        <v>27</v>
      </c>
      <c r="BI337" s="14">
        <v>27</v>
      </c>
      <c r="BJ337" s="14">
        <v>27</v>
      </c>
      <c r="BK337" s="14">
        <v>27</v>
      </c>
      <c r="BL337" s="14">
        <v>27</v>
      </c>
    </row>
    <row r="338" spans="4:64" x14ac:dyDescent="0.25">
      <c r="D338" s="20" t="s">
        <v>2201</v>
      </c>
      <c r="E338" s="14">
        <v>27</v>
      </c>
      <c r="F338" s="14">
        <v>27</v>
      </c>
      <c r="G338" s="14"/>
      <c r="H338" s="14">
        <v>27</v>
      </c>
      <c r="I338" s="14">
        <v>27</v>
      </c>
      <c r="J338" s="14"/>
      <c r="K338" s="14">
        <v>27</v>
      </c>
      <c r="L338" s="14"/>
      <c r="M338" s="14">
        <v>27</v>
      </c>
      <c r="N338" s="14">
        <v>283</v>
      </c>
      <c r="O338" s="14">
        <v>27</v>
      </c>
      <c r="P338" s="14">
        <v>27</v>
      </c>
      <c r="Q338" s="14">
        <v>27</v>
      </c>
      <c r="R338" s="14"/>
      <c r="S338" s="14">
        <v>172</v>
      </c>
      <c r="T338" s="14"/>
      <c r="U338" s="14">
        <v>27</v>
      </c>
      <c r="V338" s="14"/>
      <c r="W338" s="14">
        <v>27</v>
      </c>
      <c r="X338" s="14">
        <v>27</v>
      </c>
      <c r="Y338" s="14"/>
      <c r="Z338" s="14"/>
      <c r="AA338" s="14">
        <v>77</v>
      </c>
      <c r="AB338" s="14">
        <v>27</v>
      </c>
      <c r="AC338" s="14">
        <v>150</v>
      </c>
      <c r="AD338" s="14"/>
      <c r="AE338" s="14"/>
      <c r="AF338" s="14"/>
      <c r="AG338" s="14">
        <v>27</v>
      </c>
      <c r="AH338" s="14">
        <v>354</v>
      </c>
      <c r="AI338" s="14">
        <v>27</v>
      </c>
      <c r="AJ338" s="14"/>
      <c r="AK338" s="14"/>
      <c r="AL338" s="14">
        <v>27</v>
      </c>
      <c r="AM338" s="14"/>
      <c r="AN338" s="14">
        <v>27</v>
      </c>
      <c r="AO338" s="14">
        <v>27</v>
      </c>
      <c r="AP338" s="14"/>
      <c r="AQ338" s="14">
        <v>270</v>
      </c>
      <c r="AR338" s="14"/>
      <c r="AS338" s="14"/>
      <c r="AT338" s="14">
        <v>27</v>
      </c>
      <c r="AU338" s="14">
        <v>27</v>
      </c>
      <c r="AV338" s="14"/>
      <c r="AW338" s="14"/>
      <c r="AX338" s="14"/>
      <c r="AY338" s="14">
        <v>27</v>
      </c>
      <c r="AZ338" s="14">
        <v>27</v>
      </c>
      <c r="BA338" s="14">
        <v>27</v>
      </c>
      <c r="BB338" s="14">
        <v>27</v>
      </c>
      <c r="BC338" s="14"/>
      <c r="BD338" s="14"/>
      <c r="BE338" s="14"/>
      <c r="BF338" s="14"/>
      <c r="BG338" s="14"/>
      <c r="BH338" s="14"/>
      <c r="BI338" s="14">
        <v>27</v>
      </c>
      <c r="BJ338" s="14"/>
      <c r="BK338" s="14"/>
      <c r="BL338" s="14">
        <v>27</v>
      </c>
    </row>
    <row r="339" spans="4:64" x14ac:dyDescent="0.25">
      <c r="D339" s="21" t="s">
        <v>2206</v>
      </c>
      <c r="E339" s="14"/>
      <c r="F339" s="14"/>
      <c r="G339" s="14"/>
      <c r="H339" s="14">
        <v>27</v>
      </c>
      <c r="I339" s="14">
        <v>27</v>
      </c>
      <c r="J339" s="14"/>
      <c r="K339" s="14"/>
      <c r="L339" s="14"/>
      <c r="M339" s="14"/>
      <c r="N339" s="14"/>
      <c r="O339" s="14"/>
      <c r="P339" s="14">
        <v>27</v>
      </c>
      <c r="Q339" s="14"/>
      <c r="R339" s="14"/>
      <c r="S339" s="14"/>
      <c r="T339" s="14"/>
      <c r="U339" s="14"/>
      <c r="V339" s="14"/>
      <c r="W339" s="14">
        <v>27</v>
      </c>
      <c r="X339" s="14">
        <v>27</v>
      </c>
      <c r="Y339" s="14"/>
      <c r="Z339" s="14"/>
      <c r="AA339" s="14"/>
      <c r="AB339" s="14">
        <v>27</v>
      </c>
      <c r="AC339" s="14"/>
      <c r="AD339" s="14"/>
      <c r="AE339" s="14"/>
      <c r="AF339" s="14"/>
      <c r="AG339" s="14"/>
      <c r="AH339" s="14"/>
      <c r="AI339" s="14">
        <v>27</v>
      </c>
      <c r="AJ339" s="14"/>
      <c r="AK339" s="14"/>
      <c r="AL339" s="14"/>
      <c r="AM339" s="14"/>
      <c r="AN339" s="14">
        <v>27</v>
      </c>
      <c r="AO339" s="14"/>
      <c r="AP339" s="14"/>
      <c r="AQ339" s="14"/>
      <c r="AR339" s="14"/>
      <c r="AS339" s="14"/>
      <c r="AT339" s="14">
        <v>27</v>
      </c>
      <c r="AU339" s="14"/>
      <c r="AV339" s="14"/>
      <c r="AW339" s="14"/>
      <c r="AX339" s="14"/>
      <c r="AY339" s="14"/>
      <c r="AZ339" s="14">
        <v>27</v>
      </c>
      <c r="BA339" s="14"/>
      <c r="BB339" s="14"/>
      <c r="BC339" s="14"/>
      <c r="BD339" s="14"/>
      <c r="BE339" s="14"/>
      <c r="BF339" s="14"/>
      <c r="BG339" s="14"/>
      <c r="BH339" s="14"/>
      <c r="BI339" s="14">
        <v>27</v>
      </c>
      <c r="BJ339" s="14"/>
      <c r="BK339" s="14"/>
      <c r="BL339" s="14">
        <v>27</v>
      </c>
    </row>
    <row r="340" spans="4:64" x14ac:dyDescent="0.25">
      <c r="D340" s="21" t="s">
        <v>2204</v>
      </c>
      <c r="E340" s="14"/>
      <c r="F340" s="14"/>
      <c r="G340" s="14"/>
      <c r="H340" s="14">
        <v>125</v>
      </c>
      <c r="I340" s="14"/>
      <c r="J340" s="14"/>
      <c r="K340" s="14"/>
      <c r="L340" s="14"/>
      <c r="M340" s="14"/>
      <c r="N340" s="14">
        <v>283</v>
      </c>
      <c r="O340" s="14"/>
      <c r="P340" s="14">
        <v>125</v>
      </c>
      <c r="Q340" s="14"/>
      <c r="R340" s="14"/>
      <c r="S340" s="14">
        <v>172</v>
      </c>
      <c r="T340" s="14"/>
      <c r="U340" s="14"/>
      <c r="V340" s="14"/>
      <c r="W340" s="14"/>
      <c r="X340" s="14">
        <v>91</v>
      </c>
      <c r="Y340" s="14"/>
      <c r="Z340" s="14"/>
      <c r="AA340" s="14">
        <v>77</v>
      </c>
      <c r="AB340" s="14">
        <v>77</v>
      </c>
      <c r="AC340" s="14">
        <v>150</v>
      </c>
      <c r="AD340" s="14"/>
      <c r="AE340" s="14"/>
      <c r="AF340" s="14"/>
      <c r="AG340" s="14"/>
      <c r="AH340" s="14">
        <v>354</v>
      </c>
      <c r="AI340" s="14"/>
      <c r="AJ340" s="14"/>
      <c r="AK340" s="14"/>
      <c r="AL340" s="14"/>
      <c r="AM340" s="14"/>
      <c r="AN340" s="14">
        <v>150</v>
      </c>
      <c r="AO340" s="14"/>
      <c r="AP340" s="14"/>
      <c r="AQ340" s="14">
        <v>270</v>
      </c>
      <c r="AR340" s="14"/>
      <c r="AS340" s="14"/>
      <c r="AT340" s="14"/>
      <c r="AU340" s="14"/>
      <c r="AV340" s="14"/>
      <c r="AW340" s="14"/>
      <c r="AX340" s="14"/>
      <c r="AY340" s="14">
        <v>361</v>
      </c>
      <c r="AZ340" s="14">
        <v>270</v>
      </c>
      <c r="BA340" s="14"/>
      <c r="BB340" s="14"/>
      <c r="BC340" s="14"/>
      <c r="BD340" s="14"/>
      <c r="BE340" s="14"/>
      <c r="BF340" s="14"/>
      <c r="BG340" s="14"/>
      <c r="BH340" s="14"/>
      <c r="BI340" s="14">
        <v>297</v>
      </c>
      <c r="BJ340" s="14"/>
      <c r="BK340" s="14"/>
      <c r="BL340" s="14">
        <v>297</v>
      </c>
    </row>
    <row r="341" spans="4:64" x14ac:dyDescent="0.25">
      <c r="D341" s="21" t="s">
        <v>2207</v>
      </c>
      <c r="E341" s="14"/>
      <c r="F341" s="14">
        <v>27</v>
      </c>
      <c r="G341" s="14"/>
      <c r="H341" s="14"/>
      <c r="I341" s="14"/>
      <c r="J341" s="14"/>
      <c r="K341" s="14">
        <v>27</v>
      </c>
      <c r="L341" s="14"/>
      <c r="M341" s="14"/>
      <c r="N341" s="14"/>
      <c r="O341" s="14"/>
      <c r="P341" s="14">
        <v>27</v>
      </c>
      <c r="Q341" s="14"/>
      <c r="R341" s="14"/>
      <c r="S341" s="14"/>
      <c r="T341" s="14"/>
      <c r="U341" s="14"/>
      <c r="V341" s="14"/>
      <c r="W341" s="14"/>
      <c r="X341" s="14"/>
      <c r="Y341" s="14"/>
      <c r="Z341" s="14"/>
      <c r="AA341" s="14"/>
      <c r="AB341" s="14"/>
      <c r="AC341" s="14"/>
      <c r="AD341" s="14"/>
      <c r="AE341" s="14"/>
      <c r="AF341" s="14"/>
      <c r="AG341" s="14"/>
      <c r="AH341" s="14"/>
      <c r="AI341" s="14"/>
      <c r="AJ341" s="14"/>
      <c r="AK341" s="14"/>
      <c r="AL341" s="14">
        <v>27</v>
      </c>
      <c r="AM341" s="14"/>
      <c r="AN341" s="14">
        <v>27</v>
      </c>
      <c r="AO341" s="14">
        <v>27</v>
      </c>
      <c r="AP341" s="14"/>
      <c r="AQ341" s="14"/>
      <c r="AR341" s="14"/>
      <c r="AS341" s="14"/>
      <c r="AT341" s="14"/>
      <c r="AU341" s="14">
        <v>27</v>
      </c>
      <c r="AV341" s="14"/>
      <c r="AW341" s="14"/>
      <c r="AX341" s="14"/>
      <c r="AY341" s="14">
        <v>27</v>
      </c>
      <c r="AZ341" s="14">
        <v>27</v>
      </c>
      <c r="BA341" s="14">
        <v>27</v>
      </c>
      <c r="BB341" s="14">
        <v>27</v>
      </c>
      <c r="BC341" s="14"/>
      <c r="BD341" s="14"/>
      <c r="BE341" s="14"/>
      <c r="BF341" s="14"/>
      <c r="BG341" s="14"/>
      <c r="BH341" s="14"/>
      <c r="BI341" s="14"/>
      <c r="BJ341" s="14"/>
      <c r="BK341" s="14"/>
      <c r="BL341" s="14">
        <v>27</v>
      </c>
    </row>
    <row r="342" spans="4:64" x14ac:dyDescent="0.25">
      <c r="D342" s="21" t="s">
        <v>2205</v>
      </c>
      <c r="E342" s="14">
        <v>27</v>
      </c>
      <c r="F342" s="14">
        <v>27</v>
      </c>
      <c r="G342" s="14"/>
      <c r="H342" s="14"/>
      <c r="I342" s="14"/>
      <c r="J342" s="14"/>
      <c r="K342" s="14"/>
      <c r="L342" s="14"/>
      <c r="M342" s="14">
        <v>27</v>
      </c>
      <c r="N342" s="14"/>
      <c r="O342" s="14">
        <v>27</v>
      </c>
      <c r="P342" s="14">
        <v>27</v>
      </c>
      <c r="Q342" s="14">
        <v>27</v>
      </c>
      <c r="R342" s="14"/>
      <c r="S342" s="14"/>
      <c r="T342" s="14"/>
      <c r="U342" s="14">
        <v>27</v>
      </c>
      <c r="V342" s="14"/>
      <c r="W342" s="14"/>
      <c r="X342" s="14"/>
      <c r="Y342" s="14"/>
      <c r="Z342" s="14"/>
      <c r="AA342" s="14"/>
      <c r="AB342" s="14">
        <v>27</v>
      </c>
      <c r="AC342" s="14"/>
      <c r="AD342" s="14"/>
      <c r="AE342" s="14"/>
      <c r="AF342" s="14"/>
      <c r="AG342" s="14">
        <v>27</v>
      </c>
      <c r="AH342" s="14"/>
      <c r="AI342" s="14">
        <v>27</v>
      </c>
      <c r="AJ342" s="14"/>
      <c r="AK342" s="14"/>
      <c r="AL342" s="14"/>
      <c r="AM342" s="14"/>
      <c r="AN342" s="14">
        <v>27</v>
      </c>
      <c r="AO342" s="14"/>
      <c r="AP342" s="14"/>
      <c r="AQ342" s="14"/>
      <c r="AR342" s="14"/>
      <c r="AS342" s="14"/>
      <c r="AT342" s="14"/>
      <c r="AU342" s="14"/>
      <c r="AV342" s="14"/>
      <c r="AW342" s="14"/>
      <c r="AX342" s="14"/>
      <c r="AY342" s="14"/>
      <c r="AZ342" s="14"/>
      <c r="BA342" s="14">
        <v>27</v>
      </c>
      <c r="BB342" s="14"/>
      <c r="BC342" s="14"/>
      <c r="BD342" s="14"/>
      <c r="BE342" s="14"/>
      <c r="BF342" s="14"/>
      <c r="BG342" s="14"/>
      <c r="BH342" s="14"/>
      <c r="BI342" s="14"/>
      <c r="BJ342" s="14"/>
      <c r="BK342" s="14"/>
      <c r="BL342" s="14">
        <v>27</v>
      </c>
    </row>
    <row r="343" spans="4:64" x14ac:dyDescent="0.25">
      <c r="D343" s="20" t="s">
        <v>2198</v>
      </c>
      <c r="E343" s="14"/>
      <c r="F343" s="14"/>
      <c r="G343" s="14"/>
      <c r="H343" s="14">
        <v>27</v>
      </c>
      <c r="I343" s="14"/>
      <c r="J343" s="14">
        <v>27</v>
      </c>
      <c r="K343" s="14">
        <v>27</v>
      </c>
      <c r="L343" s="14"/>
      <c r="M343" s="14">
        <v>27</v>
      </c>
      <c r="N343" s="14">
        <v>27</v>
      </c>
      <c r="O343" s="14"/>
      <c r="P343" s="14">
        <v>27</v>
      </c>
      <c r="Q343" s="14"/>
      <c r="R343" s="14"/>
      <c r="S343" s="14">
        <v>27</v>
      </c>
      <c r="T343" s="14"/>
      <c r="U343" s="14"/>
      <c r="V343" s="14"/>
      <c r="W343" s="14">
        <v>27</v>
      </c>
      <c r="X343" s="14"/>
      <c r="Y343" s="14">
        <v>257</v>
      </c>
      <c r="Z343" s="14"/>
      <c r="AA343" s="14"/>
      <c r="AB343" s="14">
        <v>27</v>
      </c>
      <c r="AC343" s="14"/>
      <c r="AD343" s="14">
        <v>27</v>
      </c>
      <c r="AE343" s="14"/>
      <c r="AF343" s="14">
        <v>27</v>
      </c>
      <c r="AG343" s="14">
        <v>27</v>
      </c>
      <c r="AH343" s="14">
        <v>27</v>
      </c>
      <c r="AI343" s="14">
        <v>27</v>
      </c>
      <c r="AJ343" s="14"/>
      <c r="AK343" s="14"/>
      <c r="AL343" s="14"/>
      <c r="AM343" s="14">
        <v>27</v>
      </c>
      <c r="AN343" s="14">
        <v>27</v>
      </c>
      <c r="AO343" s="14"/>
      <c r="AP343" s="14"/>
      <c r="AQ343" s="14"/>
      <c r="AR343" s="14"/>
      <c r="AS343" s="14">
        <v>27</v>
      </c>
      <c r="AT343" s="14">
        <v>348</v>
      </c>
      <c r="AU343" s="14">
        <v>27</v>
      </c>
      <c r="AV343" s="14">
        <v>27</v>
      </c>
      <c r="AW343" s="14"/>
      <c r="AX343" s="14">
        <v>27</v>
      </c>
      <c r="AY343" s="14">
        <v>27</v>
      </c>
      <c r="AZ343" s="14">
        <v>27</v>
      </c>
      <c r="BA343" s="14">
        <v>27</v>
      </c>
      <c r="BB343" s="14"/>
      <c r="BC343" s="14"/>
      <c r="BD343" s="14">
        <v>27</v>
      </c>
      <c r="BE343" s="14"/>
      <c r="BF343" s="14">
        <v>27</v>
      </c>
      <c r="BG343" s="14"/>
      <c r="BH343" s="14">
        <v>279</v>
      </c>
      <c r="BI343" s="14">
        <v>27</v>
      </c>
      <c r="BJ343" s="14">
        <v>273</v>
      </c>
      <c r="BK343" s="14"/>
      <c r="BL343" s="14">
        <v>27</v>
      </c>
    </row>
    <row r="344" spans="4:64" x14ac:dyDescent="0.25">
      <c r="D344" s="21" t="s">
        <v>2206</v>
      </c>
      <c r="E344" s="14"/>
      <c r="F344" s="14"/>
      <c r="G344" s="14"/>
      <c r="H344" s="14"/>
      <c r="I344" s="14"/>
      <c r="J344" s="14">
        <v>27</v>
      </c>
      <c r="K344" s="14">
        <v>27</v>
      </c>
      <c r="L344" s="14"/>
      <c r="M344" s="14"/>
      <c r="N344" s="14"/>
      <c r="O344" s="14"/>
      <c r="P344" s="14">
        <v>27</v>
      </c>
      <c r="Q344" s="14"/>
      <c r="R344" s="14"/>
      <c r="S344" s="14"/>
      <c r="T344" s="14"/>
      <c r="U344" s="14"/>
      <c r="V344" s="14"/>
      <c r="W344" s="14"/>
      <c r="X344" s="14"/>
      <c r="Y344" s="14"/>
      <c r="Z344" s="14"/>
      <c r="AA344" s="14"/>
      <c r="AB344" s="14"/>
      <c r="AC344" s="14"/>
      <c r="AD344" s="14"/>
      <c r="AE344" s="14"/>
      <c r="AF344" s="14">
        <v>27</v>
      </c>
      <c r="AG344" s="14"/>
      <c r="AH344" s="14"/>
      <c r="AI344" s="14">
        <v>27</v>
      </c>
      <c r="AJ344" s="14"/>
      <c r="AK344" s="14"/>
      <c r="AL344" s="14"/>
      <c r="AM344" s="14">
        <v>27</v>
      </c>
      <c r="AN344" s="14">
        <v>27</v>
      </c>
      <c r="AO344" s="14"/>
      <c r="AP344" s="14"/>
      <c r="AQ344" s="14"/>
      <c r="AR344" s="14"/>
      <c r="AS344" s="14"/>
      <c r="AT344" s="14"/>
      <c r="AU344" s="14">
        <v>27</v>
      </c>
      <c r="AV344" s="14"/>
      <c r="AW344" s="14"/>
      <c r="AX344" s="14"/>
      <c r="AY344" s="14"/>
      <c r="AZ344" s="14">
        <v>27</v>
      </c>
      <c r="BA344" s="14"/>
      <c r="BB344" s="14"/>
      <c r="BC344" s="14"/>
      <c r="BD344" s="14">
        <v>27</v>
      </c>
      <c r="BE344" s="14"/>
      <c r="BF344" s="14"/>
      <c r="BG344" s="14"/>
      <c r="BH344" s="14"/>
      <c r="BI344" s="14"/>
      <c r="BJ344" s="14"/>
      <c r="BK344" s="14"/>
      <c r="BL344" s="14">
        <v>27</v>
      </c>
    </row>
    <row r="345" spans="4:64" x14ac:dyDescent="0.25">
      <c r="D345" s="21" t="s">
        <v>2204</v>
      </c>
      <c r="E345" s="14"/>
      <c r="F345" s="14"/>
      <c r="G345" s="14"/>
      <c r="H345" s="14">
        <v>40</v>
      </c>
      <c r="I345" s="14"/>
      <c r="J345" s="14"/>
      <c r="K345" s="14"/>
      <c r="L345" s="14"/>
      <c r="M345" s="14"/>
      <c r="N345" s="14"/>
      <c r="O345" s="14"/>
      <c r="P345" s="14">
        <v>40</v>
      </c>
      <c r="Q345" s="14"/>
      <c r="R345" s="14"/>
      <c r="S345" s="14"/>
      <c r="T345" s="14"/>
      <c r="U345" s="14"/>
      <c r="V345" s="14"/>
      <c r="W345" s="14"/>
      <c r="X345" s="14"/>
      <c r="Y345" s="14">
        <v>257</v>
      </c>
      <c r="Z345" s="14"/>
      <c r="AA345" s="14"/>
      <c r="AB345" s="14">
        <v>257</v>
      </c>
      <c r="AC345" s="14"/>
      <c r="AD345" s="14">
        <v>97</v>
      </c>
      <c r="AE345" s="14"/>
      <c r="AF345" s="14">
        <v>67</v>
      </c>
      <c r="AG345" s="14"/>
      <c r="AH345" s="14"/>
      <c r="AI345" s="14"/>
      <c r="AJ345" s="14"/>
      <c r="AK345" s="14"/>
      <c r="AL345" s="14"/>
      <c r="AM345" s="14"/>
      <c r="AN345" s="14">
        <v>67</v>
      </c>
      <c r="AO345" s="14"/>
      <c r="AP345" s="14"/>
      <c r="AQ345" s="14"/>
      <c r="AR345" s="14"/>
      <c r="AS345" s="14"/>
      <c r="AT345" s="14">
        <v>348</v>
      </c>
      <c r="AU345" s="14"/>
      <c r="AV345" s="14"/>
      <c r="AW345" s="14"/>
      <c r="AX345" s="14">
        <v>38</v>
      </c>
      <c r="AY345" s="14"/>
      <c r="AZ345" s="14">
        <v>38</v>
      </c>
      <c r="BA345" s="14"/>
      <c r="BB345" s="14"/>
      <c r="BC345" s="14"/>
      <c r="BD345" s="14"/>
      <c r="BE345" s="14"/>
      <c r="BF345" s="14"/>
      <c r="BG345" s="14"/>
      <c r="BH345" s="14">
        <v>279</v>
      </c>
      <c r="BI345" s="14"/>
      <c r="BJ345" s="14">
        <v>273</v>
      </c>
      <c r="BK345" s="14"/>
      <c r="BL345" s="14">
        <v>273</v>
      </c>
    </row>
    <row r="346" spans="4:64" x14ac:dyDescent="0.25">
      <c r="D346" s="21" t="s">
        <v>2207</v>
      </c>
      <c r="E346" s="14"/>
      <c r="F346" s="14"/>
      <c r="G346" s="14"/>
      <c r="H346" s="14"/>
      <c r="I346" s="14"/>
      <c r="J346" s="14"/>
      <c r="K346" s="14"/>
      <c r="L346" s="14"/>
      <c r="M346" s="14">
        <v>27</v>
      </c>
      <c r="N346" s="14"/>
      <c r="O346" s="14"/>
      <c r="P346" s="14">
        <v>27</v>
      </c>
      <c r="Q346" s="14"/>
      <c r="R346" s="14"/>
      <c r="S346" s="14"/>
      <c r="T346" s="14"/>
      <c r="U346" s="14"/>
      <c r="V346" s="14"/>
      <c r="W346" s="14"/>
      <c r="X346" s="14"/>
      <c r="Y346" s="14"/>
      <c r="Z346" s="14"/>
      <c r="AA346" s="14"/>
      <c r="AB346" s="14"/>
      <c r="AC346" s="14"/>
      <c r="AD346" s="14">
        <v>27</v>
      </c>
      <c r="AE346" s="14"/>
      <c r="AF346" s="14"/>
      <c r="AG346" s="14">
        <v>27</v>
      </c>
      <c r="AH346" s="14"/>
      <c r="AI346" s="14"/>
      <c r="AJ346" s="14"/>
      <c r="AK346" s="14"/>
      <c r="AL346" s="14"/>
      <c r="AM346" s="14"/>
      <c r="AN346" s="14">
        <v>27</v>
      </c>
      <c r="AO346" s="14"/>
      <c r="AP346" s="14"/>
      <c r="AQ346" s="14"/>
      <c r="AR346" s="14"/>
      <c r="AS346" s="14">
        <v>27</v>
      </c>
      <c r="AT346" s="14"/>
      <c r="AU346" s="14"/>
      <c r="AV346" s="14"/>
      <c r="AW346" s="14"/>
      <c r="AX346" s="14"/>
      <c r="AY346" s="14"/>
      <c r="AZ346" s="14">
        <v>27</v>
      </c>
      <c r="BA346" s="14"/>
      <c r="BB346" s="14"/>
      <c r="BC346" s="14"/>
      <c r="BD346" s="14">
        <v>27</v>
      </c>
      <c r="BE346" s="14"/>
      <c r="BF346" s="14">
        <v>27</v>
      </c>
      <c r="BG346" s="14"/>
      <c r="BH346" s="14"/>
      <c r="BI346" s="14">
        <v>27</v>
      </c>
      <c r="BJ346" s="14"/>
      <c r="BK346" s="14"/>
      <c r="BL346" s="14">
        <v>27</v>
      </c>
    </row>
    <row r="347" spans="4:64" x14ac:dyDescent="0.25">
      <c r="D347" s="21" t="s">
        <v>2205</v>
      </c>
      <c r="E347" s="14"/>
      <c r="F347" s="14"/>
      <c r="G347" s="14"/>
      <c r="H347" s="14">
        <v>27</v>
      </c>
      <c r="I347" s="14"/>
      <c r="J347" s="14"/>
      <c r="K347" s="14"/>
      <c r="L347" s="14"/>
      <c r="M347" s="14"/>
      <c r="N347" s="14">
        <v>27</v>
      </c>
      <c r="O347" s="14"/>
      <c r="P347" s="14">
        <v>27</v>
      </c>
      <c r="Q347" s="14"/>
      <c r="R347" s="14"/>
      <c r="S347" s="14">
        <v>27</v>
      </c>
      <c r="T347" s="14"/>
      <c r="U347" s="14"/>
      <c r="V347" s="14"/>
      <c r="W347" s="14">
        <v>27</v>
      </c>
      <c r="X347" s="14"/>
      <c r="Y347" s="14"/>
      <c r="Z347" s="14"/>
      <c r="AA347" s="14"/>
      <c r="AB347" s="14">
        <v>27</v>
      </c>
      <c r="AC347" s="14"/>
      <c r="AD347" s="14"/>
      <c r="AE347" s="14"/>
      <c r="AF347" s="14"/>
      <c r="AG347" s="14"/>
      <c r="AH347" s="14">
        <v>27</v>
      </c>
      <c r="AI347" s="14"/>
      <c r="AJ347" s="14"/>
      <c r="AK347" s="14"/>
      <c r="AL347" s="14"/>
      <c r="AM347" s="14"/>
      <c r="AN347" s="14">
        <v>27</v>
      </c>
      <c r="AO347" s="14"/>
      <c r="AP347" s="14"/>
      <c r="AQ347" s="14"/>
      <c r="AR347" s="14"/>
      <c r="AS347" s="14">
        <v>27</v>
      </c>
      <c r="AT347" s="14"/>
      <c r="AU347" s="14"/>
      <c r="AV347" s="14">
        <v>27</v>
      </c>
      <c r="AW347" s="14"/>
      <c r="AX347" s="14">
        <v>27</v>
      </c>
      <c r="AY347" s="14">
        <v>27</v>
      </c>
      <c r="AZ347" s="14">
        <v>27</v>
      </c>
      <c r="BA347" s="14">
        <v>27</v>
      </c>
      <c r="BB347" s="14"/>
      <c r="BC347" s="14"/>
      <c r="BD347" s="14"/>
      <c r="BE347" s="14"/>
      <c r="BF347" s="14">
        <v>27</v>
      </c>
      <c r="BG347" s="14"/>
      <c r="BH347" s="14"/>
      <c r="BI347" s="14">
        <v>27</v>
      </c>
      <c r="BJ347" s="14"/>
      <c r="BK347" s="14"/>
      <c r="BL347" s="14">
        <v>27</v>
      </c>
    </row>
    <row r="348" spans="4:64" x14ac:dyDescent="0.25">
      <c r="D348" s="20" t="s">
        <v>2203</v>
      </c>
      <c r="E348" s="14">
        <v>27</v>
      </c>
      <c r="F348" s="14">
        <v>27</v>
      </c>
      <c r="G348" s="14"/>
      <c r="H348" s="14"/>
      <c r="I348" s="14"/>
      <c r="J348" s="14">
        <v>27</v>
      </c>
      <c r="K348" s="14"/>
      <c r="L348" s="14">
        <v>27</v>
      </c>
      <c r="M348" s="14">
        <v>27</v>
      </c>
      <c r="N348" s="14">
        <v>27</v>
      </c>
      <c r="O348" s="14">
        <v>27</v>
      </c>
      <c r="P348" s="14">
        <v>27</v>
      </c>
      <c r="Q348" s="14"/>
      <c r="R348" s="14"/>
      <c r="S348" s="14"/>
      <c r="T348" s="14">
        <v>27</v>
      </c>
      <c r="U348" s="14">
        <v>27</v>
      </c>
      <c r="V348" s="14">
        <v>27</v>
      </c>
      <c r="W348" s="14"/>
      <c r="X348" s="14"/>
      <c r="Y348" s="14"/>
      <c r="Z348" s="14"/>
      <c r="AA348" s="14">
        <v>27</v>
      </c>
      <c r="AB348" s="14">
        <v>27</v>
      </c>
      <c r="AC348" s="14"/>
      <c r="AD348" s="14"/>
      <c r="AE348" s="14"/>
      <c r="AF348" s="14"/>
      <c r="AG348" s="14"/>
      <c r="AH348" s="14"/>
      <c r="AI348" s="14"/>
      <c r="AJ348" s="14">
        <v>27</v>
      </c>
      <c r="AK348" s="14">
        <v>27</v>
      </c>
      <c r="AL348" s="14"/>
      <c r="AM348" s="14">
        <v>249</v>
      </c>
      <c r="AN348" s="14">
        <v>27</v>
      </c>
      <c r="AO348" s="14">
        <v>218</v>
      </c>
      <c r="AP348" s="14"/>
      <c r="AQ348" s="14"/>
      <c r="AR348" s="14">
        <v>252</v>
      </c>
      <c r="AS348" s="14"/>
      <c r="AT348" s="14">
        <v>27</v>
      </c>
      <c r="AU348" s="14"/>
      <c r="AV348" s="14"/>
      <c r="AW348" s="14">
        <v>27</v>
      </c>
      <c r="AX348" s="14">
        <v>27</v>
      </c>
      <c r="AY348" s="14"/>
      <c r="AZ348" s="14">
        <v>27</v>
      </c>
      <c r="BA348" s="14">
        <v>27</v>
      </c>
      <c r="BB348" s="14">
        <v>27</v>
      </c>
      <c r="BC348" s="14">
        <v>27</v>
      </c>
      <c r="BD348" s="14">
        <v>27</v>
      </c>
      <c r="BE348" s="14"/>
      <c r="BF348" s="14">
        <v>27</v>
      </c>
      <c r="BG348" s="14"/>
      <c r="BH348" s="14">
        <v>27</v>
      </c>
      <c r="BI348" s="14"/>
      <c r="BJ348" s="14"/>
      <c r="BK348" s="14"/>
      <c r="BL348" s="14">
        <v>27</v>
      </c>
    </row>
    <row r="349" spans="4:64" x14ac:dyDescent="0.25">
      <c r="D349" s="21" t="s">
        <v>2206</v>
      </c>
      <c r="E349" s="14">
        <v>27</v>
      </c>
      <c r="F349" s="14">
        <v>27</v>
      </c>
      <c r="G349" s="14"/>
      <c r="H349" s="14"/>
      <c r="I349" s="14"/>
      <c r="J349" s="14">
        <v>27</v>
      </c>
      <c r="K349" s="14"/>
      <c r="L349" s="14">
        <v>27</v>
      </c>
      <c r="M349" s="14"/>
      <c r="N349" s="14"/>
      <c r="O349" s="14">
        <v>27</v>
      </c>
      <c r="P349" s="14">
        <v>27</v>
      </c>
      <c r="Q349" s="14"/>
      <c r="R349" s="14"/>
      <c r="S349" s="14"/>
      <c r="T349" s="14">
        <v>27</v>
      </c>
      <c r="U349" s="14">
        <v>27</v>
      </c>
      <c r="V349" s="14">
        <v>27</v>
      </c>
      <c r="W349" s="14"/>
      <c r="X349" s="14"/>
      <c r="Y349" s="14"/>
      <c r="Z349" s="14"/>
      <c r="AA349" s="14"/>
      <c r="AB349" s="14">
        <v>27</v>
      </c>
      <c r="AC349" s="14"/>
      <c r="AD349" s="14"/>
      <c r="AE349" s="14"/>
      <c r="AF349" s="14"/>
      <c r="AG349" s="14"/>
      <c r="AH349" s="14"/>
      <c r="AI349" s="14"/>
      <c r="AJ349" s="14"/>
      <c r="AK349" s="14">
        <v>27</v>
      </c>
      <c r="AL349" s="14"/>
      <c r="AM349" s="14"/>
      <c r="AN349" s="14">
        <v>27</v>
      </c>
      <c r="AO349" s="14"/>
      <c r="AP349" s="14"/>
      <c r="AQ349" s="14"/>
      <c r="AR349" s="14"/>
      <c r="AS349" s="14"/>
      <c r="AT349" s="14"/>
      <c r="AU349" s="14"/>
      <c r="AV349" s="14"/>
      <c r="AW349" s="14"/>
      <c r="AX349" s="14">
        <v>27</v>
      </c>
      <c r="AY349" s="14"/>
      <c r="AZ349" s="14">
        <v>27</v>
      </c>
      <c r="BA349" s="14"/>
      <c r="BB349" s="14">
        <v>27</v>
      </c>
      <c r="BC349" s="14"/>
      <c r="BD349" s="14"/>
      <c r="BE349" s="14"/>
      <c r="BF349" s="14"/>
      <c r="BG349" s="14"/>
      <c r="BH349" s="14">
        <v>27</v>
      </c>
      <c r="BI349" s="14"/>
      <c r="BJ349" s="14"/>
      <c r="BK349" s="14"/>
      <c r="BL349" s="14">
        <v>27</v>
      </c>
    </row>
    <row r="350" spans="4:64" x14ac:dyDescent="0.25">
      <c r="D350" s="21" t="s">
        <v>2204</v>
      </c>
      <c r="E350" s="14"/>
      <c r="F350" s="14"/>
      <c r="G350" s="14"/>
      <c r="H350" s="14"/>
      <c r="I350" s="14"/>
      <c r="J350" s="14"/>
      <c r="K350" s="14"/>
      <c r="L350" s="14"/>
      <c r="M350" s="14"/>
      <c r="N350" s="14">
        <v>119</v>
      </c>
      <c r="O350" s="14"/>
      <c r="P350" s="14">
        <v>119</v>
      </c>
      <c r="Q350" s="14"/>
      <c r="R350" s="14"/>
      <c r="S350" s="14"/>
      <c r="T350" s="14"/>
      <c r="U350" s="14"/>
      <c r="V350" s="14">
        <v>80</v>
      </c>
      <c r="W350" s="14"/>
      <c r="X350" s="14"/>
      <c r="Y350" s="14"/>
      <c r="Z350" s="14"/>
      <c r="AA350" s="14"/>
      <c r="AB350" s="14">
        <v>80</v>
      </c>
      <c r="AC350" s="14"/>
      <c r="AD350" s="14"/>
      <c r="AE350" s="14"/>
      <c r="AF350" s="14"/>
      <c r="AG350" s="14"/>
      <c r="AH350" s="14"/>
      <c r="AI350" s="14"/>
      <c r="AJ350" s="14"/>
      <c r="AK350" s="14"/>
      <c r="AL350" s="14"/>
      <c r="AM350" s="14">
        <v>249</v>
      </c>
      <c r="AN350" s="14">
        <v>249</v>
      </c>
      <c r="AO350" s="14">
        <v>218</v>
      </c>
      <c r="AP350" s="14"/>
      <c r="AQ350" s="14"/>
      <c r="AR350" s="14">
        <v>252</v>
      </c>
      <c r="AS350" s="14"/>
      <c r="AT350" s="14"/>
      <c r="AU350" s="14"/>
      <c r="AV350" s="14"/>
      <c r="AW350" s="14"/>
      <c r="AX350" s="14"/>
      <c r="AY350" s="14"/>
      <c r="AZ350" s="14">
        <v>218</v>
      </c>
      <c r="BA350" s="14"/>
      <c r="BB350" s="14"/>
      <c r="BC350" s="14"/>
      <c r="BD350" s="14"/>
      <c r="BE350" s="14"/>
      <c r="BF350" s="14"/>
      <c r="BG350" s="14"/>
      <c r="BH350" s="14"/>
      <c r="BI350" s="14"/>
      <c r="BJ350" s="14"/>
      <c r="BK350" s="14"/>
      <c r="BL350" s="14"/>
    </row>
    <row r="351" spans="4:64" x14ac:dyDescent="0.25">
      <c r="D351" s="21" t="s">
        <v>2207</v>
      </c>
      <c r="E351" s="14"/>
      <c r="F351" s="14">
        <v>27</v>
      </c>
      <c r="G351" s="14"/>
      <c r="H351" s="14"/>
      <c r="I351" s="14"/>
      <c r="J351" s="14"/>
      <c r="K351" s="14"/>
      <c r="L351" s="14"/>
      <c r="M351" s="14">
        <v>27</v>
      </c>
      <c r="N351" s="14">
        <v>27</v>
      </c>
      <c r="O351" s="14">
        <v>27</v>
      </c>
      <c r="P351" s="14">
        <v>27</v>
      </c>
      <c r="Q351" s="14"/>
      <c r="R351" s="14"/>
      <c r="S351" s="14"/>
      <c r="T351" s="14">
        <v>27</v>
      </c>
      <c r="U351" s="14"/>
      <c r="V351" s="14"/>
      <c r="W351" s="14"/>
      <c r="X351" s="14"/>
      <c r="Y351" s="14"/>
      <c r="Z351" s="14"/>
      <c r="AA351" s="14">
        <v>27</v>
      </c>
      <c r="AB351" s="14">
        <v>27</v>
      </c>
      <c r="AC351" s="14"/>
      <c r="AD351" s="14"/>
      <c r="AE351" s="14"/>
      <c r="AF351" s="14"/>
      <c r="AG351" s="14"/>
      <c r="AH351" s="14"/>
      <c r="AI351" s="14"/>
      <c r="AJ351" s="14">
        <v>27</v>
      </c>
      <c r="AK351" s="14"/>
      <c r="AL351" s="14"/>
      <c r="AM351" s="14"/>
      <c r="AN351" s="14">
        <v>27</v>
      </c>
      <c r="AO351" s="14"/>
      <c r="AP351" s="14"/>
      <c r="AQ351" s="14"/>
      <c r="AR351" s="14"/>
      <c r="AS351" s="14"/>
      <c r="AT351" s="14">
        <v>27</v>
      </c>
      <c r="AU351" s="14"/>
      <c r="AV351" s="14"/>
      <c r="AW351" s="14">
        <v>27</v>
      </c>
      <c r="AX351" s="14"/>
      <c r="AY351" s="14"/>
      <c r="AZ351" s="14">
        <v>27</v>
      </c>
      <c r="BA351" s="14">
        <v>27</v>
      </c>
      <c r="BB351" s="14"/>
      <c r="BC351" s="14">
        <v>27</v>
      </c>
      <c r="BD351" s="14"/>
      <c r="BE351" s="14"/>
      <c r="BF351" s="14"/>
      <c r="BG351" s="14"/>
      <c r="BH351" s="14"/>
      <c r="BI351" s="14"/>
      <c r="BJ351" s="14"/>
      <c r="BK351" s="14"/>
      <c r="BL351" s="14">
        <v>27</v>
      </c>
    </row>
    <row r="352" spans="4:64" x14ac:dyDescent="0.25">
      <c r="D352" s="21" t="s">
        <v>2205</v>
      </c>
      <c r="E352" s="14"/>
      <c r="F352" s="14"/>
      <c r="G352" s="14"/>
      <c r="H352" s="14"/>
      <c r="I352" s="14"/>
      <c r="J352" s="14"/>
      <c r="K352" s="14"/>
      <c r="L352" s="14"/>
      <c r="M352" s="14"/>
      <c r="N352" s="14"/>
      <c r="O352" s="14"/>
      <c r="P352" s="14"/>
      <c r="Q352" s="14"/>
      <c r="R352" s="14"/>
      <c r="S352" s="14"/>
      <c r="T352" s="14">
        <v>27</v>
      </c>
      <c r="U352" s="14"/>
      <c r="V352" s="14"/>
      <c r="W352" s="14"/>
      <c r="X352" s="14"/>
      <c r="Y352" s="14"/>
      <c r="Z352" s="14"/>
      <c r="AA352" s="14"/>
      <c r="AB352" s="14">
        <v>27</v>
      </c>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v>27</v>
      </c>
      <c r="BC352" s="14"/>
      <c r="BD352" s="14">
        <v>27</v>
      </c>
      <c r="BE352" s="14"/>
      <c r="BF352" s="14">
        <v>27</v>
      </c>
      <c r="BG352" s="14"/>
      <c r="BH352" s="14"/>
      <c r="BI352" s="14"/>
      <c r="BJ352" s="14"/>
      <c r="BK352" s="14"/>
      <c r="BL352" s="14">
        <v>27</v>
      </c>
    </row>
    <row r="353" spans="4:64" x14ac:dyDescent="0.25">
      <c r="D353" s="20" t="s">
        <v>2202</v>
      </c>
      <c r="E353" s="14">
        <v>35</v>
      </c>
      <c r="F353" s="14"/>
      <c r="G353" s="14">
        <v>27</v>
      </c>
      <c r="H353" s="14"/>
      <c r="I353" s="14"/>
      <c r="J353" s="14"/>
      <c r="K353" s="14">
        <v>27</v>
      </c>
      <c r="L353" s="14"/>
      <c r="M353" s="14"/>
      <c r="N353" s="14"/>
      <c r="O353" s="14"/>
      <c r="P353" s="14">
        <v>27</v>
      </c>
      <c r="Q353" s="14">
        <v>27</v>
      </c>
      <c r="R353" s="14">
        <v>27</v>
      </c>
      <c r="S353" s="14"/>
      <c r="T353" s="14">
        <v>27</v>
      </c>
      <c r="U353" s="14">
        <v>27</v>
      </c>
      <c r="V353" s="14">
        <v>27</v>
      </c>
      <c r="W353" s="14"/>
      <c r="X353" s="14"/>
      <c r="Y353" s="14"/>
      <c r="Z353" s="14">
        <v>27</v>
      </c>
      <c r="AA353" s="14"/>
      <c r="AB353" s="14">
        <v>27</v>
      </c>
      <c r="AC353" s="14"/>
      <c r="AD353" s="14"/>
      <c r="AE353" s="14">
        <v>27</v>
      </c>
      <c r="AF353" s="14"/>
      <c r="AG353" s="14">
        <v>27</v>
      </c>
      <c r="AH353" s="14"/>
      <c r="AI353" s="14">
        <v>191</v>
      </c>
      <c r="AJ353" s="14"/>
      <c r="AK353" s="14"/>
      <c r="AL353" s="14">
        <v>27</v>
      </c>
      <c r="AM353" s="14">
        <v>27</v>
      </c>
      <c r="AN353" s="14">
        <v>27</v>
      </c>
      <c r="AO353" s="14"/>
      <c r="AP353" s="14">
        <v>27</v>
      </c>
      <c r="AQ353" s="14">
        <v>27</v>
      </c>
      <c r="AR353" s="14"/>
      <c r="AS353" s="14">
        <v>27</v>
      </c>
      <c r="AT353" s="14"/>
      <c r="AU353" s="14">
        <v>335</v>
      </c>
      <c r="AV353" s="14"/>
      <c r="AW353" s="14"/>
      <c r="AX353" s="14"/>
      <c r="AY353" s="14">
        <v>27</v>
      </c>
      <c r="AZ353" s="14">
        <v>27</v>
      </c>
      <c r="BA353" s="14">
        <v>27</v>
      </c>
      <c r="BB353" s="14">
        <v>27</v>
      </c>
      <c r="BC353" s="14"/>
      <c r="BD353" s="14">
        <v>27</v>
      </c>
      <c r="BE353" s="14"/>
      <c r="BF353" s="14"/>
      <c r="BG353" s="14"/>
      <c r="BH353" s="14">
        <v>27</v>
      </c>
      <c r="BI353" s="14"/>
      <c r="BJ353" s="14"/>
      <c r="BK353" s="14"/>
      <c r="BL353" s="14">
        <v>27</v>
      </c>
    </row>
    <row r="354" spans="4:64" x14ac:dyDescent="0.25">
      <c r="D354" s="21" t="s">
        <v>2206</v>
      </c>
      <c r="E354" s="14"/>
      <c r="F354" s="14"/>
      <c r="G354" s="14"/>
      <c r="H354" s="14"/>
      <c r="I354" s="14"/>
      <c r="J354" s="14"/>
      <c r="K354" s="14">
        <v>27</v>
      </c>
      <c r="L354" s="14"/>
      <c r="M354" s="14"/>
      <c r="N354" s="14"/>
      <c r="O354" s="14"/>
      <c r="P354" s="14">
        <v>27</v>
      </c>
      <c r="Q354" s="14"/>
      <c r="R354" s="14"/>
      <c r="S354" s="14"/>
      <c r="T354" s="14"/>
      <c r="U354" s="14"/>
      <c r="V354" s="14"/>
      <c r="W354" s="14"/>
      <c r="X354" s="14"/>
      <c r="Y354" s="14"/>
      <c r="Z354" s="14"/>
      <c r="AA354" s="14"/>
      <c r="AB354" s="14"/>
      <c r="AC354" s="14"/>
      <c r="AD354" s="14"/>
      <c r="AE354" s="14">
        <v>27</v>
      </c>
      <c r="AF354" s="14"/>
      <c r="AG354" s="14"/>
      <c r="AH354" s="14"/>
      <c r="AI354" s="14"/>
      <c r="AJ354" s="14"/>
      <c r="AK354" s="14"/>
      <c r="AL354" s="14"/>
      <c r="AM354" s="14"/>
      <c r="AN354" s="14">
        <v>27</v>
      </c>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row>
    <row r="355" spans="4:64" x14ac:dyDescent="0.25">
      <c r="D355" s="21" t="s">
        <v>2204</v>
      </c>
      <c r="E355" s="14">
        <v>35</v>
      </c>
      <c r="F355" s="14"/>
      <c r="G355" s="14"/>
      <c r="H355" s="14"/>
      <c r="I355" s="14"/>
      <c r="J355" s="14"/>
      <c r="K355" s="14">
        <v>74</v>
      </c>
      <c r="L355" s="14"/>
      <c r="M355" s="14"/>
      <c r="N355" s="14"/>
      <c r="O355" s="14"/>
      <c r="P355" s="14">
        <v>35</v>
      </c>
      <c r="Q355" s="14"/>
      <c r="R355" s="14">
        <v>231</v>
      </c>
      <c r="S355" s="14"/>
      <c r="T355" s="14"/>
      <c r="U355" s="14"/>
      <c r="V355" s="14"/>
      <c r="W355" s="14"/>
      <c r="X355" s="14"/>
      <c r="Y355" s="14"/>
      <c r="Z355" s="14"/>
      <c r="AA355" s="14"/>
      <c r="AB355" s="14">
        <v>231</v>
      </c>
      <c r="AC355" s="14"/>
      <c r="AD355" s="14"/>
      <c r="AE355" s="14"/>
      <c r="AF355" s="14"/>
      <c r="AG355" s="14"/>
      <c r="AH355" s="14"/>
      <c r="AI355" s="14">
        <v>191</v>
      </c>
      <c r="AJ355" s="14"/>
      <c r="AK355" s="14"/>
      <c r="AL355" s="14"/>
      <c r="AM355" s="14"/>
      <c r="AN355" s="14">
        <v>191</v>
      </c>
      <c r="AO355" s="14"/>
      <c r="AP355" s="14">
        <v>123</v>
      </c>
      <c r="AQ355" s="14"/>
      <c r="AR355" s="14"/>
      <c r="AS355" s="14"/>
      <c r="AT355" s="14"/>
      <c r="AU355" s="14">
        <v>335</v>
      </c>
      <c r="AV355" s="14"/>
      <c r="AW355" s="14"/>
      <c r="AX355" s="14"/>
      <c r="AY355" s="14"/>
      <c r="AZ355" s="14">
        <v>123</v>
      </c>
      <c r="BA355" s="14"/>
      <c r="BB355" s="14"/>
      <c r="BC355" s="14"/>
      <c r="BD355" s="14"/>
      <c r="BE355" s="14"/>
      <c r="BF355" s="14"/>
      <c r="BG355" s="14"/>
      <c r="BH355" s="14"/>
      <c r="BI355" s="14"/>
      <c r="BJ355" s="14"/>
      <c r="BK355" s="14"/>
      <c r="BL355" s="14"/>
    </row>
    <row r="356" spans="4:64" x14ac:dyDescent="0.25">
      <c r="D356" s="21" t="s">
        <v>2207</v>
      </c>
      <c r="E356" s="14"/>
      <c r="F356" s="14"/>
      <c r="G356" s="14"/>
      <c r="H356" s="14"/>
      <c r="I356" s="14"/>
      <c r="J356" s="14"/>
      <c r="K356" s="14"/>
      <c r="L356" s="14"/>
      <c r="M356" s="14"/>
      <c r="N356" s="14"/>
      <c r="O356" s="14"/>
      <c r="P356" s="14"/>
      <c r="Q356" s="14"/>
      <c r="R356" s="14">
        <v>27</v>
      </c>
      <c r="S356" s="14"/>
      <c r="T356" s="14">
        <v>27</v>
      </c>
      <c r="U356" s="14"/>
      <c r="V356" s="14"/>
      <c r="W356" s="14"/>
      <c r="X356" s="14"/>
      <c r="Y356" s="14"/>
      <c r="Z356" s="14">
        <v>27</v>
      </c>
      <c r="AA356" s="14"/>
      <c r="AB356" s="14">
        <v>27</v>
      </c>
      <c r="AC356" s="14"/>
      <c r="AD356" s="14"/>
      <c r="AE356" s="14"/>
      <c r="AF356" s="14"/>
      <c r="AG356" s="14"/>
      <c r="AH356" s="14"/>
      <c r="AI356" s="14"/>
      <c r="AJ356" s="14"/>
      <c r="AK356" s="14"/>
      <c r="AL356" s="14">
        <v>27</v>
      </c>
      <c r="AM356" s="14">
        <v>27</v>
      </c>
      <c r="AN356" s="14">
        <v>27</v>
      </c>
      <c r="AO356" s="14"/>
      <c r="AP356" s="14">
        <v>27</v>
      </c>
      <c r="AQ356" s="14">
        <v>27</v>
      </c>
      <c r="AR356" s="14"/>
      <c r="AS356" s="14"/>
      <c r="AT356" s="14"/>
      <c r="AU356" s="14"/>
      <c r="AV356" s="14"/>
      <c r="AW356" s="14"/>
      <c r="AX356" s="14"/>
      <c r="AY356" s="14"/>
      <c r="AZ356" s="14">
        <v>27</v>
      </c>
      <c r="BA356" s="14">
        <v>27</v>
      </c>
      <c r="BB356" s="14">
        <v>27</v>
      </c>
      <c r="BC356" s="14"/>
      <c r="BD356" s="14"/>
      <c r="BE356" s="14"/>
      <c r="BF356" s="14"/>
      <c r="BG356" s="14"/>
      <c r="BH356" s="14">
        <v>27</v>
      </c>
      <c r="BI356" s="14"/>
      <c r="BJ356" s="14"/>
      <c r="BK356" s="14"/>
      <c r="BL356" s="14">
        <v>27</v>
      </c>
    </row>
    <row r="357" spans="4:64" x14ac:dyDescent="0.25">
      <c r="D357" s="21" t="s">
        <v>2205</v>
      </c>
      <c r="E357" s="14"/>
      <c r="F357" s="14"/>
      <c r="G357" s="14">
        <v>27</v>
      </c>
      <c r="H357" s="14"/>
      <c r="I357" s="14"/>
      <c r="J357" s="14"/>
      <c r="K357" s="14"/>
      <c r="L357" s="14"/>
      <c r="M357" s="14"/>
      <c r="N357" s="14"/>
      <c r="O357" s="14"/>
      <c r="P357" s="14">
        <v>27</v>
      </c>
      <c r="Q357" s="14">
        <v>27</v>
      </c>
      <c r="R357" s="14"/>
      <c r="S357" s="14"/>
      <c r="T357" s="14"/>
      <c r="U357" s="14">
        <v>27</v>
      </c>
      <c r="V357" s="14">
        <v>27</v>
      </c>
      <c r="W357" s="14"/>
      <c r="X357" s="14"/>
      <c r="Y357" s="14"/>
      <c r="Z357" s="14"/>
      <c r="AA357" s="14"/>
      <c r="AB357" s="14">
        <v>27</v>
      </c>
      <c r="AC357" s="14"/>
      <c r="AD357" s="14"/>
      <c r="AE357" s="14"/>
      <c r="AF357" s="14"/>
      <c r="AG357" s="14">
        <v>27</v>
      </c>
      <c r="AH357" s="14"/>
      <c r="AI357" s="14"/>
      <c r="AJ357" s="14"/>
      <c r="AK357" s="14"/>
      <c r="AL357" s="14"/>
      <c r="AM357" s="14"/>
      <c r="AN357" s="14">
        <v>27</v>
      </c>
      <c r="AO357" s="14"/>
      <c r="AP357" s="14"/>
      <c r="AQ357" s="14"/>
      <c r="AR357" s="14"/>
      <c r="AS357" s="14">
        <v>27</v>
      </c>
      <c r="AT357" s="14"/>
      <c r="AU357" s="14"/>
      <c r="AV357" s="14"/>
      <c r="AW357" s="14"/>
      <c r="AX357" s="14"/>
      <c r="AY357" s="14">
        <v>27</v>
      </c>
      <c r="AZ357" s="14">
        <v>27</v>
      </c>
      <c r="BA357" s="14"/>
      <c r="BB357" s="14"/>
      <c r="BC357" s="14"/>
      <c r="BD357" s="14">
        <v>27</v>
      </c>
      <c r="BE357" s="14"/>
      <c r="BF357" s="14"/>
      <c r="BG357" s="14"/>
      <c r="BH357" s="14"/>
      <c r="BI357" s="14"/>
      <c r="BJ357" s="14"/>
      <c r="BK357" s="14"/>
      <c r="BL357" s="14">
        <v>27</v>
      </c>
    </row>
    <row r="358" spans="4:64" x14ac:dyDescent="0.25">
      <c r="D358" s="20" t="s">
        <v>2200</v>
      </c>
      <c r="E358" s="14"/>
      <c r="F358" s="14"/>
      <c r="G358" s="14"/>
      <c r="H358" s="14"/>
      <c r="I358" s="14"/>
      <c r="J358" s="14">
        <v>27</v>
      </c>
      <c r="K358" s="14"/>
      <c r="L358" s="14">
        <v>27</v>
      </c>
      <c r="M358" s="14"/>
      <c r="N358" s="14">
        <v>27</v>
      </c>
      <c r="O358" s="14">
        <v>27</v>
      </c>
      <c r="P358" s="14">
        <v>27</v>
      </c>
      <c r="Q358" s="14">
        <v>27</v>
      </c>
      <c r="R358" s="14">
        <v>27</v>
      </c>
      <c r="S358" s="14"/>
      <c r="T358" s="14"/>
      <c r="U358" s="14"/>
      <c r="V358" s="14"/>
      <c r="W358" s="14"/>
      <c r="X358" s="14"/>
      <c r="Y358" s="14"/>
      <c r="Z358" s="14"/>
      <c r="AA358" s="14"/>
      <c r="AB358" s="14">
        <v>27</v>
      </c>
      <c r="AC358" s="14">
        <v>251</v>
      </c>
      <c r="AD358" s="14">
        <v>27</v>
      </c>
      <c r="AE358" s="14"/>
      <c r="AF358" s="14"/>
      <c r="AG358" s="14"/>
      <c r="AH358" s="14">
        <v>27</v>
      </c>
      <c r="AI358" s="14">
        <v>27</v>
      </c>
      <c r="AJ358" s="14">
        <v>27</v>
      </c>
      <c r="AK358" s="14"/>
      <c r="AL358" s="14"/>
      <c r="AM358" s="14">
        <v>27</v>
      </c>
      <c r="AN358" s="14">
        <v>27</v>
      </c>
      <c r="AO358" s="14">
        <v>27</v>
      </c>
      <c r="AP358" s="14"/>
      <c r="AQ358" s="14"/>
      <c r="AR358" s="14">
        <v>130</v>
      </c>
      <c r="AS358" s="14">
        <v>27</v>
      </c>
      <c r="AT358" s="14">
        <v>27</v>
      </c>
      <c r="AU358" s="14">
        <v>27</v>
      </c>
      <c r="AV358" s="14"/>
      <c r="AW358" s="14">
        <v>51</v>
      </c>
      <c r="AX358" s="14"/>
      <c r="AY358" s="14"/>
      <c r="AZ358" s="14">
        <v>27</v>
      </c>
      <c r="BA358" s="14"/>
      <c r="BB358" s="14">
        <v>27</v>
      </c>
      <c r="BC358" s="14">
        <v>27</v>
      </c>
      <c r="BD358" s="14"/>
      <c r="BE358" s="14"/>
      <c r="BF358" s="14"/>
      <c r="BG358" s="14">
        <v>27</v>
      </c>
      <c r="BH358" s="14"/>
      <c r="BI358" s="14"/>
      <c r="BJ358" s="14">
        <v>27</v>
      </c>
      <c r="BK358" s="14"/>
      <c r="BL358" s="14">
        <v>27</v>
      </c>
    </row>
    <row r="359" spans="4:64" x14ac:dyDescent="0.25">
      <c r="D359" s="21" t="s">
        <v>2206</v>
      </c>
      <c r="E359" s="14"/>
      <c r="F359" s="14"/>
      <c r="G359" s="14"/>
      <c r="H359" s="14"/>
      <c r="I359" s="14"/>
      <c r="J359" s="14">
        <v>27</v>
      </c>
      <c r="K359" s="14"/>
      <c r="L359" s="14"/>
      <c r="M359" s="14"/>
      <c r="N359" s="14">
        <v>27</v>
      </c>
      <c r="O359" s="14"/>
      <c r="P359" s="14">
        <v>27</v>
      </c>
      <c r="Q359" s="14">
        <v>27</v>
      </c>
      <c r="R359" s="14"/>
      <c r="S359" s="14"/>
      <c r="T359" s="14"/>
      <c r="U359" s="14"/>
      <c r="V359" s="14"/>
      <c r="W359" s="14"/>
      <c r="X359" s="14"/>
      <c r="Y359" s="14"/>
      <c r="Z359" s="14"/>
      <c r="AA359" s="14"/>
      <c r="AB359" s="14">
        <v>27</v>
      </c>
      <c r="AC359" s="14"/>
      <c r="AD359" s="14"/>
      <c r="AE359" s="14"/>
      <c r="AF359" s="14"/>
      <c r="AG359" s="14"/>
      <c r="AH359" s="14"/>
      <c r="AI359" s="14">
        <v>27</v>
      </c>
      <c r="AJ359" s="14">
        <v>27</v>
      </c>
      <c r="AK359" s="14"/>
      <c r="AL359" s="14"/>
      <c r="AM359" s="14">
        <v>27</v>
      </c>
      <c r="AN359" s="14">
        <v>27</v>
      </c>
      <c r="AO359" s="14">
        <v>27</v>
      </c>
      <c r="AP359" s="14"/>
      <c r="AQ359" s="14"/>
      <c r="AR359" s="14"/>
      <c r="AS359" s="14">
        <v>27</v>
      </c>
      <c r="AT359" s="14">
        <v>27</v>
      </c>
      <c r="AU359" s="14">
        <v>27</v>
      </c>
      <c r="AV359" s="14"/>
      <c r="AW359" s="14"/>
      <c r="AX359" s="14"/>
      <c r="AY359" s="14"/>
      <c r="AZ359" s="14">
        <v>27</v>
      </c>
      <c r="BA359" s="14"/>
      <c r="BB359" s="14"/>
      <c r="BC359" s="14">
        <v>27</v>
      </c>
      <c r="BD359" s="14"/>
      <c r="BE359" s="14"/>
      <c r="BF359" s="14"/>
      <c r="BG359" s="14"/>
      <c r="BH359" s="14"/>
      <c r="BI359" s="14"/>
      <c r="BJ359" s="14"/>
      <c r="BK359" s="14"/>
      <c r="BL359" s="14">
        <v>27</v>
      </c>
    </row>
    <row r="360" spans="4:64" x14ac:dyDescent="0.25">
      <c r="D360" s="21" t="s">
        <v>2204</v>
      </c>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v>251</v>
      </c>
      <c r="AD360" s="14"/>
      <c r="AE360" s="14"/>
      <c r="AF360" s="14"/>
      <c r="AG360" s="14"/>
      <c r="AH360" s="14"/>
      <c r="AI360" s="14"/>
      <c r="AJ360" s="14"/>
      <c r="AK360" s="14"/>
      <c r="AL360" s="14"/>
      <c r="AM360" s="14">
        <v>304</v>
      </c>
      <c r="AN360" s="14">
        <v>251</v>
      </c>
      <c r="AO360" s="14"/>
      <c r="AP360" s="14"/>
      <c r="AQ360" s="14"/>
      <c r="AR360" s="14">
        <v>130</v>
      </c>
      <c r="AS360" s="14">
        <v>335</v>
      </c>
      <c r="AT360" s="14"/>
      <c r="AU360" s="14"/>
      <c r="AV360" s="14"/>
      <c r="AW360" s="14">
        <v>51</v>
      </c>
      <c r="AX360" s="14"/>
      <c r="AY360" s="14"/>
      <c r="AZ360" s="14">
        <v>51</v>
      </c>
      <c r="BA360" s="14"/>
      <c r="BB360" s="14"/>
      <c r="BC360" s="14"/>
      <c r="BD360" s="14"/>
      <c r="BE360" s="14"/>
      <c r="BF360" s="14"/>
      <c r="BG360" s="14"/>
      <c r="BH360" s="14"/>
      <c r="BI360" s="14"/>
      <c r="BJ360" s="14"/>
      <c r="BK360" s="14"/>
      <c r="BL360" s="14"/>
    </row>
    <row r="361" spans="4:64" x14ac:dyDescent="0.25">
      <c r="D361" s="21" t="s">
        <v>2207</v>
      </c>
      <c r="E361" s="14"/>
      <c r="F361" s="14"/>
      <c r="G361" s="14"/>
      <c r="H361" s="14"/>
      <c r="I361" s="14"/>
      <c r="J361" s="14">
        <v>27</v>
      </c>
      <c r="K361" s="14"/>
      <c r="L361" s="14">
        <v>27</v>
      </c>
      <c r="M361" s="14"/>
      <c r="N361" s="14">
        <v>27</v>
      </c>
      <c r="O361" s="14">
        <v>27</v>
      </c>
      <c r="P361" s="14">
        <v>27</v>
      </c>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v>27</v>
      </c>
      <c r="BH361" s="14"/>
      <c r="BI361" s="14"/>
      <c r="BJ361" s="14">
        <v>27</v>
      </c>
      <c r="BK361" s="14"/>
      <c r="BL361" s="14">
        <v>27</v>
      </c>
    </row>
    <row r="362" spans="4:64" x14ac:dyDescent="0.25">
      <c r="D362" s="21" t="s">
        <v>2205</v>
      </c>
      <c r="E362" s="14"/>
      <c r="F362" s="14"/>
      <c r="G362" s="14"/>
      <c r="H362" s="14"/>
      <c r="I362" s="14"/>
      <c r="J362" s="14">
        <v>27</v>
      </c>
      <c r="K362" s="14"/>
      <c r="L362" s="14"/>
      <c r="M362" s="14"/>
      <c r="N362" s="14">
        <v>27</v>
      </c>
      <c r="O362" s="14"/>
      <c r="P362" s="14">
        <v>27</v>
      </c>
      <c r="Q362" s="14"/>
      <c r="R362" s="14">
        <v>27</v>
      </c>
      <c r="S362" s="14"/>
      <c r="T362" s="14"/>
      <c r="U362" s="14"/>
      <c r="V362" s="14"/>
      <c r="W362" s="14"/>
      <c r="X362" s="14"/>
      <c r="Y362" s="14"/>
      <c r="Z362" s="14"/>
      <c r="AA362" s="14"/>
      <c r="AB362" s="14">
        <v>27</v>
      </c>
      <c r="AC362" s="14"/>
      <c r="AD362" s="14">
        <v>27</v>
      </c>
      <c r="AE362" s="14"/>
      <c r="AF362" s="14"/>
      <c r="AG362" s="14"/>
      <c r="AH362" s="14">
        <v>27</v>
      </c>
      <c r="AI362" s="14"/>
      <c r="AJ362" s="14"/>
      <c r="AK362" s="14"/>
      <c r="AL362" s="14"/>
      <c r="AM362" s="14"/>
      <c r="AN362" s="14">
        <v>27</v>
      </c>
      <c r="AO362" s="14"/>
      <c r="AP362" s="14"/>
      <c r="AQ362" s="14"/>
      <c r="AR362" s="14"/>
      <c r="AS362" s="14"/>
      <c r="AT362" s="14"/>
      <c r="AU362" s="14"/>
      <c r="AV362" s="14"/>
      <c r="AW362" s="14"/>
      <c r="AX362" s="14"/>
      <c r="AY362" s="14"/>
      <c r="AZ362" s="14"/>
      <c r="BA362" s="14"/>
      <c r="BB362" s="14">
        <v>27</v>
      </c>
      <c r="BC362" s="14"/>
      <c r="BD362" s="14"/>
      <c r="BE362" s="14"/>
      <c r="BF362" s="14"/>
      <c r="BG362" s="14"/>
      <c r="BH362" s="14"/>
      <c r="BI362" s="14"/>
      <c r="BJ362" s="14"/>
      <c r="BK362" s="14"/>
      <c r="BL362" s="14">
        <v>27</v>
      </c>
    </row>
    <row r="363" spans="4:64" x14ac:dyDescent="0.25">
      <c r="D363" s="20" t="s">
        <v>2199</v>
      </c>
      <c r="E363" s="14"/>
      <c r="F363" s="14"/>
      <c r="G363" s="14">
        <v>27</v>
      </c>
      <c r="H363" s="14">
        <v>27</v>
      </c>
      <c r="I363" s="14">
        <v>27</v>
      </c>
      <c r="J363" s="14">
        <v>27</v>
      </c>
      <c r="K363" s="14">
        <v>27</v>
      </c>
      <c r="L363" s="14">
        <v>27</v>
      </c>
      <c r="M363" s="14"/>
      <c r="N363" s="14">
        <v>27</v>
      </c>
      <c r="O363" s="14">
        <v>27</v>
      </c>
      <c r="P363" s="14">
        <v>27</v>
      </c>
      <c r="Q363" s="14">
        <v>27</v>
      </c>
      <c r="R363" s="14"/>
      <c r="S363" s="14">
        <v>27</v>
      </c>
      <c r="T363" s="14">
        <v>27</v>
      </c>
      <c r="U363" s="14"/>
      <c r="V363" s="14">
        <v>27</v>
      </c>
      <c r="W363" s="14"/>
      <c r="X363" s="14">
        <v>27</v>
      </c>
      <c r="Y363" s="14"/>
      <c r="Z363" s="14">
        <v>354</v>
      </c>
      <c r="AA363" s="14">
        <v>27</v>
      </c>
      <c r="AB363" s="14">
        <v>27</v>
      </c>
      <c r="AC363" s="14"/>
      <c r="AD363" s="14"/>
      <c r="AE363" s="14"/>
      <c r="AF363" s="14">
        <v>27</v>
      </c>
      <c r="AG363" s="14">
        <v>156</v>
      </c>
      <c r="AH363" s="14"/>
      <c r="AI363" s="14"/>
      <c r="AJ363" s="14"/>
      <c r="AK363" s="14"/>
      <c r="AL363" s="14">
        <v>27</v>
      </c>
      <c r="AM363" s="14"/>
      <c r="AN363" s="14">
        <v>27</v>
      </c>
      <c r="AO363" s="14"/>
      <c r="AP363" s="14">
        <v>27</v>
      </c>
      <c r="AQ363" s="14">
        <v>27</v>
      </c>
      <c r="AR363" s="14"/>
      <c r="AS363" s="14"/>
      <c r="AT363" s="14">
        <v>278</v>
      </c>
      <c r="AU363" s="14"/>
      <c r="AV363" s="14">
        <v>27</v>
      </c>
      <c r="AW363" s="14"/>
      <c r="AX363" s="14"/>
      <c r="AY363" s="14"/>
      <c r="AZ363" s="14">
        <v>27</v>
      </c>
      <c r="BA363" s="14">
        <v>27</v>
      </c>
      <c r="BB363" s="14">
        <v>27</v>
      </c>
      <c r="BC363" s="14"/>
      <c r="BD363" s="14">
        <v>27</v>
      </c>
      <c r="BE363" s="14"/>
      <c r="BF363" s="14"/>
      <c r="BG363" s="14"/>
      <c r="BH363" s="14">
        <v>27</v>
      </c>
      <c r="BI363" s="14">
        <v>27</v>
      </c>
      <c r="BJ363" s="14">
        <v>27</v>
      </c>
      <c r="BK363" s="14"/>
      <c r="BL363" s="14">
        <v>27</v>
      </c>
    </row>
    <row r="364" spans="4:64" x14ac:dyDescent="0.25">
      <c r="D364" s="21" t="s">
        <v>2206</v>
      </c>
      <c r="E364" s="14"/>
      <c r="F364" s="14"/>
      <c r="G364" s="14"/>
      <c r="H364" s="14"/>
      <c r="I364" s="14"/>
      <c r="J364" s="14">
        <v>27</v>
      </c>
      <c r="K364" s="14"/>
      <c r="L364" s="14"/>
      <c r="M364" s="14"/>
      <c r="N364" s="14">
        <v>27</v>
      </c>
      <c r="O364" s="14"/>
      <c r="P364" s="14">
        <v>27</v>
      </c>
      <c r="Q364" s="14"/>
      <c r="R364" s="14"/>
      <c r="S364" s="14"/>
      <c r="T364" s="14"/>
      <c r="U364" s="14"/>
      <c r="V364" s="14">
        <v>27</v>
      </c>
      <c r="W364" s="14"/>
      <c r="X364" s="14">
        <v>27</v>
      </c>
      <c r="Y364" s="14"/>
      <c r="Z364" s="14"/>
      <c r="AA364" s="14">
        <v>27</v>
      </c>
      <c r="AB364" s="14">
        <v>27</v>
      </c>
      <c r="AC364" s="14"/>
      <c r="AD364" s="14"/>
      <c r="AE364" s="14"/>
      <c r="AF364" s="14"/>
      <c r="AG364" s="14"/>
      <c r="AH364" s="14"/>
      <c r="AI364" s="14"/>
      <c r="AJ364" s="14"/>
      <c r="AK364" s="14"/>
      <c r="AL364" s="14"/>
      <c r="AM364" s="14"/>
      <c r="AN364" s="14"/>
      <c r="AO364" s="14"/>
      <c r="AP364" s="14">
        <v>27</v>
      </c>
      <c r="AQ364" s="14"/>
      <c r="AR364" s="14"/>
      <c r="AS364" s="14"/>
      <c r="AT364" s="14"/>
      <c r="AU364" s="14"/>
      <c r="AV364" s="14">
        <v>27</v>
      </c>
      <c r="AW364" s="14"/>
      <c r="AX364" s="14"/>
      <c r="AY364" s="14"/>
      <c r="AZ364" s="14">
        <v>27</v>
      </c>
      <c r="BA364" s="14">
        <v>27</v>
      </c>
      <c r="BB364" s="14">
        <v>27</v>
      </c>
      <c r="BC364" s="14"/>
      <c r="BD364" s="14">
        <v>27</v>
      </c>
      <c r="BE364" s="14"/>
      <c r="BF364" s="14"/>
      <c r="BG364" s="14"/>
      <c r="BH364" s="14"/>
      <c r="BI364" s="14"/>
      <c r="BJ364" s="14"/>
      <c r="BK364" s="14"/>
      <c r="BL364" s="14">
        <v>27</v>
      </c>
    </row>
    <row r="365" spans="4:64" x14ac:dyDescent="0.25">
      <c r="D365" s="21" t="s">
        <v>2204</v>
      </c>
      <c r="E365" s="14"/>
      <c r="F365" s="14"/>
      <c r="G365" s="14"/>
      <c r="H365" s="14"/>
      <c r="I365" s="14">
        <v>56</v>
      </c>
      <c r="J365" s="14"/>
      <c r="K365" s="14"/>
      <c r="L365" s="14"/>
      <c r="M365" s="14"/>
      <c r="N365" s="14"/>
      <c r="O365" s="14"/>
      <c r="P365" s="14">
        <v>56</v>
      </c>
      <c r="Q365" s="14"/>
      <c r="R365" s="14"/>
      <c r="S365" s="14"/>
      <c r="T365" s="14"/>
      <c r="U365" s="14"/>
      <c r="V365" s="14"/>
      <c r="W365" s="14"/>
      <c r="X365" s="14"/>
      <c r="Y365" s="14"/>
      <c r="Z365" s="14">
        <v>354</v>
      </c>
      <c r="AA365" s="14"/>
      <c r="AB365" s="14">
        <v>354</v>
      </c>
      <c r="AC365" s="14"/>
      <c r="AD365" s="14"/>
      <c r="AE365" s="14"/>
      <c r="AF365" s="14"/>
      <c r="AG365" s="14">
        <v>156</v>
      </c>
      <c r="AH365" s="14"/>
      <c r="AI365" s="14"/>
      <c r="AJ365" s="14"/>
      <c r="AK365" s="14"/>
      <c r="AL365" s="14">
        <v>218</v>
      </c>
      <c r="AM365" s="14"/>
      <c r="AN365" s="14">
        <v>156</v>
      </c>
      <c r="AO365" s="14"/>
      <c r="AP365" s="14"/>
      <c r="AQ365" s="14"/>
      <c r="AR365" s="14"/>
      <c r="AS365" s="14"/>
      <c r="AT365" s="14">
        <v>278</v>
      </c>
      <c r="AU365" s="14"/>
      <c r="AV365" s="14"/>
      <c r="AW365" s="14"/>
      <c r="AX365" s="14"/>
      <c r="AY365" s="14"/>
      <c r="AZ365" s="14">
        <v>278</v>
      </c>
      <c r="BA365" s="14"/>
      <c r="BB365" s="14"/>
      <c r="BC365" s="14"/>
      <c r="BD365" s="14"/>
      <c r="BE365" s="14"/>
      <c r="BF365" s="14"/>
      <c r="BG365" s="14"/>
      <c r="BH365" s="14"/>
      <c r="BI365" s="14"/>
      <c r="BJ365" s="14"/>
      <c r="BK365" s="14"/>
      <c r="BL365" s="14"/>
    </row>
    <row r="366" spans="4:64" x14ac:dyDescent="0.25">
      <c r="D366" s="21" t="s">
        <v>2207</v>
      </c>
      <c r="E366" s="14"/>
      <c r="F366" s="14"/>
      <c r="G366" s="14">
        <v>27</v>
      </c>
      <c r="H366" s="14">
        <v>27</v>
      </c>
      <c r="I366" s="14"/>
      <c r="J366" s="14"/>
      <c r="K366" s="14">
        <v>27</v>
      </c>
      <c r="L366" s="14">
        <v>27</v>
      </c>
      <c r="M366" s="14"/>
      <c r="N366" s="14"/>
      <c r="O366" s="14">
        <v>27</v>
      </c>
      <c r="P366" s="14">
        <v>27</v>
      </c>
      <c r="Q366" s="14">
        <v>27</v>
      </c>
      <c r="R366" s="14"/>
      <c r="S366" s="14"/>
      <c r="T366" s="14"/>
      <c r="U366" s="14"/>
      <c r="V366" s="14"/>
      <c r="W366" s="14"/>
      <c r="X366" s="14">
        <v>27</v>
      </c>
      <c r="Y366" s="14"/>
      <c r="Z366" s="14"/>
      <c r="AA366" s="14"/>
      <c r="AB366" s="14">
        <v>27</v>
      </c>
      <c r="AC366" s="14"/>
      <c r="AD366" s="14"/>
      <c r="AE366" s="14"/>
      <c r="AF366" s="14"/>
      <c r="AG366" s="14"/>
      <c r="AH366" s="14"/>
      <c r="AI366" s="14"/>
      <c r="AJ366" s="14"/>
      <c r="AK366" s="14"/>
      <c r="AL366" s="14">
        <v>27</v>
      </c>
      <c r="AM366" s="14"/>
      <c r="AN366" s="14">
        <v>27</v>
      </c>
      <c r="AO366" s="14"/>
      <c r="AP366" s="14">
        <v>27</v>
      </c>
      <c r="AQ366" s="14"/>
      <c r="AR366" s="14"/>
      <c r="AS366" s="14"/>
      <c r="AT366" s="14"/>
      <c r="AU366" s="14"/>
      <c r="AV366" s="14"/>
      <c r="AW366" s="14"/>
      <c r="AX366" s="14"/>
      <c r="AY366" s="14"/>
      <c r="AZ366" s="14">
        <v>27</v>
      </c>
      <c r="BA366" s="14"/>
      <c r="BB366" s="14"/>
      <c r="BC366" s="14"/>
      <c r="BD366" s="14"/>
      <c r="BE366" s="14"/>
      <c r="BF366" s="14"/>
      <c r="BG366" s="14"/>
      <c r="BH366" s="14">
        <v>27</v>
      </c>
      <c r="BI366" s="14">
        <v>27</v>
      </c>
      <c r="BJ366" s="14">
        <v>27</v>
      </c>
      <c r="BK366" s="14"/>
      <c r="BL366" s="14">
        <v>27</v>
      </c>
    </row>
    <row r="367" spans="4:64" x14ac:dyDescent="0.25">
      <c r="D367" s="21" t="s">
        <v>2205</v>
      </c>
      <c r="E367" s="14"/>
      <c r="F367" s="14"/>
      <c r="G367" s="14"/>
      <c r="H367" s="14"/>
      <c r="I367" s="14">
        <v>27</v>
      </c>
      <c r="J367" s="14"/>
      <c r="K367" s="14"/>
      <c r="L367" s="14"/>
      <c r="M367" s="14"/>
      <c r="N367" s="14">
        <v>27</v>
      </c>
      <c r="O367" s="14"/>
      <c r="P367" s="14">
        <v>27</v>
      </c>
      <c r="Q367" s="14"/>
      <c r="R367" s="14"/>
      <c r="S367" s="14">
        <v>27</v>
      </c>
      <c r="T367" s="14">
        <v>27</v>
      </c>
      <c r="U367" s="14"/>
      <c r="V367" s="14">
        <v>27</v>
      </c>
      <c r="W367" s="14"/>
      <c r="X367" s="14">
        <v>27</v>
      </c>
      <c r="Y367" s="14"/>
      <c r="Z367" s="14"/>
      <c r="AA367" s="14"/>
      <c r="AB367" s="14">
        <v>27</v>
      </c>
      <c r="AC367" s="14"/>
      <c r="AD367" s="14"/>
      <c r="AE367" s="14"/>
      <c r="AF367" s="14">
        <v>27</v>
      </c>
      <c r="AG367" s="14"/>
      <c r="AH367" s="14"/>
      <c r="AI367" s="14"/>
      <c r="AJ367" s="14"/>
      <c r="AK367" s="14"/>
      <c r="AL367" s="14"/>
      <c r="AM367" s="14"/>
      <c r="AN367" s="14">
        <v>27</v>
      </c>
      <c r="AO367" s="14"/>
      <c r="AP367" s="14"/>
      <c r="AQ367" s="14">
        <v>27</v>
      </c>
      <c r="AR367" s="14"/>
      <c r="AS367" s="14"/>
      <c r="AT367" s="14"/>
      <c r="AU367" s="14"/>
      <c r="AV367" s="14"/>
      <c r="AW367" s="14"/>
      <c r="AX367" s="14"/>
      <c r="AY367" s="14"/>
      <c r="AZ367" s="14">
        <v>27</v>
      </c>
      <c r="BA367" s="14"/>
      <c r="BB367" s="14"/>
      <c r="BC367" s="14"/>
      <c r="BD367" s="14"/>
      <c r="BE367" s="14"/>
      <c r="BF367" s="14"/>
      <c r="BG367" s="14"/>
      <c r="BH367" s="14">
        <v>27</v>
      </c>
      <c r="BI367" s="14"/>
      <c r="BJ367" s="14"/>
      <c r="BK367" s="14"/>
      <c r="BL367" s="14">
        <v>27</v>
      </c>
    </row>
    <row r="368" spans="4:64" x14ac:dyDescent="0.25">
      <c r="D368" s="20" t="s">
        <v>2197</v>
      </c>
      <c r="E368" s="14"/>
      <c r="F368" s="14"/>
      <c r="G368" s="14">
        <v>27</v>
      </c>
      <c r="H368" s="14">
        <v>333</v>
      </c>
      <c r="I368" s="14"/>
      <c r="J368" s="14"/>
      <c r="K368" s="14">
        <v>27</v>
      </c>
      <c r="L368" s="14"/>
      <c r="M368" s="14"/>
      <c r="N368" s="14"/>
      <c r="O368" s="14"/>
      <c r="P368" s="14">
        <v>27</v>
      </c>
      <c r="Q368" s="14"/>
      <c r="R368" s="14"/>
      <c r="S368" s="14">
        <v>27</v>
      </c>
      <c r="T368" s="14"/>
      <c r="U368" s="14"/>
      <c r="V368" s="14"/>
      <c r="W368" s="14"/>
      <c r="X368" s="14"/>
      <c r="Y368" s="14"/>
      <c r="Z368" s="14">
        <v>27</v>
      </c>
      <c r="AA368" s="14">
        <v>27</v>
      </c>
      <c r="AB368" s="14">
        <v>27</v>
      </c>
      <c r="AC368" s="14"/>
      <c r="AD368" s="14"/>
      <c r="AE368" s="14"/>
      <c r="AF368" s="14"/>
      <c r="AG368" s="14">
        <v>27</v>
      </c>
      <c r="AH368" s="14"/>
      <c r="AI368" s="14"/>
      <c r="AJ368" s="14">
        <v>27</v>
      </c>
      <c r="AK368" s="14">
        <v>27</v>
      </c>
      <c r="AL368" s="14">
        <v>27</v>
      </c>
      <c r="AM368" s="14"/>
      <c r="AN368" s="14">
        <v>27</v>
      </c>
      <c r="AO368" s="14"/>
      <c r="AP368" s="14">
        <v>27</v>
      </c>
      <c r="AQ368" s="14"/>
      <c r="AR368" s="14">
        <v>27</v>
      </c>
      <c r="AS368" s="14"/>
      <c r="AT368" s="14">
        <v>27</v>
      </c>
      <c r="AU368" s="14">
        <v>27</v>
      </c>
      <c r="AV368" s="14">
        <v>27</v>
      </c>
      <c r="AW368" s="14">
        <v>129</v>
      </c>
      <c r="AX368" s="14"/>
      <c r="AY368" s="14"/>
      <c r="AZ368" s="14">
        <v>27</v>
      </c>
      <c r="BA368" s="14">
        <v>27</v>
      </c>
      <c r="BB368" s="14">
        <v>27</v>
      </c>
      <c r="BC368" s="14"/>
      <c r="BD368" s="14"/>
      <c r="BE368" s="14">
        <v>27</v>
      </c>
      <c r="BF368" s="14"/>
      <c r="BG368" s="14"/>
      <c r="BH368" s="14"/>
      <c r="BI368" s="14">
        <v>27</v>
      </c>
      <c r="BJ368" s="14">
        <v>27</v>
      </c>
      <c r="BK368" s="14">
        <v>27</v>
      </c>
      <c r="BL368" s="14">
        <v>27</v>
      </c>
    </row>
    <row r="369" spans="4:64" x14ac:dyDescent="0.25">
      <c r="D369" s="21" t="s">
        <v>2206</v>
      </c>
      <c r="E369" s="14"/>
      <c r="F369" s="14"/>
      <c r="G369" s="14">
        <v>27</v>
      </c>
      <c r="H369" s="14"/>
      <c r="I369" s="14"/>
      <c r="J369" s="14"/>
      <c r="K369" s="14">
        <v>27</v>
      </c>
      <c r="L369" s="14"/>
      <c r="M369" s="14"/>
      <c r="N369" s="14"/>
      <c r="O369" s="14"/>
      <c r="P369" s="14">
        <v>27</v>
      </c>
      <c r="Q369" s="14"/>
      <c r="R369" s="14"/>
      <c r="S369" s="14"/>
      <c r="T369" s="14"/>
      <c r="U369" s="14"/>
      <c r="V369" s="14"/>
      <c r="W369" s="14"/>
      <c r="X369" s="14"/>
      <c r="Y369" s="14"/>
      <c r="Z369" s="14">
        <v>27</v>
      </c>
      <c r="AA369" s="14"/>
      <c r="AB369" s="14">
        <v>27</v>
      </c>
      <c r="AC369" s="14"/>
      <c r="AD369" s="14"/>
      <c r="AE369" s="14"/>
      <c r="AF369" s="14"/>
      <c r="AG369" s="14">
        <v>27</v>
      </c>
      <c r="AH369" s="14"/>
      <c r="AI369" s="14"/>
      <c r="AJ369" s="14">
        <v>27</v>
      </c>
      <c r="AK369" s="14">
        <v>27</v>
      </c>
      <c r="AL369" s="14"/>
      <c r="AM369" s="14"/>
      <c r="AN369" s="14">
        <v>27</v>
      </c>
      <c r="AO369" s="14"/>
      <c r="AP369" s="14">
        <v>27</v>
      </c>
      <c r="AQ369" s="14"/>
      <c r="AR369" s="14">
        <v>27</v>
      </c>
      <c r="AS369" s="14"/>
      <c r="AT369" s="14"/>
      <c r="AU369" s="14">
        <v>27</v>
      </c>
      <c r="AV369" s="14"/>
      <c r="AW369" s="14"/>
      <c r="AX369" s="14"/>
      <c r="AY369" s="14"/>
      <c r="AZ369" s="14">
        <v>27</v>
      </c>
      <c r="BA369" s="14"/>
      <c r="BB369" s="14"/>
      <c r="BC369" s="14"/>
      <c r="BD369" s="14"/>
      <c r="BE369" s="14"/>
      <c r="BF369" s="14"/>
      <c r="BG369" s="14"/>
      <c r="BH369" s="14"/>
      <c r="BI369" s="14">
        <v>27</v>
      </c>
      <c r="BJ369" s="14">
        <v>27</v>
      </c>
      <c r="BK369" s="14"/>
      <c r="BL369" s="14">
        <v>27</v>
      </c>
    </row>
    <row r="370" spans="4:64" x14ac:dyDescent="0.25">
      <c r="D370" s="21" t="s">
        <v>2204</v>
      </c>
      <c r="E370" s="14"/>
      <c r="F370" s="14"/>
      <c r="G370" s="14"/>
      <c r="H370" s="14">
        <v>333</v>
      </c>
      <c r="I370" s="14"/>
      <c r="J370" s="14"/>
      <c r="K370" s="14"/>
      <c r="L370" s="14"/>
      <c r="M370" s="14"/>
      <c r="N370" s="14"/>
      <c r="O370" s="14"/>
      <c r="P370" s="14">
        <v>333</v>
      </c>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v>129</v>
      </c>
      <c r="AX370" s="14"/>
      <c r="AY370" s="14"/>
      <c r="AZ370" s="14">
        <v>129</v>
      </c>
      <c r="BA370" s="14"/>
      <c r="BB370" s="14"/>
      <c r="BC370" s="14"/>
      <c r="BD370" s="14"/>
      <c r="BE370" s="14"/>
      <c r="BF370" s="14"/>
      <c r="BG370" s="14"/>
      <c r="BH370" s="14"/>
      <c r="BI370" s="14">
        <v>95</v>
      </c>
      <c r="BJ370" s="14"/>
      <c r="BK370" s="14"/>
      <c r="BL370" s="14">
        <v>95</v>
      </c>
    </row>
    <row r="371" spans="4:64" x14ac:dyDescent="0.25">
      <c r="D371" s="21" t="s">
        <v>2207</v>
      </c>
      <c r="E371" s="14"/>
      <c r="F371" s="14"/>
      <c r="G371" s="14"/>
      <c r="H371" s="14"/>
      <c r="I371" s="14"/>
      <c r="J371" s="14"/>
      <c r="K371" s="14"/>
      <c r="L371" s="14"/>
      <c r="M371" s="14"/>
      <c r="N371" s="14"/>
      <c r="O371" s="14"/>
      <c r="P371" s="14"/>
      <c r="Q371" s="14"/>
      <c r="R371" s="14"/>
      <c r="S371" s="14"/>
      <c r="T371" s="14"/>
      <c r="U371" s="14"/>
      <c r="V371" s="14"/>
      <c r="W371" s="14"/>
      <c r="X371" s="14"/>
      <c r="Y371" s="14"/>
      <c r="Z371" s="14"/>
      <c r="AA371" s="14">
        <v>27</v>
      </c>
      <c r="AB371" s="14">
        <v>27</v>
      </c>
      <c r="AC371" s="14"/>
      <c r="AD371" s="14"/>
      <c r="AE371" s="14"/>
      <c r="AF371" s="14"/>
      <c r="AG371" s="14"/>
      <c r="AH371" s="14"/>
      <c r="AI371" s="14"/>
      <c r="AJ371" s="14"/>
      <c r="AK371" s="14"/>
      <c r="AL371" s="14">
        <v>27</v>
      </c>
      <c r="AM371" s="14"/>
      <c r="AN371" s="14">
        <v>27</v>
      </c>
      <c r="AO371" s="14"/>
      <c r="AP371" s="14"/>
      <c r="AQ371" s="14"/>
      <c r="AR371" s="14"/>
      <c r="AS371" s="14"/>
      <c r="AT371" s="14">
        <v>27</v>
      </c>
      <c r="AU371" s="14"/>
      <c r="AV371" s="14">
        <v>27</v>
      </c>
      <c r="AW371" s="14"/>
      <c r="AX371" s="14"/>
      <c r="AY371" s="14"/>
      <c r="AZ371" s="14">
        <v>27</v>
      </c>
      <c r="BA371" s="14">
        <v>27</v>
      </c>
      <c r="BB371" s="14">
        <v>27</v>
      </c>
      <c r="BC371" s="14"/>
      <c r="BD371" s="14"/>
      <c r="BE371" s="14">
        <v>27</v>
      </c>
      <c r="BF371" s="14"/>
      <c r="BG371" s="14"/>
      <c r="BH371" s="14"/>
      <c r="BI371" s="14"/>
      <c r="BJ371" s="14"/>
      <c r="BK371" s="14">
        <v>27</v>
      </c>
      <c r="BL371" s="14">
        <v>27</v>
      </c>
    </row>
    <row r="372" spans="4:64" x14ac:dyDescent="0.25">
      <c r="D372" s="21" t="s">
        <v>2205</v>
      </c>
      <c r="E372" s="14"/>
      <c r="F372" s="14"/>
      <c r="G372" s="14">
        <v>27</v>
      </c>
      <c r="H372" s="14"/>
      <c r="I372" s="14"/>
      <c r="J372" s="14"/>
      <c r="K372" s="14"/>
      <c r="L372" s="14"/>
      <c r="M372" s="14"/>
      <c r="N372" s="14"/>
      <c r="O372" s="14"/>
      <c r="P372" s="14">
        <v>27</v>
      </c>
      <c r="Q372" s="14"/>
      <c r="R372" s="14"/>
      <c r="S372" s="14">
        <v>27</v>
      </c>
      <c r="T372" s="14"/>
      <c r="U372" s="14"/>
      <c r="V372" s="14"/>
      <c r="W372" s="14"/>
      <c r="X372" s="14"/>
      <c r="Y372" s="14"/>
      <c r="Z372" s="14"/>
      <c r="AA372" s="14"/>
      <c r="AB372" s="14">
        <v>27</v>
      </c>
      <c r="AC372" s="14"/>
      <c r="AD372" s="14"/>
      <c r="AE372" s="14"/>
      <c r="AF372" s="14"/>
      <c r="AG372" s="14">
        <v>27</v>
      </c>
      <c r="AH372" s="14"/>
      <c r="AI372" s="14"/>
      <c r="AJ372" s="14"/>
      <c r="AK372" s="14"/>
      <c r="AL372" s="14"/>
      <c r="AM372" s="14"/>
      <c r="AN372" s="14">
        <v>27</v>
      </c>
      <c r="AO372" s="14"/>
      <c r="AP372" s="14"/>
      <c r="AQ372" s="14"/>
      <c r="AR372" s="14"/>
      <c r="AS372" s="14"/>
      <c r="AT372" s="14">
        <v>27</v>
      </c>
      <c r="AU372" s="14"/>
      <c r="AV372" s="14">
        <v>27</v>
      </c>
      <c r="AW372" s="14"/>
      <c r="AX372" s="14"/>
      <c r="AY372" s="14"/>
      <c r="AZ372" s="14">
        <v>27</v>
      </c>
      <c r="BA372" s="14">
        <v>27</v>
      </c>
      <c r="BB372" s="14"/>
      <c r="BC372" s="14"/>
      <c r="BD372" s="14"/>
      <c r="BE372" s="14"/>
      <c r="BF372" s="14"/>
      <c r="BG372" s="14"/>
      <c r="BH372" s="14"/>
      <c r="BI372" s="14"/>
      <c r="BJ372" s="14"/>
      <c r="BK372" s="14">
        <v>27</v>
      </c>
      <c r="BL372" s="14">
        <v>27</v>
      </c>
    </row>
    <row r="373" spans="4:64" x14ac:dyDescent="0.25">
      <c r="D373" s="20" t="s">
        <v>2196</v>
      </c>
      <c r="E373" s="14">
        <v>27</v>
      </c>
      <c r="F373" s="14">
        <v>27</v>
      </c>
      <c r="G373" s="14">
        <v>27</v>
      </c>
      <c r="H373" s="14">
        <v>27</v>
      </c>
      <c r="I373" s="14">
        <v>27</v>
      </c>
      <c r="J373" s="14">
        <v>27</v>
      </c>
      <c r="K373" s="14"/>
      <c r="L373" s="14">
        <v>27</v>
      </c>
      <c r="M373" s="14">
        <v>48</v>
      </c>
      <c r="N373" s="14">
        <v>27</v>
      </c>
      <c r="O373" s="14"/>
      <c r="P373" s="14">
        <v>27</v>
      </c>
      <c r="Q373" s="14"/>
      <c r="R373" s="14"/>
      <c r="S373" s="14">
        <v>27</v>
      </c>
      <c r="T373" s="14">
        <v>27</v>
      </c>
      <c r="U373" s="14"/>
      <c r="V373" s="14">
        <v>27</v>
      </c>
      <c r="W373" s="14">
        <v>27</v>
      </c>
      <c r="X373" s="14"/>
      <c r="Y373" s="14"/>
      <c r="Z373" s="14"/>
      <c r="AA373" s="14"/>
      <c r="AB373" s="14">
        <v>27</v>
      </c>
      <c r="AC373" s="14">
        <v>27</v>
      </c>
      <c r="AD373" s="14"/>
      <c r="AE373" s="14"/>
      <c r="AF373" s="14"/>
      <c r="AG373" s="14"/>
      <c r="AH373" s="14">
        <v>27</v>
      </c>
      <c r="AI373" s="14"/>
      <c r="AJ373" s="14">
        <v>335</v>
      </c>
      <c r="AK373" s="14">
        <v>27</v>
      </c>
      <c r="AL373" s="14">
        <v>27</v>
      </c>
      <c r="AM373" s="14">
        <v>27</v>
      </c>
      <c r="AN373" s="14">
        <v>27</v>
      </c>
      <c r="AO373" s="14"/>
      <c r="AP373" s="14"/>
      <c r="AQ373" s="14"/>
      <c r="AR373" s="14"/>
      <c r="AS373" s="14"/>
      <c r="AT373" s="14"/>
      <c r="AU373" s="14"/>
      <c r="AV373" s="14">
        <v>27</v>
      </c>
      <c r="AW373" s="14"/>
      <c r="AX373" s="14">
        <v>155</v>
      </c>
      <c r="AY373" s="14"/>
      <c r="AZ373" s="14">
        <v>27</v>
      </c>
      <c r="BA373" s="14">
        <v>27</v>
      </c>
      <c r="BB373" s="14">
        <v>27</v>
      </c>
      <c r="BC373" s="14">
        <v>27</v>
      </c>
      <c r="BD373" s="14">
        <v>361</v>
      </c>
      <c r="BE373" s="14">
        <v>27</v>
      </c>
      <c r="BF373" s="14">
        <v>255</v>
      </c>
      <c r="BG373" s="14"/>
      <c r="BH373" s="14">
        <v>27</v>
      </c>
      <c r="BI373" s="14">
        <v>269</v>
      </c>
      <c r="BJ373" s="14">
        <v>370</v>
      </c>
      <c r="BK373" s="14">
        <v>27</v>
      </c>
      <c r="BL373" s="14">
        <v>27</v>
      </c>
    </row>
    <row r="374" spans="4:64" x14ac:dyDescent="0.25">
      <c r="D374" s="21" t="s">
        <v>2206</v>
      </c>
      <c r="E374" s="14"/>
      <c r="F374" s="14"/>
      <c r="G374" s="14">
        <v>27</v>
      </c>
      <c r="H374" s="14">
        <v>27</v>
      </c>
      <c r="I374" s="14">
        <v>27</v>
      </c>
      <c r="J374" s="14">
        <v>27</v>
      </c>
      <c r="K374" s="14"/>
      <c r="L374" s="14"/>
      <c r="M374" s="14"/>
      <c r="N374" s="14">
        <v>27</v>
      </c>
      <c r="O374" s="14"/>
      <c r="P374" s="14">
        <v>27</v>
      </c>
      <c r="Q374" s="14"/>
      <c r="R374" s="14"/>
      <c r="S374" s="14"/>
      <c r="T374" s="14"/>
      <c r="U374" s="14"/>
      <c r="V374" s="14">
        <v>27</v>
      </c>
      <c r="W374" s="14"/>
      <c r="X374" s="14"/>
      <c r="Y374" s="14"/>
      <c r="Z374" s="14"/>
      <c r="AA374" s="14"/>
      <c r="AB374" s="14">
        <v>27</v>
      </c>
      <c r="AC374" s="14"/>
      <c r="AD374" s="14"/>
      <c r="AE374" s="14"/>
      <c r="AF374" s="14"/>
      <c r="AG374" s="14"/>
      <c r="AH374" s="14">
        <v>27</v>
      </c>
      <c r="AI374" s="14"/>
      <c r="AJ374" s="14"/>
      <c r="AK374" s="14"/>
      <c r="AL374" s="14">
        <v>27</v>
      </c>
      <c r="AM374" s="14"/>
      <c r="AN374" s="14">
        <v>27</v>
      </c>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v>27</v>
      </c>
      <c r="BL374" s="14">
        <v>27</v>
      </c>
    </row>
    <row r="375" spans="4:64" x14ac:dyDescent="0.25">
      <c r="D375" s="21" t="s">
        <v>2204</v>
      </c>
      <c r="E375" s="14"/>
      <c r="F375" s="14">
        <v>133</v>
      </c>
      <c r="G375" s="14"/>
      <c r="H375" s="14"/>
      <c r="I375" s="14"/>
      <c r="J375" s="14"/>
      <c r="K375" s="14"/>
      <c r="L375" s="14"/>
      <c r="M375" s="14">
        <v>48</v>
      </c>
      <c r="N375" s="14">
        <v>382</v>
      </c>
      <c r="O375" s="14"/>
      <c r="P375" s="14">
        <v>48</v>
      </c>
      <c r="Q375" s="14"/>
      <c r="R375" s="14"/>
      <c r="S375" s="14"/>
      <c r="T375" s="14"/>
      <c r="U375" s="14"/>
      <c r="V375" s="14"/>
      <c r="W375" s="14"/>
      <c r="X375" s="14"/>
      <c r="Y375" s="14"/>
      <c r="Z375" s="14"/>
      <c r="AA375" s="14"/>
      <c r="AB375" s="14"/>
      <c r="AC375" s="14"/>
      <c r="AD375" s="14"/>
      <c r="AE375" s="14"/>
      <c r="AF375" s="14"/>
      <c r="AG375" s="14"/>
      <c r="AH375" s="14"/>
      <c r="AI375" s="14"/>
      <c r="AJ375" s="14">
        <v>335</v>
      </c>
      <c r="AK375" s="14"/>
      <c r="AL375" s="14"/>
      <c r="AM375" s="14"/>
      <c r="AN375" s="14">
        <v>335</v>
      </c>
      <c r="AO375" s="14"/>
      <c r="AP375" s="14"/>
      <c r="AQ375" s="14"/>
      <c r="AR375" s="14"/>
      <c r="AS375" s="14"/>
      <c r="AT375" s="14"/>
      <c r="AU375" s="14"/>
      <c r="AV375" s="14"/>
      <c r="AW375" s="14"/>
      <c r="AX375" s="14">
        <v>155</v>
      </c>
      <c r="AY375" s="14"/>
      <c r="AZ375" s="14">
        <v>155</v>
      </c>
      <c r="BA375" s="14"/>
      <c r="BB375" s="14"/>
      <c r="BC375" s="14"/>
      <c r="BD375" s="14">
        <v>361</v>
      </c>
      <c r="BE375" s="14">
        <v>214</v>
      </c>
      <c r="BF375" s="14">
        <v>255</v>
      </c>
      <c r="BG375" s="14"/>
      <c r="BH375" s="14">
        <v>223</v>
      </c>
      <c r="BI375" s="14">
        <v>269</v>
      </c>
      <c r="BJ375" s="14">
        <v>370</v>
      </c>
      <c r="BK375" s="14"/>
      <c r="BL375" s="14">
        <v>214</v>
      </c>
    </row>
    <row r="376" spans="4:64" x14ac:dyDescent="0.25">
      <c r="D376" s="21" t="s">
        <v>2207</v>
      </c>
      <c r="E376" s="14">
        <v>27</v>
      </c>
      <c r="F376" s="14">
        <v>27</v>
      </c>
      <c r="G376" s="14"/>
      <c r="H376" s="14"/>
      <c r="I376" s="14"/>
      <c r="J376" s="14"/>
      <c r="K376" s="14"/>
      <c r="L376" s="14"/>
      <c r="M376" s="14"/>
      <c r="N376" s="14"/>
      <c r="O376" s="14"/>
      <c r="P376" s="14">
        <v>27</v>
      </c>
      <c r="Q376" s="14"/>
      <c r="R376" s="14"/>
      <c r="S376" s="14"/>
      <c r="T376" s="14"/>
      <c r="U376" s="14"/>
      <c r="V376" s="14"/>
      <c r="W376" s="14">
        <v>27</v>
      </c>
      <c r="X376" s="14"/>
      <c r="Y376" s="14"/>
      <c r="Z376" s="14"/>
      <c r="AA376" s="14"/>
      <c r="AB376" s="14">
        <v>27</v>
      </c>
      <c r="AC376" s="14"/>
      <c r="AD376" s="14"/>
      <c r="AE376" s="14"/>
      <c r="AF376" s="14"/>
      <c r="AG376" s="14"/>
      <c r="AH376" s="14"/>
      <c r="AI376" s="14"/>
      <c r="AJ376" s="14"/>
      <c r="AK376" s="14"/>
      <c r="AL376" s="14"/>
      <c r="AM376" s="14">
        <v>27</v>
      </c>
      <c r="AN376" s="14">
        <v>27</v>
      </c>
      <c r="AO376" s="14"/>
      <c r="AP376" s="14"/>
      <c r="AQ376" s="14"/>
      <c r="AR376" s="14"/>
      <c r="AS376" s="14"/>
      <c r="AT376" s="14"/>
      <c r="AU376" s="14"/>
      <c r="AV376" s="14">
        <v>27</v>
      </c>
      <c r="AW376" s="14"/>
      <c r="AX376" s="14"/>
      <c r="AY376" s="14"/>
      <c r="AZ376" s="14">
        <v>27</v>
      </c>
      <c r="BA376" s="14"/>
      <c r="BB376" s="14">
        <v>27</v>
      </c>
      <c r="BC376" s="14">
        <v>27</v>
      </c>
      <c r="BD376" s="14"/>
      <c r="BE376" s="14">
        <v>27</v>
      </c>
      <c r="BF376" s="14"/>
      <c r="BG376" s="14"/>
      <c r="BH376" s="14">
        <v>27</v>
      </c>
      <c r="BI376" s="14"/>
      <c r="BJ376" s="14"/>
      <c r="BK376" s="14"/>
      <c r="BL376" s="14">
        <v>27</v>
      </c>
    </row>
    <row r="377" spans="4:64" x14ac:dyDescent="0.25">
      <c r="D377" s="21" t="s">
        <v>2205</v>
      </c>
      <c r="E377" s="14">
        <v>27</v>
      </c>
      <c r="F377" s="14"/>
      <c r="G377" s="14">
        <v>27</v>
      </c>
      <c r="H377" s="14"/>
      <c r="I377" s="14"/>
      <c r="J377" s="14"/>
      <c r="K377" s="14"/>
      <c r="L377" s="14">
        <v>27</v>
      </c>
      <c r="M377" s="14"/>
      <c r="N377" s="14">
        <v>27</v>
      </c>
      <c r="O377" s="14"/>
      <c r="P377" s="14">
        <v>27</v>
      </c>
      <c r="Q377" s="14"/>
      <c r="R377" s="14"/>
      <c r="S377" s="14">
        <v>27</v>
      </c>
      <c r="T377" s="14">
        <v>27</v>
      </c>
      <c r="U377" s="14"/>
      <c r="V377" s="14"/>
      <c r="W377" s="14"/>
      <c r="X377" s="14"/>
      <c r="Y377" s="14"/>
      <c r="Z377" s="14"/>
      <c r="AA377" s="14"/>
      <c r="AB377" s="14">
        <v>27</v>
      </c>
      <c r="AC377" s="14">
        <v>27</v>
      </c>
      <c r="AD377" s="14"/>
      <c r="AE377" s="14"/>
      <c r="AF377" s="14"/>
      <c r="AG377" s="14"/>
      <c r="AH377" s="14">
        <v>27</v>
      </c>
      <c r="AI377" s="14"/>
      <c r="AJ377" s="14"/>
      <c r="AK377" s="14">
        <v>27</v>
      </c>
      <c r="AL377" s="14"/>
      <c r="AM377" s="14">
        <v>27</v>
      </c>
      <c r="AN377" s="14">
        <v>27</v>
      </c>
      <c r="AO377" s="14"/>
      <c r="AP377" s="14"/>
      <c r="AQ377" s="14"/>
      <c r="AR377" s="14"/>
      <c r="AS377" s="14"/>
      <c r="AT377" s="14"/>
      <c r="AU377" s="14"/>
      <c r="AV377" s="14"/>
      <c r="AW377" s="14"/>
      <c r="AX377" s="14"/>
      <c r="AY377" s="14"/>
      <c r="AZ377" s="14"/>
      <c r="BA377" s="14">
        <v>27</v>
      </c>
      <c r="BB377" s="14">
        <v>27</v>
      </c>
      <c r="BC377" s="14"/>
      <c r="BD377" s="14"/>
      <c r="BE377" s="14"/>
      <c r="BF377" s="14"/>
      <c r="BG377" s="14"/>
      <c r="BH377" s="14">
        <v>27</v>
      </c>
      <c r="BI377" s="14"/>
      <c r="BJ377" s="14"/>
      <c r="BK377" s="14"/>
      <c r="BL377" s="14">
        <v>27</v>
      </c>
    </row>
  </sheetData>
  <sheetProtection password="C6E1" sheet="1" objects="1" scenarios="1" selectLockedCells="1" autoFilter="0" pivotTables="0"/>
  <mergeCells count="2">
    <mergeCell ref="Y35:AA35"/>
    <mergeCell ref="Y36:AA36"/>
  </mergeCells>
  <conditionalFormatting pivot="1" sqref="F88:P91">
    <cfRule type="colorScale" priority="50">
      <colorScale>
        <cfvo type="min"/>
        <cfvo type="max"/>
        <color rgb="FFFFEF9C"/>
        <color rgb="FF63BE7B"/>
      </colorScale>
    </cfRule>
  </conditionalFormatting>
  <conditionalFormatting pivot="1" sqref="F93:P96">
    <cfRule type="colorScale" priority="49">
      <colorScale>
        <cfvo type="min"/>
        <cfvo type="max"/>
        <color rgb="FFFFEF9C"/>
        <color rgb="FF63BE7B"/>
      </colorScale>
    </cfRule>
  </conditionalFormatting>
  <conditionalFormatting pivot="1" sqref="F98:O101">
    <cfRule type="colorScale" priority="48">
      <colorScale>
        <cfvo type="min"/>
        <cfvo type="max"/>
        <color rgb="FFFFEF9C"/>
        <color rgb="FF63BE7B"/>
      </colorScale>
    </cfRule>
  </conditionalFormatting>
  <conditionalFormatting pivot="1" sqref="F103:O106">
    <cfRule type="colorScale" priority="47">
      <colorScale>
        <cfvo type="min"/>
        <cfvo type="max"/>
        <color rgb="FFFFEF9C"/>
        <color rgb="FF63BE7B"/>
      </colorScale>
    </cfRule>
  </conditionalFormatting>
  <conditionalFormatting pivot="1" sqref="F108:O111">
    <cfRule type="colorScale" priority="46">
      <colorScale>
        <cfvo type="min"/>
        <cfvo type="max"/>
        <color rgb="FFFFEF9C"/>
        <color rgb="FF63BE7B"/>
      </colorScale>
    </cfRule>
  </conditionalFormatting>
  <conditionalFormatting pivot="1" sqref="F113:O116">
    <cfRule type="colorScale" priority="45">
      <colorScale>
        <cfvo type="min"/>
        <cfvo type="max"/>
        <color rgb="FFFFEF9C"/>
        <color rgb="FF63BE7B"/>
      </colorScale>
    </cfRule>
  </conditionalFormatting>
  <conditionalFormatting pivot="1" sqref="F118:O121">
    <cfRule type="colorScale" priority="44">
      <colorScale>
        <cfvo type="min"/>
        <cfvo type="max"/>
        <color rgb="FFFFEF9C"/>
        <color rgb="FF63BE7B"/>
      </colorScale>
    </cfRule>
  </conditionalFormatting>
  <conditionalFormatting pivot="1" sqref="F123:O126">
    <cfRule type="colorScale" priority="43">
      <colorScale>
        <cfvo type="min"/>
        <cfvo type="max"/>
        <color rgb="FFFFEF9C"/>
        <color rgb="FF63BE7B"/>
      </colorScale>
    </cfRule>
  </conditionalFormatting>
  <conditionalFormatting pivot="1" sqref="E132:BL377">
    <cfRule type="colorScale" priority="42">
      <colorScale>
        <cfvo type="min"/>
        <cfvo type="max"/>
        <color rgb="FF63BE7B"/>
        <color rgb="FFFFEF9C"/>
      </colorScale>
    </cfRule>
  </conditionalFormatting>
  <conditionalFormatting sqref="C131">
    <cfRule type="colorScale" priority="41">
      <colorScale>
        <cfvo type="min"/>
        <cfvo type="max"/>
        <color rgb="FF63BE7B"/>
        <color rgb="FFFFEF9C"/>
      </colorScale>
    </cfRule>
  </conditionalFormatting>
  <conditionalFormatting sqref="U84">
    <cfRule type="colorScale" priority="40">
      <colorScale>
        <cfvo type="min"/>
        <cfvo type="max"/>
        <color rgb="FF63BE7B"/>
        <color rgb="FFFFEF9C"/>
      </colorScale>
    </cfRule>
  </conditionalFormatting>
  <conditionalFormatting pivot="1" sqref="F33:K40">
    <cfRule type="colorScale" priority="37">
      <colorScale>
        <cfvo type="min"/>
        <cfvo type="max"/>
        <color rgb="FFFCFCFF"/>
        <color rgb="FFF8696B"/>
      </colorScale>
    </cfRule>
  </conditionalFormatting>
  <conditionalFormatting pivot="1" sqref="F73:K80">
    <cfRule type="colorScale" priority="36">
      <colorScale>
        <cfvo type="min"/>
        <cfvo type="max"/>
        <color rgb="FFFCFCFF"/>
        <color rgb="FFF8696B"/>
      </colorScale>
    </cfRule>
  </conditionalFormatting>
  <conditionalFormatting pivot="1" sqref="E133:O133 E138:O138 E143:O143 E148:O148 E153:O153 E158:O158 E163:O163 E168:O168">
    <cfRule type="colorScale" priority="34">
      <colorScale>
        <cfvo type="min"/>
        <cfvo type="max"/>
        <color rgb="FFFCFCFF"/>
        <color rgb="FFF8696B"/>
      </colorScale>
    </cfRule>
  </conditionalFormatting>
  <conditionalFormatting pivot="1" sqref="E174:O174 E179:O179 E184:O184 E189:O189 E194:O194 E199:O199 E204:O204 E209:O209">
    <cfRule type="colorScale" priority="33">
      <colorScale>
        <cfvo type="min"/>
        <cfvo type="max"/>
        <color rgb="FFFCFCFF"/>
        <color rgb="FFF8696B"/>
      </colorScale>
    </cfRule>
  </conditionalFormatting>
  <conditionalFormatting pivot="1" sqref="E215:O215 E220:O220 E225:O225 E230:O230 E235:O235 E240:O240 E245:O245 E250:O250">
    <cfRule type="colorScale" priority="32">
      <colorScale>
        <cfvo type="min"/>
        <cfvo type="max"/>
        <color rgb="FFFCFCFF"/>
        <color rgb="FFF8696B"/>
      </colorScale>
    </cfRule>
  </conditionalFormatting>
  <conditionalFormatting pivot="1" sqref="E256:O256 E261:O261 E266:O266 E271:O271 E276:O276 E281:O281 E286:O286 E291:O291">
    <cfRule type="colorScale" priority="31">
      <colorScale>
        <cfvo type="min"/>
        <cfvo type="max"/>
        <color rgb="FFFCFCFF"/>
        <color rgb="FFF8696B"/>
      </colorScale>
    </cfRule>
  </conditionalFormatting>
  <conditionalFormatting pivot="1" sqref="E297:O297 E302:O302 E307:O307 E312:O312 E317:O317 E322:O322 E327:O327 E332:O332">
    <cfRule type="colorScale" priority="30">
      <colorScale>
        <cfvo type="min"/>
        <cfvo type="max"/>
        <color rgb="FFFCFCFF"/>
        <color rgb="FFF8696B"/>
      </colorScale>
    </cfRule>
  </conditionalFormatting>
  <conditionalFormatting pivot="1" sqref="E338:O338 E343:O343 E348:O348 E353:O353 E358:O358 E363:O363 E368:O368">
    <cfRule type="colorScale" priority="29">
      <colorScale>
        <cfvo type="min"/>
        <cfvo type="max"/>
        <color rgb="FFFCFCFF"/>
        <color rgb="FFF8696B"/>
      </colorScale>
    </cfRule>
  </conditionalFormatting>
  <conditionalFormatting pivot="1" sqref="Q133:AA133 Q138:AA138 Q143:AA143 Q148:AA148 Q153:AA153 Q158:AA158 Q163:AA163 Q168:AA168">
    <cfRule type="colorScale" priority="28">
      <colorScale>
        <cfvo type="min"/>
        <cfvo type="max"/>
        <color rgb="FFFCFCFF"/>
        <color rgb="FFF8696B"/>
      </colorScale>
    </cfRule>
  </conditionalFormatting>
  <conditionalFormatting pivot="1" sqref="Q174:AA174 Q179:AA179 Q184:AA184 Q189:AA189 Q194:AA194 Q199:AA199 Q204:AA204 Q209:AA209">
    <cfRule type="colorScale" priority="27">
      <colorScale>
        <cfvo type="min"/>
        <cfvo type="max"/>
        <color rgb="FFFCFCFF"/>
        <color rgb="FFF8696B"/>
      </colorScale>
    </cfRule>
  </conditionalFormatting>
  <conditionalFormatting pivot="1" sqref="Q215:AA215 Q220:AA220 Q225:AA225 Q230:AA230 Q235:AA235 Q240:AA240 Q245:AA245 Q250:AA250">
    <cfRule type="colorScale" priority="26">
      <colorScale>
        <cfvo type="min"/>
        <cfvo type="max"/>
        <color rgb="FFFCFCFF"/>
        <color rgb="FFF8696B"/>
      </colorScale>
    </cfRule>
  </conditionalFormatting>
  <conditionalFormatting pivot="1" sqref="Q256:AA256 Q261:AA261 Q266:AA266 Q271:AA271 Q276:AA276 Q281:AA281 Q286:AA286 Q291:AA291">
    <cfRule type="colorScale" priority="25">
      <colorScale>
        <cfvo type="min"/>
        <cfvo type="max"/>
        <color rgb="FFFCFCFF"/>
        <color rgb="FFF8696B"/>
      </colorScale>
    </cfRule>
  </conditionalFormatting>
  <conditionalFormatting pivot="1" sqref="Q297:AA297 Q302:AA302 Q307:AA307 Q312:AA312 Q317:AA317 Q322:AA322 Q327:AA327 Q332:AA332">
    <cfRule type="colorScale" priority="24">
      <colorScale>
        <cfvo type="min"/>
        <cfvo type="max"/>
        <color rgb="FFFCFCFF"/>
        <color rgb="FFF8696B"/>
      </colorScale>
    </cfRule>
  </conditionalFormatting>
  <conditionalFormatting pivot="1" sqref="Q338:AA338 Q343:AA343 Q348:AA348 Q353:AA353 Q358:AA358 Q363:AA363 Q368:AA368">
    <cfRule type="colorScale" priority="23">
      <colorScale>
        <cfvo type="min"/>
        <cfvo type="max"/>
        <color rgb="FFFCFCFF"/>
        <color rgb="FFF8696B"/>
      </colorScale>
    </cfRule>
  </conditionalFormatting>
  <conditionalFormatting pivot="1" sqref="AC133:AM133 AC138:AM138 AC143:AM143 AC148:AM148 AC153:AM153 AC158:AM158 AC163:AM163 AC168:AM168">
    <cfRule type="colorScale" priority="22">
      <colorScale>
        <cfvo type="min"/>
        <cfvo type="max"/>
        <color rgb="FFFCFCFF"/>
        <color rgb="FFF8696B"/>
      </colorScale>
    </cfRule>
  </conditionalFormatting>
  <conditionalFormatting pivot="1" sqref="AC174:AM174 AC179:AM179 AC184:AM184 AC189:AM189 AC194:AM194 AC199:AM199 AC204:AM204">
    <cfRule type="colorScale" priority="21">
      <colorScale>
        <cfvo type="min"/>
        <cfvo type="max"/>
        <color rgb="FFFCFCFF"/>
        <color rgb="FFF8696B"/>
      </colorScale>
    </cfRule>
  </conditionalFormatting>
  <conditionalFormatting pivot="1" sqref="AC215:AM215 AC220:AM220 AC225:AM225 AC230:AM230 AC235:AM235 AC240:AM240 AC245:AM245 AC250:AM250">
    <cfRule type="colorScale" priority="20">
      <colorScale>
        <cfvo type="min"/>
        <cfvo type="max"/>
        <color rgb="FFFCFCFF"/>
        <color rgb="FFF8696B"/>
      </colorScale>
    </cfRule>
  </conditionalFormatting>
  <conditionalFormatting pivot="1" sqref="AC256:AM256 AC261:AM261 AC266:AM266 AC271:AM271 AC276:AM276 AC281:AM281 AC286:AM286 AC291:AM291">
    <cfRule type="colorScale" priority="19">
      <colorScale>
        <cfvo type="min"/>
        <cfvo type="max"/>
        <color rgb="FFFCFCFF"/>
        <color rgb="FFF8696B"/>
      </colorScale>
    </cfRule>
  </conditionalFormatting>
  <conditionalFormatting pivot="1" sqref="AC297:AM297 AC302:AM302 AC307:AM307 AC312:AM312 AC317:AM317 AC322:AM322 AC327:AM327 AC332:AM332">
    <cfRule type="colorScale" priority="18">
      <colorScale>
        <cfvo type="min"/>
        <cfvo type="max"/>
        <color rgb="FFFCFCFF"/>
        <color rgb="FFF8696B"/>
      </colorScale>
    </cfRule>
  </conditionalFormatting>
  <conditionalFormatting pivot="1" sqref="AC338:AM338 AC343:AM343 AC348:AM348 AC353:AM353 AC358:AM358 AC363:AM363 AC368:AM368">
    <cfRule type="colorScale" priority="17">
      <colorScale>
        <cfvo type="min"/>
        <cfvo type="max"/>
        <color rgb="FFFCFCFF"/>
        <color rgb="FFF8696B"/>
      </colorScale>
    </cfRule>
  </conditionalFormatting>
  <conditionalFormatting pivot="1" sqref="AO133:AY133 AO138:AY138 AO143:AY143 AO148:AY148 AO153:AY153 AO158:AY158 AO163:AY163 AO168:AY168">
    <cfRule type="colorScale" priority="16">
      <colorScale>
        <cfvo type="min"/>
        <cfvo type="max"/>
        <color rgb="FFFCFCFF"/>
        <color rgb="FFF8696B"/>
      </colorScale>
    </cfRule>
  </conditionalFormatting>
  <conditionalFormatting pivot="1" sqref="AC174:AM174 AC179:AM179 AC184:AM184 AC189:AM189 AC194:AM194 AC199:AM199 AC204:AM204 AC209:AM209">
    <cfRule type="colorScale" priority="15">
      <colorScale>
        <cfvo type="min"/>
        <cfvo type="max"/>
        <color rgb="FFFCFCFF"/>
        <color rgb="FFF8696B"/>
      </colorScale>
    </cfRule>
  </conditionalFormatting>
  <conditionalFormatting pivot="1" sqref="AO174:AY174 AO179:AY179 AO184:AY184 AO189:AY189 AO194:AY194 AO199:AY199 AO204:AY204 AO209:AY209">
    <cfRule type="colorScale" priority="14">
      <colorScale>
        <cfvo type="min"/>
        <cfvo type="max"/>
        <color rgb="FFFCFCFF"/>
        <color rgb="FFF8696B"/>
      </colorScale>
    </cfRule>
  </conditionalFormatting>
  <conditionalFormatting pivot="1" sqref="AO215:AY215 AO220:AY220 AO225:AY225 AO230:AY230 AO235:AY235 AO240:AY240 AO245:AY245 AO250:AY250">
    <cfRule type="colorScale" priority="13">
      <colorScale>
        <cfvo type="min"/>
        <cfvo type="max"/>
        <color rgb="FFFCFCFF"/>
        <color rgb="FFF8696B"/>
      </colorScale>
    </cfRule>
  </conditionalFormatting>
  <conditionalFormatting pivot="1" sqref="AO256:AY256 AO261:AY261 AO266:AY266 AO271:AY271 AO276:AY276 AO281:AY281 AO286:AY286 AO291:AY291">
    <cfRule type="colorScale" priority="12">
      <colorScale>
        <cfvo type="min"/>
        <cfvo type="max"/>
        <color rgb="FFFCFCFF"/>
        <color rgb="FFF8696B"/>
      </colorScale>
    </cfRule>
  </conditionalFormatting>
  <conditionalFormatting pivot="1" sqref="AO297:AY297 AO302:AY302 AO307:AY307 AO312:AY312 AO317:AY317 AO322:AY322 AO327:AY327 AO332:AY332">
    <cfRule type="colorScale" priority="11">
      <colorScale>
        <cfvo type="min"/>
        <cfvo type="max"/>
        <color rgb="FFFCFCFF"/>
        <color rgb="FFF8696B"/>
      </colorScale>
    </cfRule>
  </conditionalFormatting>
  <conditionalFormatting pivot="1" sqref="AO338:AY338 AO343:AY343 AO348:AY348 AO353:AY353 AO358:AY358 AO363:AY363 AO368:AY368 AO373:AY373">
    <cfRule type="colorScale" priority="10">
      <colorScale>
        <cfvo type="min"/>
        <cfvo type="max"/>
        <color rgb="FFFCFCFF"/>
        <color rgb="FFF8696B"/>
      </colorScale>
    </cfRule>
  </conditionalFormatting>
  <conditionalFormatting pivot="1" sqref="BA133:BK133 BA138:BK138 BA143:BK143 BA148:BK148 BA153:BK153 BA158:BK158 BA163:BK163 BA168:BK168">
    <cfRule type="colorScale" priority="9">
      <colorScale>
        <cfvo type="min"/>
        <cfvo type="max"/>
        <color rgb="FFFCFCFF"/>
        <color rgb="FFF8696B"/>
      </colorScale>
    </cfRule>
  </conditionalFormatting>
  <conditionalFormatting pivot="1" sqref="BA174:BK174 BA179:BK179 BA184:BK184 BA189:BK189 BA194:BK194 BA199:BK199 BA204:BK204 BA209:BK209">
    <cfRule type="colorScale" priority="8">
      <colorScale>
        <cfvo type="min"/>
        <cfvo type="max"/>
        <color rgb="FFFCFCFF"/>
        <color rgb="FFF8696B"/>
      </colorScale>
    </cfRule>
  </conditionalFormatting>
  <conditionalFormatting pivot="1" sqref="BA215:BK215 BA220:BK220 BA225:BK225 BA230:BK230 BA235:BK235 BA240:BK240 BA245:BK245 BA250:BK250">
    <cfRule type="colorScale" priority="7">
      <colorScale>
        <cfvo type="min"/>
        <cfvo type="max"/>
        <color rgb="FFFCFCFF"/>
        <color rgb="FFF8696B"/>
      </colorScale>
    </cfRule>
  </conditionalFormatting>
  <conditionalFormatting pivot="1" sqref="BA256:BK256 BA261:BK261 BA266:BK266 BA271:BK271 BA276:BK276 BA281:BK281 BA286:BK286 BA291:BK291">
    <cfRule type="colorScale" priority="6">
      <colorScale>
        <cfvo type="min"/>
        <cfvo type="max"/>
        <color rgb="FFFCFCFF"/>
        <color rgb="FFF8696B"/>
      </colorScale>
    </cfRule>
  </conditionalFormatting>
  <conditionalFormatting pivot="1" sqref="BA297:BK297 BA302:BK302 BA307:BK307 BA312:BK312 BA317:BK317 BA322:BK322 BA327:BK327 BA332:BK332">
    <cfRule type="colorScale" priority="5">
      <colorScale>
        <cfvo type="min"/>
        <cfvo type="max"/>
        <color rgb="FFFCFCFF"/>
        <color rgb="FFF8696B"/>
      </colorScale>
    </cfRule>
  </conditionalFormatting>
  <conditionalFormatting pivot="1" sqref="BA338:BK338 BA343:BK343 BA348:BK348 BA353:BK353 BA358:BK358 BA363:BK363 BA368:BK368 BA373:BK373">
    <cfRule type="colorScale" priority="4">
      <colorScale>
        <cfvo type="min"/>
        <cfvo type="max"/>
        <color rgb="FFFCFCFF"/>
        <color rgb="FFF8696B"/>
      </colorScale>
    </cfRule>
  </conditionalFormatting>
  <conditionalFormatting pivot="1" sqref="G60:H67">
    <cfRule type="colorScale" priority="2">
      <colorScale>
        <cfvo type="min"/>
        <cfvo type="max"/>
        <color rgb="FFFCFCFF"/>
        <color rgb="FFF8696B"/>
      </colorScale>
    </cfRule>
  </conditionalFormatting>
  <conditionalFormatting pivot="1" sqref="G47:H54">
    <cfRule type="colorScale" priority="1">
      <colorScale>
        <cfvo type="min"/>
        <cfvo type="max"/>
        <color rgb="FFFCFCFF"/>
        <color rgb="FFF8696B"/>
      </colorScale>
    </cfRule>
  </conditionalFormatting>
  <pageMargins left="0.7" right="0.7" top="0.75" bottom="0.75" header="0.3" footer="0.3"/>
  <pageSetup paperSize="9" orientation="portrait" horizontalDpi="0" verticalDpi="0" r:id="rId15"/>
  <drawing r:id="rId16"/>
  <tableParts count="1">
    <tablePart r:id="rId1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R42"/>
  <sheetViews>
    <sheetView workbookViewId="0">
      <selection activeCell="D2" sqref="D2"/>
    </sheetView>
  </sheetViews>
  <sheetFormatPr defaultRowHeight="16.5" x14ac:dyDescent="0.3"/>
  <cols>
    <col min="3" max="3" width="24.5" customWidth="1"/>
    <col min="4" max="5" width="13.5" customWidth="1"/>
    <col min="6" max="6" width="18" customWidth="1"/>
    <col min="7" max="7" width="24.875" customWidth="1"/>
    <col min="8" max="8" width="18.875" customWidth="1"/>
    <col min="9" max="9" width="14.75" customWidth="1"/>
    <col min="10" max="10" width="13.875" customWidth="1"/>
    <col min="11" max="11" width="12.5" customWidth="1"/>
    <col min="18" max="18" width="13.875" customWidth="1"/>
    <col min="19" max="19" width="9.25" customWidth="1"/>
  </cols>
  <sheetData>
    <row r="3" spans="3:18" x14ac:dyDescent="0.3">
      <c r="C3" t="s">
        <v>2369</v>
      </c>
      <c r="R3" s="86" t="s">
        <v>2371</v>
      </c>
    </row>
    <row r="4" spans="3:18" ht="17.25" thickBot="1" x14ac:dyDescent="0.35">
      <c r="C4" s="76" t="s">
        <v>2342</v>
      </c>
      <c r="D4" s="77" t="s">
        <v>2343</v>
      </c>
      <c r="E4" s="77" t="s">
        <v>2344</v>
      </c>
      <c r="F4" s="77" t="s">
        <v>2345</v>
      </c>
      <c r="G4" s="77" t="s">
        <v>2346</v>
      </c>
      <c r="H4" s="77" t="s">
        <v>2266</v>
      </c>
      <c r="I4" s="77" t="s">
        <v>2368</v>
      </c>
      <c r="R4" s="85">
        <f>MAX('raw data'!K2:K2177)</f>
        <v>50</v>
      </c>
    </row>
    <row r="5" spans="3:18" ht="18" thickTop="1" thickBot="1" x14ac:dyDescent="0.35">
      <c r="C5" s="78" t="s">
        <v>2192</v>
      </c>
      <c r="D5" s="79" t="s">
        <v>2203</v>
      </c>
      <c r="E5" s="79"/>
      <c r="F5" s="79" t="s">
        <v>2204</v>
      </c>
      <c r="G5" s="79" t="s">
        <v>2224</v>
      </c>
      <c r="H5" s="79">
        <v>392</v>
      </c>
      <c r="I5" s="79">
        <f>SUMIFS('raw data'!$K$2:$K$2177,'raw data'!$B$2:$B$2177,C5,'raw data'!$C$2:$C$2177,D5,'raw data'!$D$2:$D$2177,'Pivot Tabel 1'!F5,'raw data'!$F$2:$F$2177,'Pivot Tabel 1'!G5)</f>
        <v>36</v>
      </c>
    </row>
    <row r="6" spans="3:18" ht="18" thickTop="1" thickBot="1" x14ac:dyDescent="0.35">
      <c r="C6" s="80" t="s">
        <v>2195</v>
      </c>
      <c r="D6" s="81" t="s">
        <v>2197</v>
      </c>
      <c r="E6" s="81" t="s">
        <v>2209</v>
      </c>
      <c r="F6" s="81" t="s">
        <v>2204</v>
      </c>
      <c r="G6" s="81" t="s">
        <v>2223</v>
      </c>
      <c r="H6" s="81">
        <v>391</v>
      </c>
      <c r="I6" s="79">
        <f>SUMIFS('raw data'!$K$2:$K$2177,'raw data'!$B$2:$B$2177,C6,'raw data'!$C$2:$C$2177,D6,'raw data'!$E$2:$E$2177,'Pivot Tabel 1'!E6,'raw data'!$D$2:$D$2177,'Pivot Tabel 1'!F6,'raw data'!$F$2:$F$2177,'Pivot Tabel 1'!G6)</f>
        <v>8</v>
      </c>
    </row>
    <row r="7" spans="3:18" ht="18" thickTop="1" thickBot="1" x14ac:dyDescent="0.35">
      <c r="C7" s="82" t="s">
        <v>2193</v>
      </c>
      <c r="D7" s="83" t="s">
        <v>2199</v>
      </c>
      <c r="E7" s="83" t="s">
        <v>2212</v>
      </c>
      <c r="F7" s="83" t="s">
        <v>2204</v>
      </c>
      <c r="G7" s="83" t="s">
        <v>2215</v>
      </c>
      <c r="H7" s="83">
        <v>390</v>
      </c>
      <c r="I7" s="79">
        <f>SUMIFS('raw data'!$K$2:$K$2177,'raw data'!$B$2:$B$2177,C7,'raw data'!$C$2:$C$2177,D7,'raw data'!$E$2:$E$2177,'Pivot Tabel 1'!E7,'raw data'!$D$2:$D$2177,'Pivot Tabel 1'!F7,'raw data'!$F$2:$F$2177,'Pivot Tabel 1'!G7)</f>
        <v>44</v>
      </c>
    </row>
    <row r="8" spans="3:18" ht="18" thickTop="1" thickBot="1" x14ac:dyDescent="0.35">
      <c r="C8" s="80" t="s">
        <v>2191</v>
      </c>
      <c r="D8" s="81" t="s">
        <v>2197</v>
      </c>
      <c r="E8" s="81" t="s">
        <v>2212</v>
      </c>
      <c r="F8" s="81" t="s">
        <v>2204</v>
      </c>
      <c r="G8" s="81" t="s">
        <v>2214</v>
      </c>
      <c r="H8" s="81">
        <v>388</v>
      </c>
      <c r="I8" s="79">
        <f>SUMIFS('raw data'!$K$2:$K$2177,'raw data'!$B$2:$B$2177,C8,'raw data'!$C$2:$C$2177,D8,'raw data'!$E$2:$E$2177,'Pivot Tabel 1'!E8,'raw data'!$D$2:$D$2177,'Pivot Tabel 1'!F8,'raw data'!$F$2:$F$2177,'Pivot Tabel 1'!G8)</f>
        <v>29</v>
      </c>
    </row>
    <row r="9" spans="3:18" ht="18" thickTop="1" thickBot="1" x14ac:dyDescent="0.35">
      <c r="C9" s="82" t="s">
        <v>2190</v>
      </c>
      <c r="D9" s="83" t="s">
        <v>2199</v>
      </c>
      <c r="E9" s="83" t="s">
        <v>2212</v>
      </c>
      <c r="F9" s="83" t="s">
        <v>2204</v>
      </c>
      <c r="G9" s="83" t="s">
        <v>2217</v>
      </c>
      <c r="H9" s="83">
        <v>386</v>
      </c>
      <c r="I9" s="79">
        <f>SUMIFS('raw data'!$K$2:$K$2177,'raw data'!$B$2:$B$2177,C9,'raw data'!$C$2:$C$2177,D9,'raw data'!$E$2:$E$2177,'Pivot Tabel 1'!E9,'raw data'!$D$2:$D$2177,'Pivot Tabel 1'!F9,'raw data'!$F$2:$F$2177,'Pivot Tabel 1'!G9)</f>
        <v>43</v>
      </c>
    </row>
    <row r="10" spans="3:18" ht="17.25" thickTop="1" x14ac:dyDescent="0.3">
      <c r="C10" s="80" t="s">
        <v>2194</v>
      </c>
      <c r="D10" s="81" t="s">
        <v>2200</v>
      </c>
      <c r="E10" s="81" t="s">
        <v>2209</v>
      </c>
      <c r="F10" s="81" t="s">
        <v>2204</v>
      </c>
      <c r="G10" s="81" t="s">
        <v>2217</v>
      </c>
      <c r="H10" s="84">
        <v>382</v>
      </c>
      <c r="I10" s="79">
        <f>SUMIFS('raw data'!$K$2:$K$2177,'raw data'!$B$2:$B$2177,C10,'raw data'!$C$2:$C$2177,D10,'raw data'!$E$2:$E$2177,'Pivot Tabel 1'!E10,'raw data'!$D$2:$D$2177,'Pivot Tabel 1'!F10,'raw data'!$F$2:$F$2177,'Pivot Tabel 1'!G10)</f>
        <v>39</v>
      </c>
    </row>
    <row r="13" spans="3:18" x14ac:dyDescent="0.3">
      <c r="C13" t="s">
        <v>2370</v>
      </c>
    </row>
    <row r="14" spans="3:18" ht="17.25" thickBot="1" x14ac:dyDescent="0.35">
      <c r="C14" s="76" t="s">
        <v>2342</v>
      </c>
      <c r="D14" s="77" t="s">
        <v>2343</v>
      </c>
      <c r="E14" s="77" t="s">
        <v>2344</v>
      </c>
      <c r="F14" s="77" t="s">
        <v>2345</v>
      </c>
      <c r="G14" s="77" t="s">
        <v>2346</v>
      </c>
      <c r="H14" s="77" t="s">
        <v>2266</v>
      </c>
      <c r="I14" s="77" t="s">
        <v>2368</v>
      </c>
    </row>
    <row r="15" spans="3:18" ht="18" thickTop="1" thickBot="1" x14ac:dyDescent="0.35">
      <c r="C15" s="78" t="s">
        <v>2192</v>
      </c>
      <c r="D15" s="79" t="s">
        <v>2203</v>
      </c>
      <c r="E15" s="79"/>
      <c r="F15" s="79" t="s">
        <v>2204</v>
      </c>
      <c r="G15" s="79" t="s">
        <v>2224</v>
      </c>
      <c r="H15" s="79">
        <v>392</v>
      </c>
      <c r="I15" s="79">
        <f>SUMIFS('raw data'!$K$2:$K$2177,'raw data'!$B$2:$B$2177,C15,'raw data'!$C$2:$C$2177,D15,'raw data'!$D$2:$D$2177,'Pivot Tabel 1'!F15,'raw data'!$F$2:$F$2177,'Pivot Tabel 1'!G15)</f>
        <v>36</v>
      </c>
    </row>
    <row r="16" spans="3:18" ht="18" thickTop="1" thickBot="1" x14ac:dyDescent="0.35">
      <c r="C16" s="80" t="s">
        <v>2195</v>
      </c>
      <c r="D16" s="81" t="s">
        <v>2197</v>
      </c>
      <c r="E16" s="81" t="s">
        <v>2209</v>
      </c>
      <c r="F16" s="81" t="s">
        <v>2204</v>
      </c>
      <c r="G16" s="81" t="s">
        <v>2223</v>
      </c>
      <c r="H16" s="81">
        <v>391</v>
      </c>
      <c r="I16" s="79">
        <f>SUMIFS('raw data'!$K$2:$K$2177,'raw data'!$B$2:$B$2177,C16,'raw data'!$C$2:$C$2177,D16,'raw data'!$E$2:$E$2177,'Pivot Tabel 1'!E16,'raw data'!$D$2:$D$2177,'Pivot Tabel 1'!F16,'raw data'!$F$2:$F$2177,'Pivot Tabel 1'!G16)</f>
        <v>8</v>
      </c>
    </row>
    <row r="17" spans="3:11" ht="18" thickTop="1" thickBot="1" x14ac:dyDescent="0.35">
      <c r="C17" s="82" t="s">
        <v>2193</v>
      </c>
      <c r="D17" s="83" t="s">
        <v>2199</v>
      </c>
      <c r="E17" s="83" t="s">
        <v>2212</v>
      </c>
      <c r="F17" s="83" t="s">
        <v>2204</v>
      </c>
      <c r="G17" s="83" t="s">
        <v>2215</v>
      </c>
      <c r="H17" s="83">
        <v>390</v>
      </c>
      <c r="I17" s="79">
        <f>SUMIFS('raw data'!$K$2:$K$2177,'raw data'!$B$2:$B$2177,C17,'raw data'!$C$2:$C$2177,D17,'raw data'!$E$2:$E$2177,'Pivot Tabel 1'!E17,'raw data'!$D$2:$D$2177,'Pivot Tabel 1'!F17,'raw data'!$F$2:$F$2177,'Pivot Tabel 1'!G17)</f>
        <v>44</v>
      </c>
    </row>
    <row r="18" spans="3:11" ht="18" thickTop="1" thickBot="1" x14ac:dyDescent="0.35">
      <c r="C18" s="80" t="s">
        <v>2191</v>
      </c>
      <c r="D18" s="81" t="s">
        <v>2197</v>
      </c>
      <c r="E18" s="81" t="s">
        <v>2212</v>
      </c>
      <c r="F18" s="81" t="s">
        <v>2204</v>
      </c>
      <c r="G18" s="81" t="s">
        <v>2214</v>
      </c>
      <c r="H18" s="81">
        <v>388</v>
      </c>
      <c r="I18" s="79">
        <f>SUMIFS('raw data'!$K$2:$K$2177,'raw data'!$B$2:$B$2177,C18,'raw data'!$C$2:$C$2177,D18,'raw data'!$E$2:$E$2177,'Pivot Tabel 1'!E18,'raw data'!$D$2:$D$2177,'Pivot Tabel 1'!F18,'raw data'!$F$2:$F$2177,'Pivot Tabel 1'!G18)</f>
        <v>29</v>
      </c>
    </row>
    <row r="19" spans="3:11" ht="18" thickTop="1" thickBot="1" x14ac:dyDescent="0.35">
      <c r="C19" s="82" t="s">
        <v>2190</v>
      </c>
      <c r="D19" s="83" t="s">
        <v>2199</v>
      </c>
      <c r="E19" s="83" t="s">
        <v>2212</v>
      </c>
      <c r="F19" s="83" t="s">
        <v>2204</v>
      </c>
      <c r="G19" s="83" t="s">
        <v>2217</v>
      </c>
      <c r="H19" s="83">
        <v>386</v>
      </c>
      <c r="I19" s="79">
        <f>SUMIFS('raw data'!$K$2:$K$2177,'raw data'!$B$2:$B$2177,C19,'raw data'!$C$2:$C$2177,D19,'raw data'!$E$2:$E$2177,'Pivot Tabel 1'!E19,'raw data'!$D$2:$D$2177,'Pivot Tabel 1'!F19,'raw data'!$F$2:$F$2177,'Pivot Tabel 1'!G19)</f>
        <v>43</v>
      </c>
    </row>
    <row r="20" spans="3:11" ht="17.25" thickTop="1" x14ac:dyDescent="0.3">
      <c r="C20" s="80" t="s">
        <v>2194</v>
      </c>
      <c r="D20" s="81" t="s">
        <v>2200</v>
      </c>
      <c r="E20" s="81" t="s">
        <v>2209</v>
      </c>
      <c r="F20" s="81" t="s">
        <v>2204</v>
      </c>
      <c r="G20" s="81" t="s">
        <v>2217</v>
      </c>
      <c r="H20" s="84">
        <v>382</v>
      </c>
      <c r="I20" s="79">
        <f>SUMIFS('raw data'!$K$2:$K$2177,'raw data'!$B$2:$B$2177,C20,'raw data'!$C$2:$C$2177,D20,'raw data'!$E$2:$E$2177,'Pivot Tabel 1'!E20,'raw data'!$D$2:$D$2177,'Pivot Tabel 1'!F20,'raw data'!$F$2:$F$2177,'Pivot Tabel 1'!G20)</f>
        <v>39</v>
      </c>
    </row>
    <row r="22" spans="3:11" x14ac:dyDescent="0.3">
      <c r="C22" t="s">
        <v>2242</v>
      </c>
      <c r="E22" t="s">
        <v>2375</v>
      </c>
    </row>
    <row r="23" spans="3:11" x14ac:dyDescent="0.3">
      <c r="C23" s="91" t="s">
        <v>2374</v>
      </c>
      <c r="E23" s="93" t="s">
        <v>2342</v>
      </c>
      <c r="F23" s="93" t="s">
        <v>2343</v>
      </c>
      <c r="G23" s="93" t="s">
        <v>2376</v>
      </c>
      <c r="H23" s="93" t="s">
        <v>2377</v>
      </c>
      <c r="I23" s="93" t="s">
        <v>2378</v>
      </c>
      <c r="J23" s="94" t="s">
        <v>2266</v>
      </c>
      <c r="K23" s="95" t="s">
        <v>2379</v>
      </c>
    </row>
    <row r="24" spans="3:11" x14ac:dyDescent="0.3">
      <c r="C24" s="90">
        <v>11477478364.100012</v>
      </c>
      <c r="E24" s="96" t="s">
        <v>2190</v>
      </c>
      <c r="F24" s="96" t="s">
        <v>2198</v>
      </c>
      <c r="G24" s="96">
        <f>AVERAGEIFS('raw data'!$H$2:$H$2177,'raw data'!$B$2:$B$2177,$E$24,'raw data'!$C$2:$C$2177,$F$24,'raw data'!$H$2:$H$2177,"&lt;&gt;0")</f>
        <v>31.082608695652183</v>
      </c>
      <c r="H24" s="97">
        <f>AVERAGEIFS('raw data'!G2:G2177,'raw data'!$B$2:$B$2177,$E$24,'raw data'!$C$2:$C$2177,$F$24,'raw data'!$H$2:$H$2177,"&lt;&gt;0")</f>
        <v>185.16043478260872</v>
      </c>
      <c r="I24" s="98">
        <f>SUMIFS('raw data'!K2:K2177,'raw data'!$B$2:$B$2177,$E$24,'raw data'!$C$2:$C$2177,$F$24,'raw data'!$H$2:$H$2177,"&lt;&gt;0")</f>
        <v>625</v>
      </c>
      <c r="J24" s="96">
        <f>GETPIVOTDATA("Inventory  Age",'Pivot Table 0'!$D$129,"category","Outerwear","brand","Banana Republic","size","L")</f>
        <v>27</v>
      </c>
      <c r="K24" s="92">
        <f>GETPIVOTDATA("purchase_date",'Pivot Table 2'!$G$175,"category","Outerwear","brand","Banana Republic")</f>
        <v>52</v>
      </c>
    </row>
    <row r="25" spans="3:11" x14ac:dyDescent="0.3">
      <c r="C25" s="13"/>
    </row>
    <row r="26" spans="3:11" x14ac:dyDescent="0.3">
      <c r="C26" s="124" t="s">
        <v>2373</v>
      </c>
    </row>
    <row r="27" spans="3:11" x14ac:dyDescent="0.3">
      <c r="C27" s="87">
        <v>1381631397.3000019</v>
      </c>
    </row>
    <row r="28" spans="3:11" x14ac:dyDescent="0.3">
      <c r="C28" s="13"/>
    </row>
    <row r="29" spans="3:11" x14ac:dyDescent="0.3">
      <c r="C29" s="89" t="s">
        <v>2372</v>
      </c>
    </row>
    <row r="30" spans="3:11" x14ac:dyDescent="0.3">
      <c r="C30" s="88">
        <f>(C27/C24)*100</f>
        <v>12.037760851909393</v>
      </c>
    </row>
    <row r="32" spans="3:11" x14ac:dyDescent="0.3">
      <c r="C32" t="s">
        <v>2400</v>
      </c>
    </row>
    <row r="33" spans="3:6" x14ac:dyDescent="0.3">
      <c r="C33" s="119" t="s">
        <v>2401</v>
      </c>
      <c r="D33" s="119" t="s">
        <v>2402</v>
      </c>
      <c r="E33" s="119" t="s">
        <v>2406</v>
      </c>
      <c r="F33" s="119" t="s">
        <v>2407</v>
      </c>
    </row>
    <row r="34" spans="3:6" x14ac:dyDescent="0.3">
      <c r="C34" s="119" t="s">
        <v>2403</v>
      </c>
      <c r="D34" s="119">
        <f>COUNTIFS('raw data'!$H$2:$H$2177,"&gt;31",'raw data'!$M$2:$M$2177,"TRUE",'raw data'!$H$2:$H$2177,"&lt;49")</f>
        <v>38</v>
      </c>
      <c r="E34" s="119">
        <f>COUNTIFS('raw data'!$H$2:$H$2177,"&gt;31",'raw data'!$H$2:$H$2177,"&lt;49")</f>
        <v>254</v>
      </c>
      <c r="F34" s="119">
        <v>14.960629921259844</v>
      </c>
    </row>
    <row r="35" spans="3:6" x14ac:dyDescent="0.3">
      <c r="C35" s="119" t="s">
        <v>2391</v>
      </c>
      <c r="D35" s="119">
        <f>COUNTIFS('raw data'!$H$2:$H$2177,"&lt;30",'raw data'!$H$2:$H$2177,"&gt;0",'raw data'!$M$2:$M$2177,"TRUE")</f>
        <v>72</v>
      </c>
      <c r="E35" s="119">
        <f>COUNTIFS('raw data'!$H$2:$H$2177,"&lt;30",'raw data'!$H$2:$H$2177,"&gt;0")</f>
        <v>447</v>
      </c>
      <c r="F35" s="119">
        <v>16.107382550335569</v>
      </c>
    </row>
    <row r="36" spans="3:6" x14ac:dyDescent="0.3">
      <c r="C36" s="119" t="s">
        <v>2404</v>
      </c>
      <c r="D36" s="119">
        <f>COUNTIFS('raw data'!$H$2:$H$2177,"&gt;40",'raw data'!$M$2:$M$2177,"TRUE")</f>
        <v>43</v>
      </c>
      <c r="E36" s="119">
        <f>COUNTIFS('raw data'!$H$2:$H$2177,"&gt;40")</f>
        <v>297</v>
      </c>
      <c r="F36" s="119">
        <f t="shared" ref="F36" si="0">(D36/E36)*100</f>
        <v>14.478114478114479</v>
      </c>
    </row>
    <row r="37" spans="3:6" x14ac:dyDescent="0.3">
      <c r="C37" s="119" t="s">
        <v>2405</v>
      </c>
      <c r="D37" s="119">
        <f>COUNTIFS('raw data'!$H$2:$H$2177,"&gt;50",'raw data'!$M$2:$M$2177,"TRUE")</f>
        <v>19</v>
      </c>
      <c r="E37" s="119">
        <f>COUNTIFS('raw data'!$H$2:$H$2177,"&gt;50")</f>
        <v>146</v>
      </c>
      <c r="F37" s="119">
        <v>13.013698630136986</v>
      </c>
    </row>
    <row r="39" spans="3:6" x14ac:dyDescent="0.3">
      <c r="C39" s="106" t="s">
        <v>2401</v>
      </c>
      <c r="D39" s="105" t="s">
        <v>2408</v>
      </c>
    </row>
    <row r="40" spans="3:6" x14ac:dyDescent="0.3">
      <c r="C40" s="120" t="s">
        <v>2403</v>
      </c>
      <c r="D40" s="123">
        <v>14.960629921259844</v>
      </c>
    </row>
    <row r="41" spans="3:6" x14ac:dyDescent="0.3">
      <c r="C41" s="120" t="s">
        <v>2391</v>
      </c>
      <c r="D41" s="121">
        <v>16.107382550335569</v>
      </c>
    </row>
    <row r="42" spans="3:6" x14ac:dyDescent="0.3">
      <c r="C42" s="104" t="s">
        <v>2405</v>
      </c>
      <c r="D42" s="122">
        <v>13.013698630136986</v>
      </c>
    </row>
  </sheetData>
  <sheetProtection password="C6E1" sheet="1" objects="1" scenarios="1" selectLockedCells="1" autoFilter="0" pivotTables="0"/>
  <pageMargins left="0.7" right="0.7" top="0.75" bottom="0.75" header="0.3" footer="0.3"/>
  <pageSetup paperSize="9" orientation="portrait" horizontalDpi="0" verticalDpi="0" r:id="rId2"/>
  <drawing r:id="rId3"/>
  <tableParts count="3">
    <tablePart r:id="rId4"/>
    <tablePart r:id="rId5"/>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5"/>
  <sheetViews>
    <sheetView showGridLines="0" zoomScale="70" zoomScaleNormal="70" workbookViewId="0">
      <selection activeCell="H26" sqref="H26"/>
    </sheetView>
  </sheetViews>
  <sheetFormatPr defaultRowHeight="15" x14ac:dyDescent="0.25"/>
  <cols>
    <col min="1" max="1" width="4.5" style="13" customWidth="1"/>
    <col min="2" max="5" width="9" style="13"/>
    <col min="6" max="6" width="3.875" style="13" customWidth="1"/>
    <col min="7" max="7" width="34.875" style="13" customWidth="1"/>
    <col min="8" max="8" width="24.625" style="13" customWidth="1"/>
    <col min="9" max="9" width="9.625" style="13" customWidth="1"/>
    <col min="10" max="10" width="9.375" style="13" customWidth="1"/>
    <col min="11" max="11" width="13" style="13" customWidth="1"/>
    <col min="12" max="12" width="11.125" style="13" customWidth="1"/>
    <col min="13" max="13" width="11.75" style="13" customWidth="1"/>
    <col min="14" max="14" width="13.125" style="13" customWidth="1"/>
    <col min="15" max="15" width="13.75" style="13" customWidth="1"/>
    <col min="16" max="16" width="12.625" style="13" customWidth="1"/>
    <col min="17" max="17" width="16.125" style="13" customWidth="1"/>
    <col min="18" max="18" width="25" style="13" customWidth="1"/>
    <col min="19" max="19" width="18.125" style="13" customWidth="1"/>
    <col min="20" max="20" width="16.375" style="13" customWidth="1"/>
    <col min="21" max="21" width="19" style="13" customWidth="1"/>
    <col min="22" max="22" width="16.75" style="13" customWidth="1"/>
    <col min="23" max="23" width="10.875" style="13" customWidth="1"/>
    <col min="24" max="24" width="14.375" style="13" customWidth="1"/>
    <col min="25" max="25" width="11.5" style="13" customWidth="1"/>
    <col min="26" max="26" width="12.5" style="13" customWidth="1"/>
    <col min="27" max="27" width="17.5" style="13" customWidth="1"/>
    <col min="28" max="28" width="13.125" style="13" customWidth="1"/>
    <col min="29" max="29" width="13.75" style="13" customWidth="1"/>
    <col min="30" max="30" width="9.625" style="13" customWidth="1"/>
    <col min="31" max="31" width="9.375" style="13" customWidth="1"/>
    <col min="32" max="32" width="11.75" style="13" customWidth="1"/>
    <col min="33" max="33" width="7.75" style="13" customWidth="1"/>
    <col min="34" max="34" width="6.375" style="13" customWidth="1"/>
    <col min="35" max="35" width="13.375" style="13" customWidth="1"/>
    <col min="36" max="36" width="13.125" style="13" customWidth="1"/>
    <col min="37" max="37" width="11.5" style="13" customWidth="1"/>
    <col min="38" max="38" width="12.625" style="13" customWidth="1"/>
    <col min="39" max="39" width="13.875" style="13" customWidth="1"/>
    <col min="40" max="40" width="14.875" style="13" customWidth="1"/>
    <col min="41" max="41" width="9.25" style="13" customWidth="1"/>
    <col min="42" max="42" width="12.375" style="13" customWidth="1"/>
    <col min="43" max="43" width="9.5" style="13" customWidth="1"/>
    <col min="44" max="44" width="11.5" style="13" customWidth="1"/>
    <col min="45" max="45" width="15.5" style="13" customWidth="1"/>
    <col min="46" max="46" width="13.875" style="13" customWidth="1"/>
    <col min="47" max="47" width="14.875" style="13" customWidth="1"/>
    <col min="48" max="48" width="9.25" style="13" customWidth="1"/>
    <col min="49" max="49" width="12.375" style="13" customWidth="1"/>
    <col min="50" max="50" width="9.5" style="13" customWidth="1"/>
    <col min="51" max="51" width="11.5" style="13" customWidth="1"/>
    <col min="52" max="52" width="11" style="13" customWidth="1"/>
    <col min="53" max="53" width="13.875" style="13" customWidth="1"/>
    <col min="54" max="54" width="14.875" style="13" customWidth="1"/>
    <col min="55" max="55" width="9.25" style="13" customWidth="1"/>
    <col min="56" max="56" width="12.375" style="13" customWidth="1"/>
    <col min="57" max="57" width="9.5" style="13" customWidth="1"/>
    <col min="58" max="58" width="11.5" style="13" customWidth="1"/>
    <col min="59" max="59" width="9.875" style="13" customWidth="1"/>
    <col min="60" max="61" width="11.25" style="13" customWidth="1"/>
    <col min="62" max="65" width="9.875" style="13" customWidth="1"/>
    <col min="66" max="66" width="9.875" style="13" bestFit="1" customWidth="1"/>
    <col min="67" max="77" width="9.875" style="13" customWidth="1"/>
    <col min="78" max="280" width="9.875" style="13" bestFit="1" customWidth="1"/>
    <col min="281" max="16384" width="9" style="13"/>
  </cols>
  <sheetData>
    <row r="1" spans="1:28" x14ac:dyDescent="0.25">
      <c r="A1" s="12" t="s">
        <v>2232</v>
      </c>
      <c r="F1" s="13" t="s">
        <v>2360</v>
      </c>
      <c r="G1" s="31" t="s">
        <v>2278</v>
      </c>
    </row>
    <row r="2" spans="1:28" x14ac:dyDescent="0.25">
      <c r="A2" s="13" t="s">
        <v>2233</v>
      </c>
      <c r="B2" s="12" t="s">
        <v>2234</v>
      </c>
      <c r="G2" s="60">
        <f>(SUMIF('raw data'!$H$2:$H$2177,"&gt;0",'raw data'!$K$2:$K$2177)/SUM('raw data'!$K$2:$K$2177))</f>
        <v>0.40709481249424123</v>
      </c>
    </row>
    <row r="3" spans="1:28" x14ac:dyDescent="0.25">
      <c r="A3" s="13">
        <v>1</v>
      </c>
      <c r="B3" s="13" t="s">
        <v>2235</v>
      </c>
    </row>
    <row r="4" spans="1:28" x14ac:dyDescent="0.25">
      <c r="A4" s="13">
        <v>2</v>
      </c>
      <c r="B4" s="13" t="s">
        <v>2236</v>
      </c>
      <c r="F4" s="12" t="s">
        <v>2246</v>
      </c>
      <c r="G4" s="12" t="s">
        <v>2247</v>
      </c>
    </row>
    <row r="5" spans="1:28" x14ac:dyDescent="0.25">
      <c r="A5" s="13">
        <v>3</v>
      </c>
      <c r="B5" s="13" t="s">
        <v>2237</v>
      </c>
      <c r="F5" s="13" t="s">
        <v>2359</v>
      </c>
      <c r="G5" s="12" t="s">
        <v>2248</v>
      </c>
      <c r="R5" s="13" t="s">
        <v>2381</v>
      </c>
      <c r="S5" s="13" t="s">
        <v>2384</v>
      </c>
      <c r="T5" s="13" t="s">
        <v>2349</v>
      </c>
      <c r="U5" s="112" t="s">
        <v>2385</v>
      </c>
      <c r="V5" s="13" t="s">
        <v>2386</v>
      </c>
    </row>
    <row r="6" spans="1:28" x14ac:dyDescent="0.25">
      <c r="A6" s="13" t="s">
        <v>2238</v>
      </c>
      <c r="B6" s="12" t="s">
        <v>2239</v>
      </c>
      <c r="G6" s="61" t="s">
        <v>2277</v>
      </c>
      <c r="H6" s="13" t="s">
        <v>2280</v>
      </c>
      <c r="R6" s="62" t="s">
        <v>2382</v>
      </c>
      <c r="S6" s="113">
        <f>(COUNTIF('raw data'!$H$2:$H$2177,"&gt;12")/COUNT('raw data'!$K$2:$K$2177))*100</f>
        <v>31.985294117647058</v>
      </c>
      <c r="T6" s="99">
        <f>SUMIFS('raw data'!$K$2:$K$2177,'raw data'!$H$2:$H$2177,"&gt;12")</f>
        <v>17515</v>
      </c>
      <c r="U6" s="114">
        <f>(SUMIF('raw data'!$H$2:$H$2177,"&gt;12",'raw data'!$K$2:$K$2177)/SUM('raw data'!$K$2:$K$2177))*100</f>
        <v>32.276789827697414</v>
      </c>
      <c r="V6" s="114">
        <f>AVERAGEIFS('raw data'!$K$2:$K$2177,'raw data'!$H$2:$H$2177,"&gt;12")</f>
        <v>25.165229885057471</v>
      </c>
    </row>
    <row r="7" spans="1:28" x14ac:dyDescent="0.25">
      <c r="A7" s="13">
        <v>4</v>
      </c>
      <c r="B7" s="13" t="s">
        <v>2240</v>
      </c>
      <c r="G7" s="59">
        <f>(SUMIF('raw data'!$H$2:$H$2177,"=0",'raw data'!$K$2:$K$2177)/SUM('raw data'!$K$2:$K$2177))</f>
        <v>0.59290518750575882</v>
      </c>
      <c r="R7" s="13" t="s">
        <v>2383</v>
      </c>
      <c r="S7" s="113">
        <f>(COUNTIFS('raw data'!$H$2:$H$2177,"&lt;12",'raw data'!$H$2:$H$2177,"&gt;0")/COUNT('raw data'!$K$2:$K$2177))*100</f>
        <v>8.2720588235294112</v>
      </c>
      <c r="T7" s="99">
        <f>SUMIFS('raw data'!$K$2:$K$2177,'raw data'!$H$2:$H$2177,"&lt;12",'raw data'!$H$2:$H$2177,"&gt;0")</f>
        <v>4558</v>
      </c>
      <c r="U7" s="115">
        <f>(SUMIFS('raw data'!$K$2:$K$2177,'raw data'!$H$2:$H$2177,"&lt;12",'raw data'!$H$2:$H$2177,"&gt;0")/SUM('raw data'!$K$2:$K$2177))*100</f>
        <v>8.399520869805583</v>
      </c>
      <c r="V7" s="114">
        <f>AVERAGEIFS('raw data'!$K$2:$K$2177,'raw data'!$H$2:$H$2177,"&gt;0",'raw data'!$H$2:$H$2177,"&lt;12")</f>
        <v>25.322222222222223</v>
      </c>
    </row>
    <row r="8" spans="1:28" x14ac:dyDescent="0.25">
      <c r="A8" s="13">
        <v>5</v>
      </c>
      <c r="B8" s="13" t="s">
        <v>2241</v>
      </c>
      <c r="G8" s="61" t="s">
        <v>2364</v>
      </c>
    </row>
    <row r="9" spans="1:28" ht="15.75" thickBot="1" x14ac:dyDescent="0.3">
      <c r="A9" s="13">
        <v>6</v>
      </c>
      <c r="B9" s="13" t="s">
        <v>2242</v>
      </c>
      <c r="G9" s="124">
        <f>MAX('raw data'!$H$2:$H$2177)-MIN('raw data'!$H$2:$H$2177)</f>
        <v>59.9</v>
      </c>
      <c r="R9" s="101" t="s">
        <v>2381</v>
      </c>
      <c r="S9" s="102" t="s">
        <v>2384</v>
      </c>
      <c r="T9" s="103" t="s">
        <v>2393</v>
      </c>
      <c r="W9" s="13" t="s">
        <v>2381</v>
      </c>
      <c r="X9" s="13" t="s">
        <v>2384</v>
      </c>
      <c r="Y9" s="13" t="s">
        <v>2349</v>
      </c>
      <c r="Z9" s="112" t="s">
        <v>2385</v>
      </c>
      <c r="AA9" s="13" t="s">
        <v>2397</v>
      </c>
    </row>
    <row r="10" spans="1:28" ht="15.75" thickTop="1" x14ac:dyDescent="0.25">
      <c r="A10" s="13">
        <v>7</v>
      </c>
      <c r="B10" s="13" t="s">
        <v>2243</v>
      </c>
      <c r="G10" s="61" t="s">
        <v>2361</v>
      </c>
      <c r="R10" s="111" t="s">
        <v>2387</v>
      </c>
      <c r="S10" s="114">
        <f>(COUNTIF('raw data'!$H$2:$H$2177,"&gt;31")/COUNT('raw data'!$K$2:$K$2177))*100</f>
        <v>19.255514705882355</v>
      </c>
      <c r="T10" s="114">
        <f>AVERAGEIFS('raw data'!$K$2:$K$2177,'raw data'!$H$2:$H$2177,"&gt;31")</f>
        <v>25.30310262529833</v>
      </c>
      <c r="W10" s="62" t="s">
        <v>2387</v>
      </c>
      <c r="X10" s="113">
        <f>(COUNTIF('raw data'!$H$2:$H$2177,"&gt;31")/COUNT('raw data'!$K$2:$K$2177))*100</f>
        <v>19.255514705882355</v>
      </c>
      <c r="Y10" s="99">
        <f>SUMIFS('raw data'!$K$2:$K$2177,'raw data'!$H$2:$H$2177,"&gt;31")</f>
        <v>10602</v>
      </c>
      <c r="Z10" s="114">
        <f>(SUMIF('raw data'!$H$2:$H$2177,"&gt;31",'raw data'!$K$2:$K$2177)/SUM('raw data'!$K$2:$K$2177))*100</f>
        <v>19.537455081544273</v>
      </c>
      <c r="AA10" s="114">
        <f>AVERAGEIFS('raw data'!$K$2:$K$2177,'raw data'!$H$2:$H$2177,"&gt;31")</f>
        <v>25.30310262529833</v>
      </c>
    </row>
    <row r="11" spans="1:28" x14ac:dyDescent="0.25">
      <c r="A11" s="13">
        <v>8</v>
      </c>
      <c r="B11" s="13" t="s">
        <v>2244</v>
      </c>
      <c r="G11" s="64">
        <f>SUM('raw data'!$P$2:$P$2177)/SUM('raw data'!$K$2:$K$2177)</f>
        <v>12.274513959273934</v>
      </c>
      <c r="R11" s="100" t="s">
        <v>2395</v>
      </c>
      <c r="S11" s="117">
        <f>(COUNTIFS('raw data'!$H$2:$H$2177,"&lt;30",'raw data'!$H$2:$H$2177,"&gt;0")/COUNT('raw data'!$K$2:$K$2177))*100</f>
        <v>20.542279411764707</v>
      </c>
      <c r="T11" s="114">
        <f>AVERAGEIFS('raw data'!$K$2:$K$2177,'raw data'!$H$2:$H$2177,"&gt;0",'raw data'!$H$2:$H$2177,"&lt;30")</f>
        <v>25.228187919463089</v>
      </c>
      <c r="W11" s="13" t="s">
        <v>2388</v>
      </c>
      <c r="X11" s="113">
        <f>(COUNTIFS('raw data'!$H$2:$H$2177,"&lt;30",'raw data'!$H$2:$H$2177,"&gt;0")/COUNT('raw data'!$K$2:$K$2177))*100</f>
        <v>20.542279411764707</v>
      </c>
      <c r="Y11" s="99">
        <f>SUMIFS('raw data'!$K$2:$K$2177,'raw data'!$H$2:$H$2177,"&lt;30",'raw data'!$H$2:$H$2177,"&gt;0")</f>
        <v>11277</v>
      </c>
      <c r="Z11" s="115">
        <f>(SUMIFS('raw data'!$K$2:$K$2177,'raw data'!$H$2:$H$2177,"&lt;30",'raw data'!$H$2:$H$2177,"&gt;0")/SUM('raw data'!$K$2:$K$2177))*100</f>
        <v>20.781350778586567</v>
      </c>
      <c r="AA11" s="114">
        <f>AVERAGEIFS('raw data'!$K$2:$K$2177,'raw data'!$H$2:$H$2177,"&gt;0",'raw data'!$H$2:$H$2177,"&lt;30")</f>
        <v>25.228187919463089</v>
      </c>
    </row>
    <row r="12" spans="1:28" x14ac:dyDescent="0.25">
      <c r="A12" s="13">
        <v>9</v>
      </c>
      <c r="B12" s="13" t="s">
        <v>2245</v>
      </c>
      <c r="R12" s="118" t="s">
        <v>2398</v>
      </c>
      <c r="S12" s="116">
        <f>(COUNTIF('raw data'!$H$2:$H$2177,"=0")/COUNT('raw data'!$K$2:$K$2177))*100</f>
        <v>59.650735294117652</v>
      </c>
      <c r="T12" s="114">
        <f>AVERAGEIFS('raw data'!$K$2:$K$2177,'raw data'!$H$2:$H$2177,"=0")</f>
        <v>24.787365177195685</v>
      </c>
      <c r="W12" s="29" t="s">
        <v>2396</v>
      </c>
      <c r="X12" s="113">
        <f>(COUNTIF('raw data'!$H$2:$H$2177,"=0")/COUNT('raw data'!$K$2:$K$2177))*100</f>
        <v>59.650735294117652</v>
      </c>
      <c r="Y12" s="118">
        <f>SUMIFS('raw data'!$K$2:$K$2177,'raw data'!$H$2:$H$2177,"=012")</f>
        <v>18</v>
      </c>
      <c r="Z12" s="114">
        <f>(SUMIF('raw data'!$H$2:$H$2177,"=0",'raw data'!$K$2:$K$2177)/SUM('raw data'!$K$2:$K$2177))*100</f>
        <v>59.290518750575885</v>
      </c>
      <c r="AA12" s="114">
        <f>AVERAGEIFS('raw data'!$K$2:$K$2177,'raw data'!$H$2:$H$2177,"=0")</f>
        <v>24.787365177195685</v>
      </c>
    </row>
    <row r="13" spans="1:28" x14ac:dyDescent="0.25">
      <c r="A13" s="12" t="s">
        <v>2246</v>
      </c>
      <c r="B13" s="12" t="s">
        <v>2247</v>
      </c>
      <c r="AB13" s="13" t="s">
        <v>2390</v>
      </c>
    </row>
    <row r="14" spans="1:28" x14ac:dyDescent="0.25">
      <c r="A14" s="13">
        <v>10</v>
      </c>
      <c r="B14" s="13" t="s">
        <v>2248</v>
      </c>
      <c r="G14" s="13" t="s">
        <v>2309</v>
      </c>
      <c r="Z14" s="13" t="s">
        <v>2389</v>
      </c>
      <c r="AA14" s="13">
        <f>SUMIF('raw data'!$H$2:$H$2177,"&gt;31",'raw data'!$K$2:$K$2177)</f>
        <v>10602</v>
      </c>
      <c r="AB14" s="13">
        <f>AA14/AA15</f>
        <v>25.30310262529833</v>
      </c>
    </row>
    <row r="15" spans="1:28" ht="16.5" x14ac:dyDescent="0.3">
      <c r="A15" s="13">
        <v>11</v>
      </c>
      <c r="B15" s="13" t="s">
        <v>2249</v>
      </c>
      <c r="G15" s="107" t="s">
        <v>2256</v>
      </c>
      <c r="H15" t="s">
        <v>2281</v>
      </c>
      <c r="J15" s="13" t="s">
        <v>2362</v>
      </c>
      <c r="AA15" s="13">
        <f>COUNTIF('raw data'!$H$2:$H$2177,"&gt;31")</f>
        <v>419</v>
      </c>
    </row>
    <row r="16" spans="1:28" ht="16.5" x14ac:dyDescent="0.3">
      <c r="A16" s="13">
        <v>12</v>
      </c>
      <c r="B16" s="13" t="s">
        <v>2250</v>
      </c>
      <c r="G16" s="108" t="s">
        <v>2192</v>
      </c>
      <c r="H16" s="109">
        <v>59.9</v>
      </c>
      <c r="J16" s="13" t="s">
        <v>2342</v>
      </c>
      <c r="K16" s="13" t="s">
        <v>2350</v>
      </c>
      <c r="L16" s="13" t="s">
        <v>2349</v>
      </c>
      <c r="M16" s="13" t="s">
        <v>2366</v>
      </c>
      <c r="U16"/>
      <c r="Z16" s="13" t="s">
        <v>2391</v>
      </c>
      <c r="AA16" s="13">
        <f>SUMIFS('raw data'!$K$2:$K$2177,'raw data'!$H$2:$H$2177,"&lt;30",'raw data'!$H$2:$H$2177,"&gt;0")</f>
        <v>11277</v>
      </c>
      <c r="AB16" s="13">
        <f>AA16/AA17</f>
        <v>25.228187919463089</v>
      </c>
    </row>
    <row r="17" spans="1:28" ht="16.5" x14ac:dyDescent="0.3">
      <c r="A17" s="13">
        <v>13</v>
      </c>
      <c r="B17" s="13" t="s">
        <v>2251</v>
      </c>
      <c r="G17" s="108" t="s">
        <v>2194</v>
      </c>
      <c r="H17" s="109">
        <v>59.4</v>
      </c>
      <c r="J17" s="16" t="s">
        <v>2192</v>
      </c>
      <c r="K17" s="14">
        <v>59.9</v>
      </c>
      <c r="L17" s="13">
        <f>SUMIFS('raw data'!$K$2:$K$2177,'raw data'!$B$2:$B$2177,"Accessories",'raw data'!$H$2:$H$2177,"=59,9")</f>
        <v>47</v>
      </c>
      <c r="M17" s="13">
        <f>COUNTIFS('raw data'!$B$2:$B$2177,Table6[[#This Row],[Category]],'raw data'!$H$2:$H$2177,Table6[[#This Row],[Max of Markdown Precentage]])</f>
        <v>1</v>
      </c>
      <c r="P17" s="13" t="s">
        <v>2348</v>
      </c>
      <c r="Q17" s="13">
        <f>MAX('raw data'!K2:K2177)</f>
        <v>50</v>
      </c>
      <c r="U17"/>
      <c r="AA17" s="13">
        <f>COUNTIFS('raw data'!$H$2:$H$2177,"&lt;30",'raw data'!$H$2:$H$2177,"&gt;0")</f>
        <v>447</v>
      </c>
    </row>
    <row r="18" spans="1:28" ht="16.5" x14ac:dyDescent="0.3">
      <c r="A18" s="13">
        <v>14</v>
      </c>
      <c r="B18" s="13" t="s">
        <v>2252</v>
      </c>
      <c r="G18" s="108" t="s">
        <v>2195</v>
      </c>
      <c r="H18" s="109">
        <v>59.8</v>
      </c>
      <c r="J18" s="16" t="s">
        <v>2194</v>
      </c>
      <c r="K18" s="14">
        <v>59.4</v>
      </c>
      <c r="L18" s="13">
        <f>SUMIFS('raw data'!$K$2:$K$2177,'raw data'!$B$2:$B$2177,"Bottoms",'raw data'!$H$2:$H$2177,"=59,4")</f>
        <v>40</v>
      </c>
      <c r="M18" s="13">
        <f>COUNTIFS('raw data'!$B$2:$B$2177,Table6[[#This Row],[Category]],'raw data'!$H$2:$H$2177,Table6[[#This Row],[Max of Markdown Precentage]])</f>
        <v>1</v>
      </c>
      <c r="U18"/>
      <c r="Z18" s="13">
        <f>0</f>
        <v>0</v>
      </c>
      <c r="AA18" s="13">
        <f>SUMIF('raw data'!$H$2:$H$2177,"=0",'raw data'!$K$2:$K$2177)</f>
        <v>32174</v>
      </c>
      <c r="AB18" s="13">
        <f>AA18/AA19</f>
        <v>24.787365177195685</v>
      </c>
    </row>
    <row r="19" spans="1:28" ht="16.5" x14ac:dyDescent="0.3">
      <c r="A19" s="13">
        <v>15</v>
      </c>
      <c r="B19" s="13" t="s">
        <v>2253</v>
      </c>
      <c r="G19" s="108" t="s">
        <v>2190</v>
      </c>
      <c r="H19" s="109">
        <v>59.8</v>
      </c>
      <c r="J19" s="16" t="s">
        <v>2195</v>
      </c>
      <c r="K19" s="14">
        <v>59.8</v>
      </c>
      <c r="L19" s="13">
        <f>SUMIFS('raw data'!$K$2:$K$2177,'raw data'!$B$2:$B$2177,"Dresses",'raw data'!$H$2:$H$2177,"=59,8")</f>
        <v>34</v>
      </c>
      <c r="M19" s="13">
        <f>COUNTIFS('raw data'!$B$2:$B$2177,Table6[[#This Row],[Category]],'raw data'!$H$2:$H$2177,Table6[[#This Row],[Max of Markdown Precentage]])</f>
        <v>1</v>
      </c>
      <c r="U19"/>
      <c r="AA19" s="13">
        <f>COUNTIF('raw data'!$H$2:$H$2177,"=0")</f>
        <v>1298</v>
      </c>
    </row>
    <row r="20" spans="1:28" ht="16.5" x14ac:dyDescent="0.3">
      <c r="G20" s="108" t="s">
        <v>2193</v>
      </c>
      <c r="H20" s="109">
        <v>59.8</v>
      </c>
      <c r="J20" s="16" t="s">
        <v>2190</v>
      </c>
      <c r="K20" s="14">
        <v>59.8</v>
      </c>
      <c r="L20" s="13">
        <f>SUMIFS('raw data'!$K$2:$K$2177,'raw data'!$B$2:$B$2177,"Outerwear",'raw data'!$H$2:$H$2177,"=59,8")</f>
        <v>10</v>
      </c>
      <c r="M20" s="13">
        <f>COUNTIFS('raw data'!$B$2:$B$2177,Table6[[#This Row],[Category]],'raw data'!$H$2:$H$2177,Table6[[#This Row],[Max of Markdown Precentage]])</f>
        <v>1</v>
      </c>
      <c r="U20"/>
      <c r="Z20" s="13" t="s">
        <v>2321</v>
      </c>
      <c r="AA20" s="13">
        <f>SUMIF('raw data'!$H$2:$H$2177,"&gt;50",'raw data'!$K$2:$K$2177)</f>
        <v>3600</v>
      </c>
      <c r="AB20" s="13">
        <f>AA20/AA21</f>
        <v>24.657534246575342</v>
      </c>
    </row>
    <row r="21" spans="1:28" ht="16.5" x14ac:dyDescent="0.3">
      <c r="G21" s="108" t="s">
        <v>2191</v>
      </c>
      <c r="H21" s="109">
        <v>59.5</v>
      </c>
      <c r="J21" s="16" t="s">
        <v>2193</v>
      </c>
      <c r="K21" s="14">
        <v>59.8</v>
      </c>
      <c r="L21" s="13">
        <f>SUMIFS('raw data'!$K$2:$K$2177,'raw data'!$B$2:$B$2177,"Shoes",'raw data'!$H$2:$H$2177,"=59,8")</f>
        <v>33</v>
      </c>
      <c r="M21" s="13">
        <f>COUNTIFS('raw data'!$B$2:$B$2177,Table6[[#This Row],[Category]],'raw data'!$H$2:$H$2177,Table6[[#This Row],[Max of Markdown Precentage]])</f>
        <v>1</v>
      </c>
      <c r="U21"/>
      <c r="AA21" s="13">
        <f>COUNTIF('raw data'!$H$2:$H$2177,"&gt;50")</f>
        <v>146</v>
      </c>
    </row>
    <row r="22" spans="1:28" ht="16.5" x14ac:dyDescent="0.3">
      <c r="G22" s="108" t="s">
        <v>2257</v>
      </c>
      <c r="H22" s="109">
        <v>59.9</v>
      </c>
      <c r="J22" s="16" t="s">
        <v>2191</v>
      </c>
      <c r="K22" s="14">
        <v>59.5</v>
      </c>
      <c r="L22" s="13">
        <f>SUMIFS('raw data'!$K$2:$K$2177,'raw data'!$B$2:$B$2177,"Tops",'raw data'!$H$2:$H$2177,"59,5")</f>
        <v>2</v>
      </c>
      <c r="M22" s="13">
        <f>COUNTIFS('raw data'!$B$2:$B$2177,Table6[[#This Row],[Category]],'raw data'!$H$2:$H$2177,Table6[[#This Row],[Max of Markdown Precentage]])</f>
        <v>1</v>
      </c>
      <c r="U22"/>
      <c r="Z22" s="13" t="s">
        <v>2392</v>
      </c>
      <c r="AA22" s="13">
        <f>SUMIFS('raw data'!$K$2:$K$2177,'raw data'!$H$2:$H$2177,"&lt;50",'raw data'!$H$2:$H$2177,"&gt;0")</f>
        <v>18416</v>
      </c>
      <c r="AB22" s="13">
        <f>AA22/AA23</f>
        <v>25.262002743484224</v>
      </c>
    </row>
    <row r="23" spans="1:28" ht="16.5" x14ac:dyDescent="0.3">
      <c r="F23" s="13" t="s">
        <v>2363</v>
      </c>
      <c r="G23" s="12" t="s">
        <v>2297</v>
      </c>
      <c r="U23"/>
      <c r="AA23" s="13">
        <f>COUNTIFS('raw data'!$H$2:$H$2177,"&lt;50",'raw data'!$H$2:$H$2177,"&gt;0")</f>
        <v>729</v>
      </c>
    </row>
    <row r="24" spans="1:28" ht="16.5" x14ac:dyDescent="0.3">
      <c r="G24" s="16" t="s">
        <v>2282</v>
      </c>
      <c r="S24"/>
      <c r="T24"/>
      <c r="U24"/>
      <c r="Z24" s="13" t="s">
        <v>2394</v>
      </c>
      <c r="AA24" s="13">
        <f>SUMIF('raw data'!$H$2:$H$2177,"&gt;58",'raw data'!$K$2:$K$2177)</f>
        <v>854</v>
      </c>
      <c r="AB24" s="13">
        <f>AA24/AA25</f>
        <v>28.466666666666665</v>
      </c>
    </row>
    <row r="25" spans="1:28" ht="16.5" x14ac:dyDescent="0.3">
      <c r="G25" s="61" t="s">
        <v>2283</v>
      </c>
      <c r="S25"/>
      <c r="T25"/>
      <c r="U25"/>
      <c r="AA25" s="13">
        <f>COUNTIF('raw data'!$H$2:$H$2177,"&gt;58")</f>
        <v>30</v>
      </c>
    </row>
    <row r="26" spans="1:28" ht="16.5" x14ac:dyDescent="0.3">
      <c r="G26" s="64">
        <f>AVERAGE('raw data'!$L$2:$L$2177)</f>
        <v>2.9871718356644599</v>
      </c>
      <c r="S26"/>
      <c r="T26"/>
      <c r="U26"/>
      <c r="Z26" s="13" t="s">
        <v>2392</v>
      </c>
      <c r="AA26" s="13">
        <f>SUMIFS('raw data'!$K$2:$K$2177,'raw data'!$H$2:$H$2177,"&lt;58",'raw data'!$H$2:$H$2177,"&gt;0")</f>
        <v>21210</v>
      </c>
      <c r="AB26" s="13">
        <f>AA26/AA27</f>
        <v>25.070921985815602</v>
      </c>
    </row>
    <row r="27" spans="1:28" ht="16.5" x14ac:dyDescent="0.3">
      <c r="G27" s="61" t="s">
        <v>2284</v>
      </c>
      <c r="S27"/>
      <c r="T27"/>
      <c r="U27"/>
      <c r="AA27" s="13">
        <f>COUNTIFS('raw data'!$H$2:$H$2177,"&lt;58",'raw data'!$H$2:$H$2177,"&gt;0")</f>
        <v>846</v>
      </c>
    </row>
    <row r="28" spans="1:28" ht="16.5" x14ac:dyDescent="0.3">
      <c r="G28" s="64">
        <f>MAX('raw data'!$L$2:$L$2177)</f>
        <v>5</v>
      </c>
      <c r="S28"/>
      <c r="T28"/>
      <c r="U28"/>
    </row>
    <row r="29" spans="1:28" ht="16.5" x14ac:dyDescent="0.3">
      <c r="S29"/>
      <c r="T29"/>
      <c r="U29"/>
    </row>
    <row r="30" spans="1:28" ht="16.5" x14ac:dyDescent="0.3">
      <c r="I30" s="65" t="s">
        <v>2310</v>
      </c>
      <c r="J30" s="66" t="s">
        <v>2311</v>
      </c>
      <c r="K30" s="66" t="s">
        <v>2312</v>
      </c>
      <c r="L30" s="66" t="s">
        <v>2313</v>
      </c>
      <c r="M30" s="67" t="s">
        <v>2314</v>
      </c>
      <c r="O30" s="61" t="s">
        <v>2310</v>
      </c>
      <c r="P30" s="61" t="s">
        <v>2409</v>
      </c>
      <c r="Q30" s="61" t="s">
        <v>2313</v>
      </c>
      <c r="R30" s="61" t="s">
        <v>2314</v>
      </c>
      <c r="S30"/>
      <c r="T30"/>
      <c r="U30"/>
    </row>
    <row r="31" spans="1:28" ht="16.5" x14ac:dyDescent="0.3">
      <c r="I31" s="30">
        <v>5</v>
      </c>
      <c r="J31" s="124">
        <f>COUNTIFS('raw data'!$L$2:$L$2177,"=5",'raw data'!$M$2:$M$2177,TRUE)</f>
        <v>2</v>
      </c>
      <c r="K31" s="124">
        <f>AVERAGEIFS('raw data'!$H$2:$H$2177,'raw data'!$L$2:$L$2177,"=5",'raw data'!$M$2:$M$2177,TRUE)</f>
        <v>0</v>
      </c>
      <c r="L31" s="31" t="s">
        <v>2225</v>
      </c>
      <c r="M31" s="32">
        <f>COUNTIFS('raw data'!$L$2:$L$2177,"=5",'raw data'!$N$2:$N$2177,"Color Mismatch")</f>
        <v>1</v>
      </c>
      <c r="O31" s="124">
        <v>5</v>
      </c>
      <c r="P31" s="110">
        <f>(COUNTIFS('raw data'!$L$2:$L$2177,"=5",'raw data'!$M$2:$M$2177,TRUE)/COUNTIF('raw data'!$L$2:$L$2177,"=5"))*100</f>
        <v>8.3333333333333321</v>
      </c>
      <c r="Q31" s="31" t="s">
        <v>2225</v>
      </c>
      <c r="R31" s="124">
        <f>COUNTIFS('raw data'!$L$2:$L$2177,"=5",'raw data'!$N$2:$N$2177,"Color Mismatch")</f>
        <v>1</v>
      </c>
      <c r="S31"/>
      <c r="T31"/>
      <c r="U31"/>
    </row>
    <row r="32" spans="1:28" ht="16.5" x14ac:dyDescent="0.3">
      <c r="I32" s="30"/>
      <c r="J32" s="124"/>
      <c r="K32" s="124"/>
      <c r="L32" s="31" t="s">
        <v>2226</v>
      </c>
      <c r="M32" s="32">
        <f>COUNTIFS('raw data'!$L$2:$L$2177,"=5",'raw data'!$N$2:$N$2177,"Size Issue")</f>
        <v>1</v>
      </c>
      <c r="O32" s="124"/>
      <c r="P32" s="124"/>
      <c r="Q32" s="31" t="s">
        <v>2226</v>
      </c>
      <c r="R32" s="124">
        <f>COUNTIFS('raw data'!$L$2:$L$2177,"=5",'raw data'!$N$2:$N$2177,"Size Issue")</f>
        <v>1</v>
      </c>
      <c r="S32"/>
      <c r="T32"/>
      <c r="U32"/>
    </row>
    <row r="33" spans="9:21" ht="16.5" x14ac:dyDescent="0.3">
      <c r="I33" s="30" t="s">
        <v>2315</v>
      </c>
      <c r="J33" s="124">
        <f>COUNTIFS('raw data'!$L$2:$L$2177,"&gt;3",'raw data'!$M$2:$M$2177,TRUE)</f>
        <v>149</v>
      </c>
      <c r="K33" s="124">
        <f>AVERAGEIFS('raw data'!$H$2:$H$2177,'raw data'!$L$2:$L$2177,"&gt;3",'raw data'!$M$2:$M$2177,TRUE)</f>
        <v>11.818120805369126</v>
      </c>
      <c r="L33" s="31" t="s">
        <v>2285</v>
      </c>
      <c r="M33" s="32">
        <f>COUNTIFS('raw data'!$L$2:$L$2177,"&gt;3",'raw data'!$N$2:$N$2177,"Color Mismatch")</f>
        <v>16</v>
      </c>
      <c r="O33" s="124" t="s">
        <v>2315</v>
      </c>
      <c r="P33" s="110">
        <f>(COUNTIFS('raw data'!$L$2:$L$2177,"&gt;3",'raw data'!$M$2:$M$2177,TRUE)/COUNTIF('raw data'!$L$2:$L$2177,"&gt;3"))*100</f>
        <v>14.354527938342967</v>
      </c>
      <c r="Q33" s="31" t="s">
        <v>2285</v>
      </c>
      <c r="R33" s="124">
        <f>COUNTIFS('raw data'!$L$2:$L$2177,"&gt;3",'raw data'!$N$2:$N$2177,"Color Mismatch")</f>
        <v>16</v>
      </c>
      <c r="S33"/>
      <c r="T33"/>
      <c r="U33"/>
    </row>
    <row r="34" spans="9:21" x14ac:dyDescent="0.25">
      <c r="I34" s="30"/>
      <c r="J34" s="124"/>
      <c r="K34" s="124"/>
      <c r="L34" s="31" t="s">
        <v>2226</v>
      </c>
      <c r="M34" s="32">
        <f>COUNTIFS('raw data'!$L$2:$L$2177,"&gt;3",'raw data'!$N$2:$N$2177,"Size Issue")</f>
        <v>26</v>
      </c>
      <c r="O34" s="124"/>
      <c r="P34" s="124"/>
      <c r="Q34" s="31" t="s">
        <v>2226</v>
      </c>
      <c r="R34" s="124">
        <f>COUNTIFS('raw data'!$L$2:$L$2177,"&gt;3",'raw data'!$N$2:$N$2177,"Size Issue")</f>
        <v>26</v>
      </c>
    </row>
    <row r="35" spans="9:21" x14ac:dyDescent="0.25">
      <c r="I35" s="30"/>
      <c r="J35" s="124"/>
      <c r="K35" s="124"/>
      <c r="L35" s="31" t="s">
        <v>2229</v>
      </c>
      <c r="M35" s="32">
        <f>COUNTIFS('raw data'!$L$2:$L$2177,"&gt;3",'raw data'!$N$2:$N$2177,"Changed Mind")</f>
        <v>41</v>
      </c>
      <c r="O35" s="124"/>
      <c r="P35" s="124"/>
      <c r="Q35" s="31" t="s">
        <v>2229</v>
      </c>
      <c r="R35" s="124">
        <f>COUNTIFS('raw data'!$L$2:$L$2177,"&gt;3",'raw data'!$N$2:$N$2177,"Changed Mind")</f>
        <v>41</v>
      </c>
    </row>
    <row r="36" spans="9:21" x14ac:dyDescent="0.25">
      <c r="I36" s="30"/>
      <c r="J36" s="124"/>
      <c r="K36" s="124"/>
      <c r="L36" s="31" t="s">
        <v>2228</v>
      </c>
      <c r="M36" s="32">
        <f>COUNTIFS('raw data'!$L$2:$L$2177,"&gt;3",'raw data'!$N$2:$N$2177,"Quality Issue")</f>
        <v>26</v>
      </c>
      <c r="O36" s="124"/>
      <c r="P36" s="124"/>
      <c r="Q36" s="31" t="s">
        <v>2228</v>
      </c>
      <c r="R36" s="124">
        <f>COUNTIFS('raw data'!$L$2:$L$2177,"&gt;3",'raw data'!$N$2:$N$2177,"Quality Issue")</f>
        <v>26</v>
      </c>
    </row>
    <row r="37" spans="9:21" x14ac:dyDescent="0.25">
      <c r="I37" s="30"/>
      <c r="J37" s="124"/>
      <c r="K37" s="124"/>
      <c r="L37" s="31" t="s">
        <v>2230</v>
      </c>
      <c r="M37" s="32">
        <f>COUNTIFS('raw data'!$L$2:$L$2177,"&gt;3",'raw data'!$N$2:$N$2177,"Wrong Item")</f>
        <v>22</v>
      </c>
      <c r="O37" s="124"/>
      <c r="P37" s="124"/>
      <c r="Q37" s="31" t="s">
        <v>2230</v>
      </c>
      <c r="R37" s="124">
        <f>COUNTIFS('raw data'!$L$2:$L$2177,"&gt;3",'raw data'!$N$2:$N$2177,"Wrong Item")</f>
        <v>22</v>
      </c>
    </row>
    <row r="38" spans="9:21" x14ac:dyDescent="0.25">
      <c r="I38" s="30"/>
      <c r="J38" s="124"/>
      <c r="K38" s="124"/>
      <c r="L38" s="31" t="s">
        <v>2227</v>
      </c>
      <c r="M38" s="32">
        <f>COUNTIFS('raw data'!$L$2:$L$2177,"&gt;3",'raw data'!$N$2:$N$2177,"Damaged")</f>
        <v>18</v>
      </c>
      <c r="O38" s="124"/>
      <c r="P38" s="124"/>
      <c r="Q38" s="31" t="s">
        <v>2227</v>
      </c>
      <c r="R38" s="124">
        <f>COUNTIFS('raw data'!$L$2:$L$2177,"&gt;3",'raw data'!$N$2:$N$2177,"Damaged")</f>
        <v>18</v>
      </c>
    </row>
    <row r="39" spans="9:21" x14ac:dyDescent="0.25">
      <c r="I39" s="30">
        <v>3</v>
      </c>
      <c r="J39" s="124">
        <f>COUNTIFS('raw data'!$L$2:$L$2177,"=3",'raw data'!$M$2:$M$2177,TRUE)</f>
        <v>12</v>
      </c>
      <c r="K39" s="124">
        <f>AVERAGEIFS('raw data'!$H$2:$H$2177,'raw data'!$L$2:$L$2177,"=3",'raw data'!$M$2:$M$2177,TRUE)</f>
        <v>20.858333333333334</v>
      </c>
      <c r="L39" s="31" t="s">
        <v>2285</v>
      </c>
      <c r="M39" s="32">
        <f>COUNTIFS('raw data'!$L$2:$L$2177,"=3",'raw data'!$N$2:$N$2177,"Color Mismatch")</f>
        <v>1</v>
      </c>
      <c r="O39" s="124">
        <v>3</v>
      </c>
      <c r="P39" s="110">
        <f>(COUNTIFS('raw data'!$L$2:$L$2177,"=3",'raw data'!$M$2:$M$2177,TRUE)/COUNTIF('raw data'!$L$2:$L$2177,"=3"))*100</f>
        <v>26.086956521739129</v>
      </c>
      <c r="Q39" s="31" t="s">
        <v>2285</v>
      </c>
      <c r="R39" s="124">
        <f>COUNTIFS('raw data'!$L$2:$L$2177,"=3",'raw data'!$N$2:$N$2177,"Color Mismatch")</f>
        <v>1</v>
      </c>
    </row>
    <row r="40" spans="9:21" x14ac:dyDescent="0.25">
      <c r="I40" s="30"/>
      <c r="J40" s="124"/>
      <c r="K40" s="124"/>
      <c r="L40" s="31" t="s">
        <v>2226</v>
      </c>
      <c r="M40" s="32">
        <f>COUNTIFS('raw data'!$L$2:$L$2177,"=3",'raw data'!$N$2:$N$2177,"Size Issue")</f>
        <v>1</v>
      </c>
      <c r="O40" s="124"/>
      <c r="P40" s="124"/>
      <c r="Q40" s="31" t="s">
        <v>2226</v>
      </c>
      <c r="R40" s="124">
        <f>COUNTIFS('raw data'!$L$2:$L$2177,"=3",'raw data'!$N$2:$N$2177,"Size Issue")</f>
        <v>1</v>
      </c>
    </row>
    <row r="41" spans="9:21" x14ac:dyDescent="0.25">
      <c r="I41" s="30"/>
      <c r="J41" s="124"/>
      <c r="K41" s="124"/>
      <c r="L41" s="31" t="s">
        <v>2229</v>
      </c>
      <c r="M41" s="32">
        <f>COUNTIFS('raw data'!$L$2:$L$2177,"=3",'raw data'!$N$2:$N$2177,"Changed Mind")</f>
        <v>6</v>
      </c>
      <c r="O41" s="124"/>
      <c r="P41" s="124"/>
      <c r="Q41" s="31" t="s">
        <v>2229</v>
      </c>
      <c r="R41" s="124">
        <f>COUNTIFS('raw data'!$L$2:$L$2177,"=3",'raw data'!$N$2:$N$2177,"Changed Mind")</f>
        <v>6</v>
      </c>
    </row>
    <row r="42" spans="9:21" x14ac:dyDescent="0.25">
      <c r="I42" s="30"/>
      <c r="J42" s="124"/>
      <c r="K42" s="124"/>
      <c r="L42" s="31" t="s">
        <v>2228</v>
      </c>
      <c r="M42" s="32">
        <f>COUNTIFS('raw data'!$L$2:$L$2177,"=3",'raw data'!$N$2:$N$2177,"Quality Issue")</f>
        <v>2</v>
      </c>
      <c r="O42" s="124"/>
      <c r="P42" s="124"/>
      <c r="Q42" s="31" t="s">
        <v>2228</v>
      </c>
      <c r="R42" s="124">
        <f>COUNTIFS('raw data'!$L$2:$L$2177,"=3",'raw data'!$N$2:$N$2177,"Quality Issue")</f>
        <v>2</v>
      </c>
    </row>
    <row r="43" spans="9:21" x14ac:dyDescent="0.25">
      <c r="I43" s="30"/>
      <c r="J43" s="124"/>
      <c r="K43" s="124"/>
      <c r="L43" s="31" t="s">
        <v>2230</v>
      </c>
      <c r="M43" s="32">
        <f>COUNTIFS('raw data'!$L$2:$L$2177,"=3",'raw data'!$N$2:$N$2177,"Wrong Item")</f>
        <v>1</v>
      </c>
      <c r="O43" s="124"/>
      <c r="P43" s="124"/>
      <c r="Q43" s="31" t="s">
        <v>2230</v>
      </c>
      <c r="R43" s="124">
        <f>COUNTIFS('raw data'!$L$2:$L$2177,"=3",'raw data'!$N$2:$N$2177,"Wrong Item")</f>
        <v>1</v>
      </c>
    </row>
    <row r="44" spans="9:21" x14ac:dyDescent="0.25">
      <c r="I44" s="30"/>
      <c r="J44" s="124"/>
      <c r="K44" s="124"/>
      <c r="L44" s="31" t="s">
        <v>2227</v>
      </c>
      <c r="M44" s="32">
        <f>COUNTIFS('raw data'!$L$2:$L$2177,"=3",'raw data'!$N$2:$N$2177,"Damaged")</f>
        <v>1</v>
      </c>
      <c r="O44" s="124"/>
      <c r="P44" s="124"/>
      <c r="Q44" s="31" t="s">
        <v>2227</v>
      </c>
      <c r="R44" s="124">
        <f>COUNTIFS('raw data'!$L$2:$L$2177,"=3",'raw data'!$N$2:$N$2177,"Damaged")</f>
        <v>1</v>
      </c>
    </row>
    <row r="45" spans="9:21" x14ac:dyDescent="0.25">
      <c r="I45" s="30" t="s">
        <v>2316</v>
      </c>
      <c r="J45" s="124">
        <f>COUNTIFS('raw data'!$L$2:$L$2177,"&lt;3",'raw data'!$M$2:$M$2177,TRUE)</f>
        <v>159</v>
      </c>
      <c r="K45" s="124">
        <f>AVERAGEIFS('raw data'!$H$2:$H$2177,'raw data'!$L$2:$L$2177,"&lt;3",'raw data'!$M$2:$M$2177,TRUE)</f>
        <v>13.037735849056604</v>
      </c>
      <c r="L45" s="31" t="s">
        <v>2285</v>
      </c>
      <c r="M45" s="32">
        <f>COUNTIFS('raw data'!$L$2:$L$2177,"&lt;3",'raw data'!$N$2:$N$2177,"Color Mismatch")</f>
        <v>29</v>
      </c>
      <c r="O45" s="124" t="s">
        <v>2316</v>
      </c>
      <c r="P45" s="110">
        <f>(COUNTIFS('raw data'!$L$2:$L$2177,"&lt;3",'raw data'!$M$2:$M$2177,TRUE)/COUNTIF('raw data'!$L$2:$L$2177,"&lt;3"))*100</f>
        <v>14.560439560439562</v>
      </c>
      <c r="Q45" s="31" t="s">
        <v>2285</v>
      </c>
      <c r="R45" s="124">
        <f>COUNTIFS('raw data'!$L$2:$L$2177,"&lt;3",'raw data'!$N$2:$N$2177,"Color Mismatch")</f>
        <v>29</v>
      </c>
    </row>
    <row r="46" spans="9:21" x14ac:dyDescent="0.25">
      <c r="I46" s="30"/>
      <c r="J46" s="124"/>
      <c r="K46" s="124"/>
      <c r="L46" s="31" t="s">
        <v>2226</v>
      </c>
      <c r="M46" s="32">
        <f>COUNTIFS('raw data'!$L$2:$L$2177,"&lt;3",'raw data'!$N$2:$N$2177,"Size Issue")</f>
        <v>33</v>
      </c>
      <c r="O46" s="124"/>
      <c r="P46" s="124"/>
      <c r="Q46" s="31" t="s">
        <v>2226</v>
      </c>
      <c r="R46" s="124">
        <f>COUNTIFS('raw data'!$L$2:$L$2177,"&lt;3",'raw data'!$N$2:$N$2177,"Size Issue")</f>
        <v>33</v>
      </c>
    </row>
    <row r="47" spans="9:21" x14ac:dyDescent="0.25">
      <c r="I47" s="30"/>
      <c r="J47" s="124"/>
      <c r="K47" s="124"/>
      <c r="L47" s="31" t="s">
        <v>2229</v>
      </c>
      <c r="M47" s="32">
        <f>COUNTIFS('raw data'!$L$2:$L$2177,"&lt;3",'raw data'!$N$2:$N$2177,"Changed Mind")</f>
        <v>21</v>
      </c>
      <c r="O47" s="124"/>
      <c r="P47" s="124"/>
      <c r="Q47" s="31" t="s">
        <v>2229</v>
      </c>
      <c r="R47" s="124">
        <f>COUNTIFS('raw data'!$L$2:$L$2177,"&lt;3",'raw data'!$N$2:$N$2177,"Changed Mind")</f>
        <v>21</v>
      </c>
    </row>
    <row r="48" spans="9:21" x14ac:dyDescent="0.25">
      <c r="I48" s="30"/>
      <c r="J48" s="124"/>
      <c r="K48" s="124"/>
      <c r="L48" s="31" t="s">
        <v>2228</v>
      </c>
      <c r="M48" s="32">
        <f>COUNTIFS('raw data'!$L$2:$L$2177,"&lt;3",'raw data'!$N$2:$N$2177,"Quality Issue")</f>
        <v>27</v>
      </c>
      <c r="O48" s="124"/>
      <c r="P48" s="124"/>
      <c r="Q48" s="31" t="s">
        <v>2228</v>
      </c>
      <c r="R48" s="124">
        <f>COUNTIFS('raw data'!$L$2:$L$2177,"&lt;3",'raw data'!$N$2:$N$2177,"Quality Issue")</f>
        <v>27</v>
      </c>
    </row>
    <row r="49" spans="7:18" x14ac:dyDescent="0.25">
      <c r="I49" s="30"/>
      <c r="J49" s="124"/>
      <c r="K49" s="124"/>
      <c r="L49" s="31" t="s">
        <v>2230</v>
      </c>
      <c r="M49" s="32">
        <f>COUNTIFS('raw data'!$L$2:$L$2177,"&lt;3",'raw data'!$N$2:$N$2177,"Wrong Item")</f>
        <v>24</v>
      </c>
      <c r="O49" s="124"/>
      <c r="P49" s="124"/>
      <c r="Q49" s="31" t="s">
        <v>2230</v>
      </c>
      <c r="R49" s="124">
        <f>COUNTIFS('raw data'!$L$2:$L$2177,"&lt;3",'raw data'!$N$2:$N$2177,"Wrong Item")</f>
        <v>24</v>
      </c>
    </row>
    <row r="50" spans="7:18" x14ac:dyDescent="0.25">
      <c r="I50" s="33"/>
      <c r="J50" s="34"/>
      <c r="K50" s="34"/>
      <c r="L50" s="35" t="s">
        <v>2227</v>
      </c>
      <c r="M50" s="36">
        <f>COUNTIFS('raw data'!$L$2:$L$2177,"&lt;3",'raw data'!$N$2:$N$2177,"Damaged")</f>
        <v>25</v>
      </c>
      <c r="O50" s="124"/>
      <c r="P50" s="124"/>
      <c r="Q50" s="31" t="s">
        <v>2227</v>
      </c>
      <c r="R50" s="124">
        <f>COUNTIFS('raw data'!$L$2:$L$2177,"&lt;3",'raw data'!$N$2:$N$2177,"Damaged")</f>
        <v>25</v>
      </c>
    </row>
    <row r="51" spans="7:18" x14ac:dyDescent="0.25">
      <c r="G51" s="29"/>
      <c r="H51" s="29"/>
      <c r="I51" s="29"/>
      <c r="J51" s="29"/>
      <c r="K51" s="29"/>
    </row>
    <row r="52" spans="7:18" x14ac:dyDescent="0.25">
      <c r="G52" s="12" t="s">
        <v>2296</v>
      </c>
    </row>
    <row r="53" spans="7:18" x14ac:dyDescent="0.25">
      <c r="G53" s="65" t="s">
        <v>2317</v>
      </c>
      <c r="H53" s="67" t="s">
        <v>2318</v>
      </c>
      <c r="J53" s="12" t="s">
        <v>2322</v>
      </c>
      <c r="K53" s="13" t="s">
        <v>2323</v>
      </c>
    </row>
    <row r="54" spans="7:18" x14ac:dyDescent="0.25">
      <c r="G54" s="30" t="s">
        <v>2319</v>
      </c>
      <c r="H54" s="37">
        <f>AVERAGEIFS('raw data'!$L$2:$L$2177,'raw data'!$H$2:$H$2177,"&gt;29")</f>
        <v>2.9902862925417377</v>
      </c>
      <c r="J54" s="39" t="s">
        <v>2225</v>
      </c>
      <c r="K54" s="40">
        <f>COUNTIF('raw data'!$N$2:$N$2177,"Color Mismatch")</f>
        <v>46</v>
      </c>
    </row>
    <row r="55" spans="7:18" x14ac:dyDescent="0.25">
      <c r="G55" s="30" t="s">
        <v>2320</v>
      </c>
      <c r="H55" s="37">
        <f>AVERAGEIFS('raw data'!$L$2:$L$2177,'raw data'!$H$2:$H$2177,"&lt;30")</f>
        <v>2.9864343505098558</v>
      </c>
      <c r="J55" s="41" t="s">
        <v>2226</v>
      </c>
      <c r="K55" s="40">
        <f>COUNTIF('raw data'!$N$2:$N$2177,"Size Issue")</f>
        <v>60</v>
      </c>
    </row>
    <row r="56" spans="7:18" x14ac:dyDescent="0.25">
      <c r="G56" s="30">
        <v>0</v>
      </c>
      <c r="H56" s="37">
        <f>AVERAGEIFS('raw data'!$L$2:$L$2177,'raw data'!$H$2:$H$2177,"=0")</f>
        <v>3.0149269616811698</v>
      </c>
      <c r="J56" s="41" t="s">
        <v>2229</v>
      </c>
      <c r="K56" s="40">
        <f>COUNTIF('raw data'!$N$2:$N$2177,"Changed Mind")</f>
        <v>68</v>
      </c>
    </row>
    <row r="57" spans="7:18" x14ac:dyDescent="0.25">
      <c r="G57" s="33" t="s">
        <v>2321</v>
      </c>
      <c r="H57" s="38">
        <f>AVERAGEIFS('raw data'!$L$2:$L$2177,'raw data'!$H$2:$H$2177,"&gt;50")</f>
        <v>3.1478797262261682</v>
      </c>
      <c r="J57" s="41" t="s">
        <v>2228</v>
      </c>
      <c r="K57" s="40">
        <f>COUNTIF('raw data'!$N$2:$N$2177,"Quality Issue")</f>
        <v>55</v>
      </c>
      <c r="P57" s="29"/>
    </row>
    <row r="58" spans="7:18" x14ac:dyDescent="0.25">
      <c r="J58" s="41" t="s">
        <v>2230</v>
      </c>
      <c r="K58" s="40">
        <f>COUNTIF('raw data'!$N$2:$N$2177,"Wrong Item")</f>
        <v>47</v>
      </c>
    </row>
    <row r="59" spans="7:18" x14ac:dyDescent="0.25">
      <c r="J59" s="42" t="s">
        <v>2227</v>
      </c>
      <c r="K59" s="43">
        <f>COUNTIF('raw data'!$N$2:$N$2177,"Damaged")</f>
        <v>44</v>
      </c>
    </row>
    <row r="63" spans="7:18" x14ac:dyDescent="0.25">
      <c r="G63" s="12" t="s">
        <v>2298</v>
      </c>
    </row>
    <row r="64" spans="7:18" x14ac:dyDescent="0.25">
      <c r="G64" s="15" t="s">
        <v>2295</v>
      </c>
      <c r="H64" s="15" t="s">
        <v>2260</v>
      </c>
    </row>
    <row r="65" spans="7:19" x14ac:dyDescent="0.25">
      <c r="G65" s="15" t="s">
        <v>2256</v>
      </c>
      <c r="H65" s="13" t="s">
        <v>2192</v>
      </c>
      <c r="I65" s="13" t="s">
        <v>2194</v>
      </c>
      <c r="J65" s="13" t="s">
        <v>2195</v>
      </c>
      <c r="K65" s="13" t="s">
        <v>2190</v>
      </c>
      <c r="L65" s="13" t="s">
        <v>2193</v>
      </c>
      <c r="M65" s="13" t="s">
        <v>2191</v>
      </c>
      <c r="N65" s="13" t="s">
        <v>2257</v>
      </c>
    </row>
    <row r="66" spans="7:19" x14ac:dyDescent="0.25">
      <c r="G66" s="16" t="s">
        <v>2201</v>
      </c>
      <c r="H66" s="44">
        <v>3.2731707317073178</v>
      </c>
      <c r="I66" s="44">
        <v>3.0575757575757576</v>
      </c>
      <c r="J66" s="44">
        <v>3.1874999999999991</v>
      </c>
      <c r="K66" s="44">
        <v>3.0305555555555541</v>
      </c>
      <c r="L66" s="44">
        <v>3.0068965517241382</v>
      </c>
      <c r="M66" s="44">
        <v>2.9846153846153842</v>
      </c>
      <c r="N66" s="44">
        <v>3.0927912753161548</v>
      </c>
    </row>
    <row r="67" spans="7:19" x14ac:dyDescent="0.25">
      <c r="G67" s="16" t="s">
        <v>2198</v>
      </c>
      <c r="H67" s="44">
        <v>2.8694444444444449</v>
      </c>
      <c r="I67" s="44">
        <v>3.0384615384615379</v>
      </c>
      <c r="J67" s="44">
        <v>2.9000000000000004</v>
      </c>
      <c r="K67" s="44">
        <v>3.0177777777777779</v>
      </c>
      <c r="L67" s="44">
        <v>3.1936170212765949</v>
      </c>
      <c r="M67" s="44">
        <v>2.9531250000000004</v>
      </c>
      <c r="N67" s="44">
        <v>3.0071521604406533</v>
      </c>
    </row>
    <row r="68" spans="7:19" x14ac:dyDescent="0.25">
      <c r="G68" s="16" t="s">
        <v>2203</v>
      </c>
      <c r="H68" s="44">
        <v>2.8636363636363638</v>
      </c>
      <c r="I68" s="44">
        <v>3.1021739130434769</v>
      </c>
      <c r="J68" s="44">
        <v>2.9636363636363643</v>
      </c>
      <c r="K68" s="44">
        <v>2.9718749999999989</v>
      </c>
      <c r="L68" s="44">
        <v>3.2576923076923081</v>
      </c>
      <c r="M68" s="44">
        <v>2.6870967741935483</v>
      </c>
      <c r="N68" s="44">
        <v>2.9735416457840897</v>
      </c>
    </row>
    <row r="69" spans="7:19" x14ac:dyDescent="0.25">
      <c r="G69" s="16" t="s">
        <v>2202</v>
      </c>
      <c r="H69" s="44">
        <v>3.272093023255815</v>
      </c>
      <c r="I69" s="44">
        <v>3.1799999999999993</v>
      </c>
      <c r="J69" s="44">
        <v>2.9809523809523801</v>
      </c>
      <c r="K69" s="44">
        <v>2.9034482758620697</v>
      </c>
      <c r="L69" s="44">
        <v>2.9083333333333328</v>
      </c>
      <c r="M69" s="44">
        <v>2.9075000000000006</v>
      </c>
      <c r="N69" s="44">
        <v>3.0348905186655624</v>
      </c>
    </row>
    <row r="70" spans="7:19" x14ac:dyDescent="0.25">
      <c r="G70" s="16" t="s">
        <v>2200</v>
      </c>
      <c r="H70" s="44">
        <v>2.7333333333333329</v>
      </c>
      <c r="I70" s="44">
        <v>3.06590909090909</v>
      </c>
      <c r="J70" s="44">
        <v>3.1051282051282048</v>
      </c>
      <c r="K70" s="44">
        <v>2.9228571428571422</v>
      </c>
      <c r="L70" s="44">
        <v>3.302127659574468</v>
      </c>
      <c r="M70" s="44">
        <v>2.9657142857142849</v>
      </c>
      <c r="N70" s="44">
        <v>3.0335563838462125</v>
      </c>
    </row>
    <row r="71" spans="7:19" x14ac:dyDescent="0.25">
      <c r="G71" s="16" t="s">
        <v>2199</v>
      </c>
      <c r="H71" s="44">
        <v>2.5131578947368411</v>
      </c>
      <c r="I71" s="44">
        <v>2.8142857142857145</v>
      </c>
      <c r="J71" s="44">
        <v>2.8372093023255811</v>
      </c>
      <c r="K71" s="44">
        <v>2.4137931034482762</v>
      </c>
      <c r="L71" s="44">
        <v>2.980434782608695</v>
      </c>
      <c r="M71" s="44">
        <v>2.9742857142857138</v>
      </c>
      <c r="N71" s="44">
        <v>2.7765713058803465</v>
      </c>
    </row>
    <row r="72" spans="7:19" x14ac:dyDescent="0.25">
      <c r="G72" s="16" t="s">
        <v>2197</v>
      </c>
      <c r="H72" s="44">
        <v>3.1288461538461552</v>
      </c>
      <c r="I72" s="44">
        <v>3.0846153846153848</v>
      </c>
      <c r="J72" s="44">
        <v>3.166666666666667</v>
      </c>
      <c r="K72" s="44">
        <v>3.15</v>
      </c>
      <c r="L72" s="44">
        <v>2.8205128205128194</v>
      </c>
      <c r="M72" s="44">
        <v>3.3400000000000007</v>
      </c>
      <c r="N72" s="44">
        <v>3.106965483234716</v>
      </c>
    </row>
    <row r="73" spans="7:19" x14ac:dyDescent="0.25">
      <c r="G73" s="16" t="s">
        <v>2196</v>
      </c>
      <c r="H73" s="44">
        <v>2.9116666666666671</v>
      </c>
      <c r="I73" s="44">
        <v>2.9210526315789478</v>
      </c>
      <c r="J73" s="44">
        <v>3.042424242424242</v>
      </c>
      <c r="K73" s="44">
        <v>2.7030303030303036</v>
      </c>
      <c r="L73" s="44">
        <v>2.9153846153846157</v>
      </c>
      <c r="M73" s="44">
        <v>2.918181818181818</v>
      </c>
      <c r="N73" s="44">
        <v>2.9055838970737251</v>
      </c>
    </row>
    <row r="74" spans="7:19" x14ac:dyDescent="0.25">
      <c r="G74" s="16" t="s">
        <v>2257</v>
      </c>
      <c r="H74" s="44">
        <v>2.959257251070722</v>
      </c>
      <c r="I74" s="44">
        <v>3.0181290225423179</v>
      </c>
      <c r="J74" s="44">
        <v>3.0139318901331951</v>
      </c>
      <c r="K74" s="44">
        <v>2.9071400123137825</v>
      </c>
      <c r="L74" s="44">
        <v>3.0490210867499772</v>
      </c>
      <c r="M74" s="44">
        <v>2.9713674236290291</v>
      </c>
      <c r="N74" s="44">
        <v>2.9871718356644563</v>
      </c>
    </row>
    <row r="76" spans="7:19" x14ac:dyDescent="0.25">
      <c r="G76" s="16" t="s">
        <v>2299</v>
      </c>
    </row>
    <row r="77" spans="7:19" x14ac:dyDescent="0.25">
      <c r="G77" s="15" t="s">
        <v>2286</v>
      </c>
      <c r="H77" s="15" t="s">
        <v>2260</v>
      </c>
    </row>
    <row r="78" spans="7:19" ht="20.25" customHeight="1" x14ac:dyDescent="0.25">
      <c r="G78" s="15" t="s">
        <v>2256</v>
      </c>
      <c r="H78" s="13" t="s">
        <v>2192</v>
      </c>
      <c r="I78" s="13" t="s">
        <v>2194</v>
      </c>
      <c r="J78" s="13" t="s">
        <v>2195</v>
      </c>
      <c r="K78" s="13" t="s">
        <v>2190</v>
      </c>
      <c r="L78" s="13" t="s">
        <v>2193</v>
      </c>
      <c r="M78" s="13" t="s">
        <v>2191</v>
      </c>
      <c r="N78" s="13" t="s">
        <v>2257</v>
      </c>
      <c r="P78" s="68" t="s">
        <v>2289</v>
      </c>
      <c r="Q78" s="45" t="s">
        <v>2291</v>
      </c>
      <c r="R78" s="46" t="s">
        <v>2292</v>
      </c>
      <c r="S78" s="47" t="s">
        <v>2323</v>
      </c>
    </row>
    <row r="79" spans="7:19" x14ac:dyDescent="0.25">
      <c r="G79" s="16" t="s">
        <v>2201</v>
      </c>
      <c r="H79" s="14">
        <v>8</v>
      </c>
      <c r="I79" s="14">
        <v>7</v>
      </c>
      <c r="J79" s="14">
        <v>7</v>
      </c>
      <c r="K79" s="14">
        <v>11</v>
      </c>
      <c r="L79" s="14">
        <v>10</v>
      </c>
      <c r="M79" s="14">
        <v>8</v>
      </c>
      <c r="N79" s="14">
        <v>51</v>
      </c>
      <c r="P79" s="48" t="s">
        <v>2290</v>
      </c>
      <c r="Q79" s="49">
        <v>13</v>
      </c>
      <c r="R79" s="50" t="s">
        <v>2285</v>
      </c>
      <c r="S79" s="32">
        <f>COUNTIFS('raw data'!$B$2:$B$2177,"Accessories",'raw data'!$C$2:$C$2177,"Forever21",'raw data'!$N$2:$N$2177,"Color Mismatch")</f>
        <v>4</v>
      </c>
    </row>
    <row r="80" spans="7:19" x14ac:dyDescent="0.25">
      <c r="G80" s="20" t="s">
        <v>2288</v>
      </c>
      <c r="H80" s="14">
        <v>8</v>
      </c>
      <c r="I80" s="14">
        <v>7</v>
      </c>
      <c r="J80" s="14">
        <v>7</v>
      </c>
      <c r="K80" s="14">
        <v>11</v>
      </c>
      <c r="L80" s="14">
        <v>10</v>
      </c>
      <c r="M80" s="14">
        <v>8</v>
      </c>
      <c r="N80" s="14">
        <v>51</v>
      </c>
      <c r="P80" s="48"/>
      <c r="Q80" s="49"/>
      <c r="R80" s="50" t="s">
        <v>2230</v>
      </c>
      <c r="S80" s="32">
        <f>COUNTIFS('raw data'!$B$2:$B$2177,"Accessories",'raw data'!$C$2:$C$2177,"Forever21",'raw data'!$N$2:$N$2177,"Wrong Item")</f>
        <v>4</v>
      </c>
    </row>
    <row r="81" spans="1:19" x14ac:dyDescent="0.25">
      <c r="G81" s="16" t="s">
        <v>2198</v>
      </c>
      <c r="H81" s="14">
        <v>5</v>
      </c>
      <c r="I81" s="14">
        <v>10</v>
      </c>
      <c r="J81" s="14">
        <v>10</v>
      </c>
      <c r="K81" s="14">
        <v>10</v>
      </c>
      <c r="L81" s="14">
        <v>9</v>
      </c>
      <c r="M81" s="14">
        <v>3</v>
      </c>
      <c r="N81" s="14">
        <v>47</v>
      </c>
      <c r="P81" s="48"/>
      <c r="Q81" s="49"/>
      <c r="R81" s="50" t="s">
        <v>2228</v>
      </c>
      <c r="S81" s="32">
        <f>COUNTIFS('raw data'!$B$2:$B$2177,"Accessories",'raw data'!$C$2:$C$2177,"Forever21",'raw data'!$N$2:$N$2177,"Quality Issue")</f>
        <v>3</v>
      </c>
    </row>
    <row r="82" spans="1:19" x14ac:dyDescent="0.25">
      <c r="G82" s="20" t="s">
        <v>2288</v>
      </c>
      <c r="H82" s="14">
        <v>5</v>
      </c>
      <c r="I82" s="14">
        <v>10</v>
      </c>
      <c r="J82" s="14">
        <v>10</v>
      </c>
      <c r="K82" s="14">
        <v>10</v>
      </c>
      <c r="L82" s="14">
        <v>9</v>
      </c>
      <c r="M82" s="14">
        <v>3</v>
      </c>
      <c r="N82" s="14">
        <v>47</v>
      </c>
      <c r="P82" s="48"/>
      <c r="Q82" s="49"/>
      <c r="R82" s="50" t="s">
        <v>2226</v>
      </c>
      <c r="S82" s="32">
        <f>COUNTIFS('raw data'!$B$2:$B$2177,"Accessories",'raw data'!$C$2:$C$2177,"Forever21",'raw data'!$N$2:$N$2177,"Size Issue")</f>
        <v>1</v>
      </c>
    </row>
    <row r="83" spans="1:19" x14ac:dyDescent="0.25">
      <c r="A83" s="13" t="s">
        <v>2358</v>
      </c>
      <c r="B83" s="13">
        <f>COUNTIF('raw data'!$M$2:$M$2177,"TRUE")</f>
        <v>320</v>
      </c>
      <c r="G83" s="16" t="s">
        <v>2203</v>
      </c>
      <c r="H83" s="14">
        <v>13</v>
      </c>
      <c r="I83" s="14">
        <v>8</v>
      </c>
      <c r="J83" s="14">
        <v>7</v>
      </c>
      <c r="K83" s="14">
        <v>2</v>
      </c>
      <c r="L83" s="14">
        <v>3</v>
      </c>
      <c r="M83" s="14">
        <v>1</v>
      </c>
      <c r="N83" s="14">
        <v>34</v>
      </c>
      <c r="P83" s="48"/>
      <c r="Q83" s="49"/>
      <c r="R83" s="50" t="s">
        <v>2227</v>
      </c>
      <c r="S83" s="32">
        <f>COUNTIFS('raw data'!$B$2:$B$2177,"Accessories",'raw data'!$C$2:$C$2177,"Forever21",'raw data'!$N$2:$N$2177,"Damaged")</f>
        <v>1</v>
      </c>
    </row>
    <row r="84" spans="1:19" x14ac:dyDescent="0.25">
      <c r="G84" s="20" t="s">
        <v>2288</v>
      </c>
      <c r="H84" s="51">
        <v>13</v>
      </c>
      <c r="I84" s="14">
        <v>8</v>
      </c>
      <c r="J84" s="14">
        <v>7</v>
      </c>
      <c r="K84" s="14">
        <v>2</v>
      </c>
      <c r="L84" s="14">
        <v>3</v>
      </c>
      <c r="M84" s="14">
        <v>1</v>
      </c>
      <c r="N84" s="14">
        <v>34</v>
      </c>
      <c r="P84" s="52" t="s">
        <v>2293</v>
      </c>
      <c r="Q84" s="49">
        <v>13</v>
      </c>
      <c r="R84" s="50" t="s">
        <v>2227</v>
      </c>
      <c r="S84" s="32">
        <f>COUNTIFS('raw data'!$B$2:$B$2177,"Accessories",'raw data'!$C$2:$C$2177,"Zara",'raw data'!$N$2:$N$2177,"Damaged")</f>
        <v>4</v>
      </c>
    </row>
    <row r="85" spans="1:19" x14ac:dyDescent="0.25">
      <c r="G85" s="16" t="s">
        <v>2202</v>
      </c>
      <c r="H85" s="14">
        <v>1</v>
      </c>
      <c r="I85" s="14">
        <v>8</v>
      </c>
      <c r="J85" s="14">
        <v>2</v>
      </c>
      <c r="K85" s="14">
        <v>8</v>
      </c>
      <c r="L85" s="14">
        <v>7</v>
      </c>
      <c r="M85" s="14">
        <v>10</v>
      </c>
      <c r="N85" s="14">
        <v>36</v>
      </c>
      <c r="P85" s="48"/>
      <c r="Q85" s="49"/>
      <c r="R85" s="50" t="s">
        <v>2229</v>
      </c>
      <c r="S85" s="32">
        <f>COUNTIFS('raw data'!$B$2:$B$2177,"Accessories",'raw data'!$C$2:$C$2177,"Zara",'raw data'!$N$2:$N$2177,"Changed Mind")</f>
        <v>3</v>
      </c>
    </row>
    <row r="86" spans="1:19" x14ac:dyDescent="0.25">
      <c r="G86" s="20" t="s">
        <v>2288</v>
      </c>
      <c r="H86" s="14">
        <v>1</v>
      </c>
      <c r="I86" s="14">
        <v>8</v>
      </c>
      <c r="J86" s="14">
        <v>2</v>
      </c>
      <c r="K86" s="14">
        <v>8</v>
      </c>
      <c r="L86" s="14">
        <v>7</v>
      </c>
      <c r="M86" s="53">
        <v>10</v>
      </c>
      <c r="N86" s="14">
        <v>36</v>
      </c>
      <c r="P86" s="48"/>
      <c r="Q86" s="49"/>
      <c r="R86" s="50" t="s">
        <v>2285</v>
      </c>
      <c r="S86" s="32">
        <f>COUNTIFS('raw data'!$B$2:$B$2177,"Accessories",'raw data'!$C$2:$C$2177,"Zara",'raw data'!$N$2:$N$2177,"Color Mismatch")</f>
        <v>2</v>
      </c>
    </row>
    <row r="87" spans="1:19" x14ac:dyDescent="0.25">
      <c r="G87" s="16" t="s">
        <v>2200</v>
      </c>
      <c r="H87" s="14">
        <v>4</v>
      </c>
      <c r="I87" s="14">
        <v>10</v>
      </c>
      <c r="J87" s="14">
        <v>4</v>
      </c>
      <c r="K87" s="14">
        <v>9</v>
      </c>
      <c r="L87" s="14">
        <v>5</v>
      </c>
      <c r="M87" s="14">
        <v>7</v>
      </c>
      <c r="N87" s="14">
        <v>39</v>
      </c>
      <c r="P87" s="48"/>
      <c r="Q87" s="49"/>
      <c r="R87" s="50" t="s">
        <v>2226</v>
      </c>
      <c r="S87" s="32">
        <f>COUNTIFS('raw data'!$B$2:$B$2177,"Accessories",'raw data'!$C$2:$C$2177,"Zara",'raw data'!$N$2:$N$2177,"Size Issue")</f>
        <v>2</v>
      </c>
    </row>
    <row r="88" spans="1:19" x14ac:dyDescent="0.25">
      <c r="G88" s="20" t="s">
        <v>2288</v>
      </c>
      <c r="H88" s="14">
        <v>4</v>
      </c>
      <c r="I88" s="53">
        <v>10</v>
      </c>
      <c r="J88" s="14">
        <v>4</v>
      </c>
      <c r="K88" s="14">
        <v>9</v>
      </c>
      <c r="L88" s="14">
        <v>5</v>
      </c>
      <c r="M88" s="14">
        <v>7</v>
      </c>
      <c r="N88" s="14">
        <v>39</v>
      </c>
      <c r="P88" s="48"/>
      <c r="Q88" s="49"/>
      <c r="R88" s="50" t="s">
        <v>2228</v>
      </c>
      <c r="S88" s="32">
        <f>COUNTIFS('raw data'!$B$2:$B$2177,"Accessories",'raw data'!$C$2:$C$2177,"Zara",'raw data'!$N$2:$N$2177,"Quality Issue")</f>
        <v>1</v>
      </c>
    </row>
    <row r="89" spans="1:19" x14ac:dyDescent="0.25">
      <c r="G89" s="16" t="s">
        <v>2199</v>
      </c>
      <c r="H89" s="14">
        <v>4</v>
      </c>
      <c r="I89" s="14">
        <v>9</v>
      </c>
      <c r="J89" s="14">
        <v>6</v>
      </c>
      <c r="K89" s="14">
        <v>2</v>
      </c>
      <c r="L89" s="14">
        <v>6</v>
      </c>
      <c r="M89" s="14">
        <v>5</v>
      </c>
      <c r="N89" s="14">
        <v>32</v>
      </c>
      <c r="P89" s="54"/>
      <c r="Q89" s="35"/>
      <c r="R89" s="55" t="s">
        <v>2230</v>
      </c>
      <c r="S89" s="36">
        <f>COUNTIFS('raw data'!$B$2:$B$2177,"Accessories",'raw data'!$C$2:$C$2177,"Zara",'raw data'!$N$2:$N$2177,"Wrong Item")</f>
        <v>1</v>
      </c>
    </row>
    <row r="90" spans="1:19" x14ac:dyDescent="0.25">
      <c r="G90" s="20" t="s">
        <v>2288</v>
      </c>
      <c r="H90" s="14">
        <v>4</v>
      </c>
      <c r="I90" s="14">
        <v>9</v>
      </c>
      <c r="J90" s="14">
        <v>6</v>
      </c>
      <c r="K90" s="14">
        <v>2</v>
      </c>
      <c r="L90" s="14">
        <v>6</v>
      </c>
      <c r="M90" s="14">
        <v>5</v>
      </c>
      <c r="N90" s="14">
        <v>32</v>
      </c>
    </row>
    <row r="91" spans="1:19" x14ac:dyDescent="0.25">
      <c r="G91" s="16" t="s">
        <v>2197</v>
      </c>
      <c r="H91" s="14">
        <v>7</v>
      </c>
      <c r="I91" s="14">
        <v>4</v>
      </c>
      <c r="J91" s="14">
        <v>5</v>
      </c>
      <c r="K91" s="14">
        <v>5</v>
      </c>
      <c r="L91" s="14">
        <v>9</v>
      </c>
      <c r="M91" s="14">
        <v>3</v>
      </c>
      <c r="N91" s="14">
        <v>33</v>
      </c>
    </row>
    <row r="92" spans="1:19" x14ac:dyDescent="0.25">
      <c r="G92" s="20" t="s">
        <v>2288</v>
      </c>
      <c r="H92" s="14">
        <v>7</v>
      </c>
      <c r="I92" s="14">
        <v>4</v>
      </c>
      <c r="J92" s="14">
        <v>5</v>
      </c>
      <c r="K92" s="14">
        <v>5</v>
      </c>
      <c r="L92" s="14">
        <v>9</v>
      </c>
      <c r="M92" s="14">
        <v>3</v>
      </c>
      <c r="N92" s="14">
        <v>33</v>
      </c>
    </row>
    <row r="93" spans="1:19" x14ac:dyDescent="0.25">
      <c r="G93" s="16" t="s">
        <v>2196</v>
      </c>
      <c r="H93" s="14">
        <v>13</v>
      </c>
      <c r="I93" s="14">
        <v>6</v>
      </c>
      <c r="J93" s="14">
        <v>6</v>
      </c>
      <c r="K93" s="14">
        <v>7</v>
      </c>
      <c r="L93" s="14">
        <v>7</v>
      </c>
      <c r="M93" s="14">
        <v>9</v>
      </c>
      <c r="N93" s="14">
        <v>48</v>
      </c>
    </row>
    <row r="94" spans="1:19" x14ac:dyDescent="0.25">
      <c r="G94" s="20" t="s">
        <v>2288</v>
      </c>
      <c r="H94" s="57">
        <v>13</v>
      </c>
      <c r="I94" s="14">
        <v>6</v>
      </c>
      <c r="J94" s="14">
        <v>6</v>
      </c>
      <c r="K94" s="14">
        <v>7</v>
      </c>
      <c r="L94" s="14">
        <v>7</v>
      </c>
      <c r="M94" s="14">
        <v>9</v>
      </c>
      <c r="N94" s="14">
        <v>48</v>
      </c>
    </row>
    <row r="95" spans="1:19" x14ac:dyDescent="0.25">
      <c r="G95" s="16" t="s">
        <v>2257</v>
      </c>
      <c r="H95" s="14">
        <v>55</v>
      </c>
      <c r="I95" s="14">
        <v>62</v>
      </c>
      <c r="J95" s="14">
        <v>47</v>
      </c>
      <c r="K95" s="14">
        <v>54</v>
      </c>
      <c r="L95" s="14">
        <v>56</v>
      </c>
      <c r="M95" s="14">
        <v>46</v>
      </c>
      <c r="N95" s="14">
        <v>320</v>
      </c>
    </row>
    <row r="97" spans="6:28" x14ac:dyDescent="0.25">
      <c r="G97" s="13" t="s">
        <v>2343</v>
      </c>
      <c r="H97" s="13" t="s">
        <v>2357</v>
      </c>
    </row>
    <row r="98" spans="6:28" x14ac:dyDescent="0.25">
      <c r="G98" s="13" t="s">
        <v>2201</v>
      </c>
      <c r="H98" s="56">
        <f>COUNTIFS('raw data'!$C$2:$C$2177,G98,'raw data'!$M$2:$M$2177,"TRUE")</f>
        <v>51</v>
      </c>
    </row>
    <row r="99" spans="6:28" x14ac:dyDescent="0.25">
      <c r="G99" s="13" t="s">
        <v>2198</v>
      </c>
      <c r="H99" s="56">
        <f>COUNTIFS('raw data'!$C$2:$C$2177,G99,'raw data'!$M$2:$M$2177,"TRUE")</f>
        <v>47</v>
      </c>
    </row>
    <row r="100" spans="6:28" x14ac:dyDescent="0.25">
      <c r="G100" s="13" t="s">
        <v>2203</v>
      </c>
      <c r="H100" s="56">
        <f>COUNTIFS('raw data'!$C$2:$C$2177,G100,'raw data'!$M$2:$M$2177,"TRUE")</f>
        <v>34</v>
      </c>
    </row>
    <row r="101" spans="6:28" x14ac:dyDescent="0.25">
      <c r="G101" s="13" t="s">
        <v>2202</v>
      </c>
      <c r="H101" s="56">
        <f>COUNTIFS('raw data'!$C$2:$C$2177,G101,'raw data'!$M$2:$M$2177,"TRUE")</f>
        <v>36</v>
      </c>
    </row>
    <row r="102" spans="6:28" x14ac:dyDescent="0.25">
      <c r="G102" s="13" t="s">
        <v>2200</v>
      </c>
      <c r="H102" s="56">
        <f>COUNTIFS('raw data'!$C$2:$C$2177,G102,'raw data'!$M$2:$M$2177,"TRUE")</f>
        <v>39</v>
      </c>
    </row>
    <row r="103" spans="6:28" x14ac:dyDescent="0.25">
      <c r="G103" s="13" t="s">
        <v>2199</v>
      </c>
      <c r="H103" s="56">
        <f>COUNTIFS('raw data'!$C$2:$C$2177,G103,'raw data'!$M$2:$M$2177,"TRUE")</f>
        <v>32</v>
      </c>
    </row>
    <row r="104" spans="6:28" x14ac:dyDescent="0.25">
      <c r="G104" s="13" t="s">
        <v>2197</v>
      </c>
      <c r="H104" s="56">
        <f>COUNTIFS('raw data'!$C$2:$C$2177,G104,'raw data'!$M$2:$M$2177,"TRUE")</f>
        <v>33</v>
      </c>
    </row>
    <row r="105" spans="6:28" x14ac:dyDescent="0.25">
      <c r="G105" s="13" t="s">
        <v>2196</v>
      </c>
      <c r="H105" s="56">
        <f>COUNTIFS('raw data'!$C$2:$C$2177,G105,'raw data'!$M$2:$M$2177,"TRUE")</f>
        <v>48</v>
      </c>
      <c r="T105" s="15" t="s">
        <v>2307</v>
      </c>
      <c r="U105" s="15" t="s">
        <v>2260</v>
      </c>
    </row>
    <row r="106" spans="6:28" x14ac:dyDescent="0.25">
      <c r="U106" s="13" t="s">
        <v>2190</v>
      </c>
      <c r="AA106" s="13" t="s">
        <v>2276</v>
      </c>
      <c r="AB106" s="13" t="s">
        <v>2257</v>
      </c>
    </row>
    <row r="107" spans="6:28" x14ac:dyDescent="0.25">
      <c r="F107" s="13" t="s">
        <v>2363</v>
      </c>
      <c r="G107" s="12" t="s">
        <v>2249</v>
      </c>
      <c r="T107" s="15" t="s">
        <v>2256</v>
      </c>
      <c r="U107" s="13" t="s">
        <v>2229</v>
      </c>
      <c r="V107" s="13" t="s">
        <v>2225</v>
      </c>
      <c r="W107" s="13" t="s">
        <v>2227</v>
      </c>
      <c r="X107" s="13" t="s">
        <v>2228</v>
      </c>
      <c r="Y107" s="13" t="s">
        <v>2226</v>
      </c>
      <c r="Z107" s="13" t="s">
        <v>2230</v>
      </c>
    </row>
    <row r="108" spans="6:28" x14ac:dyDescent="0.25">
      <c r="G108" s="15" t="s">
        <v>2302</v>
      </c>
      <c r="H108" s="15" t="s">
        <v>2260</v>
      </c>
      <c r="T108" s="16" t="s">
        <v>2201</v>
      </c>
      <c r="U108" s="14">
        <v>2</v>
      </c>
      <c r="V108" s="14">
        <v>1</v>
      </c>
      <c r="W108" s="14">
        <v>2</v>
      </c>
      <c r="X108" s="14">
        <v>1</v>
      </c>
      <c r="Y108" s="14">
        <v>3</v>
      </c>
      <c r="Z108" s="14">
        <v>2</v>
      </c>
      <c r="AA108" s="14">
        <v>11</v>
      </c>
      <c r="AB108" s="14">
        <v>11</v>
      </c>
    </row>
    <row r="109" spans="6:28" x14ac:dyDescent="0.25">
      <c r="G109" s="15" t="s">
        <v>2256</v>
      </c>
      <c r="H109" s="13" t="s">
        <v>2192</v>
      </c>
      <c r="I109" s="13" t="s">
        <v>2194</v>
      </c>
      <c r="J109" s="13" t="s">
        <v>2195</v>
      </c>
      <c r="K109" s="13" t="s">
        <v>2190</v>
      </c>
      <c r="L109" s="13" t="s">
        <v>2193</v>
      </c>
      <c r="M109" s="13" t="s">
        <v>2191</v>
      </c>
      <c r="N109" s="13" t="s">
        <v>2257</v>
      </c>
      <c r="T109" s="20" t="s">
        <v>2288</v>
      </c>
      <c r="U109" s="14">
        <v>2</v>
      </c>
      <c r="V109" s="14">
        <v>1</v>
      </c>
      <c r="W109" s="14">
        <v>2</v>
      </c>
      <c r="X109" s="14">
        <v>1</v>
      </c>
      <c r="Y109" s="14">
        <v>3</v>
      </c>
      <c r="Z109" s="14">
        <v>2</v>
      </c>
      <c r="AA109" s="14">
        <v>11</v>
      </c>
      <c r="AB109" s="14">
        <v>11</v>
      </c>
    </row>
    <row r="110" spans="6:28" x14ac:dyDescent="0.25">
      <c r="G110" s="16" t="s">
        <v>2201</v>
      </c>
      <c r="H110" s="14">
        <v>48</v>
      </c>
      <c r="I110" s="14">
        <v>40</v>
      </c>
      <c r="J110" s="14">
        <v>40</v>
      </c>
      <c r="K110" s="14">
        <v>47</v>
      </c>
      <c r="L110" s="14">
        <v>34</v>
      </c>
      <c r="M110" s="14">
        <v>48</v>
      </c>
      <c r="N110" s="14">
        <v>257</v>
      </c>
      <c r="T110" s="16" t="s">
        <v>2257</v>
      </c>
      <c r="U110" s="14">
        <v>2</v>
      </c>
      <c r="V110" s="14">
        <v>1</v>
      </c>
      <c r="W110" s="14">
        <v>2</v>
      </c>
      <c r="X110" s="14">
        <v>1</v>
      </c>
      <c r="Y110" s="14">
        <v>3</v>
      </c>
      <c r="Z110" s="14">
        <v>2</v>
      </c>
      <c r="AA110" s="14">
        <v>11</v>
      </c>
      <c r="AB110" s="14">
        <v>11</v>
      </c>
    </row>
    <row r="111" spans="6:28" ht="16.5" x14ac:dyDescent="0.3">
      <c r="G111" s="16" t="s">
        <v>2198</v>
      </c>
      <c r="H111" s="14">
        <v>41</v>
      </c>
      <c r="I111" s="14">
        <v>48</v>
      </c>
      <c r="J111" s="14">
        <v>44</v>
      </c>
      <c r="K111" s="14">
        <v>52</v>
      </c>
      <c r="L111" s="14">
        <v>57</v>
      </c>
      <c r="M111" s="14">
        <v>43</v>
      </c>
      <c r="N111" s="14">
        <v>285</v>
      </c>
      <c r="T111"/>
      <c r="U111"/>
      <c r="V111"/>
      <c r="W111"/>
      <c r="X111"/>
      <c r="Y111"/>
      <c r="Z111"/>
      <c r="AA111"/>
      <c r="AB111"/>
    </row>
    <row r="112" spans="6:28" ht="16.5" x14ac:dyDescent="0.3">
      <c r="G112" s="16" t="s">
        <v>2203</v>
      </c>
      <c r="H112" s="14">
        <v>53</v>
      </c>
      <c r="I112" s="14">
        <v>56</v>
      </c>
      <c r="J112" s="14">
        <v>39</v>
      </c>
      <c r="K112" s="14">
        <v>37</v>
      </c>
      <c r="L112" s="14">
        <v>31</v>
      </c>
      <c r="M112" s="14">
        <v>34</v>
      </c>
      <c r="N112" s="14">
        <v>250</v>
      </c>
      <c r="T112"/>
      <c r="U112"/>
      <c r="V112"/>
      <c r="W112"/>
      <c r="X112"/>
      <c r="Y112"/>
      <c r="Z112"/>
      <c r="AA112"/>
      <c r="AB112"/>
    </row>
    <row r="113" spans="7:28" ht="16.5" x14ac:dyDescent="0.3">
      <c r="G113" s="16" t="s">
        <v>2202</v>
      </c>
      <c r="H113" s="14">
        <v>53</v>
      </c>
      <c r="I113" s="14">
        <v>36</v>
      </c>
      <c r="J113" s="14">
        <v>28</v>
      </c>
      <c r="K113" s="14">
        <v>35</v>
      </c>
      <c r="L113" s="14">
        <v>42</v>
      </c>
      <c r="M113" s="14">
        <v>50</v>
      </c>
      <c r="N113" s="14">
        <v>244</v>
      </c>
      <c r="T113"/>
      <c r="U113"/>
      <c r="V113"/>
      <c r="W113"/>
      <c r="X113"/>
      <c r="Y113"/>
      <c r="Z113"/>
      <c r="AA113"/>
      <c r="AB113"/>
    </row>
    <row r="114" spans="7:28" ht="16.5" x14ac:dyDescent="0.3">
      <c r="G114" s="16" t="s">
        <v>2200</v>
      </c>
      <c r="H114" s="14">
        <v>41</v>
      </c>
      <c r="I114" s="14">
        <v>55</v>
      </c>
      <c r="J114" s="14">
        <v>44</v>
      </c>
      <c r="K114" s="14">
        <v>41</v>
      </c>
      <c r="L114" s="14">
        <v>56</v>
      </c>
      <c r="M114" s="14">
        <v>46</v>
      </c>
      <c r="N114" s="14">
        <v>283</v>
      </c>
      <c r="T114"/>
      <c r="U114"/>
      <c r="V114"/>
      <c r="W114"/>
      <c r="X114"/>
      <c r="Y114"/>
      <c r="Z114"/>
      <c r="AA114"/>
      <c r="AB114"/>
    </row>
    <row r="115" spans="7:28" ht="16.5" x14ac:dyDescent="0.3">
      <c r="G115" s="16" t="s">
        <v>2199</v>
      </c>
      <c r="H115" s="14">
        <v>46</v>
      </c>
      <c r="I115" s="14">
        <v>55</v>
      </c>
      <c r="J115" s="14">
        <v>50</v>
      </c>
      <c r="K115" s="14">
        <v>35</v>
      </c>
      <c r="L115" s="14">
        <v>54</v>
      </c>
      <c r="M115" s="14">
        <v>44</v>
      </c>
      <c r="N115" s="14">
        <v>284</v>
      </c>
      <c r="T115"/>
      <c r="U115"/>
      <c r="V115"/>
      <c r="W115"/>
      <c r="X115"/>
      <c r="Y115"/>
      <c r="Z115"/>
      <c r="AA115"/>
      <c r="AB115"/>
    </row>
    <row r="116" spans="7:28" ht="16.5" x14ac:dyDescent="0.3">
      <c r="G116" s="16" t="s">
        <v>2197</v>
      </c>
      <c r="H116" s="14">
        <v>58</v>
      </c>
      <c r="I116" s="14">
        <v>33</v>
      </c>
      <c r="J116" s="14">
        <v>30</v>
      </c>
      <c r="K116" s="14">
        <v>46</v>
      </c>
      <c r="L116" s="14">
        <v>50</v>
      </c>
      <c r="M116" s="14">
        <v>43</v>
      </c>
      <c r="N116" s="14">
        <v>260</v>
      </c>
      <c r="T116"/>
      <c r="U116"/>
      <c r="V116"/>
      <c r="W116"/>
      <c r="X116"/>
      <c r="Y116"/>
      <c r="Z116"/>
      <c r="AA116"/>
      <c r="AB116"/>
    </row>
    <row r="117" spans="7:28" ht="16.5" x14ac:dyDescent="0.3">
      <c r="G117" s="16" t="s">
        <v>2196</v>
      </c>
      <c r="H117" s="14">
        <v>62</v>
      </c>
      <c r="I117" s="14">
        <v>69</v>
      </c>
      <c r="J117" s="14">
        <v>42</v>
      </c>
      <c r="K117" s="14">
        <v>41</v>
      </c>
      <c r="L117" s="14">
        <v>48</v>
      </c>
      <c r="M117" s="14">
        <v>51</v>
      </c>
      <c r="N117" s="14">
        <v>313</v>
      </c>
      <c r="T117"/>
      <c r="U117"/>
      <c r="V117"/>
      <c r="W117"/>
      <c r="X117"/>
      <c r="Y117"/>
      <c r="Z117"/>
      <c r="AA117"/>
      <c r="AB117"/>
    </row>
    <row r="118" spans="7:28" ht="16.5" x14ac:dyDescent="0.3">
      <c r="G118" s="16" t="s">
        <v>2257</v>
      </c>
      <c r="H118" s="14">
        <v>402</v>
      </c>
      <c r="I118" s="14">
        <v>392</v>
      </c>
      <c r="J118" s="14">
        <v>317</v>
      </c>
      <c r="K118" s="14">
        <v>334</v>
      </c>
      <c r="L118" s="14">
        <v>372</v>
      </c>
      <c r="M118" s="14">
        <v>359</v>
      </c>
      <c r="N118" s="14">
        <v>2176</v>
      </c>
      <c r="T118"/>
      <c r="U118"/>
      <c r="V118"/>
      <c r="W118"/>
      <c r="X118"/>
      <c r="Y118"/>
      <c r="Z118"/>
      <c r="AA118"/>
      <c r="AB118"/>
    </row>
    <row r="119" spans="7:28" ht="16.5" x14ac:dyDescent="0.3">
      <c r="G119" s="16" t="s">
        <v>2303</v>
      </c>
      <c r="T119"/>
      <c r="U119"/>
      <c r="V119"/>
      <c r="W119"/>
      <c r="X119"/>
      <c r="Y119"/>
      <c r="Z119"/>
      <c r="AA119"/>
      <c r="AB119"/>
    </row>
    <row r="120" spans="7:28" ht="16.5" x14ac:dyDescent="0.3">
      <c r="G120" s="15" t="s">
        <v>2300</v>
      </c>
      <c r="H120" s="15" t="s">
        <v>2260</v>
      </c>
      <c r="T120"/>
      <c r="U120"/>
      <c r="V120"/>
      <c r="W120"/>
      <c r="X120"/>
      <c r="Y120"/>
      <c r="Z120"/>
      <c r="AA120"/>
      <c r="AB120"/>
    </row>
    <row r="121" spans="7:28" ht="16.5" x14ac:dyDescent="0.3">
      <c r="G121" s="15" t="s">
        <v>2256</v>
      </c>
      <c r="H121" s="13" t="s">
        <v>2305</v>
      </c>
      <c r="I121" s="13" t="s">
        <v>2306</v>
      </c>
      <c r="J121" s="13" t="s">
        <v>2257</v>
      </c>
      <c r="K121" s="13">
        <f>COUNTIFS('raw data'!$B$2:$B$2177,"Accessories",'raw data'!$C$2:$C$2177,"Ann Taylor")</f>
        <v>48</v>
      </c>
      <c r="T121"/>
      <c r="U121"/>
      <c r="V121"/>
      <c r="W121"/>
      <c r="X121"/>
      <c r="Y121"/>
      <c r="Z121"/>
      <c r="AA121"/>
      <c r="AB121"/>
    </row>
    <row r="122" spans="7:28" ht="16.5" x14ac:dyDescent="0.3">
      <c r="G122" s="16" t="s">
        <v>2201</v>
      </c>
      <c r="H122" s="14">
        <v>94</v>
      </c>
      <c r="I122" s="14">
        <v>163</v>
      </c>
      <c r="J122" s="14">
        <v>257</v>
      </c>
      <c r="T122"/>
      <c r="U122"/>
      <c r="V122"/>
      <c r="W122"/>
      <c r="X122"/>
      <c r="Y122"/>
      <c r="Z122"/>
      <c r="AA122"/>
      <c r="AB122"/>
    </row>
    <row r="123" spans="7:28" ht="16.5" x14ac:dyDescent="0.3">
      <c r="G123" s="16" t="s">
        <v>2198</v>
      </c>
      <c r="H123" s="14">
        <v>112</v>
      </c>
      <c r="I123" s="14">
        <v>173</v>
      </c>
      <c r="J123" s="14">
        <v>285</v>
      </c>
      <c r="T123"/>
      <c r="U123"/>
      <c r="V123"/>
      <c r="W123"/>
      <c r="X123"/>
      <c r="Y123"/>
      <c r="Z123"/>
      <c r="AA123"/>
      <c r="AB123"/>
    </row>
    <row r="124" spans="7:28" ht="16.5" x14ac:dyDescent="0.3">
      <c r="G124" s="16" t="s">
        <v>2203</v>
      </c>
      <c r="H124" s="14">
        <v>102</v>
      </c>
      <c r="I124" s="14">
        <v>148</v>
      </c>
      <c r="J124" s="14">
        <v>250</v>
      </c>
      <c r="T124"/>
      <c r="U124"/>
      <c r="V124"/>
      <c r="W124"/>
      <c r="X124"/>
      <c r="Y124"/>
      <c r="Z124"/>
      <c r="AA124"/>
      <c r="AB124"/>
    </row>
    <row r="125" spans="7:28" x14ac:dyDescent="0.25">
      <c r="G125" s="16" t="s">
        <v>2202</v>
      </c>
      <c r="H125" s="14">
        <v>108</v>
      </c>
      <c r="I125" s="14">
        <v>136</v>
      </c>
      <c r="J125" s="14">
        <v>244</v>
      </c>
    </row>
    <row r="126" spans="7:28" x14ac:dyDescent="0.25">
      <c r="G126" s="16" t="s">
        <v>2200</v>
      </c>
      <c r="H126" s="14">
        <v>114</v>
      </c>
      <c r="I126" s="14">
        <v>169</v>
      </c>
      <c r="J126" s="14">
        <v>283</v>
      </c>
    </row>
    <row r="127" spans="7:28" x14ac:dyDescent="0.25">
      <c r="G127" s="16" t="s">
        <v>2199</v>
      </c>
      <c r="H127" s="14">
        <v>124</v>
      </c>
      <c r="I127" s="14">
        <v>160</v>
      </c>
      <c r="J127" s="14">
        <v>284</v>
      </c>
    </row>
    <row r="128" spans="7:28" x14ac:dyDescent="0.25">
      <c r="G128" s="16" t="s">
        <v>2197</v>
      </c>
      <c r="H128" s="14">
        <v>93</v>
      </c>
      <c r="I128" s="14">
        <v>167</v>
      </c>
      <c r="J128" s="14">
        <v>260</v>
      </c>
    </row>
    <row r="129" spans="6:36" x14ac:dyDescent="0.25">
      <c r="G129" s="16" t="s">
        <v>2196</v>
      </c>
      <c r="H129" s="14">
        <v>131</v>
      </c>
      <c r="I129" s="14">
        <v>182</v>
      </c>
      <c r="J129" s="14">
        <v>313</v>
      </c>
    </row>
    <row r="130" spans="6:36" x14ac:dyDescent="0.25">
      <c r="G130" s="16" t="s">
        <v>2257</v>
      </c>
      <c r="H130" s="14">
        <v>878</v>
      </c>
      <c r="I130" s="14">
        <v>1298</v>
      </c>
      <c r="J130" s="14">
        <v>2176</v>
      </c>
    </row>
    <row r="132" spans="6:36" x14ac:dyDescent="0.25">
      <c r="G132" s="16" t="s">
        <v>2308</v>
      </c>
    </row>
    <row r="133" spans="6:36" ht="16.5" x14ac:dyDescent="0.3">
      <c r="G133" s="15" t="s">
        <v>2307</v>
      </c>
      <c r="H133" s="15" t="s">
        <v>2260</v>
      </c>
      <c r="O133"/>
      <c r="P133"/>
      <c r="Q133"/>
      <c r="R133"/>
      <c r="S133"/>
      <c r="T133"/>
      <c r="U133"/>
      <c r="V133"/>
      <c r="W133"/>
      <c r="X133"/>
      <c r="Y133"/>
      <c r="Z133"/>
      <c r="AA133"/>
      <c r="AB133"/>
      <c r="AC133"/>
      <c r="AD133"/>
      <c r="AE133"/>
      <c r="AF133"/>
      <c r="AG133"/>
      <c r="AH133"/>
      <c r="AI133"/>
      <c r="AJ133"/>
    </row>
    <row r="134" spans="6:36" ht="16.5" x14ac:dyDescent="0.3">
      <c r="G134" s="15" t="s">
        <v>2256</v>
      </c>
      <c r="H134" s="13" t="s">
        <v>2192</v>
      </c>
      <c r="I134" s="13" t="s">
        <v>2194</v>
      </c>
      <c r="J134" s="13" t="s">
        <v>2195</v>
      </c>
      <c r="K134" s="13" t="s">
        <v>2190</v>
      </c>
      <c r="L134" s="13" t="s">
        <v>2193</v>
      </c>
      <c r="M134" s="13" t="s">
        <v>2191</v>
      </c>
      <c r="N134" s="13" t="s">
        <v>2257</v>
      </c>
      <c r="O134"/>
      <c r="P134"/>
      <c r="Q134"/>
      <c r="R134"/>
      <c r="S134"/>
      <c r="T134"/>
      <c r="U134"/>
      <c r="V134"/>
      <c r="W134"/>
      <c r="X134"/>
      <c r="Y134"/>
      <c r="Z134"/>
      <c r="AA134"/>
      <c r="AB134"/>
      <c r="AC134"/>
      <c r="AD134"/>
      <c r="AE134"/>
      <c r="AF134"/>
      <c r="AG134"/>
      <c r="AH134"/>
      <c r="AI134"/>
      <c r="AJ134"/>
    </row>
    <row r="135" spans="6:36" ht="16.5" x14ac:dyDescent="0.3">
      <c r="G135" s="16" t="s">
        <v>2206</v>
      </c>
      <c r="H135" s="14">
        <v>101</v>
      </c>
      <c r="I135" s="14">
        <v>104</v>
      </c>
      <c r="J135" s="14">
        <v>79</v>
      </c>
      <c r="K135" s="14">
        <v>86</v>
      </c>
      <c r="L135" s="14">
        <v>85</v>
      </c>
      <c r="M135" s="14">
        <v>89</v>
      </c>
      <c r="N135" s="14">
        <v>544</v>
      </c>
      <c r="O135"/>
      <c r="P135"/>
      <c r="Q135"/>
      <c r="R135"/>
      <c r="S135"/>
      <c r="T135"/>
      <c r="U135"/>
      <c r="V135"/>
      <c r="W135"/>
      <c r="X135"/>
      <c r="Y135"/>
      <c r="Z135"/>
      <c r="AA135"/>
      <c r="AB135"/>
      <c r="AC135"/>
      <c r="AD135"/>
      <c r="AE135"/>
      <c r="AF135"/>
      <c r="AG135"/>
      <c r="AH135"/>
      <c r="AI135"/>
      <c r="AJ135"/>
    </row>
    <row r="136" spans="6:36" ht="16.5" x14ac:dyDescent="0.3">
      <c r="G136" s="16" t="s">
        <v>2204</v>
      </c>
      <c r="H136" s="14">
        <v>92</v>
      </c>
      <c r="I136" s="14">
        <v>93</v>
      </c>
      <c r="J136" s="14">
        <v>76</v>
      </c>
      <c r="K136" s="14">
        <v>90</v>
      </c>
      <c r="L136" s="14">
        <v>88</v>
      </c>
      <c r="M136" s="14">
        <v>96</v>
      </c>
      <c r="N136" s="14">
        <v>535</v>
      </c>
      <c r="O136"/>
      <c r="P136"/>
      <c r="Q136"/>
      <c r="R136"/>
      <c r="S136"/>
      <c r="T136"/>
      <c r="U136"/>
      <c r="V136"/>
      <c r="W136"/>
      <c r="X136"/>
      <c r="Y136"/>
      <c r="Z136"/>
      <c r="AA136"/>
      <c r="AB136"/>
      <c r="AC136"/>
      <c r="AD136"/>
      <c r="AE136"/>
      <c r="AF136"/>
      <c r="AG136"/>
      <c r="AH136"/>
      <c r="AI136"/>
      <c r="AJ136"/>
    </row>
    <row r="137" spans="6:36" x14ac:dyDescent="0.25">
      <c r="G137" s="16" t="s">
        <v>2207</v>
      </c>
      <c r="H137" s="14">
        <v>101</v>
      </c>
      <c r="I137" s="14">
        <v>108</v>
      </c>
      <c r="J137" s="14">
        <v>79</v>
      </c>
      <c r="K137" s="14">
        <v>83</v>
      </c>
      <c r="L137" s="14">
        <v>108</v>
      </c>
      <c r="M137" s="14">
        <v>96</v>
      </c>
      <c r="N137" s="14">
        <v>575</v>
      </c>
    </row>
    <row r="138" spans="6:36" x14ac:dyDescent="0.25">
      <c r="G138" s="16" t="s">
        <v>2205</v>
      </c>
      <c r="H138" s="14">
        <v>108</v>
      </c>
      <c r="I138" s="14">
        <v>87</v>
      </c>
      <c r="J138" s="14">
        <v>83</v>
      </c>
      <c r="K138" s="14">
        <v>75</v>
      </c>
      <c r="L138" s="14">
        <v>91</v>
      </c>
      <c r="M138" s="14">
        <v>78</v>
      </c>
      <c r="N138" s="14">
        <v>522</v>
      </c>
    </row>
    <row r="139" spans="6:36" x14ac:dyDescent="0.25">
      <c r="G139" s="16" t="s">
        <v>2257</v>
      </c>
      <c r="H139" s="14">
        <v>402</v>
      </c>
      <c r="I139" s="14">
        <v>392</v>
      </c>
      <c r="J139" s="14">
        <v>317</v>
      </c>
      <c r="K139" s="14">
        <v>334</v>
      </c>
      <c r="L139" s="14">
        <v>372</v>
      </c>
      <c r="M139" s="14">
        <v>359</v>
      </c>
      <c r="N139" s="14">
        <v>2176</v>
      </c>
    </row>
    <row r="140" spans="6:36" ht="16.5" x14ac:dyDescent="0.3">
      <c r="G140"/>
      <c r="H140"/>
      <c r="I140"/>
      <c r="J140"/>
      <c r="K140"/>
      <c r="L140"/>
    </row>
    <row r="141" spans="6:36" ht="16.5" x14ac:dyDescent="0.3">
      <c r="G141"/>
      <c r="H141"/>
      <c r="I141"/>
      <c r="J141"/>
      <c r="K141"/>
      <c r="L141"/>
    </row>
    <row r="142" spans="6:36" x14ac:dyDescent="0.25">
      <c r="F142" s="16"/>
    </row>
    <row r="143" spans="6:36" x14ac:dyDescent="0.25">
      <c r="G143" s="15" t="s">
        <v>2256</v>
      </c>
      <c r="H143" s="13" t="s">
        <v>2307</v>
      </c>
    </row>
    <row r="144" spans="6:36" x14ac:dyDescent="0.25">
      <c r="G144" s="16" t="s">
        <v>2206</v>
      </c>
      <c r="H144" s="14">
        <v>544</v>
      </c>
    </row>
    <row r="145" spans="7:8" x14ac:dyDescent="0.25">
      <c r="G145" s="16" t="s">
        <v>2204</v>
      </c>
      <c r="H145" s="14">
        <v>535</v>
      </c>
    </row>
    <row r="146" spans="7:8" x14ac:dyDescent="0.25">
      <c r="G146" s="16" t="s">
        <v>2207</v>
      </c>
      <c r="H146" s="14">
        <v>575</v>
      </c>
    </row>
    <row r="147" spans="7:8" x14ac:dyDescent="0.25">
      <c r="G147" s="16" t="s">
        <v>2205</v>
      </c>
      <c r="H147" s="14">
        <v>522</v>
      </c>
    </row>
    <row r="148" spans="7:8" x14ac:dyDescent="0.25">
      <c r="G148" s="16" t="s">
        <v>2257</v>
      </c>
      <c r="H148" s="14">
        <v>2176</v>
      </c>
    </row>
    <row r="151" spans="7:8" x14ac:dyDescent="0.25">
      <c r="G151" s="15" t="s">
        <v>2256</v>
      </c>
      <c r="H151" s="13" t="s">
        <v>2307</v>
      </c>
    </row>
    <row r="152" spans="7:8" x14ac:dyDescent="0.25">
      <c r="G152" s="16" t="s">
        <v>2305</v>
      </c>
      <c r="H152" s="14">
        <v>878</v>
      </c>
    </row>
    <row r="153" spans="7:8" x14ac:dyDescent="0.25">
      <c r="G153" s="16" t="s">
        <v>2306</v>
      </c>
      <c r="H153" s="14">
        <v>1298</v>
      </c>
    </row>
    <row r="154" spans="7:8" x14ac:dyDescent="0.25">
      <c r="G154" s="16" t="s">
        <v>2257</v>
      </c>
      <c r="H154" s="14">
        <v>2176</v>
      </c>
    </row>
    <row r="157" spans="7:8" x14ac:dyDescent="0.25">
      <c r="G157" s="15" t="s">
        <v>2256</v>
      </c>
      <c r="H157" s="13" t="s">
        <v>2301</v>
      </c>
    </row>
    <row r="158" spans="7:8" x14ac:dyDescent="0.25">
      <c r="G158" s="16" t="s">
        <v>2338</v>
      </c>
      <c r="H158" s="14"/>
    </row>
    <row r="159" spans="7:8" x14ac:dyDescent="0.25">
      <c r="G159" s="58" t="s">
        <v>2333</v>
      </c>
      <c r="H159" s="14">
        <v>34</v>
      </c>
    </row>
    <row r="160" spans="7:8" x14ac:dyDescent="0.25">
      <c r="G160" s="58" t="s">
        <v>2334</v>
      </c>
      <c r="H160" s="14">
        <v>58</v>
      </c>
    </row>
    <row r="161" spans="7:14" x14ac:dyDescent="0.25">
      <c r="G161" s="58" t="s">
        <v>2335</v>
      </c>
      <c r="H161" s="14">
        <v>46</v>
      </c>
    </row>
    <row r="162" spans="7:14" x14ac:dyDescent="0.25">
      <c r="G162" s="58" t="s">
        <v>2336</v>
      </c>
      <c r="H162" s="14">
        <v>40</v>
      </c>
    </row>
    <row r="163" spans="7:14" x14ac:dyDescent="0.25">
      <c r="G163" s="58" t="s">
        <v>2337</v>
      </c>
      <c r="H163" s="14">
        <v>41</v>
      </c>
    </row>
    <row r="164" spans="7:14" x14ac:dyDescent="0.25">
      <c r="G164" s="16" t="s">
        <v>2339</v>
      </c>
      <c r="H164" s="14"/>
    </row>
    <row r="165" spans="7:14" x14ac:dyDescent="0.25">
      <c r="G165" s="58" t="s">
        <v>2326</v>
      </c>
      <c r="H165" s="14">
        <v>41</v>
      </c>
    </row>
    <row r="166" spans="7:14" x14ac:dyDescent="0.25">
      <c r="G166" s="58" t="s">
        <v>2327</v>
      </c>
      <c r="H166" s="14">
        <v>37</v>
      </c>
    </row>
    <row r="167" spans="7:14" x14ac:dyDescent="0.25">
      <c r="G167" s="58" t="s">
        <v>2328</v>
      </c>
      <c r="H167" s="14">
        <v>41</v>
      </c>
    </row>
    <row r="168" spans="7:14" x14ac:dyDescent="0.25">
      <c r="G168" s="58" t="s">
        <v>2329</v>
      </c>
      <c r="H168" s="14">
        <v>57</v>
      </c>
    </row>
    <row r="169" spans="7:14" x14ac:dyDescent="0.25">
      <c r="G169" s="58" t="s">
        <v>2330</v>
      </c>
      <c r="H169" s="14">
        <v>48</v>
      </c>
    </row>
    <row r="170" spans="7:14" x14ac:dyDescent="0.25">
      <c r="G170" s="58" t="s">
        <v>2331</v>
      </c>
      <c r="H170" s="14">
        <v>32</v>
      </c>
    </row>
    <row r="171" spans="7:14" x14ac:dyDescent="0.25">
      <c r="G171" s="58" t="s">
        <v>2332</v>
      </c>
      <c r="H171" s="14">
        <v>54</v>
      </c>
    </row>
    <row r="172" spans="7:14" x14ac:dyDescent="0.25">
      <c r="G172" s="58" t="s">
        <v>2333</v>
      </c>
      <c r="H172" s="14">
        <v>1647</v>
      </c>
    </row>
    <row r="173" spans="7:14" x14ac:dyDescent="0.25">
      <c r="G173" s="16" t="s">
        <v>2257</v>
      </c>
      <c r="H173" s="14">
        <v>2176</v>
      </c>
    </row>
    <row r="175" spans="7:14" x14ac:dyDescent="0.25">
      <c r="G175" s="15" t="s">
        <v>2301</v>
      </c>
      <c r="H175" s="15" t="s">
        <v>2260</v>
      </c>
    </row>
    <row r="176" spans="7:14" x14ac:dyDescent="0.25">
      <c r="G176" s="15" t="s">
        <v>2256</v>
      </c>
      <c r="H176" s="13" t="s">
        <v>2192</v>
      </c>
      <c r="I176" s="13" t="s">
        <v>2194</v>
      </c>
      <c r="J176" s="13" t="s">
        <v>2195</v>
      </c>
      <c r="K176" s="13" t="s">
        <v>2190</v>
      </c>
      <c r="L176" s="13" t="s">
        <v>2193</v>
      </c>
      <c r="M176" s="13" t="s">
        <v>2191</v>
      </c>
      <c r="N176" s="13" t="s">
        <v>2257</v>
      </c>
    </row>
    <row r="177" spans="7:14" x14ac:dyDescent="0.25">
      <c r="G177" s="16" t="s">
        <v>2201</v>
      </c>
      <c r="H177" s="14">
        <v>48</v>
      </c>
      <c r="I177" s="14">
        <v>40</v>
      </c>
      <c r="J177" s="14">
        <v>40</v>
      </c>
      <c r="K177" s="14">
        <v>47</v>
      </c>
      <c r="L177" s="14">
        <v>34</v>
      </c>
      <c r="M177" s="14">
        <v>48</v>
      </c>
      <c r="N177" s="14">
        <v>257</v>
      </c>
    </row>
    <row r="178" spans="7:14" x14ac:dyDescent="0.25">
      <c r="G178" s="16" t="s">
        <v>2198</v>
      </c>
      <c r="H178" s="14">
        <v>41</v>
      </c>
      <c r="I178" s="14">
        <v>48</v>
      </c>
      <c r="J178" s="14">
        <v>44</v>
      </c>
      <c r="K178" s="14">
        <v>52</v>
      </c>
      <c r="L178" s="14">
        <v>57</v>
      </c>
      <c r="M178" s="14">
        <v>43</v>
      </c>
      <c r="N178" s="14">
        <v>285</v>
      </c>
    </row>
    <row r="179" spans="7:14" x14ac:dyDescent="0.25">
      <c r="G179" s="16" t="s">
        <v>2203</v>
      </c>
      <c r="H179" s="14">
        <v>53</v>
      </c>
      <c r="I179" s="14">
        <v>56</v>
      </c>
      <c r="J179" s="14">
        <v>39</v>
      </c>
      <c r="K179" s="14">
        <v>37</v>
      </c>
      <c r="L179" s="14">
        <v>31</v>
      </c>
      <c r="M179" s="14">
        <v>34</v>
      </c>
      <c r="N179" s="14">
        <v>250</v>
      </c>
    </row>
    <row r="180" spans="7:14" x14ac:dyDescent="0.25">
      <c r="G180" s="16" t="s">
        <v>2202</v>
      </c>
      <c r="H180" s="14">
        <v>53</v>
      </c>
      <c r="I180" s="14">
        <v>36</v>
      </c>
      <c r="J180" s="14">
        <v>28</v>
      </c>
      <c r="K180" s="14">
        <v>35</v>
      </c>
      <c r="L180" s="14">
        <v>42</v>
      </c>
      <c r="M180" s="14">
        <v>50</v>
      </c>
      <c r="N180" s="14">
        <v>244</v>
      </c>
    </row>
    <row r="181" spans="7:14" x14ac:dyDescent="0.25">
      <c r="G181" s="16" t="s">
        <v>2200</v>
      </c>
      <c r="H181" s="14">
        <v>41</v>
      </c>
      <c r="I181" s="14">
        <v>55</v>
      </c>
      <c r="J181" s="14">
        <v>44</v>
      </c>
      <c r="K181" s="14">
        <v>41</v>
      </c>
      <c r="L181" s="14">
        <v>56</v>
      </c>
      <c r="M181" s="14">
        <v>46</v>
      </c>
      <c r="N181" s="14">
        <v>283</v>
      </c>
    </row>
    <row r="182" spans="7:14" x14ac:dyDescent="0.25">
      <c r="G182" s="16" t="s">
        <v>2199</v>
      </c>
      <c r="H182" s="14">
        <v>46</v>
      </c>
      <c r="I182" s="14">
        <v>55</v>
      </c>
      <c r="J182" s="14">
        <v>50</v>
      </c>
      <c r="K182" s="14">
        <v>35</v>
      </c>
      <c r="L182" s="14">
        <v>54</v>
      </c>
      <c r="M182" s="14">
        <v>44</v>
      </c>
      <c r="N182" s="14">
        <v>284</v>
      </c>
    </row>
    <row r="183" spans="7:14" x14ac:dyDescent="0.25">
      <c r="G183" s="16" t="s">
        <v>2197</v>
      </c>
      <c r="H183" s="14">
        <v>58</v>
      </c>
      <c r="I183" s="14">
        <v>33</v>
      </c>
      <c r="J183" s="14">
        <v>30</v>
      </c>
      <c r="K183" s="14">
        <v>46</v>
      </c>
      <c r="L183" s="14">
        <v>50</v>
      </c>
      <c r="M183" s="14">
        <v>43</v>
      </c>
      <c r="N183" s="14">
        <v>260</v>
      </c>
    </row>
    <row r="184" spans="7:14" x14ac:dyDescent="0.25">
      <c r="G184" s="16" t="s">
        <v>2196</v>
      </c>
      <c r="H184" s="14">
        <v>62</v>
      </c>
      <c r="I184" s="14">
        <v>69</v>
      </c>
      <c r="J184" s="14">
        <v>42</v>
      </c>
      <c r="K184" s="14">
        <v>41</v>
      </c>
      <c r="L184" s="14">
        <v>48</v>
      </c>
      <c r="M184" s="14">
        <v>51</v>
      </c>
      <c r="N184" s="14">
        <v>313</v>
      </c>
    </row>
    <row r="185" spans="7:14" x14ac:dyDescent="0.25">
      <c r="G185" s="16" t="s">
        <v>2257</v>
      </c>
      <c r="H185" s="14">
        <v>402</v>
      </c>
      <c r="I185" s="14">
        <v>392</v>
      </c>
      <c r="J185" s="14">
        <v>317</v>
      </c>
      <c r="K185" s="14">
        <v>334</v>
      </c>
      <c r="L185" s="14">
        <v>372</v>
      </c>
      <c r="M185" s="14">
        <v>359</v>
      </c>
      <c r="N185" s="14">
        <v>2176</v>
      </c>
    </row>
  </sheetData>
  <sheetProtection password="C6E1" sheet="1" objects="1" scenarios="1" selectLockedCells="1" autoFilter="0" pivotTables="0"/>
  <conditionalFormatting pivot="1" sqref="H80:M80">
    <cfRule type="colorScale" priority="11">
      <colorScale>
        <cfvo type="min"/>
        <cfvo type="max"/>
        <color rgb="FF63BE7B"/>
        <color rgb="FFFFEF9C"/>
      </colorScale>
    </cfRule>
  </conditionalFormatting>
  <conditionalFormatting pivot="1" sqref="H94:M94">
    <cfRule type="colorScale" priority="10">
      <colorScale>
        <cfvo type="min"/>
        <cfvo type="max"/>
        <color rgb="FF63BE7B"/>
        <color rgb="FFFFEF9C"/>
      </colorScale>
    </cfRule>
  </conditionalFormatting>
  <conditionalFormatting pivot="1" sqref="H82:M82">
    <cfRule type="colorScale" priority="9">
      <colorScale>
        <cfvo type="min"/>
        <cfvo type="max"/>
        <color rgb="FF63BE7B"/>
        <color rgb="FFFFEF9C"/>
      </colorScale>
    </cfRule>
  </conditionalFormatting>
  <conditionalFormatting pivot="1" sqref="H66:M66 H67:M67 H68:M68 H69:M69 H70:M70 H71:M71 H72:M72 H73:M73">
    <cfRule type="colorScale" priority="8">
      <colorScale>
        <cfvo type="min"/>
        <cfvo type="max"/>
        <color rgb="FFFCFCFF"/>
        <color rgb="FFF8696B"/>
      </colorScale>
    </cfRule>
  </conditionalFormatting>
  <conditionalFormatting pivot="1" sqref="H110:M117">
    <cfRule type="colorScale" priority="4">
      <colorScale>
        <cfvo type="min"/>
        <cfvo type="max"/>
        <color rgb="FFFCFCFF"/>
        <color rgb="FFF8696B"/>
      </colorScale>
    </cfRule>
  </conditionalFormatting>
  <pageMargins left="0.7" right="0.7" top="0.75" bottom="0.75" header="0.3" footer="0.3"/>
  <pageSetup paperSize="9" orientation="portrait" horizontalDpi="0" verticalDpi="0" r:id="rId12"/>
  <drawing r:id="rId13"/>
  <tableParts count="8">
    <tablePart r:id="rId14"/>
    <tablePart r:id="rId15"/>
    <tablePart r:id="rId16"/>
    <tablePart r:id="rId17"/>
    <tablePart r:id="rId18"/>
    <tablePart r:id="rId19"/>
    <tablePart r:id="rId20"/>
    <tablePart r:id="rId2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D124"/>
  <sheetViews>
    <sheetView showGridLines="0" showRowColHeaders="0" topLeftCell="D1" zoomScale="70" zoomScaleNormal="70" workbookViewId="0">
      <selection activeCell="K4" sqref="K4"/>
    </sheetView>
  </sheetViews>
  <sheetFormatPr defaultColWidth="0" defaultRowHeight="16.5" zeroHeight="1" x14ac:dyDescent="0.3"/>
  <cols>
    <col min="1" max="1" width="5" customWidth="1"/>
    <col min="2" max="2" width="20.5" customWidth="1"/>
    <col min="3" max="21" width="9" customWidth="1"/>
    <col min="22" max="22" width="5.25" customWidth="1"/>
    <col min="23" max="23" width="23.25" customWidth="1"/>
    <col min="24" max="25" width="9" customWidth="1"/>
    <col min="26" max="26" width="20.375" customWidth="1"/>
    <col min="27" max="27" width="27.625" customWidth="1"/>
    <col min="28" max="30" width="9" customWidth="1"/>
    <col min="31" max="16384" width="8" hidden="1"/>
  </cols>
  <sheetData>
    <row r="1" spans="1:30" x14ac:dyDescent="0.3"/>
    <row r="2" spans="1:30" ht="26.25" customHeight="1" x14ac:dyDescent="0.3">
      <c r="A2" s="129" t="s">
        <v>2324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row>
    <row r="3" spans="1:30" ht="26.25" customHeight="1" x14ac:dyDescent="0.3">
      <c r="A3" s="129"/>
      <c r="B3" s="129"/>
      <c r="C3" s="129"/>
      <c r="D3" s="129"/>
      <c r="E3" s="129"/>
      <c r="F3" s="129"/>
      <c r="G3" s="129"/>
      <c r="H3" s="129"/>
      <c r="I3" s="129"/>
      <c r="J3" s="129"/>
      <c r="K3" s="129"/>
      <c r="L3" s="129"/>
      <c r="M3" s="129"/>
      <c r="N3" s="129"/>
      <c r="O3" s="129"/>
      <c r="P3" s="129"/>
      <c r="Q3" s="129"/>
      <c r="R3" s="129"/>
      <c r="S3" s="129"/>
      <c r="T3" s="129"/>
      <c r="U3" s="129"/>
      <c r="V3" s="129"/>
      <c r="W3" s="129"/>
      <c r="X3" s="129"/>
      <c r="Y3" s="129"/>
      <c r="Z3" s="129"/>
      <c r="AA3" s="129"/>
      <c r="AB3" s="129"/>
      <c r="AC3" s="129"/>
      <c r="AD3" s="129"/>
    </row>
    <row r="4" spans="1:30" ht="18.75" x14ac:dyDescent="0.3">
      <c r="D4" s="1"/>
    </row>
    <row r="5" spans="1:30" ht="16.5" customHeight="1" x14ac:dyDescent="0.3">
      <c r="B5" s="74" t="s">
        <v>2325</v>
      </c>
    </row>
    <row r="6" spans="1:30" ht="18" x14ac:dyDescent="0.3">
      <c r="B6" s="6">
        <v>186047.11999999997</v>
      </c>
    </row>
    <row r="7" spans="1:30" x14ac:dyDescent="0.3"/>
    <row r="8" spans="1:30" ht="18.75" x14ac:dyDescent="0.3">
      <c r="B8" s="74" t="s">
        <v>2366</v>
      </c>
    </row>
    <row r="9" spans="1:30" ht="18" x14ac:dyDescent="0.3">
      <c r="B9" s="73">
        <v>2176</v>
      </c>
    </row>
    <row r="10" spans="1:30" x14ac:dyDescent="0.3"/>
    <row r="11" spans="1:30" x14ac:dyDescent="0.3"/>
    <row r="12" spans="1:30" x14ac:dyDescent="0.3"/>
    <row r="13" spans="1:30" x14ac:dyDescent="0.3"/>
    <row r="14" spans="1:30" x14ac:dyDescent="0.3"/>
    <row r="15" spans="1:30" x14ac:dyDescent="0.3"/>
    <row r="16" spans="1:30"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1:30" x14ac:dyDescent="0.3"/>
    <row r="34" spans="1:30" x14ac:dyDescent="0.3"/>
    <row r="35" spans="1:30" x14ac:dyDescent="0.3"/>
    <row r="36" spans="1:30" s="7" customFormat="1" ht="32.25" customHeight="1" x14ac:dyDescent="0.3">
      <c r="A36" s="69"/>
      <c r="B36" s="127" t="s">
        <v>2239</v>
      </c>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69"/>
    </row>
    <row r="37" spans="1:30" x14ac:dyDescent="0.3"/>
    <row r="38" spans="1:30" x14ac:dyDescent="0.3"/>
    <row r="39" spans="1:30" x14ac:dyDescent="0.3"/>
    <row r="40" spans="1:30" x14ac:dyDescent="0.3"/>
    <row r="41" spans="1:30" x14ac:dyDescent="0.3"/>
    <row r="42" spans="1:30" x14ac:dyDescent="0.3"/>
    <row r="43" spans="1:30" x14ac:dyDescent="0.3"/>
    <row r="44" spans="1:30" x14ac:dyDescent="0.3"/>
    <row r="45" spans="1:30" x14ac:dyDescent="0.3"/>
    <row r="46" spans="1:30" x14ac:dyDescent="0.3"/>
    <row r="47" spans="1:30" x14ac:dyDescent="0.3"/>
    <row r="48" spans="1:30" x14ac:dyDescent="0.3"/>
    <row r="49" spans="24:27" x14ac:dyDescent="0.3"/>
    <row r="50" spans="24:27" x14ac:dyDescent="0.3"/>
    <row r="51" spans="24:27" x14ac:dyDescent="0.3"/>
    <row r="52" spans="24:27" x14ac:dyDescent="0.3"/>
    <row r="53" spans="24:27" ht="24" customHeight="1" x14ac:dyDescent="0.3">
      <c r="X53" s="2"/>
      <c r="Y53" s="2"/>
      <c r="AA53" s="8" t="s">
        <v>2340</v>
      </c>
    </row>
    <row r="54" spans="24:27" ht="18.75" x14ac:dyDescent="0.3">
      <c r="AA54" s="10">
        <v>1381631397.3000131</v>
      </c>
    </row>
    <row r="55" spans="24:27" x14ac:dyDescent="0.3"/>
    <row r="56" spans="24:27" ht="31.5" x14ac:dyDescent="0.3">
      <c r="AA56" s="9" t="s">
        <v>2278</v>
      </c>
    </row>
    <row r="57" spans="24:27" ht="18.75" x14ac:dyDescent="0.3">
      <c r="AA57" s="11">
        <f>(SUMIF('raw data'!$H$2:$H$2177,"&gt;0",'raw data'!$K$2:$K$2177)/SUM('raw data'!$K$2:$K$2177))</f>
        <v>0.40709481249424123</v>
      </c>
    </row>
    <row r="58" spans="24:27" x14ac:dyDescent="0.3"/>
    <row r="59" spans="24:27" x14ac:dyDescent="0.3"/>
    <row r="60" spans="24:27" x14ac:dyDescent="0.3"/>
    <row r="61" spans="24:27" x14ac:dyDescent="0.3"/>
    <row r="62" spans="24:27" x14ac:dyDescent="0.3"/>
    <row r="63" spans="24:27" x14ac:dyDescent="0.3"/>
    <row r="64" spans="24:27" x14ac:dyDescent="0.3"/>
    <row r="65" spans="2:29" x14ac:dyDescent="0.3"/>
    <row r="66" spans="2:29" x14ac:dyDescent="0.3"/>
    <row r="67" spans="2:29" x14ac:dyDescent="0.3"/>
    <row r="68" spans="2:29" x14ac:dyDescent="0.3"/>
    <row r="69" spans="2:29" x14ac:dyDescent="0.3"/>
    <row r="70" spans="2:29" ht="23.25" customHeight="1" x14ac:dyDescent="0.3">
      <c r="B70" s="128" t="s">
        <v>2347</v>
      </c>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c r="AA70" s="128"/>
      <c r="AB70" s="128"/>
      <c r="AC70" s="128"/>
    </row>
    <row r="71" spans="2:29" ht="23.25" customHeight="1" x14ac:dyDescent="0.3">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c r="AA71" s="128"/>
      <c r="AB71" s="128"/>
      <c r="AC71" s="128"/>
    </row>
    <row r="72" spans="2:29" x14ac:dyDescent="0.3"/>
    <row r="73" spans="2:29" x14ac:dyDescent="0.3"/>
    <row r="74" spans="2:29" x14ac:dyDescent="0.3">
      <c r="B74" s="70" t="s">
        <v>2351</v>
      </c>
    </row>
    <row r="75" spans="2:29" ht="18.75" x14ac:dyDescent="0.3">
      <c r="B75" s="3" t="s">
        <v>2352</v>
      </c>
    </row>
    <row r="76" spans="2:29" x14ac:dyDescent="0.3"/>
    <row r="77" spans="2:29" x14ac:dyDescent="0.3">
      <c r="B77" s="70" t="s">
        <v>2353</v>
      </c>
    </row>
    <row r="78" spans="2:29" ht="18.75" x14ac:dyDescent="0.3">
      <c r="B78" s="3">
        <f>SUM('raw data'!$P$2:$P$2177)/SUM('raw data'!$K$2:$K$2177)</f>
        <v>12.274513959273934</v>
      </c>
    </row>
    <row r="79" spans="2:29" x14ac:dyDescent="0.3"/>
    <row r="80" spans="2:29" x14ac:dyDescent="0.3">
      <c r="B80" s="71" t="s">
        <v>2354</v>
      </c>
    </row>
    <row r="81" spans="2:2" ht="18.75" x14ac:dyDescent="0.3">
      <c r="B81" s="5" t="s">
        <v>2355</v>
      </c>
    </row>
    <row r="82" spans="2:2" x14ac:dyDescent="0.3"/>
    <row r="83" spans="2:2" x14ac:dyDescent="0.3">
      <c r="B83" s="70" t="s">
        <v>2356</v>
      </c>
    </row>
    <row r="84" spans="2:2" x14ac:dyDescent="0.3">
      <c r="B84" s="4">
        <f>AVERAGE('raw data'!$L$2:$L$2177)</f>
        <v>2.9871718356644599</v>
      </c>
    </row>
    <row r="85" spans="2:2" x14ac:dyDescent="0.3"/>
    <row r="86" spans="2:2" x14ac:dyDescent="0.3">
      <c r="B86" s="70" t="s">
        <v>2358</v>
      </c>
    </row>
    <row r="87" spans="2:2" x14ac:dyDescent="0.3">
      <c r="B87" s="4">
        <f>COUNTIF('raw data'!$M$2:$M$2177,"TRUE")</f>
        <v>320</v>
      </c>
    </row>
    <row r="88" spans="2:2" x14ac:dyDescent="0.3"/>
    <row r="89" spans="2:2" x14ac:dyDescent="0.3"/>
    <row r="90" spans="2:2" x14ac:dyDescent="0.3"/>
    <row r="91" spans="2:2" x14ac:dyDescent="0.3"/>
    <row r="92" spans="2:2" x14ac:dyDescent="0.3"/>
    <row r="93" spans="2:2" x14ac:dyDescent="0.3"/>
    <row r="94" spans="2:2" x14ac:dyDescent="0.3"/>
    <row r="95" spans="2:2" x14ac:dyDescent="0.3"/>
    <row r="96" spans="2:2" x14ac:dyDescent="0.3"/>
    <row r="97" x14ac:dyDescent="0.3"/>
    <row r="98" x14ac:dyDescent="0.3"/>
    <row r="99" x14ac:dyDescent="0.3"/>
    <row r="100" x14ac:dyDescent="0.3"/>
    <row r="101" x14ac:dyDescent="0.3"/>
    <row r="102" x14ac:dyDescent="0.3"/>
    <row r="103" x14ac:dyDescent="0.3"/>
    <row r="104" x14ac:dyDescent="0.3"/>
    <row r="105" x14ac:dyDescent="0.3"/>
    <row r="106" x14ac:dyDescent="0.3"/>
    <row r="107" x14ac:dyDescent="0.3"/>
    <row r="108" x14ac:dyDescent="0.3"/>
    <row r="109" x14ac:dyDescent="0.3"/>
    <row r="110" x14ac:dyDescent="0.3"/>
    <row r="111" x14ac:dyDescent="0.3"/>
    <row r="112" x14ac:dyDescent="0.3"/>
    <row r="113" x14ac:dyDescent="0.3"/>
    <row r="114" x14ac:dyDescent="0.3"/>
    <row r="115" x14ac:dyDescent="0.3"/>
    <row r="116" x14ac:dyDescent="0.3"/>
    <row r="117" x14ac:dyDescent="0.3"/>
    <row r="118" x14ac:dyDescent="0.3"/>
    <row r="119" x14ac:dyDescent="0.3"/>
    <row r="120" x14ac:dyDescent="0.3"/>
    <row r="121" x14ac:dyDescent="0.3"/>
    <row r="122" x14ac:dyDescent="0.3"/>
    <row r="123" x14ac:dyDescent="0.3"/>
    <row r="124" x14ac:dyDescent="0.3"/>
  </sheetData>
  <sheetProtection selectLockedCells="1" autoFilter="0" pivotTables="0"/>
  <mergeCells count="3">
    <mergeCell ref="B36:AC36"/>
    <mergeCell ref="B70:AC71"/>
    <mergeCell ref="A2:AD3"/>
  </mergeCells>
  <pageMargins left="0.7" right="0.7" top="0.75" bottom="0.75" header="0.3" footer="0.3"/>
  <pageSetup paperSize="9" orientation="portrait" horizontalDpi="0" verticalDpi="0" r:id="rId4"/>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Fashion_Data</vt:lpstr>
      <vt:lpstr>Table</vt:lpstr>
      <vt:lpstr>raw data</vt:lpstr>
      <vt:lpstr>Pivot Table 0</vt:lpstr>
      <vt:lpstr>Pivot Tabel 1</vt:lpstr>
      <vt:lpstr>Pivot Table 2</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2025-08-07T15:58:21Z</dcterms:created>
  <dcterms:modified xsi:type="dcterms:W3CDTF">2025-09-18T07:51:22Z</dcterms:modified>
</cp:coreProperties>
</file>